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67" activeTab="13"/>
  </bookViews>
  <sheets>
    <sheet name="职业PK规划" sheetId="16" r:id="rId1"/>
    <sheet name="职业设计" sheetId="12" r:id="rId2"/>
    <sheet name="操作设计" sheetId="13" r:id="rId3"/>
    <sheet name="技能参数" sheetId="14" r:id="rId4"/>
    <sheet name="技能升级表" sheetId="17" r:id="rId5"/>
    <sheet name="实战属性" sheetId="18" r:id="rId6"/>
    <sheet name="力士对力士" sheetId="19" r:id="rId7"/>
    <sheet name="龙女对龙女" sheetId="21" r:id="rId8"/>
    <sheet name="力士对龙女" sheetId="20" r:id="rId9"/>
    <sheet name="夜叉对夜叉" sheetId="23" r:id="rId10"/>
    <sheet name="夜叉对力士" sheetId="26" r:id="rId11"/>
    <sheet name="夜叉对龙女" sheetId="27" r:id="rId12"/>
    <sheet name="修罗对修罗" sheetId="22" r:id="rId13"/>
    <sheet name="修罗对力士" sheetId="30" r:id="rId14"/>
    <sheet name="修罗对龙女" sheetId="31" r:id="rId15"/>
    <sheet name="修罗对夜叉" sheetId="32" r:id="rId16"/>
    <sheet name="判官对判官" sheetId="24" r:id="rId17"/>
    <sheet name="修罗对判官" sheetId="25" r:id="rId18"/>
    <sheet name="力士对判官" sheetId="28" r:id="rId19"/>
    <sheet name="龙女对判官" sheetId="29" r:id="rId20"/>
    <sheet name="夜叉对判官" sheetId="33" r:id="rId21"/>
  </sheets>
  <externalReferences>
    <externalReference r:id="rId22"/>
  </externalReferences>
  <definedNames>
    <definedName name="buff属性">实战属性!$C$3:$Z$51</definedName>
    <definedName name="技能参数">技能参数!$A$3:$S$33</definedName>
    <definedName name="技能升级">技能升级表!$A$6:$R$296</definedName>
    <definedName name="实战属性">实战属性!$C$57:$Z$100</definedName>
    <definedName name="学习等级编码">技能升级表!$X$4:$Y$294</definedName>
    <definedName name="召唤物生存">判官对判官!$N$23:$Z$32</definedName>
    <definedName name="召唤物属性">判官对判官!$AA$2:$AI$25</definedName>
    <definedName name="中毒数据">夜叉对夜叉!$N$18:$Q$27</definedName>
    <definedName name="总基本属性">实战属性!$AC$16:$AP$70</definedName>
  </definedNames>
  <calcPr calcId="152511"/>
</workbook>
</file>

<file path=xl/calcChain.xml><?xml version="1.0" encoding="utf-8"?>
<calcChain xmlns="http://schemas.openxmlformats.org/spreadsheetml/2006/main">
  <c r="J48" i="27" l="1"/>
  <c r="D25" i="19" l="1"/>
  <c r="E22" i="19"/>
  <c r="C328" i="33" l="1"/>
  <c r="C327" i="33"/>
  <c r="D326" i="33"/>
  <c r="D325" i="33"/>
  <c r="D323" i="33"/>
  <c r="D322" i="33"/>
  <c r="B320" i="33"/>
  <c r="A320" i="33"/>
  <c r="D320" i="33" s="1"/>
  <c r="C313" i="33"/>
  <c r="E312" i="33"/>
  <c r="D312" i="33"/>
  <c r="D311" i="33"/>
  <c r="D310" i="33"/>
  <c r="C310" i="33"/>
  <c r="D309" i="33"/>
  <c r="C312" i="33" s="1"/>
  <c r="C309" i="33"/>
  <c r="D307" i="33"/>
  <c r="E309" i="33" s="1"/>
  <c r="B307" i="33"/>
  <c r="A307" i="33"/>
  <c r="C297" i="33"/>
  <c r="C296" i="33"/>
  <c r="E295" i="33"/>
  <c r="D295" i="33"/>
  <c r="E294" i="33"/>
  <c r="D294" i="33"/>
  <c r="E293" i="33"/>
  <c r="D293" i="33"/>
  <c r="D292" i="33"/>
  <c r="E291" i="33"/>
  <c r="I296" i="33" s="1"/>
  <c r="D291" i="33"/>
  <c r="D289" i="33"/>
  <c r="E292" i="33" s="1"/>
  <c r="B289" i="33"/>
  <c r="A289" i="33"/>
  <c r="C282" i="33"/>
  <c r="D281" i="33"/>
  <c r="D280" i="33"/>
  <c r="D279" i="33"/>
  <c r="C279" i="33"/>
  <c r="D278" i="33"/>
  <c r="C278" i="33"/>
  <c r="B276" i="33"/>
  <c r="A276" i="33"/>
  <c r="C266" i="33"/>
  <c r="C265" i="33"/>
  <c r="D264" i="33"/>
  <c r="D263" i="33"/>
  <c r="D261" i="33"/>
  <c r="D260" i="33"/>
  <c r="B258" i="33"/>
  <c r="A258" i="33"/>
  <c r="C251" i="33"/>
  <c r="D250" i="33"/>
  <c r="D249" i="33"/>
  <c r="D248" i="33"/>
  <c r="C248" i="33"/>
  <c r="D247" i="33"/>
  <c r="C247" i="33"/>
  <c r="C250" i="33" s="1"/>
  <c r="B245" i="33"/>
  <c r="A245" i="33"/>
  <c r="C235" i="33"/>
  <c r="C234" i="33"/>
  <c r="D233" i="33"/>
  <c r="D232" i="33"/>
  <c r="D230" i="33"/>
  <c r="D229" i="33"/>
  <c r="B227" i="33"/>
  <c r="A227" i="33"/>
  <c r="D227" i="33" s="1"/>
  <c r="C220" i="33"/>
  <c r="E219" i="33"/>
  <c r="D219" i="33"/>
  <c r="D218" i="33"/>
  <c r="D217" i="33"/>
  <c r="C217" i="33"/>
  <c r="D216" i="33"/>
  <c r="C216" i="33"/>
  <c r="D214" i="33"/>
  <c r="E216" i="33" s="1"/>
  <c r="B214" i="33"/>
  <c r="A214" i="33"/>
  <c r="C204" i="33"/>
  <c r="C203" i="33"/>
  <c r="D202" i="33"/>
  <c r="E201" i="33"/>
  <c r="D201" i="33"/>
  <c r="E200" i="33"/>
  <c r="D200" i="33" s="1"/>
  <c r="D199" i="33"/>
  <c r="E198" i="33"/>
  <c r="I203" i="33" s="1"/>
  <c r="D198" i="33"/>
  <c r="D196" i="33"/>
  <c r="E202" i="33" s="1"/>
  <c r="B196" i="33"/>
  <c r="A196" i="33"/>
  <c r="C189" i="33"/>
  <c r="D188" i="33"/>
  <c r="D187" i="33"/>
  <c r="D186" i="33"/>
  <c r="C186" i="33"/>
  <c r="D185" i="33"/>
  <c r="C185" i="33"/>
  <c r="B183" i="33"/>
  <c r="A183" i="33"/>
  <c r="C173" i="33"/>
  <c r="C172" i="33"/>
  <c r="D171" i="33"/>
  <c r="E170" i="33"/>
  <c r="D170" i="33"/>
  <c r="D168" i="33"/>
  <c r="E167" i="33"/>
  <c r="I172" i="33" s="1"/>
  <c r="D167" i="33"/>
  <c r="D165" i="33"/>
  <c r="E171" i="33" s="1"/>
  <c r="B165" i="33"/>
  <c r="A165" i="33"/>
  <c r="C158" i="33"/>
  <c r="D157" i="33"/>
  <c r="D156" i="33"/>
  <c r="D155" i="33"/>
  <c r="C155" i="33"/>
  <c r="D154" i="33"/>
  <c r="C154" i="33"/>
  <c r="D152" i="33"/>
  <c r="E154" i="33" s="1"/>
  <c r="B152" i="33"/>
  <c r="A152" i="33"/>
  <c r="C142" i="33"/>
  <c r="C141" i="33"/>
  <c r="D140" i="33"/>
  <c r="D139" i="33"/>
  <c r="J138" i="33"/>
  <c r="D137" i="33"/>
  <c r="D136" i="33"/>
  <c r="B134" i="33"/>
  <c r="A134" i="33"/>
  <c r="D134" i="33" s="1"/>
  <c r="C127" i="33"/>
  <c r="D126" i="33"/>
  <c r="D125" i="33"/>
  <c r="D124" i="33"/>
  <c r="C124" i="33"/>
  <c r="D123" i="33"/>
  <c r="C123" i="33"/>
  <c r="B121" i="33"/>
  <c r="A121" i="33"/>
  <c r="J111" i="33"/>
  <c r="C111" i="33"/>
  <c r="C110" i="33"/>
  <c r="D109" i="33"/>
  <c r="E108" i="33"/>
  <c r="D108" i="33"/>
  <c r="J107" i="33"/>
  <c r="D106" i="33"/>
  <c r="E105" i="33"/>
  <c r="I110" i="33" s="1"/>
  <c r="D105" i="33"/>
  <c r="D103" i="33"/>
  <c r="E109" i="33" s="1"/>
  <c r="B103" i="33"/>
  <c r="A103" i="33"/>
  <c r="J109" i="33" s="1"/>
  <c r="C96" i="33"/>
  <c r="D95" i="33"/>
  <c r="D94" i="33"/>
  <c r="D93" i="33"/>
  <c r="C93" i="33"/>
  <c r="D92" i="33"/>
  <c r="C92" i="33"/>
  <c r="D90" i="33"/>
  <c r="E92" i="33" s="1"/>
  <c r="B90" i="33"/>
  <c r="A90" i="33"/>
  <c r="E76" i="33"/>
  <c r="C79" i="33"/>
  <c r="C80" i="33"/>
  <c r="B72" i="33"/>
  <c r="A72" i="33"/>
  <c r="B59" i="33"/>
  <c r="A59" i="33"/>
  <c r="D59" i="33" s="1"/>
  <c r="E65" i="33" s="1"/>
  <c r="J80" i="33"/>
  <c r="J78" i="33"/>
  <c r="D78" i="33"/>
  <c r="D77" i="33"/>
  <c r="J76" i="33"/>
  <c r="D75" i="33"/>
  <c r="D74" i="33"/>
  <c r="D72" i="33"/>
  <c r="E78" i="33" s="1"/>
  <c r="C65" i="33"/>
  <c r="D64" i="33"/>
  <c r="D63" i="33"/>
  <c r="D62" i="33"/>
  <c r="C62" i="33"/>
  <c r="D61" i="33"/>
  <c r="C61" i="33"/>
  <c r="C49" i="33"/>
  <c r="C48" i="33"/>
  <c r="C49" i="29"/>
  <c r="C48" i="29"/>
  <c r="N49" i="29"/>
  <c r="N48" i="29"/>
  <c r="N78" i="29"/>
  <c r="N77" i="29"/>
  <c r="C78" i="29"/>
  <c r="C77" i="29"/>
  <c r="C107" i="29"/>
  <c r="C106" i="29"/>
  <c r="N107" i="29"/>
  <c r="N106" i="29"/>
  <c r="N136" i="29"/>
  <c r="N135" i="29"/>
  <c r="C136" i="29"/>
  <c r="C135" i="29"/>
  <c r="C165" i="29"/>
  <c r="C164" i="29"/>
  <c r="N165" i="29"/>
  <c r="N164" i="29"/>
  <c r="N194" i="29"/>
  <c r="N193" i="29"/>
  <c r="C194" i="29"/>
  <c r="C193" i="29"/>
  <c r="C223" i="29"/>
  <c r="C222" i="29"/>
  <c r="N223" i="29"/>
  <c r="N222" i="29"/>
  <c r="N252" i="29"/>
  <c r="N251" i="29"/>
  <c r="C252" i="29"/>
  <c r="C251" i="29"/>
  <c r="C281" i="29"/>
  <c r="C280" i="29"/>
  <c r="N281" i="29"/>
  <c r="N280" i="29"/>
  <c r="N310" i="29"/>
  <c r="N309" i="29"/>
  <c r="C310" i="29"/>
  <c r="C309" i="29"/>
  <c r="J47" i="33"/>
  <c r="J45" i="33"/>
  <c r="J49" i="33"/>
  <c r="C295" i="33" l="1"/>
  <c r="C95" i="33"/>
  <c r="C126" i="33"/>
  <c r="C157" i="33"/>
  <c r="C188" i="33"/>
  <c r="C219" i="33"/>
  <c r="C281" i="33"/>
  <c r="F309" i="33"/>
  <c r="G309" i="33"/>
  <c r="E326" i="33"/>
  <c r="E323" i="33"/>
  <c r="E322" i="33"/>
  <c r="E324" i="33"/>
  <c r="E325" i="33"/>
  <c r="F312" i="33"/>
  <c r="E311" i="33"/>
  <c r="G312" i="33"/>
  <c r="E310" i="33"/>
  <c r="E313" i="33"/>
  <c r="G292" i="33"/>
  <c r="F292" i="33"/>
  <c r="A297" i="33"/>
  <c r="I297" i="33"/>
  <c r="G291" i="33"/>
  <c r="D276" i="33"/>
  <c r="A296" i="33"/>
  <c r="F291" i="33"/>
  <c r="D245" i="33"/>
  <c r="D258" i="33"/>
  <c r="F216" i="33"/>
  <c r="G216" i="33"/>
  <c r="E233" i="33"/>
  <c r="E230" i="33"/>
  <c r="E231" i="33"/>
  <c r="E232" i="33"/>
  <c r="E229" i="33"/>
  <c r="F219" i="33"/>
  <c r="E218" i="33"/>
  <c r="G219" i="33"/>
  <c r="E217" i="33"/>
  <c r="E220" i="33"/>
  <c r="C202" i="33"/>
  <c r="D183" i="33"/>
  <c r="A203" i="33"/>
  <c r="G198" i="33"/>
  <c r="E199" i="33"/>
  <c r="F198" i="33"/>
  <c r="F154" i="33"/>
  <c r="G154" i="33"/>
  <c r="F167" i="33"/>
  <c r="E157" i="33"/>
  <c r="E156" i="33"/>
  <c r="G167" i="33"/>
  <c r="E169" i="33"/>
  <c r="A172" i="33"/>
  <c r="E155" i="33"/>
  <c r="E158" i="33"/>
  <c r="E168" i="33"/>
  <c r="E140" i="33"/>
  <c r="E137" i="33"/>
  <c r="E138" i="33"/>
  <c r="E139" i="33"/>
  <c r="E136" i="33"/>
  <c r="J140" i="33"/>
  <c r="D121" i="33"/>
  <c r="J142" i="33"/>
  <c r="F92" i="33"/>
  <c r="G92" i="33"/>
  <c r="F105" i="33"/>
  <c r="E94" i="33"/>
  <c r="G105" i="33"/>
  <c r="E107" i="33"/>
  <c r="E95" i="33"/>
  <c r="A110" i="33"/>
  <c r="E93" i="33"/>
  <c r="E96" i="33"/>
  <c r="E106" i="33"/>
  <c r="C64" i="33"/>
  <c r="E74" i="33"/>
  <c r="I79" i="33" s="1"/>
  <c r="E77" i="33"/>
  <c r="G65" i="33"/>
  <c r="F65" i="33"/>
  <c r="E64" i="33"/>
  <c r="E61" i="33"/>
  <c r="E63" i="33"/>
  <c r="E75" i="33"/>
  <c r="E62" i="33"/>
  <c r="D324" i="33" l="1"/>
  <c r="C326" i="33" s="1"/>
  <c r="I327" i="33"/>
  <c r="A327" i="33"/>
  <c r="G322" i="33"/>
  <c r="F322" i="33"/>
  <c r="G323" i="33"/>
  <c r="F323" i="33"/>
  <c r="A328" i="33"/>
  <c r="I328" i="33"/>
  <c r="G310" i="33"/>
  <c r="F310" i="33"/>
  <c r="G313" i="33"/>
  <c r="F313" i="33"/>
  <c r="G311" i="33"/>
  <c r="F311" i="33"/>
  <c r="E278" i="33"/>
  <c r="E281" i="33"/>
  <c r="E282" i="33"/>
  <c r="E279" i="33"/>
  <c r="E280" i="33"/>
  <c r="E247" i="33"/>
  <c r="E249" i="33"/>
  <c r="E251" i="33"/>
  <c r="E248" i="33"/>
  <c r="E250" i="33"/>
  <c r="E264" i="33"/>
  <c r="E261" i="33"/>
  <c r="E263" i="33"/>
  <c r="E260" i="33"/>
  <c r="E262" i="33"/>
  <c r="G220" i="33"/>
  <c r="F220" i="33"/>
  <c r="G217" i="33"/>
  <c r="F217" i="33"/>
  <c r="I234" i="33"/>
  <c r="A234" i="33"/>
  <c r="G229" i="33"/>
  <c r="F229" i="33"/>
  <c r="D231" i="33"/>
  <c r="C233" i="33" s="1"/>
  <c r="G230" i="33"/>
  <c r="F230" i="33"/>
  <c r="I235" i="33"/>
  <c r="A235" i="33"/>
  <c r="G218" i="33"/>
  <c r="F218" i="33"/>
  <c r="G199" i="33"/>
  <c r="A204" i="33"/>
  <c r="F199" i="33"/>
  <c r="I204" i="33"/>
  <c r="E185" i="33"/>
  <c r="E187" i="33"/>
  <c r="E189" i="33"/>
  <c r="E186" i="33"/>
  <c r="E188" i="33"/>
  <c r="D169" i="33"/>
  <c r="C171" i="33" s="1"/>
  <c r="G158" i="33"/>
  <c r="F158" i="33"/>
  <c r="G156" i="33"/>
  <c r="F156" i="33"/>
  <c r="G155" i="33"/>
  <c r="F155" i="33"/>
  <c r="G157" i="33"/>
  <c r="F157" i="33"/>
  <c r="G168" i="33"/>
  <c r="F168" i="33"/>
  <c r="I173" i="33"/>
  <c r="A173" i="33"/>
  <c r="G137" i="33"/>
  <c r="F137" i="33"/>
  <c r="I142" i="33"/>
  <c r="A142" i="33"/>
  <c r="I141" i="33"/>
  <c r="A141" i="33"/>
  <c r="G136" i="33"/>
  <c r="F136" i="33"/>
  <c r="E123" i="33"/>
  <c r="E125" i="33"/>
  <c r="E127" i="33"/>
  <c r="E124" i="33"/>
  <c r="E126" i="33"/>
  <c r="F138" i="33"/>
  <c r="D138" i="33"/>
  <c r="C140" i="33" s="1"/>
  <c r="G94" i="33"/>
  <c r="F94" i="33"/>
  <c r="G93" i="33"/>
  <c r="F93" i="33"/>
  <c r="G95" i="33"/>
  <c r="F95" i="33"/>
  <c r="G106" i="33"/>
  <c r="F106" i="33"/>
  <c r="I111" i="33"/>
  <c r="A111" i="33"/>
  <c r="F107" i="33"/>
  <c r="D107" i="33"/>
  <c r="C109" i="33" s="1"/>
  <c r="G96" i="33"/>
  <c r="F96" i="33"/>
  <c r="A79" i="33"/>
  <c r="F74" i="33"/>
  <c r="G74" i="33"/>
  <c r="G62" i="33"/>
  <c r="F62" i="33"/>
  <c r="F76" i="33"/>
  <c r="D76" i="33"/>
  <c r="G64" i="33"/>
  <c r="F64" i="33"/>
  <c r="G75" i="33"/>
  <c r="A80" i="33"/>
  <c r="I80" i="33"/>
  <c r="F75" i="33"/>
  <c r="G63" i="33"/>
  <c r="F63" i="33"/>
  <c r="G61" i="33"/>
  <c r="F61" i="33"/>
  <c r="G314" i="33" l="1"/>
  <c r="C78" i="33"/>
  <c r="G76" i="33"/>
  <c r="F97" i="33"/>
  <c r="G97" i="33"/>
  <c r="G159" i="33"/>
  <c r="F159" i="33"/>
  <c r="F221" i="33"/>
  <c r="G221" i="33"/>
  <c r="F314" i="33"/>
  <c r="G280" i="33"/>
  <c r="F280" i="33"/>
  <c r="G279" i="33"/>
  <c r="F279" i="33"/>
  <c r="G282" i="33"/>
  <c r="F282" i="33"/>
  <c r="F281" i="33"/>
  <c r="G281" i="33"/>
  <c r="G278" i="33"/>
  <c r="F278" i="33"/>
  <c r="G250" i="33"/>
  <c r="F250" i="33"/>
  <c r="G261" i="33"/>
  <c r="I266" i="33"/>
  <c r="F261" i="33"/>
  <c r="A266" i="33"/>
  <c r="G248" i="33"/>
  <c r="F248" i="33"/>
  <c r="D262" i="33"/>
  <c r="C264" i="33" s="1"/>
  <c r="G251" i="33"/>
  <c r="F251" i="33"/>
  <c r="I265" i="33"/>
  <c r="G260" i="33"/>
  <c r="A265" i="33"/>
  <c r="F260" i="33"/>
  <c r="F249" i="33"/>
  <c r="G249" i="33"/>
  <c r="G247" i="33"/>
  <c r="F247" i="33"/>
  <c r="G186" i="33"/>
  <c r="F186" i="33"/>
  <c r="F185" i="33"/>
  <c r="G185" i="33"/>
  <c r="G188" i="33"/>
  <c r="F188" i="33"/>
  <c r="G189" i="33"/>
  <c r="F189" i="33"/>
  <c r="G187" i="33"/>
  <c r="F187" i="33"/>
  <c r="G126" i="33"/>
  <c r="F126" i="33"/>
  <c r="G138" i="33"/>
  <c r="G127" i="33"/>
  <c r="F127" i="33"/>
  <c r="F140" i="33"/>
  <c r="G125" i="33"/>
  <c r="F125" i="33"/>
  <c r="G140" i="33"/>
  <c r="F123" i="33"/>
  <c r="G123" i="33"/>
  <c r="G124" i="33"/>
  <c r="F124" i="33"/>
  <c r="G107" i="33"/>
  <c r="G109" i="33"/>
  <c r="F109" i="33"/>
  <c r="G66" i="33"/>
  <c r="F66" i="33"/>
  <c r="F78" i="33"/>
  <c r="G78" i="33"/>
  <c r="F128" i="33" l="1"/>
  <c r="F283" i="33"/>
  <c r="G283" i="33"/>
  <c r="F252" i="33"/>
  <c r="G252" i="33"/>
  <c r="G190" i="33"/>
  <c r="F190" i="33"/>
  <c r="G128" i="33"/>
  <c r="C34" i="33" l="1"/>
  <c r="D33" i="33"/>
  <c r="D32" i="33"/>
  <c r="D31" i="33"/>
  <c r="C31" i="33"/>
  <c r="D30" i="33"/>
  <c r="C30" i="33"/>
  <c r="D28" i="33"/>
  <c r="E33" i="33" s="1"/>
  <c r="E47" i="33"/>
  <c r="D47" i="33"/>
  <c r="E46" i="33"/>
  <c r="D46" i="33"/>
  <c r="D44" i="33"/>
  <c r="E43" i="33"/>
  <c r="D43" i="33"/>
  <c r="D41" i="33"/>
  <c r="E45" i="33" s="1"/>
  <c r="A14" i="33"/>
  <c r="A15" i="33" s="1"/>
  <c r="M13" i="33"/>
  <c r="L13" i="33"/>
  <c r="K13" i="33"/>
  <c r="B13" i="33"/>
  <c r="A13" i="33"/>
  <c r="M12" i="33"/>
  <c r="L12" i="33"/>
  <c r="T11" i="33" s="1"/>
  <c r="M11" i="33"/>
  <c r="L11" i="33"/>
  <c r="U11" i="33" s="1"/>
  <c r="U12" i="33" s="1"/>
  <c r="M10" i="33"/>
  <c r="L10" i="33"/>
  <c r="R11" i="33" s="1"/>
  <c r="R12" i="33" s="1"/>
  <c r="M9" i="33"/>
  <c r="L9" i="33"/>
  <c r="T8" i="33" s="1"/>
  <c r="M8" i="33"/>
  <c r="L8" i="33"/>
  <c r="U8" i="33" s="1"/>
  <c r="U9" i="33" s="1"/>
  <c r="M7" i="33"/>
  <c r="L7" i="33"/>
  <c r="R8" i="33" s="1"/>
  <c r="R9" i="33" s="1"/>
  <c r="M6" i="33"/>
  <c r="L6" i="33"/>
  <c r="T5" i="33" s="1"/>
  <c r="T6" i="33" s="1"/>
  <c r="M5" i="33"/>
  <c r="L5" i="33"/>
  <c r="U5" i="33" s="1"/>
  <c r="U6" i="33" s="1"/>
  <c r="M4" i="33"/>
  <c r="L4" i="33"/>
  <c r="R5" i="33" s="1"/>
  <c r="B4" i="33"/>
  <c r="M3" i="33"/>
  <c r="L3" i="33"/>
  <c r="T2" i="33" s="1"/>
  <c r="T3" i="33" s="1"/>
  <c r="B3" i="33"/>
  <c r="A3" i="33"/>
  <c r="A4" i="33" s="1"/>
  <c r="M2" i="33"/>
  <c r="L2" i="33"/>
  <c r="U2" i="33" s="1"/>
  <c r="U3" i="33" s="1"/>
  <c r="M1" i="33"/>
  <c r="L1" i="33"/>
  <c r="R2" i="33" s="1"/>
  <c r="E166" i="24"/>
  <c r="D166" i="24"/>
  <c r="E165" i="24"/>
  <c r="D165" i="24"/>
  <c r="D163" i="24"/>
  <c r="E162" i="24"/>
  <c r="A167" i="24" s="1"/>
  <c r="D162" i="24"/>
  <c r="D160" i="24"/>
  <c r="E163" i="24" s="1"/>
  <c r="B160" i="24"/>
  <c r="A160" i="24"/>
  <c r="E150" i="24"/>
  <c r="D150" i="24"/>
  <c r="D149" i="24"/>
  <c r="D147" i="24"/>
  <c r="D146" i="24"/>
  <c r="D144" i="24"/>
  <c r="E147" i="24" s="1"/>
  <c r="B144" i="24"/>
  <c r="A144" i="24"/>
  <c r="D134" i="24"/>
  <c r="D133" i="24"/>
  <c r="D131" i="24"/>
  <c r="D130" i="24"/>
  <c r="B128" i="24"/>
  <c r="A128" i="24"/>
  <c r="D128" i="24" s="1"/>
  <c r="D118" i="24"/>
  <c r="D117" i="24"/>
  <c r="D115" i="24"/>
  <c r="D114" i="24"/>
  <c r="B112" i="24"/>
  <c r="A112" i="24"/>
  <c r="D112" i="24" s="1"/>
  <c r="D102" i="24"/>
  <c r="D101" i="24"/>
  <c r="D99" i="24"/>
  <c r="D98" i="24"/>
  <c r="B96" i="24"/>
  <c r="A96" i="24"/>
  <c r="D96" i="24" s="1"/>
  <c r="E86" i="24"/>
  <c r="D86" i="24"/>
  <c r="D85" i="24"/>
  <c r="J84" i="24"/>
  <c r="D83" i="24"/>
  <c r="D82" i="24"/>
  <c r="D80" i="24"/>
  <c r="E83" i="24" s="1"/>
  <c r="B80" i="24"/>
  <c r="A80" i="24"/>
  <c r="J86" i="24" s="1"/>
  <c r="E70" i="24"/>
  <c r="D70" i="24"/>
  <c r="D69" i="24"/>
  <c r="J68" i="24"/>
  <c r="D67" i="24"/>
  <c r="D66" i="24"/>
  <c r="D64" i="24"/>
  <c r="B64" i="24"/>
  <c r="A64" i="24"/>
  <c r="J70" i="24" s="1"/>
  <c r="D54" i="24"/>
  <c r="D53" i="24"/>
  <c r="J52" i="24"/>
  <c r="D51" i="24"/>
  <c r="D50" i="24"/>
  <c r="B48" i="24"/>
  <c r="A48" i="24"/>
  <c r="D48" i="24" s="1"/>
  <c r="B32" i="24"/>
  <c r="A32" i="24"/>
  <c r="J38" i="24"/>
  <c r="D38" i="24"/>
  <c r="D37" i="24"/>
  <c r="J36" i="24"/>
  <c r="D35" i="24"/>
  <c r="D34" i="24"/>
  <c r="D32" i="24"/>
  <c r="E35" i="24" s="1"/>
  <c r="J22" i="24"/>
  <c r="J20" i="24"/>
  <c r="B3" i="24"/>
  <c r="A3" i="24"/>
  <c r="F18" i="24"/>
  <c r="E22" i="24"/>
  <c r="D22" i="24"/>
  <c r="D21" i="24"/>
  <c r="D19" i="24"/>
  <c r="D18" i="24"/>
  <c r="D16" i="24"/>
  <c r="E19" i="24" s="1"/>
  <c r="O308" i="29"/>
  <c r="D308" i="29"/>
  <c r="O307" i="29"/>
  <c r="D307" i="29"/>
  <c r="O305" i="29"/>
  <c r="D305" i="29"/>
  <c r="O304" i="29"/>
  <c r="N308" i="29" s="1"/>
  <c r="D304" i="29"/>
  <c r="L302" i="29"/>
  <c r="B302" i="29"/>
  <c r="M302" i="29" s="1"/>
  <c r="A302" i="29"/>
  <c r="N296" i="29"/>
  <c r="O294" i="29"/>
  <c r="D294" i="29"/>
  <c r="O293" i="29"/>
  <c r="E293" i="29"/>
  <c r="D293" i="29"/>
  <c r="O292" i="29"/>
  <c r="D292" i="29"/>
  <c r="O291" i="29"/>
  <c r="N294" i="29" s="1"/>
  <c r="D291" i="29"/>
  <c r="L289" i="29"/>
  <c r="O289" i="29" s="1"/>
  <c r="D289" i="29"/>
  <c r="E292" i="29" s="1"/>
  <c r="B289" i="29"/>
  <c r="A289" i="29"/>
  <c r="O279" i="29"/>
  <c r="N279" i="29"/>
  <c r="D279" i="29"/>
  <c r="O278" i="29"/>
  <c r="D278" i="29"/>
  <c r="O276" i="29"/>
  <c r="D276" i="29"/>
  <c r="O275" i="29"/>
  <c r="E275" i="29"/>
  <c r="T280" i="29" s="1"/>
  <c r="D275" i="29"/>
  <c r="L273" i="29"/>
  <c r="D273" i="29"/>
  <c r="E278" i="29" s="1"/>
  <c r="B273" i="29"/>
  <c r="A273" i="29"/>
  <c r="N267" i="29"/>
  <c r="E266" i="29"/>
  <c r="R266" i="29" s="1"/>
  <c r="O265" i="29"/>
  <c r="D265" i="29"/>
  <c r="O264" i="29"/>
  <c r="E264" i="29"/>
  <c r="G264" i="29" s="1"/>
  <c r="D264" i="29"/>
  <c r="O263" i="29"/>
  <c r="D263" i="29"/>
  <c r="O262" i="29"/>
  <c r="N265" i="29" s="1"/>
  <c r="D262" i="29"/>
  <c r="M260" i="29"/>
  <c r="L260" i="29"/>
  <c r="O260" i="29" s="1"/>
  <c r="D260" i="29"/>
  <c r="E263" i="29" s="1"/>
  <c r="B260" i="29"/>
  <c r="A260" i="29"/>
  <c r="O250" i="29"/>
  <c r="D250" i="29"/>
  <c r="O249" i="29"/>
  <c r="D249" i="29"/>
  <c r="O247" i="29"/>
  <c r="D247" i="29"/>
  <c r="O246" i="29"/>
  <c r="N250" i="29" s="1"/>
  <c r="D246" i="29"/>
  <c r="L244" i="29"/>
  <c r="B244" i="29"/>
  <c r="M244" i="29" s="1"/>
  <c r="A244" i="29"/>
  <c r="N238" i="29"/>
  <c r="O236" i="29"/>
  <c r="E236" i="29"/>
  <c r="D236" i="29"/>
  <c r="O235" i="29"/>
  <c r="E235" i="29"/>
  <c r="D235" i="29"/>
  <c r="O234" i="29"/>
  <c r="D234" i="29"/>
  <c r="O233" i="29"/>
  <c r="N236" i="29" s="1"/>
  <c r="D233" i="29"/>
  <c r="L231" i="29"/>
  <c r="D231" i="29"/>
  <c r="E234" i="29" s="1"/>
  <c r="B231" i="29"/>
  <c r="A231" i="29"/>
  <c r="O221" i="29"/>
  <c r="D221" i="29"/>
  <c r="O220" i="29"/>
  <c r="D220" i="29"/>
  <c r="O218" i="29"/>
  <c r="D218" i="29"/>
  <c r="O217" i="29"/>
  <c r="N221" i="29" s="1"/>
  <c r="D217" i="29"/>
  <c r="L215" i="29"/>
  <c r="B215" i="29"/>
  <c r="M215" i="29" s="1"/>
  <c r="A215" i="29"/>
  <c r="N209" i="29"/>
  <c r="O207" i="29"/>
  <c r="D207" i="29"/>
  <c r="O206" i="29"/>
  <c r="E206" i="29"/>
  <c r="D206" i="29"/>
  <c r="O205" i="29"/>
  <c r="D205" i="29"/>
  <c r="O204" i="29"/>
  <c r="N207" i="29" s="1"/>
  <c r="D204" i="29"/>
  <c r="L202" i="29"/>
  <c r="D202" i="29"/>
  <c r="E205" i="29" s="1"/>
  <c r="B202" i="29"/>
  <c r="A202" i="29"/>
  <c r="O192" i="29"/>
  <c r="D192" i="29"/>
  <c r="O191" i="29"/>
  <c r="D191" i="29"/>
  <c r="O189" i="29"/>
  <c r="E189" i="29"/>
  <c r="F189" i="29" s="1"/>
  <c r="D189" i="29"/>
  <c r="O188" i="29"/>
  <c r="N192" i="29" s="1"/>
  <c r="D188" i="29"/>
  <c r="M186" i="29"/>
  <c r="L186" i="29"/>
  <c r="D186" i="29"/>
  <c r="E191" i="29" s="1"/>
  <c r="B186" i="29"/>
  <c r="A186" i="29"/>
  <c r="N180" i="29"/>
  <c r="O178" i="29"/>
  <c r="E178" i="29"/>
  <c r="D178" i="29"/>
  <c r="O177" i="29"/>
  <c r="D177" i="29"/>
  <c r="O176" i="29"/>
  <c r="D176" i="29"/>
  <c r="O175" i="29"/>
  <c r="N178" i="29" s="1"/>
  <c r="D175" i="29"/>
  <c r="O173" i="29"/>
  <c r="P176" i="29" s="1"/>
  <c r="M173" i="29"/>
  <c r="L173" i="29"/>
  <c r="D173" i="29"/>
  <c r="E176" i="29" s="1"/>
  <c r="B173" i="29"/>
  <c r="A173" i="29"/>
  <c r="O163" i="29"/>
  <c r="D163" i="29"/>
  <c r="O162" i="29"/>
  <c r="D162" i="29"/>
  <c r="O160" i="29"/>
  <c r="D160" i="29"/>
  <c r="O159" i="29"/>
  <c r="N163" i="29" s="1"/>
  <c r="D159" i="29"/>
  <c r="L157" i="29"/>
  <c r="B157" i="29"/>
  <c r="M157" i="29" s="1"/>
  <c r="A157" i="29"/>
  <c r="N151" i="29"/>
  <c r="O149" i="29"/>
  <c r="D149" i="29"/>
  <c r="O148" i="29"/>
  <c r="E148" i="29"/>
  <c r="D148" i="29"/>
  <c r="O147" i="29"/>
  <c r="D147" i="29"/>
  <c r="O146" i="29"/>
  <c r="N149" i="29" s="1"/>
  <c r="D146" i="29"/>
  <c r="L144" i="29"/>
  <c r="D144" i="29"/>
  <c r="E147" i="29" s="1"/>
  <c r="B144" i="29"/>
  <c r="A144" i="29"/>
  <c r="O134" i="29"/>
  <c r="J134" i="29"/>
  <c r="D134" i="29"/>
  <c r="O133" i="29"/>
  <c r="D133" i="29"/>
  <c r="J132" i="29"/>
  <c r="O131" i="29"/>
  <c r="D131" i="29"/>
  <c r="O130" i="29"/>
  <c r="N134" i="29" s="1"/>
  <c r="D130" i="29"/>
  <c r="L128" i="29"/>
  <c r="U132" i="29" s="1"/>
  <c r="B128" i="29"/>
  <c r="M128" i="29" s="1"/>
  <c r="A128" i="29"/>
  <c r="U134" i="29" s="1"/>
  <c r="N122" i="29"/>
  <c r="O120" i="29"/>
  <c r="D120" i="29"/>
  <c r="O119" i="29"/>
  <c r="E119" i="29"/>
  <c r="D119" i="29"/>
  <c r="O118" i="29"/>
  <c r="D118" i="29"/>
  <c r="O117" i="29"/>
  <c r="N120" i="29" s="1"/>
  <c r="D117" i="29"/>
  <c r="L115" i="29"/>
  <c r="O115" i="29" s="1"/>
  <c r="D115" i="29"/>
  <c r="E118" i="29" s="1"/>
  <c r="B115" i="29"/>
  <c r="A115" i="29"/>
  <c r="U107" i="29"/>
  <c r="O105" i="29"/>
  <c r="J105" i="29"/>
  <c r="D105" i="29"/>
  <c r="O104" i="29"/>
  <c r="D104" i="29"/>
  <c r="U103" i="29"/>
  <c r="P103" i="29"/>
  <c r="J103" i="29"/>
  <c r="O102" i="29"/>
  <c r="D102" i="29"/>
  <c r="O101" i="29"/>
  <c r="N105" i="29" s="1"/>
  <c r="E101" i="29"/>
  <c r="T106" i="29" s="1"/>
  <c r="D101" i="29"/>
  <c r="O99" i="29"/>
  <c r="P102" i="29" s="1"/>
  <c r="L99" i="29"/>
  <c r="D99" i="29"/>
  <c r="E104" i="29" s="1"/>
  <c r="B99" i="29"/>
  <c r="A99" i="29"/>
  <c r="U105" i="29" s="1"/>
  <c r="N93" i="29"/>
  <c r="O91" i="29"/>
  <c r="D91" i="29"/>
  <c r="O90" i="29"/>
  <c r="D90" i="29"/>
  <c r="O89" i="29"/>
  <c r="D89" i="29"/>
  <c r="O88" i="29"/>
  <c r="N91" i="29" s="1"/>
  <c r="D88" i="29"/>
  <c r="M86" i="29"/>
  <c r="L86" i="29"/>
  <c r="O86" i="29" s="1"/>
  <c r="B86" i="29"/>
  <c r="A86" i="29"/>
  <c r="L57" i="29"/>
  <c r="O57" i="29" s="1"/>
  <c r="B57" i="29"/>
  <c r="A57" i="29"/>
  <c r="N64" i="29"/>
  <c r="O62" i="29"/>
  <c r="D62" i="29"/>
  <c r="O61" i="29"/>
  <c r="D61" i="29"/>
  <c r="O60" i="29"/>
  <c r="D60" i="29"/>
  <c r="O59" i="29"/>
  <c r="D59" i="29"/>
  <c r="B70" i="29"/>
  <c r="A70" i="29"/>
  <c r="O76" i="29"/>
  <c r="D76" i="29"/>
  <c r="O75" i="29"/>
  <c r="D75" i="29"/>
  <c r="O73" i="29"/>
  <c r="D73" i="29"/>
  <c r="O72" i="29"/>
  <c r="D72" i="29"/>
  <c r="M70" i="29"/>
  <c r="N35" i="29"/>
  <c r="O33" i="29"/>
  <c r="O32" i="29"/>
  <c r="O31" i="29"/>
  <c r="O30" i="29"/>
  <c r="O28" i="29"/>
  <c r="P32" i="29" s="1"/>
  <c r="M41" i="29"/>
  <c r="L41" i="29"/>
  <c r="O41" i="29" s="1"/>
  <c r="P44" i="29" s="1"/>
  <c r="O47" i="29"/>
  <c r="O46" i="29"/>
  <c r="O44" i="29"/>
  <c r="O43" i="29"/>
  <c r="D47" i="29"/>
  <c r="D46" i="29"/>
  <c r="D44" i="29"/>
  <c r="D43" i="29"/>
  <c r="D41" i="29"/>
  <c r="E47" i="29" s="1"/>
  <c r="I318" i="25"/>
  <c r="N269" i="31"/>
  <c r="N243" i="31"/>
  <c r="N191" i="31"/>
  <c r="N165" i="31"/>
  <c r="N139" i="31"/>
  <c r="N113" i="31"/>
  <c r="N87" i="31"/>
  <c r="N61" i="31"/>
  <c r="N35" i="31"/>
  <c r="C45" i="20"/>
  <c r="C44" i="20"/>
  <c r="A48" i="33" l="1"/>
  <c r="C33" i="33"/>
  <c r="F33" i="33" s="1"/>
  <c r="E32" i="33"/>
  <c r="E31" i="33"/>
  <c r="E34" i="33"/>
  <c r="E30" i="33"/>
  <c r="A16" i="33"/>
  <c r="R6" i="33"/>
  <c r="T12" i="33"/>
  <c r="D45" i="33"/>
  <c r="C47" i="33" s="1"/>
  <c r="R3" i="33"/>
  <c r="T9" i="33"/>
  <c r="A5" i="33"/>
  <c r="B14" i="33"/>
  <c r="E44" i="33"/>
  <c r="B5" i="33"/>
  <c r="I48" i="33"/>
  <c r="F43" i="33"/>
  <c r="G43" i="33"/>
  <c r="F163" i="24"/>
  <c r="I168" i="24"/>
  <c r="A168" i="24"/>
  <c r="G163" i="24"/>
  <c r="F162" i="24"/>
  <c r="I167" i="24"/>
  <c r="G162" i="24"/>
  <c r="E164" i="24"/>
  <c r="F147" i="24"/>
  <c r="I152" i="24"/>
  <c r="G147" i="24"/>
  <c r="A152" i="24"/>
  <c r="E146" i="24"/>
  <c r="E149" i="24"/>
  <c r="E148" i="24"/>
  <c r="E131" i="24"/>
  <c r="E132" i="24"/>
  <c r="E134" i="24"/>
  <c r="E133" i="24"/>
  <c r="E130" i="24"/>
  <c r="E115" i="24"/>
  <c r="E116" i="24"/>
  <c r="E118" i="24"/>
  <c r="E117" i="24"/>
  <c r="E114" i="24"/>
  <c r="E99" i="24"/>
  <c r="E100" i="24"/>
  <c r="E102" i="24"/>
  <c r="E101" i="24"/>
  <c r="E98" i="24"/>
  <c r="F83" i="24"/>
  <c r="G83" i="24"/>
  <c r="I88" i="24"/>
  <c r="A88" i="24"/>
  <c r="E82" i="24"/>
  <c r="E85" i="24"/>
  <c r="E84" i="24"/>
  <c r="E66" i="24"/>
  <c r="E69" i="24"/>
  <c r="E68" i="24"/>
  <c r="E67" i="24"/>
  <c r="E51" i="24"/>
  <c r="E52" i="24"/>
  <c r="E54" i="24"/>
  <c r="E53" i="24"/>
  <c r="E50" i="24"/>
  <c r="J54" i="24"/>
  <c r="E38" i="24"/>
  <c r="F35" i="24"/>
  <c r="G35" i="24"/>
  <c r="I40" i="24"/>
  <c r="A40" i="24"/>
  <c r="E34" i="24"/>
  <c r="E37" i="24"/>
  <c r="E36" i="24"/>
  <c r="A4" i="24"/>
  <c r="A5" i="24" s="1"/>
  <c r="A6" i="24" s="1"/>
  <c r="B4" i="24"/>
  <c r="F19" i="24"/>
  <c r="I24" i="24"/>
  <c r="G19" i="24"/>
  <c r="A24" i="24"/>
  <c r="E18" i="24"/>
  <c r="E21" i="24"/>
  <c r="E20" i="24"/>
  <c r="F292" i="29"/>
  <c r="G292" i="29"/>
  <c r="P295" i="29"/>
  <c r="P293" i="29"/>
  <c r="P294" i="29"/>
  <c r="P292" i="29"/>
  <c r="P291" i="29"/>
  <c r="M289" i="29"/>
  <c r="F293" i="29"/>
  <c r="E295" i="29"/>
  <c r="D302" i="29"/>
  <c r="G293" i="29"/>
  <c r="E294" i="29"/>
  <c r="E291" i="29"/>
  <c r="O302" i="29"/>
  <c r="F263" i="29"/>
  <c r="G263" i="29"/>
  <c r="P266" i="29"/>
  <c r="P264" i="29"/>
  <c r="P265" i="29"/>
  <c r="P263" i="29"/>
  <c r="P262" i="29"/>
  <c r="A280" i="29"/>
  <c r="F264" i="29"/>
  <c r="E276" i="29"/>
  <c r="E265" i="29"/>
  <c r="G266" i="29"/>
  <c r="I280" i="29"/>
  <c r="E262" i="29"/>
  <c r="M273" i="29"/>
  <c r="E277" i="29"/>
  <c r="E279" i="29"/>
  <c r="F266" i="29"/>
  <c r="I265" i="29" s="1"/>
  <c r="G275" i="29"/>
  <c r="O273" i="29"/>
  <c r="Q266" i="29"/>
  <c r="T265" i="29" s="1"/>
  <c r="F275" i="29"/>
  <c r="F234" i="29"/>
  <c r="G234" i="29"/>
  <c r="M231" i="29"/>
  <c r="F235" i="29"/>
  <c r="E237" i="29"/>
  <c r="D244" i="29"/>
  <c r="O231" i="29"/>
  <c r="G235" i="29"/>
  <c r="E233" i="29"/>
  <c r="O244" i="29"/>
  <c r="F205" i="29"/>
  <c r="G205" i="29"/>
  <c r="M202" i="29"/>
  <c r="F206" i="29"/>
  <c r="E208" i="29"/>
  <c r="D215" i="29"/>
  <c r="O202" i="29"/>
  <c r="G206" i="29"/>
  <c r="E207" i="29"/>
  <c r="E204" i="29"/>
  <c r="O215" i="29"/>
  <c r="R176" i="29"/>
  <c r="Q176" i="29"/>
  <c r="F176" i="29"/>
  <c r="G176" i="29"/>
  <c r="P178" i="29"/>
  <c r="I194" i="29"/>
  <c r="E177" i="29"/>
  <c r="E188" i="29"/>
  <c r="A194" i="29"/>
  <c r="T194" i="29"/>
  <c r="P175" i="29"/>
  <c r="E179" i="29"/>
  <c r="E175" i="29"/>
  <c r="G189" i="29"/>
  <c r="E190" i="29"/>
  <c r="E192" i="29"/>
  <c r="P177" i="29"/>
  <c r="P179" i="29"/>
  <c r="O186" i="29"/>
  <c r="F147" i="29"/>
  <c r="G147" i="29"/>
  <c r="M144" i="29"/>
  <c r="F148" i="29"/>
  <c r="E150" i="29"/>
  <c r="D157" i="29"/>
  <c r="U165" i="29"/>
  <c r="O144" i="29"/>
  <c r="G148" i="29"/>
  <c r="E149" i="29"/>
  <c r="E146" i="29"/>
  <c r="J165" i="29"/>
  <c r="O157" i="29"/>
  <c r="F118" i="29"/>
  <c r="G118" i="29"/>
  <c r="P121" i="29"/>
  <c r="P119" i="29"/>
  <c r="P120" i="29"/>
  <c r="P118" i="29"/>
  <c r="P117" i="29"/>
  <c r="M115" i="29"/>
  <c r="F119" i="29"/>
  <c r="E121" i="29"/>
  <c r="D128" i="29"/>
  <c r="U136" i="29"/>
  <c r="G119" i="29"/>
  <c r="E120" i="29"/>
  <c r="E117" i="29"/>
  <c r="J136" i="29"/>
  <c r="O128" i="29"/>
  <c r="P92" i="29"/>
  <c r="P90" i="29"/>
  <c r="P91" i="29"/>
  <c r="P89" i="29"/>
  <c r="P88" i="29"/>
  <c r="L107" i="29"/>
  <c r="Q102" i="29"/>
  <c r="R102" i="29"/>
  <c r="F101" i="29"/>
  <c r="G101" i="29"/>
  <c r="E102" i="29"/>
  <c r="Q103" i="29"/>
  <c r="R103" i="29"/>
  <c r="P105" i="29"/>
  <c r="I106" i="29"/>
  <c r="E103" i="29"/>
  <c r="E105" i="29"/>
  <c r="J107" i="29"/>
  <c r="P101" i="29"/>
  <c r="P104" i="29"/>
  <c r="A106" i="29"/>
  <c r="M99" i="29"/>
  <c r="D86" i="29"/>
  <c r="L70" i="29"/>
  <c r="E43" i="29"/>
  <c r="I48" i="29" s="1"/>
  <c r="P31" i="29"/>
  <c r="N76" i="29"/>
  <c r="D70" i="29"/>
  <c r="E76" i="29" s="1"/>
  <c r="N62" i="29"/>
  <c r="M57" i="29"/>
  <c r="P63" i="29"/>
  <c r="P59" i="29"/>
  <c r="Q59" i="29" s="1"/>
  <c r="P60" i="29"/>
  <c r="P62" i="29"/>
  <c r="D57" i="29"/>
  <c r="E63" i="29" s="1"/>
  <c r="P61" i="29"/>
  <c r="E72" i="29"/>
  <c r="T77" i="29" s="1"/>
  <c r="I77" i="29"/>
  <c r="O70" i="29"/>
  <c r="T48" i="29"/>
  <c r="E46" i="29"/>
  <c r="N47" i="29"/>
  <c r="P33" i="29"/>
  <c r="N33" i="29"/>
  <c r="P30" i="29"/>
  <c r="R30" i="29" s="1"/>
  <c r="R32" i="29"/>
  <c r="Q32" i="29"/>
  <c r="R31" i="29"/>
  <c r="Q31" i="29"/>
  <c r="P34" i="29"/>
  <c r="Q30" i="29"/>
  <c r="P47" i="29"/>
  <c r="P45" i="29"/>
  <c r="Q44" i="29"/>
  <c r="L49" i="29"/>
  <c r="R44" i="29"/>
  <c r="P46" i="29"/>
  <c r="P43" i="29"/>
  <c r="G43" i="29"/>
  <c r="E45" i="29"/>
  <c r="F43" i="29"/>
  <c r="A48" i="29"/>
  <c r="E44" i="29"/>
  <c r="T49" i="29" s="1"/>
  <c r="G33" i="33" l="1"/>
  <c r="G32" i="33"/>
  <c r="F32" i="33"/>
  <c r="G31" i="33"/>
  <c r="F31" i="33"/>
  <c r="G30" i="33"/>
  <c r="F30" i="33"/>
  <c r="G34" i="33"/>
  <c r="F34" i="33"/>
  <c r="B6" i="33"/>
  <c r="I49" i="33"/>
  <c r="A49" i="33"/>
  <c r="G44" i="33"/>
  <c r="F44" i="33"/>
  <c r="B15" i="33"/>
  <c r="A17" i="33"/>
  <c r="A6" i="33"/>
  <c r="D164" i="24"/>
  <c r="C166" i="24" s="1"/>
  <c r="D148" i="24"/>
  <c r="C150" i="24" s="1"/>
  <c r="A151" i="24"/>
  <c r="G146" i="24"/>
  <c r="F146" i="24"/>
  <c r="I151" i="24"/>
  <c r="A135" i="24"/>
  <c r="G130" i="24"/>
  <c r="I135" i="24"/>
  <c r="F130" i="24"/>
  <c r="D132" i="24"/>
  <c r="C134" i="24" s="1"/>
  <c r="F131" i="24"/>
  <c r="G131" i="24"/>
  <c r="I136" i="24"/>
  <c r="A136" i="24"/>
  <c r="A119" i="24"/>
  <c r="G114" i="24"/>
  <c r="F114" i="24"/>
  <c r="I119" i="24"/>
  <c r="D116" i="24"/>
  <c r="C118" i="24" s="1"/>
  <c r="F115" i="24"/>
  <c r="G115" i="24"/>
  <c r="I120" i="24"/>
  <c r="A120" i="24"/>
  <c r="A103" i="24"/>
  <c r="G98" i="24"/>
  <c r="F98" i="24"/>
  <c r="I103" i="24"/>
  <c r="D100" i="24"/>
  <c r="C102" i="24" s="1"/>
  <c r="F99" i="24"/>
  <c r="I104" i="24"/>
  <c r="G99" i="24"/>
  <c r="A104" i="24"/>
  <c r="F84" i="24"/>
  <c r="D84" i="24"/>
  <c r="C86" i="24" s="1"/>
  <c r="A87" i="24"/>
  <c r="G82" i="24"/>
  <c r="F82" i="24"/>
  <c r="I87" i="24"/>
  <c r="A71" i="24"/>
  <c r="G66" i="24"/>
  <c r="F66" i="24"/>
  <c r="I71" i="24"/>
  <c r="F67" i="24"/>
  <c r="G67" i="24"/>
  <c r="I72" i="24"/>
  <c r="A72" i="24"/>
  <c r="F68" i="24"/>
  <c r="D68" i="24"/>
  <c r="C70" i="24" s="1"/>
  <c r="A55" i="24"/>
  <c r="G50" i="24"/>
  <c r="F50" i="24"/>
  <c r="I55" i="24"/>
  <c r="F52" i="24"/>
  <c r="D52" i="24"/>
  <c r="C54" i="24" s="1"/>
  <c r="F51" i="24"/>
  <c r="I56" i="24"/>
  <c r="G51" i="24"/>
  <c r="A56" i="24"/>
  <c r="A39" i="24"/>
  <c r="G34" i="24"/>
  <c r="I39" i="24"/>
  <c r="F34" i="24"/>
  <c r="F36" i="24"/>
  <c r="D36" i="24"/>
  <c r="C38" i="24" s="1"/>
  <c r="B5" i="24"/>
  <c r="A7" i="24"/>
  <c r="D20" i="24"/>
  <c r="C22" i="24" s="1"/>
  <c r="A23" i="24"/>
  <c r="G18" i="24"/>
  <c r="I23" i="24"/>
  <c r="R293" i="29"/>
  <c r="Q293" i="29"/>
  <c r="R295" i="29"/>
  <c r="Q295" i="29"/>
  <c r="T294" i="29" s="1"/>
  <c r="G295" i="29"/>
  <c r="F295" i="29"/>
  <c r="I294" i="29" s="1"/>
  <c r="P305" i="29"/>
  <c r="P307" i="29"/>
  <c r="P304" i="29"/>
  <c r="P308" i="29"/>
  <c r="P306" i="29"/>
  <c r="G291" i="29"/>
  <c r="F291" i="29"/>
  <c r="E307" i="29"/>
  <c r="E304" i="29"/>
  <c r="E308" i="29"/>
  <c r="E306" i="29"/>
  <c r="E305" i="29"/>
  <c r="R291" i="29"/>
  <c r="Q291" i="29"/>
  <c r="R292" i="29"/>
  <c r="Q292" i="29"/>
  <c r="Q262" i="29"/>
  <c r="R262" i="29"/>
  <c r="P276" i="29"/>
  <c r="P277" i="29"/>
  <c r="P278" i="29"/>
  <c r="P275" i="29"/>
  <c r="P279" i="29"/>
  <c r="A281" i="29"/>
  <c r="G276" i="29"/>
  <c r="I281" i="29"/>
  <c r="F276" i="29"/>
  <c r="T281" i="29"/>
  <c r="R263" i="29"/>
  <c r="Q263" i="29"/>
  <c r="D277" i="29"/>
  <c r="G262" i="29"/>
  <c r="F262" i="29"/>
  <c r="R264" i="29"/>
  <c r="Q264" i="29"/>
  <c r="E249" i="29"/>
  <c r="E247" i="29"/>
  <c r="E250" i="29"/>
  <c r="E248" i="29"/>
  <c r="E246" i="29"/>
  <c r="G233" i="29"/>
  <c r="F233" i="29"/>
  <c r="R237" i="29"/>
  <c r="Q237" i="29"/>
  <c r="T236" i="29" s="1"/>
  <c r="G237" i="29"/>
  <c r="F237" i="29"/>
  <c r="I236" i="29" s="1"/>
  <c r="P237" i="29"/>
  <c r="P235" i="29"/>
  <c r="P234" i="29"/>
  <c r="P236" i="29"/>
  <c r="P233" i="29"/>
  <c r="P247" i="29"/>
  <c r="P249" i="29"/>
  <c r="P246" i="29"/>
  <c r="P250" i="29"/>
  <c r="P248" i="29"/>
  <c r="G204" i="29"/>
  <c r="F204" i="29"/>
  <c r="E220" i="29"/>
  <c r="E221" i="29"/>
  <c r="E219" i="29"/>
  <c r="E217" i="29"/>
  <c r="E218" i="29"/>
  <c r="R208" i="29"/>
  <c r="Q208" i="29"/>
  <c r="T207" i="29" s="1"/>
  <c r="G208" i="29"/>
  <c r="F208" i="29"/>
  <c r="I207" i="29" s="1"/>
  <c r="P218" i="29"/>
  <c r="P220" i="29"/>
  <c r="P217" i="29"/>
  <c r="P221" i="29"/>
  <c r="P219" i="29"/>
  <c r="P208" i="29"/>
  <c r="P206" i="29"/>
  <c r="P207" i="29"/>
  <c r="P205" i="29"/>
  <c r="P204" i="29"/>
  <c r="P189" i="29"/>
  <c r="P191" i="29"/>
  <c r="P188" i="29"/>
  <c r="P190" i="29"/>
  <c r="P192" i="29"/>
  <c r="R179" i="29"/>
  <c r="G179" i="29"/>
  <c r="Q179" i="29"/>
  <c r="T178" i="29" s="1"/>
  <c r="F179" i="29"/>
  <c r="I178" i="29" s="1"/>
  <c r="R175" i="29"/>
  <c r="Q175" i="29"/>
  <c r="G177" i="29"/>
  <c r="F177" i="29"/>
  <c r="G175" i="29"/>
  <c r="F175" i="29"/>
  <c r="D190" i="29"/>
  <c r="R177" i="29"/>
  <c r="Q177" i="29"/>
  <c r="T193" i="29"/>
  <c r="I193" i="29"/>
  <c r="G188" i="29"/>
  <c r="F188" i="29"/>
  <c r="A193" i="29"/>
  <c r="P150" i="29"/>
  <c r="P148" i="29"/>
  <c r="P149" i="29"/>
  <c r="P147" i="29"/>
  <c r="P146" i="29"/>
  <c r="E162" i="29"/>
  <c r="E163" i="29"/>
  <c r="E161" i="29"/>
  <c r="E159" i="29"/>
  <c r="E160" i="29"/>
  <c r="P160" i="29"/>
  <c r="P162" i="29"/>
  <c r="P159" i="29"/>
  <c r="P163" i="29"/>
  <c r="P161" i="29"/>
  <c r="G146" i="29"/>
  <c r="F146" i="29"/>
  <c r="R150" i="29"/>
  <c r="Q150" i="29"/>
  <c r="T149" i="29" s="1"/>
  <c r="G150" i="29"/>
  <c r="F150" i="29"/>
  <c r="I149" i="29" s="1"/>
  <c r="E133" i="29"/>
  <c r="E134" i="29"/>
  <c r="E132" i="29"/>
  <c r="E131" i="29"/>
  <c r="E130" i="29"/>
  <c r="R118" i="29"/>
  <c r="Q118" i="29"/>
  <c r="R121" i="29"/>
  <c r="Q121" i="29"/>
  <c r="T120" i="29" s="1"/>
  <c r="G121" i="29"/>
  <c r="F121" i="29"/>
  <c r="I120" i="29" s="1"/>
  <c r="R119" i="29"/>
  <c r="Q119" i="29"/>
  <c r="G117" i="29"/>
  <c r="F117" i="29"/>
  <c r="R117" i="29"/>
  <c r="Q117" i="29"/>
  <c r="P131" i="29"/>
  <c r="P133" i="29"/>
  <c r="P130" i="29"/>
  <c r="P134" i="29"/>
  <c r="P132" i="29"/>
  <c r="R105" i="29"/>
  <c r="Q105" i="29"/>
  <c r="R88" i="29"/>
  <c r="Q88" i="29"/>
  <c r="R101" i="29"/>
  <c r="Q101" i="29"/>
  <c r="L106" i="29"/>
  <c r="R89" i="29"/>
  <c r="Q89" i="29"/>
  <c r="F103" i="29"/>
  <c r="D103" i="29"/>
  <c r="E89" i="29"/>
  <c r="E88" i="29"/>
  <c r="E92" i="29"/>
  <c r="E91" i="29"/>
  <c r="E90" i="29"/>
  <c r="R90" i="29"/>
  <c r="Q90" i="29"/>
  <c r="T107" i="29"/>
  <c r="A107" i="29"/>
  <c r="G102" i="29"/>
  <c r="I107" i="29"/>
  <c r="F102" i="29"/>
  <c r="E73" i="29"/>
  <c r="F72" i="29"/>
  <c r="E75" i="29"/>
  <c r="E74" i="29"/>
  <c r="G72" i="29"/>
  <c r="R59" i="29"/>
  <c r="Q60" i="29"/>
  <c r="R60" i="29"/>
  <c r="E59" i="29"/>
  <c r="E60" i="29"/>
  <c r="G63" i="29"/>
  <c r="F63" i="29"/>
  <c r="I62" i="29" s="1"/>
  <c r="E62" i="29"/>
  <c r="Q63" i="29"/>
  <c r="T62" i="29" s="1"/>
  <c r="E61" i="29"/>
  <c r="R63" i="29"/>
  <c r="R61" i="29"/>
  <c r="Q61" i="29"/>
  <c r="G61" i="29"/>
  <c r="F61" i="29"/>
  <c r="G59" i="29"/>
  <c r="F59" i="29"/>
  <c r="G60" i="29"/>
  <c r="F60" i="29"/>
  <c r="A77" i="29"/>
  <c r="P73" i="29"/>
  <c r="P75" i="29"/>
  <c r="P72" i="29"/>
  <c r="P76" i="29"/>
  <c r="P74" i="29"/>
  <c r="Q43" i="29"/>
  <c r="R43" i="29"/>
  <c r="L48" i="29"/>
  <c r="D45" i="29"/>
  <c r="C47" i="29" s="1"/>
  <c r="G44" i="29"/>
  <c r="F44" i="29"/>
  <c r="I49" i="29"/>
  <c r="A49" i="29"/>
  <c r="G84" i="24" l="1"/>
  <c r="G36" i="24"/>
  <c r="G68" i="24"/>
  <c r="F35" i="33"/>
  <c r="G35" i="33"/>
  <c r="A7" i="33"/>
  <c r="A18" i="33"/>
  <c r="B16" i="33"/>
  <c r="B7" i="33"/>
  <c r="G86" i="24"/>
  <c r="F86" i="24"/>
  <c r="G70" i="24"/>
  <c r="F70" i="24"/>
  <c r="G52" i="24"/>
  <c r="F54" i="24"/>
  <c r="G54" i="24"/>
  <c r="G38" i="24"/>
  <c r="F38" i="24"/>
  <c r="A8" i="24"/>
  <c r="B6" i="24"/>
  <c r="D306" i="29"/>
  <c r="T309" i="29"/>
  <c r="A309" i="29"/>
  <c r="I309" i="29"/>
  <c r="G304" i="29"/>
  <c r="F304" i="29"/>
  <c r="R304" i="29"/>
  <c r="Q304" i="29"/>
  <c r="L309" i="29"/>
  <c r="L310" i="29"/>
  <c r="Q305" i="29"/>
  <c r="R305" i="29"/>
  <c r="G305" i="29"/>
  <c r="A310" i="29"/>
  <c r="I310" i="29"/>
  <c r="F305" i="29"/>
  <c r="T310" i="29"/>
  <c r="L281" i="29"/>
  <c r="R276" i="29"/>
  <c r="Q276" i="29"/>
  <c r="C267" i="29"/>
  <c r="C265" i="29" s="1"/>
  <c r="C279" i="29"/>
  <c r="R275" i="29"/>
  <c r="Q275" i="29"/>
  <c r="L280" i="29"/>
  <c r="R233" i="29"/>
  <c r="Q233" i="29"/>
  <c r="T251" i="29"/>
  <c r="G246" i="29"/>
  <c r="I251" i="29"/>
  <c r="F246" i="29"/>
  <c r="A251" i="29"/>
  <c r="D248" i="29"/>
  <c r="R234" i="29"/>
  <c r="Q234" i="29"/>
  <c r="Q247" i="29"/>
  <c r="L252" i="29"/>
  <c r="R247" i="29"/>
  <c r="R235" i="29"/>
  <c r="Q235" i="29"/>
  <c r="R246" i="29"/>
  <c r="Q246" i="29"/>
  <c r="L251" i="29"/>
  <c r="G247" i="29"/>
  <c r="I252" i="29"/>
  <c r="F247" i="29"/>
  <c r="T252" i="29"/>
  <c r="A252" i="29"/>
  <c r="T222" i="29"/>
  <c r="A222" i="29"/>
  <c r="I222" i="29"/>
  <c r="G217" i="29"/>
  <c r="F217" i="29"/>
  <c r="L223" i="29"/>
  <c r="R218" i="29"/>
  <c r="Q218" i="29"/>
  <c r="R217" i="29"/>
  <c r="Q217" i="29"/>
  <c r="L222" i="29"/>
  <c r="R205" i="29"/>
  <c r="Q205" i="29"/>
  <c r="R206" i="29"/>
  <c r="Q206" i="29"/>
  <c r="G218" i="29"/>
  <c r="A223" i="29"/>
  <c r="I223" i="29"/>
  <c r="F218" i="29"/>
  <c r="T223" i="29"/>
  <c r="D219" i="29"/>
  <c r="R204" i="29"/>
  <c r="Q204" i="29"/>
  <c r="C192" i="29"/>
  <c r="C180" i="29"/>
  <c r="C178" i="29" s="1"/>
  <c r="R188" i="29"/>
  <c r="Q188" i="29"/>
  <c r="L193" i="29"/>
  <c r="L194" i="29"/>
  <c r="R189" i="29"/>
  <c r="Q189" i="29"/>
  <c r="L165" i="29"/>
  <c r="Q160" i="29"/>
  <c r="R160" i="29"/>
  <c r="A165" i="29"/>
  <c r="G160" i="29"/>
  <c r="I165" i="29"/>
  <c r="F160" i="29"/>
  <c r="T165" i="29"/>
  <c r="T164" i="29"/>
  <c r="A164" i="29"/>
  <c r="I164" i="29"/>
  <c r="G159" i="29"/>
  <c r="F159" i="29"/>
  <c r="R146" i="29"/>
  <c r="Q146" i="29"/>
  <c r="D161" i="29"/>
  <c r="R147" i="29"/>
  <c r="Q147" i="29"/>
  <c r="R159" i="29"/>
  <c r="Q159" i="29"/>
  <c r="L164" i="29"/>
  <c r="R148" i="29"/>
  <c r="Q148" i="29"/>
  <c r="R132" i="29"/>
  <c r="Q132" i="29"/>
  <c r="T135" i="29"/>
  <c r="A135" i="29"/>
  <c r="I135" i="29"/>
  <c r="G130" i="29"/>
  <c r="F130" i="29"/>
  <c r="R134" i="29"/>
  <c r="Q134" i="29"/>
  <c r="R130" i="29"/>
  <c r="Q130" i="29"/>
  <c r="L135" i="29"/>
  <c r="A136" i="29"/>
  <c r="G131" i="29"/>
  <c r="I136" i="29"/>
  <c r="F131" i="29"/>
  <c r="T136" i="29"/>
  <c r="F132" i="29"/>
  <c r="D132" i="29"/>
  <c r="G132" i="29" s="1"/>
  <c r="Q131" i="29"/>
  <c r="L136" i="29"/>
  <c r="R131" i="29"/>
  <c r="G103" i="29"/>
  <c r="G90" i="29"/>
  <c r="F90" i="29"/>
  <c r="R92" i="29"/>
  <c r="Q92" i="29"/>
  <c r="T91" i="29" s="1"/>
  <c r="G92" i="29"/>
  <c r="F92" i="29"/>
  <c r="I91" i="29" s="1"/>
  <c r="F88" i="29"/>
  <c r="G88" i="29"/>
  <c r="F89" i="29"/>
  <c r="G89" i="29"/>
  <c r="C93" i="29"/>
  <c r="C91" i="29" s="1"/>
  <c r="C105" i="29"/>
  <c r="D74" i="29"/>
  <c r="G73" i="29"/>
  <c r="F73" i="29"/>
  <c r="A78" i="29"/>
  <c r="T78" i="29"/>
  <c r="I78" i="29"/>
  <c r="R72" i="29"/>
  <c r="Q72" i="29"/>
  <c r="L77" i="29"/>
  <c r="L78" i="29"/>
  <c r="Q73" i="29"/>
  <c r="R73" i="29"/>
  <c r="A8" i="33" l="1"/>
  <c r="B8" i="33"/>
  <c r="A19" i="33"/>
  <c r="B17" i="33"/>
  <c r="B7" i="24"/>
  <c r="A9" i="24"/>
  <c r="C308" i="29"/>
  <c r="C296" i="29"/>
  <c r="C294" i="29" s="1"/>
  <c r="C250" i="29"/>
  <c r="C238" i="29"/>
  <c r="C236" i="29" s="1"/>
  <c r="C221" i="29"/>
  <c r="C209" i="29"/>
  <c r="C207" i="29" s="1"/>
  <c r="C163" i="29"/>
  <c r="C151" i="29"/>
  <c r="C149" i="29" s="1"/>
  <c r="C134" i="29"/>
  <c r="C122" i="29"/>
  <c r="C120" i="29" s="1"/>
  <c r="F105" i="29"/>
  <c r="G105" i="29"/>
  <c r="C76" i="29"/>
  <c r="C64" i="29"/>
  <c r="C62" i="29" s="1"/>
  <c r="A20" i="33" l="1"/>
  <c r="A9" i="33"/>
  <c r="B18" i="33"/>
  <c r="B9" i="33"/>
  <c r="A10" i="24"/>
  <c r="B8" i="24"/>
  <c r="G134" i="29"/>
  <c r="F134" i="29"/>
  <c r="A10" i="33" l="1"/>
  <c r="A21" i="33"/>
  <c r="B10" i="33"/>
  <c r="B19" i="33"/>
  <c r="A11" i="24"/>
  <c r="B9" i="24"/>
  <c r="B11" i="33" l="1"/>
  <c r="A11" i="33"/>
  <c r="B20" i="33"/>
  <c r="B10" i="24"/>
  <c r="B21" i="33" l="1"/>
  <c r="F22" i="24"/>
  <c r="G22" i="24"/>
  <c r="B11" i="24"/>
  <c r="F45" i="33" l="1"/>
  <c r="G45" i="33"/>
  <c r="G47" i="33" l="1"/>
  <c r="F47" i="33"/>
  <c r="D33" i="29" l="1"/>
  <c r="D32" i="29"/>
  <c r="D31" i="29"/>
  <c r="D30" i="29"/>
  <c r="D28" i="29"/>
  <c r="M13" i="29"/>
  <c r="L13" i="29"/>
  <c r="K13" i="29"/>
  <c r="B13" i="29"/>
  <c r="A13" i="29"/>
  <c r="A14" i="29" s="1"/>
  <c r="A15" i="29" s="1"/>
  <c r="A16" i="29" s="1"/>
  <c r="M12" i="29"/>
  <c r="L12" i="29"/>
  <c r="T11" i="29" s="1"/>
  <c r="T12" i="29" s="1"/>
  <c r="M11" i="29"/>
  <c r="L11" i="29"/>
  <c r="U11" i="29" s="1"/>
  <c r="U12" i="29" s="1"/>
  <c r="M10" i="29"/>
  <c r="L10" i="29"/>
  <c r="R11" i="29" s="1"/>
  <c r="R12" i="29" s="1"/>
  <c r="M9" i="29"/>
  <c r="L9" i="29"/>
  <c r="T8" i="29" s="1"/>
  <c r="M8" i="29"/>
  <c r="L8" i="29"/>
  <c r="U8" i="29" s="1"/>
  <c r="U9" i="29" s="1"/>
  <c r="M7" i="29"/>
  <c r="L7" i="29"/>
  <c r="R8" i="29" s="1"/>
  <c r="R9" i="29" s="1"/>
  <c r="M6" i="29"/>
  <c r="L6" i="29"/>
  <c r="T5" i="29" s="1"/>
  <c r="T6" i="29" s="1"/>
  <c r="M5" i="29"/>
  <c r="L5" i="29"/>
  <c r="U5" i="29" s="1"/>
  <c r="U6" i="29" s="1"/>
  <c r="M4" i="29"/>
  <c r="L4" i="29"/>
  <c r="R5" i="29" s="1"/>
  <c r="M3" i="29"/>
  <c r="L3" i="29"/>
  <c r="T2" i="29" s="1"/>
  <c r="B3" i="29"/>
  <c r="A3" i="29"/>
  <c r="M2" i="29"/>
  <c r="L2" i="29"/>
  <c r="U2" i="29" s="1"/>
  <c r="U3" i="29" s="1"/>
  <c r="M1" i="29"/>
  <c r="L1" i="29"/>
  <c r="R2" i="29" s="1"/>
  <c r="D317" i="25"/>
  <c r="D316" i="25"/>
  <c r="D314" i="25"/>
  <c r="D313" i="25"/>
  <c r="B311" i="25"/>
  <c r="A311" i="25"/>
  <c r="D303" i="25"/>
  <c r="D302" i="25"/>
  <c r="D301" i="25"/>
  <c r="C301" i="25" s="1"/>
  <c r="C320" i="25" s="1"/>
  <c r="D300" i="25"/>
  <c r="B298" i="25"/>
  <c r="A298" i="25"/>
  <c r="D287" i="25"/>
  <c r="D286" i="25"/>
  <c r="D284" i="25"/>
  <c r="D283" i="25"/>
  <c r="D281" i="25"/>
  <c r="B281" i="25"/>
  <c r="A281" i="25"/>
  <c r="D273" i="25"/>
  <c r="D272" i="25"/>
  <c r="C271" i="25" s="1"/>
  <c r="C290" i="25" s="1"/>
  <c r="D271" i="25"/>
  <c r="D270" i="25"/>
  <c r="B268" i="25"/>
  <c r="A268" i="25"/>
  <c r="D257" i="25"/>
  <c r="D256" i="25"/>
  <c r="D254" i="25"/>
  <c r="D253" i="25"/>
  <c r="B251" i="25"/>
  <c r="A251" i="25"/>
  <c r="D243" i="25"/>
  <c r="D242" i="25"/>
  <c r="C241" i="25" s="1"/>
  <c r="C260" i="25" s="1"/>
  <c r="D241" i="25"/>
  <c r="D240" i="25"/>
  <c r="D238" i="25"/>
  <c r="B238" i="25"/>
  <c r="A238" i="25"/>
  <c r="D227" i="25"/>
  <c r="D226" i="25"/>
  <c r="J225" i="25"/>
  <c r="D224" i="25"/>
  <c r="D223" i="25"/>
  <c r="B221" i="25"/>
  <c r="A221" i="25"/>
  <c r="D221" i="25" s="1"/>
  <c r="D213" i="25"/>
  <c r="D212" i="25"/>
  <c r="D211" i="25"/>
  <c r="C211" i="25"/>
  <c r="C230" i="25" s="1"/>
  <c r="D210" i="25"/>
  <c r="B208" i="25"/>
  <c r="A208" i="25"/>
  <c r="D197" i="25"/>
  <c r="D196" i="25"/>
  <c r="D194" i="25"/>
  <c r="D193" i="25"/>
  <c r="B191" i="25"/>
  <c r="A191" i="25"/>
  <c r="J195" i="25" s="1"/>
  <c r="D183" i="25"/>
  <c r="D182" i="25"/>
  <c r="D181" i="25"/>
  <c r="D180" i="25"/>
  <c r="B178" i="25"/>
  <c r="A178" i="25"/>
  <c r="D167" i="25"/>
  <c r="D166" i="25"/>
  <c r="J165" i="25"/>
  <c r="D164" i="25"/>
  <c r="D163" i="25"/>
  <c r="B161" i="25"/>
  <c r="A161" i="25"/>
  <c r="D161" i="25" s="1"/>
  <c r="D153" i="25"/>
  <c r="D152" i="25"/>
  <c r="C151" i="25" s="1"/>
  <c r="D151" i="25"/>
  <c r="D150" i="25"/>
  <c r="D148" i="25"/>
  <c r="B148" i="25"/>
  <c r="A148" i="25"/>
  <c r="D137" i="25"/>
  <c r="D136" i="25"/>
  <c r="J135" i="25"/>
  <c r="D134" i="25"/>
  <c r="D133" i="25"/>
  <c r="B131" i="25"/>
  <c r="A131" i="25"/>
  <c r="D131" i="25" s="1"/>
  <c r="D123" i="25"/>
  <c r="D122" i="25"/>
  <c r="C121" i="25" s="1"/>
  <c r="C140" i="25" s="1"/>
  <c r="D121" i="25"/>
  <c r="D120" i="25"/>
  <c r="B118" i="25"/>
  <c r="A118" i="25"/>
  <c r="D107" i="25"/>
  <c r="D106" i="25"/>
  <c r="D104" i="25"/>
  <c r="D103" i="25"/>
  <c r="B101" i="25"/>
  <c r="A101" i="25"/>
  <c r="J105" i="25" s="1"/>
  <c r="D93" i="25"/>
  <c r="J92" i="25"/>
  <c r="D92" i="25"/>
  <c r="D91" i="25"/>
  <c r="D90" i="25"/>
  <c r="B88" i="25"/>
  <c r="A88" i="25"/>
  <c r="B71" i="25"/>
  <c r="A71" i="25"/>
  <c r="B58" i="25"/>
  <c r="A58" i="25"/>
  <c r="D58" i="25" s="1"/>
  <c r="J79" i="25"/>
  <c r="J77" i="25"/>
  <c r="D77" i="25"/>
  <c r="D76" i="25"/>
  <c r="J75" i="25"/>
  <c r="D74" i="25"/>
  <c r="D73" i="25"/>
  <c r="D71" i="25"/>
  <c r="D63" i="25"/>
  <c r="J62" i="25"/>
  <c r="D62" i="25"/>
  <c r="D61" i="25"/>
  <c r="D60" i="25"/>
  <c r="J49" i="25"/>
  <c r="J45" i="25"/>
  <c r="J32" i="25"/>
  <c r="D33" i="25"/>
  <c r="D32" i="25"/>
  <c r="D31" i="25"/>
  <c r="D30" i="25"/>
  <c r="D28" i="25"/>
  <c r="B15" i="25"/>
  <c r="B16" i="25" s="1"/>
  <c r="B17" i="25" s="1"/>
  <c r="B18" i="25" s="1"/>
  <c r="B19" i="25" s="1"/>
  <c r="B20" i="25" s="1"/>
  <c r="B21" i="25" s="1"/>
  <c r="B14" i="25"/>
  <c r="B13" i="25"/>
  <c r="A3" i="25"/>
  <c r="A4" i="25" s="1"/>
  <c r="A5" i="25" s="1"/>
  <c r="A6" i="25" s="1"/>
  <c r="A7" i="25" s="1"/>
  <c r="A8" i="25" s="1"/>
  <c r="A9" i="25" s="1"/>
  <c r="A10" i="25" s="1"/>
  <c r="A11" i="25" s="1"/>
  <c r="D47" i="25"/>
  <c r="D46" i="25"/>
  <c r="D44" i="25"/>
  <c r="D43" i="25"/>
  <c r="D41" i="25"/>
  <c r="M13" i="25"/>
  <c r="L13" i="25"/>
  <c r="K13" i="25"/>
  <c r="A13" i="25"/>
  <c r="A14" i="25" s="1"/>
  <c r="A15" i="25" s="1"/>
  <c r="M12" i="25"/>
  <c r="L12" i="25"/>
  <c r="T11" i="25" s="1"/>
  <c r="M11" i="25"/>
  <c r="L11" i="25"/>
  <c r="U11" i="25" s="1"/>
  <c r="U12" i="25" s="1"/>
  <c r="M10" i="25"/>
  <c r="L10" i="25"/>
  <c r="R11" i="25" s="1"/>
  <c r="R12" i="25" s="1"/>
  <c r="M9" i="25"/>
  <c r="L9" i="25"/>
  <c r="T8" i="25" s="1"/>
  <c r="M8" i="25"/>
  <c r="L8" i="25"/>
  <c r="U8" i="25" s="1"/>
  <c r="U9" i="25" s="1"/>
  <c r="M7" i="25"/>
  <c r="L7" i="25"/>
  <c r="R8" i="25" s="1"/>
  <c r="R9" i="25" s="1"/>
  <c r="M6" i="25"/>
  <c r="L6" i="25"/>
  <c r="T5" i="25" s="1"/>
  <c r="M5" i="25"/>
  <c r="L5" i="25"/>
  <c r="U5" i="25" s="1"/>
  <c r="U6" i="25" s="1"/>
  <c r="M4" i="25"/>
  <c r="L4" i="25"/>
  <c r="R5" i="25" s="1"/>
  <c r="M3" i="25"/>
  <c r="L3" i="25"/>
  <c r="T2" i="25" s="1"/>
  <c r="T3" i="25" s="1"/>
  <c r="B3" i="25"/>
  <c r="M2" i="25"/>
  <c r="L2" i="25"/>
  <c r="U2" i="25" s="1"/>
  <c r="U3" i="25" s="1"/>
  <c r="M1" i="25"/>
  <c r="L1" i="25"/>
  <c r="R2" i="25" s="1"/>
  <c r="R3" i="25" s="1"/>
  <c r="O298" i="28"/>
  <c r="D298" i="28"/>
  <c r="O297" i="28"/>
  <c r="D297" i="28"/>
  <c r="O295" i="28"/>
  <c r="D295" i="28"/>
  <c r="O294" i="28"/>
  <c r="D294" i="28"/>
  <c r="M292" i="28"/>
  <c r="L292" i="28"/>
  <c r="B292" i="28"/>
  <c r="A292" i="28"/>
  <c r="O284" i="28"/>
  <c r="D284" i="28"/>
  <c r="O283" i="28"/>
  <c r="D283" i="28"/>
  <c r="O282" i="28"/>
  <c r="N284" i="28" s="1"/>
  <c r="N282" i="28"/>
  <c r="D282" i="28"/>
  <c r="O280" i="28"/>
  <c r="M280" i="28"/>
  <c r="L280" i="28"/>
  <c r="B280" i="28"/>
  <c r="A280" i="28"/>
  <c r="O270" i="28"/>
  <c r="D270" i="28"/>
  <c r="O269" i="28"/>
  <c r="D269" i="28"/>
  <c r="O267" i="28"/>
  <c r="D267" i="28"/>
  <c r="O266" i="28"/>
  <c r="N270" i="28" s="1"/>
  <c r="D266" i="28"/>
  <c r="M264" i="28"/>
  <c r="L264" i="28"/>
  <c r="D264" i="28"/>
  <c r="B264" i="28"/>
  <c r="A264" i="28"/>
  <c r="O256" i="28"/>
  <c r="D256" i="28"/>
  <c r="O255" i="28"/>
  <c r="D255" i="28"/>
  <c r="O254" i="28"/>
  <c r="N256" i="28" s="1"/>
  <c r="N254" i="28"/>
  <c r="D254" i="28"/>
  <c r="O252" i="28"/>
  <c r="M252" i="28"/>
  <c r="L252" i="28"/>
  <c r="D252" i="28"/>
  <c r="B252" i="28"/>
  <c r="A252" i="28"/>
  <c r="O242" i="28"/>
  <c r="D242" i="28"/>
  <c r="O241" i="28"/>
  <c r="D241" i="28"/>
  <c r="O239" i="28"/>
  <c r="D239" i="28"/>
  <c r="O238" i="28"/>
  <c r="N242" i="28" s="1"/>
  <c r="D238" i="28"/>
  <c r="M236" i="28"/>
  <c r="L236" i="28"/>
  <c r="B236" i="28"/>
  <c r="A236" i="28"/>
  <c r="O228" i="28"/>
  <c r="D228" i="28"/>
  <c r="O227" i="28"/>
  <c r="D227" i="28"/>
  <c r="O226" i="28"/>
  <c r="N228" i="28" s="1"/>
  <c r="N226" i="28"/>
  <c r="D226" i="28"/>
  <c r="O224" i="28"/>
  <c r="M224" i="28"/>
  <c r="L224" i="28"/>
  <c r="B224" i="28"/>
  <c r="A224" i="28"/>
  <c r="O214" i="28"/>
  <c r="D214" i="28"/>
  <c r="O213" i="28"/>
  <c r="D213" i="28"/>
  <c r="O211" i="28"/>
  <c r="D211" i="28"/>
  <c r="O210" i="28"/>
  <c r="N214" i="28" s="1"/>
  <c r="D210" i="28"/>
  <c r="M208" i="28"/>
  <c r="L208" i="28"/>
  <c r="D208" i="28"/>
  <c r="B208" i="28"/>
  <c r="A208" i="28"/>
  <c r="O200" i="28"/>
  <c r="D200" i="28"/>
  <c r="O199" i="28"/>
  <c r="N200" i="28" s="1"/>
  <c r="D199" i="28"/>
  <c r="O198" i="28"/>
  <c r="N198" i="28"/>
  <c r="D198" i="28"/>
  <c r="O196" i="28"/>
  <c r="M196" i="28"/>
  <c r="L196" i="28"/>
  <c r="B196" i="28"/>
  <c r="A196" i="28"/>
  <c r="U186" i="28"/>
  <c r="O186" i="28"/>
  <c r="J186" i="28"/>
  <c r="D186" i="28"/>
  <c r="O185" i="28"/>
  <c r="D185" i="28"/>
  <c r="O183" i="28"/>
  <c r="D183" i="28"/>
  <c r="O182" i="28"/>
  <c r="N186" i="28" s="1"/>
  <c r="D182" i="28"/>
  <c r="M180" i="28"/>
  <c r="L180" i="28"/>
  <c r="D180" i="28"/>
  <c r="B180" i="28"/>
  <c r="A180" i="28"/>
  <c r="O172" i="28"/>
  <c r="D172" i="28"/>
  <c r="O171" i="28"/>
  <c r="D171" i="28"/>
  <c r="O170" i="28"/>
  <c r="N170" i="28"/>
  <c r="D170" i="28"/>
  <c r="M168" i="28"/>
  <c r="O168" i="28" s="1"/>
  <c r="L168" i="28"/>
  <c r="B168" i="28"/>
  <c r="A168" i="28"/>
  <c r="U158" i="28"/>
  <c r="O158" i="28"/>
  <c r="N158" i="28"/>
  <c r="J158" i="28"/>
  <c r="D158" i="28"/>
  <c r="O157" i="28"/>
  <c r="D157" i="28"/>
  <c r="U156" i="28"/>
  <c r="O155" i="28"/>
  <c r="D155" i="28"/>
  <c r="O154" i="28"/>
  <c r="D154" i="28"/>
  <c r="O152" i="28"/>
  <c r="M152" i="28"/>
  <c r="L152" i="28"/>
  <c r="D152" i="28"/>
  <c r="B152" i="28"/>
  <c r="A152" i="28"/>
  <c r="O144" i="28"/>
  <c r="D144" i="28"/>
  <c r="O143" i="28"/>
  <c r="D143" i="28"/>
  <c r="O142" i="28"/>
  <c r="N142" i="28"/>
  <c r="D142" i="28"/>
  <c r="M140" i="28"/>
  <c r="O140" i="28" s="1"/>
  <c r="L140" i="28"/>
  <c r="B140" i="28"/>
  <c r="D140" i="28" s="1"/>
  <c r="A140" i="28"/>
  <c r="U130" i="28"/>
  <c r="O130" i="28"/>
  <c r="N130" i="28"/>
  <c r="J130" i="28"/>
  <c r="D130" i="28"/>
  <c r="O129" i="28"/>
  <c r="D129" i="28"/>
  <c r="O127" i="28"/>
  <c r="D127" i="28"/>
  <c r="O126" i="28"/>
  <c r="D126" i="28"/>
  <c r="M124" i="28"/>
  <c r="L124" i="28"/>
  <c r="U128" i="28" s="1"/>
  <c r="D124" i="28"/>
  <c r="B124" i="28"/>
  <c r="A124" i="28"/>
  <c r="O116" i="28"/>
  <c r="D116" i="28"/>
  <c r="O115" i="28"/>
  <c r="D115" i="28"/>
  <c r="O114" i="28"/>
  <c r="N116" i="28" s="1"/>
  <c r="N114" i="28"/>
  <c r="J114" i="28"/>
  <c r="D114" i="28"/>
  <c r="M112" i="28"/>
  <c r="O112" i="28" s="1"/>
  <c r="L112" i="28"/>
  <c r="U116" i="28" s="1"/>
  <c r="B112" i="28"/>
  <c r="A112" i="28"/>
  <c r="U102" i="28"/>
  <c r="O102" i="28"/>
  <c r="J102" i="28"/>
  <c r="D102" i="28"/>
  <c r="O101" i="28"/>
  <c r="D101" i="28"/>
  <c r="O99" i="28"/>
  <c r="D99" i="28"/>
  <c r="O98" i="28"/>
  <c r="N102" i="28" s="1"/>
  <c r="D98" i="28"/>
  <c r="M96" i="28"/>
  <c r="L96" i="28"/>
  <c r="U100" i="28" s="1"/>
  <c r="D96" i="28"/>
  <c r="B96" i="28"/>
  <c r="A96" i="28"/>
  <c r="O88" i="28"/>
  <c r="D88" i="28"/>
  <c r="O87" i="28"/>
  <c r="D87" i="28"/>
  <c r="O86" i="28"/>
  <c r="N88" i="28" s="1"/>
  <c r="N86" i="28"/>
  <c r="D86" i="28"/>
  <c r="O84" i="28"/>
  <c r="M84" i="28"/>
  <c r="L84" i="28"/>
  <c r="U88" i="28" s="1"/>
  <c r="B84" i="28"/>
  <c r="A84" i="28"/>
  <c r="J74" i="28"/>
  <c r="U74" i="28"/>
  <c r="U44" i="28"/>
  <c r="U46" i="28"/>
  <c r="J46" i="28"/>
  <c r="J44" i="28"/>
  <c r="O40" i="28"/>
  <c r="D40" i="28"/>
  <c r="O68" i="28"/>
  <c r="D68" i="28"/>
  <c r="M68" i="28"/>
  <c r="L68" i="28"/>
  <c r="U72" i="28" s="1"/>
  <c r="M56" i="28"/>
  <c r="L56" i="28"/>
  <c r="U58" i="28" s="1"/>
  <c r="B68" i="28"/>
  <c r="A68" i="28"/>
  <c r="B56" i="28"/>
  <c r="D56" i="28" s="1"/>
  <c r="A56" i="28"/>
  <c r="O74" i="28"/>
  <c r="D74" i="28"/>
  <c r="O73" i="28"/>
  <c r="D73" i="28"/>
  <c r="J72" i="28"/>
  <c r="O71" i="28"/>
  <c r="D71" i="28"/>
  <c r="O70" i="28"/>
  <c r="D70" i="28"/>
  <c r="O60" i="28"/>
  <c r="J60" i="28"/>
  <c r="D60" i="28"/>
  <c r="O59" i="28"/>
  <c r="D59" i="28"/>
  <c r="O58" i="28"/>
  <c r="N58" i="28"/>
  <c r="J58" i="28"/>
  <c r="D58" i="28"/>
  <c r="O56" i="28"/>
  <c r="N172" i="28" l="1"/>
  <c r="C61" i="25"/>
  <c r="N298" i="28"/>
  <c r="N144" i="28"/>
  <c r="N74" i="28"/>
  <c r="C91" i="25"/>
  <c r="C110" i="25" s="1"/>
  <c r="C181" i="25"/>
  <c r="C200" i="25" s="1"/>
  <c r="N60" i="28"/>
  <c r="C31" i="25"/>
  <c r="C50" i="25" s="1"/>
  <c r="B4" i="29"/>
  <c r="B5" i="29" s="1"/>
  <c r="T3" i="29"/>
  <c r="R3" i="29"/>
  <c r="T9" i="29"/>
  <c r="A17" i="29"/>
  <c r="R6" i="29"/>
  <c r="A4" i="29"/>
  <c r="B14" i="29"/>
  <c r="D298" i="25"/>
  <c r="D311" i="25"/>
  <c r="D268" i="25"/>
  <c r="J259" i="25"/>
  <c r="D251" i="25"/>
  <c r="D208" i="25"/>
  <c r="J227" i="25"/>
  <c r="J229" i="25"/>
  <c r="J197" i="25"/>
  <c r="D178" i="25"/>
  <c r="J199" i="25"/>
  <c r="D191" i="25"/>
  <c r="C170" i="25"/>
  <c r="J167" i="25"/>
  <c r="J169" i="25"/>
  <c r="D118" i="25"/>
  <c r="J122" i="25"/>
  <c r="J137" i="25"/>
  <c r="J139" i="25"/>
  <c r="D88" i="25"/>
  <c r="J109" i="25"/>
  <c r="J107" i="25"/>
  <c r="D101" i="25"/>
  <c r="C80" i="25"/>
  <c r="T9" i="25"/>
  <c r="R6" i="25"/>
  <c r="A16" i="25"/>
  <c r="B4" i="25"/>
  <c r="T6" i="25"/>
  <c r="T12" i="25"/>
  <c r="D292" i="28"/>
  <c r="D280" i="28"/>
  <c r="O292" i="28"/>
  <c r="O264" i="28"/>
  <c r="D224" i="28"/>
  <c r="O236" i="28"/>
  <c r="D236" i="28"/>
  <c r="D196" i="28"/>
  <c r="O208" i="28"/>
  <c r="D168" i="28"/>
  <c r="O180" i="28"/>
  <c r="J156" i="28"/>
  <c r="J128" i="28"/>
  <c r="D112" i="28"/>
  <c r="U114" i="28"/>
  <c r="O124" i="28"/>
  <c r="J116" i="28"/>
  <c r="J100" i="28"/>
  <c r="D84" i="28"/>
  <c r="U86" i="28"/>
  <c r="O96" i="28"/>
  <c r="J86" i="28"/>
  <c r="J88" i="28"/>
  <c r="U60" i="28"/>
  <c r="A18" i="29" l="1"/>
  <c r="B6" i="29"/>
  <c r="B15" i="29"/>
  <c r="A5" i="29"/>
  <c r="B5" i="25"/>
  <c r="A17" i="25"/>
  <c r="A6" i="29" l="1"/>
  <c r="B16" i="29"/>
  <c r="B7" i="29"/>
  <c r="A19" i="29"/>
  <c r="A18" i="25"/>
  <c r="B6" i="25"/>
  <c r="A7" i="29" l="1"/>
  <c r="A20" i="29"/>
  <c r="B8" i="29"/>
  <c r="B17" i="29"/>
  <c r="B7" i="25"/>
  <c r="A19" i="25"/>
  <c r="B9" i="29" l="1"/>
  <c r="B18" i="29"/>
  <c r="A8" i="29"/>
  <c r="A21" i="29"/>
  <c r="A20" i="25"/>
  <c r="B8" i="25"/>
  <c r="B19" i="29" l="1"/>
  <c r="B10" i="29"/>
  <c r="A9" i="29"/>
  <c r="A21" i="25"/>
  <c r="B9" i="25"/>
  <c r="B11" i="29" l="1"/>
  <c r="B20" i="29"/>
  <c r="A10" i="29"/>
  <c r="B10" i="25"/>
  <c r="J47" i="25"/>
  <c r="A11" i="29" l="1"/>
  <c r="B21" i="29"/>
  <c r="B11" i="25"/>
  <c r="O46" i="28" l="1"/>
  <c r="O45" i="28"/>
  <c r="O43" i="28"/>
  <c r="O42" i="28"/>
  <c r="U32" i="28"/>
  <c r="O32" i="28"/>
  <c r="O31" i="28"/>
  <c r="U30" i="28"/>
  <c r="O30" i="28"/>
  <c r="N30" i="28"/>
  <c r="O28" i="28"/>
  <c r="J32" i="28"/>
  <c r="J30" i="28"/>
  <c r="B307" i="17"/>
  <c r="B308" i="17"/>
  <c r="B309" i="17"/>
  <c r="B310" i="17"/>
  <c r="B311" i="17"/>
  <c r="B312" i="17"/>
  <c r="B313" i="17"/>
  <c r="J313" i="17" s="1"/>
  <c r="B314" i="17"/>
  <c r="B315" i="17"/>
  <c r="B316" i="17"/>
  <c r="B296" i="17"/>
  <c r="B297" i="17"/>
  <c r="I297" i="17" s="1"/>
  <c r="B298" i="17"/>
  <c r="J298" i="17" s="1"/>
  <c r="B299" i="17"/>
  <c r="B300" i="17"/>
  <c r="B301" i="17"/>
  <c r="I301" i="17" s="1"/>
  <c r="B302" i="17"/>
  <c r="J302" i="17" s="1"/>
  <c r="B303" i="17"/>
  <c r="B304" i="17"/>
  <c r="B305" i="17"/>
  <c r="I305" i="17" s="1"/>
  <c r="B306" i="17"/>
  <c r="J306" i="17" s="1"/>
  <c r="I291" i="17"/>
  <c r="I298" i="17"/>
  <c r="I299" i="17"/>
  <c r="J299" i="17"/>
  <c r="I300" i="17"/>
  <c r="J300" i="17"/>
  <c r="J301" i="17"/>
  <c r="I302" i="17"/>
  <c r="I303" i="17"/>
  <c r="J303" i="17"/>
  <c r="I304" i="17"/>
  <c r="J304" i="17"/>
  <c r="J305" i="17"/>
  <c r="I306" i="17"/>
  <c r="I307" i="17"/>
  <c r="J307" i="17"/>
  <c r="I308" i="17"/>
  <c r="J308" i="17"/>
  <c r="I309" i="17"/>
  <c r="J309" i="17"/>
  <c r="I310" i="17"/>
  <c r="J310" i="17"/>
  <c r="I311" i="17"/>
  <c r="J311" i="17"/>
  <c r="I312" i="17"/>
  <c r="J312" i="17"/>
  <c r="I314" i="17"/>
  <c r="J314" i="17"/>
  <c r="I315" i="17"/>
  <c r="J315" i="17"/>
  <c r="I316" i="17"/>
  <c r="J316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A316" i="17"/>
  <c r="A315" i="17"/>
  <c r="A314" i="17"/>
  <c r="A313" i="17"/>
  <c r="A312" i="17"/>
  <c r="A311" i="17"/>
  <c r="A310" i="17"/>
  <c r="A309" i="17"/>
  <c r="A308" i="17"/>
  <c r="A307" i="17"/>
  <c r="L188" i="17"/>
  <c r="L189" i="17"/>
  <c r="L190" i="17"/>
  <c r="L191" i="17"/>
  <c r="L192" i="17"/>
  <c r="L193" i="17"/>
  <c r="L194" i="17"/>
  <c r="L195" i="17"/>
  <c r="L196" i="17"/>
  <c r="L187" i="17"/>
  <c r="B13" i="28"/>
  <c r="B14" i="28" s="1"/>
  <c r="B15" i="28" s="1"/>
  <c r="B16" i="28" s="1"/>
  <c r="B17" i="28" s="1"/>
  <c r="B18" i="28" s="1"/>
  <c r="B19" i="28" s="1"/>
  <c r="B20" i="28" s="1"/>
  <c r="B21" i="28" s="1"/>
  <c r="A13" i="28"/>
  <c r="A14" i="28" s="1"/>
  <c r="A15" i="28" s="1"/>
  <c r="A16" i="28" s="1"/>
  <c r="A17" i="28" s="1"/>
  <c r="A18" i="28" s="1"/>
  <c r="A19" i="28" s="1"/>
  <c r="A20" i="28" s="1"/>
  <c r="A21" i="28" s="1"/>
  <c r="D305" i="17" l="1"/>
  <c r="N32" i="28"/>
  <c r="D309" i="17"/>
  <c r="D301" i="17"/>
  <c r="I313" i="17"/>
  <c r="D313" i="17" s="1"/>
  <c r="J297" i="17"/>
  <c r="D297" i="17" s="1"/>
  <c r="D314" i="17"/>
  <c r="D306" i="17"/>
  <c r="D302" i="17"/>
  <c r="D298" i="17"/>
  <c r="D315" i="17"/>
  <c r="D311" i="17"/>
  <c r="D307" i="17"/>
  <c r="D303" i="17"/>
  <c r="D299" i="17"/>
  <c r="D310" i="17"/>
  <c r="D316" i="17"/>
  <c r="D312" i="17"/>
  <c r="D308" i="17"/>
  <c r="D304" i="17"/>
  <c r="D300" i="17"/>
  <c r="C171" i="32" l="1"/>
  <c r="D291" i="32"/>
  <c r="D290" i="32"/>
  <c r="D289" i="32"/>
  <c r="D288" i="32"/>
  <c r="B286" i="32"/>
  <c r="A286" i="32"/>
  <c r="C279" i="32"/>
  <c r="D278" i="32"/>
  <c r="D277" i="32"/>
  <c r="D276" i="32"/>
  <c r="C276" i="32"/>
  <c r="D275" i="32"/>
  <c r="C275" i="32"/>
  <c r="B273" i="32"/>
  <c r="A273" i="32"/>
  <c r="D264" i="32"/>
  <c r="D263" i="32"/>
  <c r="D262" i="32"/>
  <c r="D261" i="32"/>
  <c r="B259" i="32"/>
  <c r="A259" i="32"/>
  <c r="C252" i="32"/>
  <c r="D251" i="32"/>
  <c r="D250" i="32"/>
  <c r="D249" i="32"/>
  <c r="C249" i="32"/>
  <c r="D248" i="32"/>
  <c r="C248" i="32"/>
  <c r="D246" i="32"/>
  <c r="B246" i="32"/>
  <c r="A246" i="32"/>
  <c r="D237" i="32"/>
  <c r="D236" i="32"/>
  <c r="D235" i="32"/>
  <c r="D234" i="32"/>
  <c r="D232" i="32"/>
  <c r="B232" i="32"/>
  <c r="A232" i="32"/>
  <c r="C225" i="32"/>
  <c r="D224" i="32"/>
  <c r="D223" i="32"/>
  <c r="D222" i="32"/>
  <c r="C222" i="32"/>
  <c r="D221" i="32"/>
  <c r="C221" i="32"/>
  <c r="D219" i="32"/>
  <c r="B219" i="32"/>
  <c r="A219" i="32"/>
  <c r="D210" i="32"/>
  <c r="D209" i="32"/>
  <c r="D208" i="32"/>
  <c r="C209" i="32" s="1"/>
  <c r="D207" i="32"/>
  <c r="B205" i="32"/>
  <c r="A205" i="32"/>
  <c r="C198" i="32"/>
  <c r="D197" i="32"/>
  <c r="D196" i="32"/>
  <c r="D195" i="32"/>
  <c r="C195" i="32"/>
  <c r="D194" i="32"/>
  <c r="C194" i="32"/>
  <c r="D192" i="32"/>
  <c r="B192" i="32"/>
  <c r="A192" i="32"/>
  <c r="D183" i="32"/>
  <c r="D182" i="32"/>
  <c r="D181" i="32"/>
  <c r="D180" i="32"/>
  <c r="B178" i="32"/>
  <c r="A178" i="32"/>
  <c r="D170" i="32"/>
  <c r="D169" i="32"/>
  <c r="D168" i="32"/>
  <c r="C168" i="32"/>
  <c r="D167" i="32"/>
  <c r="C167" i="32"/>
  <c r="D165" i="32"/>
  <c r="B165" i="32"/>
  <c r="A165" i="32"/>
  <c r="D156" i="32"/>
  <c r="D155" i="32"/>
  <c r="D154" i="32"/>
  <c r="D153" i="32"/>
  <c r="B151" i="32"/>
  <c r="A151" i="32"/>
  <c r="D151" i="32" s="1"/>
  <c r="C144" i="32"/>
  <c r="D143" i="32"/>
  <c r="D142" i="32"/>
  <c r="D141" i="32"/>
  <c r="C141" i="32"/>
  <c r="D140" i="32"/>
  <c r="C140" i="32"/>
  <c r="D138" i="32"/>
  <c r="B138" i="32"/>
  <c r="A138" i="32"/>
  <c r="D129" i="32"/>
  <c r="D128" i="32"/>
  <c r="D127" i="32"/>
  <c r="D126" i="32"/>
  <c r="B124" i="32"/>
  <c r="A124" i="32"/>
  <c r="C117" i="32"/>
  <c r="D116" i="32"/>
  <c r="D115" i="32"/>
  <c r="D114" i="32"/>
  <c r="C114" i="32"/>
  <c r="D113" i="32"/>
  <c r="C113" i="32"/>
  <c r="D111" i="32"/>
  <c r="B111" i="32"/>
  <c r="A111" i="32"/>
  <c r="D102" i="32"/>
  <c r="D101" i="32"/>
  <c r="D100" i="32"/>
  <c r="D99" i="32"/>
  <c r="B97" i="32"/>
  <c r="A97" i="32"/>
  <c r="C90" i="32"/>
  <c r="D89" i="32"/>
  <c r="D88" i="32"/>
  <c r="D87" i="32"/>
  <c r="C87" i="32"/>
  <c r="D86" i="32"/>
  <c r="C86" i="32"/>
  <c r="D84" i="32"/>
  <c r="B84" i="32"/>
  <c r="A84" i="32"/>
  <c r="B70" i="32"/>
  <c r="A70" i="32"/>
  <c r="B57" i="32"/>
  <c r="A57" i="32"/>
  <c r="D75" i="32"/>
  <c r="D74" i="32"/>
  <c r="D73" i="32"/>
  <c r="D72" i="32"/>
  <c r="D70" i="32"/>
  <c r="C63" i="32"/>
  <c r="D62" i="32"/>
  <c r="D61" i="32"/>
  <c r="D60" i="32"/>
  <c r="C60" i="32"/>
  <c r="D59" i="32"/>
  <c r="C59" i="32"/>
  <c r="D57" i="32"/>
  <c r="C36" i="32"/>
  <c r="D35" i="32"/>
  <c r="D34" i="32"/>
  <c r="D33" i="32"/>
  <c r="C33" i="32"/>
  <c r="D32" i="32"/>
  <c r="C32" i="32"/>
  <c r="D30" i="32"/>
  <c r="B15" i="32"/>
  <c r="B16" i="32" s="1"/>
  <c r="B17" i="32" s="1"/>
  <c r="B18" i="32" s="1"/>
  <c r="B19" i="32" s="1"/>
  <c r="B20" i="32" s="1"/>
  <c r="B21" i="32" s="1"/>
  <c r="B14" i="32"/>
  <c r="B13" i="32"/>
  <c r="A3" i="32"/>
  <c r="A4" i="32" s="1"/>
  <c r="A5" i="32" s="1"/>
  <c r="A6" i="32" s="1"/>
  <c r="A7" i="32" s="1"/>
  <c r="A8" i="32" s="1"/>
  <c r="A9" i="32" s="1"/>
  <c r="A10" i="32" s="1"/>
  <c r="A11" i="32" s="1"/>
  <c r="D48" i="32"/>
  <c r="D47" i="32"/>
  <c r="D46" i="32"/>
  <c r="D45" i="32"/>
  <c r="D43" i="32"/>
  <c r="A14" i="32"/>
  <c r="M13" i="32"/>
  <c r="L13" i="32"/>
  <c r="K13" i="32"/>
  <c r="A13" i="32"/>
  <c r="M12" i="32"/>
  <c r="L12" i="32"/>
  <c r="T11" i="32" s="1"/>
  <c r="M11" i="32"/>
  <c r="L11" i="32"/>
  <c r="U11" i="32" s="1"/>
  <c r="U12" i="32" s="1"/>
  <c r="M10" i="32"/>
  <c r="L10" i="32"/>
  <c r="R11" i="32" s="1"/>
  <c r="M9" i="32"/>
  <c r="L9" i="32"/>
  <c r="T8" i="32" s="1"/>
  <c r="M8" i="32"/>
  <c r="L8" i="32"/>
  <c r="U8" i="32" s="1"/>
  <c r="U9" i="32" s="1"/>
  <c r="M7" i="32"/>
  <c r="L7" i="32"/>
  <c r="R8" i="32" s="1"/>
  <c r="R9" i="32" s="1"/>
  <c r="M6" i="32"/>
  <c r="L6" i="32"/>
  <c r="T5" i="32" s="1"/>
  <c r="M5" i="32"/>
  <c r="L5" i="32"/>
  <c r="U5" i="32" s="1"/>
  <c r="U6" i="32" s="1"/>
  <c r="M4" i="32"/>
  <c r="L4" i="32"/>
  <c r="R5" i="32" s="1"/>
  <c r="R6" i="32" s="1"/>
  <c r="M3" i="32"/>
  <c r="L3" i="32"/>
  <c r="T2" i="32" s="1"/>
  <c r="T3" i="32" s="1"/>
  <c r="B3" i="32"/>
  <c r="M2" i="32"/>
  <c r="L2" i="32"/>
  <c r="U2" i="32" s="1"/>
  <c r="U3" i="32" s="1"/>
  <c r="M1" i="32"/>
  <c r="L1" i="32"/>
  <c r="R2" i="32" s="1"/>
  <c r="O269" i="31"/>
  <c r="O268" i="31"/>
  <c r="O267" i="31"/>
  <c r="O266" i="31"/>
  <c r="O264" i="31"/>
  <c r="M264" i="31"/>
  <c r="L264" i="31"/>
  <c r="O243" i="31"/>
  <c r="O242" i="31"/>
  <c r="O241" i="31"/>
  <c r="O240" i="31"/>
  <c r="O238" i="31"/>
  <c r="M238" i="31"/>
  <c r="L238" i="31"/>
  <c r="O217" i="31"/>
  <c r="O216" i="31"/>
  <c r="O215" i="31"/>
  <c r="O214" i="31"/>
  <c r="N217" i="31"/>
  <c r="O212" i="31"/>
  <c r="M212" i="31"/>
  <c r="L212" i="31"/>
  <c r="O191" i="31"/>
  <c r="O190" i="31"/>
  <c r="O189" i="31"/>
  <c r="O188" i="31"/>
  <c r="O186" i="31"/>
  <c r="M186" i="31"/>
  <c r="L186" i="31"/>
  <c r="O165" i="31"/>
  <c r="O164" i="31"/>
  <c r="O163" i="31"/>
  <c r="O162" i="31"/>
  <c r="O160" i="31"/>
  <c r="M160" i="31"/>
  <c r="L160" i="31"/>
  <c r="O139" i="31"/>
  <c r="O138" i="31"/>
  <c r="O137" i="31"/>
  <c r="O136" i="31"/>
  <c r="O134" i="31"/>
  <c r="M134" i="31"/>
  <c r="L134" i="31"/>
  <c r="O113" i="31"/>
  <c r="O112" i="31"/>
  <c r="O111" i="31"/>
  <c r="O110" i="31"/>
  <c r="O108" i="31"/>
  <c r="M108" i="31"/>
  <c r="L108" i="31"/>
  <c r="O87" i="31"/>
  <c r="O86" i="31"/>
  <c r="O85" i="31"/>
  <c r="O84" i="31"/>
  <c r="M82" i="31"/>
  <c r="L82" i="31"/>
  <c r="O61" i="31"/>
  <c r="O60" i="31"/>
  <c r="O59" i="31"/>
  <c r="O58" i="31"/>
  <c r="O56" i="31"/>
  <c r="M56" i="31"/>
  <c r="L56" i="31"/>
  <c r="M30" i="31"/>
  <c r="L30" i="31"/>
  <c r="O30" i="31" s="1"/>
  <c r="O35" i="31"/>
  <c r="O34" i="31"/>
  <c r="O33" i="31"/>
  <c r="O32" i="31"/>
  <c r="O300" i="27"/>
  <c r="O299" i="27"/>
  <c r="O298" i="27"/>
  <c r="O297" i="27"/>
  <c r="N300" i="27" s="1"/>
  <c r="O295" i="27"/>
  <c r="M295" i="27"/>
  <c r="L295" i="27"/>
  <c r="O272" i="27"/>
  <c r="O271" i="27"/>
  <c r="O270" i="27"/>
  <c r="O269" i="27"/>
  <c r="M267" i="27"/>
  <c r="L267" i="27"/>
  <c r="O244" i="27"/>
  <c r="O243" i="27"/>
  <c r="O242" i="27"/>
  <c r="O241" i="27"/>
  <c r="O239" i="27"/>
  <c r="M239" i="27"/>
  <c r="L239" i="27"/>
  <c r="O216" i="27"/>
  <c r="O215" i="27"/>
  <c r="O214" i="27"/>
  <c r="O213" i="27"/>
  <c r="N216" i="27" s="1"/>
  <c r="O211" i="27"/>
  <c r="M211" i="27"/>
  <c r="L211" i="27"/>
  <c r="O188" i="27"/>
  <c r="O187" i="27"/>
  <c r="O186" i="27"/>
  <c r="O185" i="27"/>
  <c r="O183" i="27"/>
  <c r="M183" i="27"/>
  <c r="L183" i="27"/>
  <c r="O160" i="27"/>
  <c r="O159" i="27"/>
  <c r="O158" i="27"/>
  <c r="O157" i="27"/>
  <c r="O155" i="27"/>
  <c r="M155" i="27"/>
  <c r="L155" i="27"/>
  <c r="O132" i="27"/>
  <c r="O131" i="27"/>
  <c r="O130" i="27"/>
  <c r="O129" i="27"/>
  <c r="O127" i="27"/>
  <c r="M127" i="27"/>
  <c r="L127" i="27"/>
  <c r="O104" i="27"/>
  <c r="O103" i="27"/>
  <c r="O102" i="27"/>
  <c r="O101" i="27"/>
  <c r="N104" i="27" s="1"/>
  <c r="O99" i="27"/>
  <c r="M99" i="27"/>
  <c r="L99" i="27"/>
  <c r="O76" i="27"/>
  <c r="O75" i="27"/>
  <c r="O74" i="27"/>
  <c r="O73" i="27"/>
  <c r="O71" i="27"/>
  <c r="M71" i="27"/>
  <c r="L71" i="27"/>
  <c r="M43" i="27"/>
  <c r="L43" i="27"/>
  <c r="O48" i="27"/>
  <c r="O47" i="27"/>
  <c r="O46" i="27"/>
  <c r="O45" i="27"/>
  <c r="N48" i="27" s="1"/>
  <c r="O43" i="27"/>
  <c r="N188" i="27" l="1"/>
  <c r="N160" i="27"/>
  <c r="N132" i="27"/>
  <c r="N272" i="27"/>
  <c r="N76" i="27"/>
  <c r="N244" i="27"/>
  <c r="C73" i="32"/>
  <c r="C262" i="32"/>
  <c r="C253" i="32" s="1"/>
  <c r="C251" i="32" s="1"/>
  <c r="C101" i="32"/>
  <c r="C290" i="32"/>
  <c r="C235" i="32"/>
  <c r="C226" i="32" s="1"/>
  <c r="C224" i="32" s="1"/>
  <c r="C289" i="32"/>
  <c r="C280" i="32" s="1"/>
  <c r="C278" i="32" s="1"/>
  <c r="C100" i="32"/>
  <c r="C91" i="32" s="1"/>
  <c r="C89" i="32" s="1"/>
  <c r="C127" i="32"/>
  <c r="C118" i="32" s="1"/>
  <c r="C116" i="32" s="1"/>
  <c r="C154" i="32"/>
  <c r="C145" i="32" s="1"/>
  <c r="C143" i="32" s="1"/>
  <c r="C182" i="32"/>
  <c r="C208" i="32"/>
  <c r="C199" i="32" s="1"/>
  <c r="C197" i="32" s="1"/>
  <c r="C74" i="32"/>
  <c r="C75" i="32" s="1"/>
  <c r="C263" i="32"/>
  <c r="C181" i="32"/>
  <c r="C172" i="32" s="1"/>
  <c r="C170" i="32" s="1"/>
  <c r="C128" i="32"/>
  <c r="D273" i="32"/>
  <c r="D286" i="32"/>
  <c r="D259" i="32"/>
  <c r="C236" i="32"/>
  <c r="D205" i="32"/>
  <c r="D178" i="32"/>
  <c r="C155" i="32"/>
  <c r="D124" i="32"/>
  <c r="D97" i="32"/>
  <c r="C64" i="32"/>
  <c r="C62" i="32" s="1"/>
  <c r="C46" i="32"/>
  <c r="C47" i="32"/>
  <c r="R12" i="32"/>
  <c r="R3" i="32"/>
  <c r="T6" i="32"/>
  <c r="T12" i="32"/>
  <c r="T9" i="32"/>
  <c r="A15" i="32"/>
  <c r="B4" i="32"/>
  <c r="O82" i="31"/>
  <c r="O267" i="27"/>
  <c r="C237" i="32" l="1"/>
  <c r="C264" i="32"/>
  <c r="C291" i="32"/>
  <c r="C210" i="32"/>
  <c r="C102" i="32"/>
  <c r="C156" i="32"/>
  <c r="C129" i="32"/>
  <c r="C183" i="32"/>
  <c r="C37" i="32"/>
  <c r="C35" i="32" s="1"/>
  <c r="C48" i="32"/>
  <c r="B5" i="32"/>
  <c r="A16" i="32"/>
  <c r="A17" i="32" l="1"/>
  <c r="B6" i="32"/>
  <c r="A18" i="32" l="1"/>
  <c r="B7" i="32"/>
  <c r="A19" i="32" l="1"/>
  <c r="B8" i="32"/>
  <c r="B9" i="32" l="1"/>
  <c r="A20" i="32"/>
  <c r="B10" i="32" l="1"/>
  <c r="A21" i="32"/>
  <c r="B11" i="32" l="1"/>
  <c r="D282" i="31" l="1"/>
  <c r="D281" i="31"/>
  <c r="D280" i="31"/>
  <c r="D279" i="31"/>
  <c r="D277" i="31"/>
  <c r="B277" i="31"/>
  <c r="A277" i="31"/>
  <c r="D269" i="31"/>
  <c r="D268" i="31"/>
  <c r="D267" i="31"/>
  <c r="C267" i="31"/>
  <c r="D266" i="31"/>
  <c r="C266" i="31"/>
  <c r="D264" i="31"/>
  <c r="B264" i="31"/>
  <c r="A264" i="31"/>
  <c r="D256" i="31"/>
  <c r="D255" i="31"/>
  <c r="D254" i="31"/>
  <c r="D253" i="31"/>
  <c r="B251" i="31"/>
  <c r="A251" i="31"/>
  <c r="D243" i="31"/>
  <c r="D242" i="31"/>
  <c r="D241" i="31"/>
  <c r="C241" i="31"/>
  <c r="D240" i="31"/>
  <c r="C240" i="31"/>
  <c r="D238" i="31"/>
  <c r="B238" i="31"/>
  <c r="A238" i="31"/>
  <c r="D230" i="31"/>
  <c r="D229" i="31"/>
  <c r="D228" i="31"/>
  <c r="D227" i="31"/>
  <c r="D225" i="31"/>
  <c r="B225" i="31"/>
  <c r="A225" i="31"/>
  <c r="D217" i="31"/>
  <c r="D216" i="31"/>
  <c r="D215" i="31"/>
  <c r="C215" i="31"/>
  <c r="D214" i="31"/>
  <c r="C214" i="31"/>
  <c r="D212" i="31"/>
  <c r="B212" i="31"/>
  <c r="A212" i="31"/>
  <c r="D204" i="31"/>
  <c r="D203" i="31"/>
  <c r="D202" i="31"/>
  <c r="D201" i="31"/>
  <c r="D199" i="31"/>
  <c r="B199" i="31"/>
  <c r="A199" i="31"/>
  <c r="D191" i="31"/>
  <c r="D190" i="31"/>
  <c r="D189" i="31"/>
  <c r="C189" i="31"/>
  <c r="D188" i="31"/>
  <c r="C188" i="31"/>
  <c r="D186" i="31"/>
  <c r="B186" i="31"/>
  <c r="A186" i="31"/>
  <c r="D178" i="31"/>
  <c r="D177" i="31"/>
  <c r="D176" i="31"/>
  <c r="D175" i="31"/>
  <c r="B173" i="31"/>
  <c r="A173" i="31"/>
  <c r="D165" i="31"/>
  <c r="D164" i="31"/>
  <c r="D163" i="31"/>
  <c r="C163" i="31"/>
  <c r="D162" i="31"/>
  <c r="C162" i="31"/>
  <c r="D160" i="31"/>
  <c r="B160" i="31"/>
  <c r="A160" i="31"/>
  <c r="D152" i="31"/>
  <c r="D151" i="31"/>
  <c r="D150" i="31"/>
  <c r="D149" i="31"/>
  <c r="B147" i="31"/>
  <c r="A147" i="31"/>
  <c r="D139" i="31"/>
  <c r="D138" i="31"/>
  <c r="D137" i="31"/>
  <c r="C137" i="31"/>
  <c r="D136" i="31"/>
  <c r="C136" i="31"/>
  <c r="D134" i="31"/>
  <c r="B134" i="31"/>
  <c r="A134" i="31"/>
  <c r="D126" i="31"/>
  <c r="J125" i="31"/>
  <c r="D125" i="31"/>
  <c r="D124" i="31"/>
  <c r="D123" i="31"/>
  <c r="D121" i="31"/>
  <c r="B121" i="31"/>
  <c r="A121" i="31"/>
  <c r="J126" i="31" s="1"/>
  <c r="D113" i="31"/>
  <c r="D112" i="31"/>
  <c r="D111" i="31"/>
  <c r="C111" i="31"/>
  <c r="D110" i="31"/>
  <c r="C110" i="31"/>
  <c r="D108" i="31"/>
  <c r="B108" i="31"/>
  <c r="A108" i="31"/>
  <c r="D100" i="31"/>
  <c r="J99" i="31"/>
  <c r="D99" i="31"/>
  <c r="D98" i="31"/>
  <c r="D97" i="31"/>
  <c r="D95" i="31"/>
  <c r="B95" i="31"/>
  <c r="A95" i="31"/>
  <c r="J100" i="31" s="1"/>
  <c r="D87" i="31"/>
  <c r="D86" i="31"/>
  <c r="D85" i="31"/>
  <c r="C85" i="31"/>
  <c r="D84" i="31"/>
  <c r="C84" i="31"/>
  <c r="D82" i="31"/>
  <c r="B82" i="31"/>
  <c r="A82" i="31"/>
  <c r="B69" i="31"/>
  <c r="A69" i="31"/>
  <c r="B56" i="31"/>
  <c r="A56" i="31"/>
  <c r="J74" i="31"/>
  <c r="D74" i="31"/>
  <c r="J73" i="31"/>
  <c r="D73" i="31"/>
  <c r="D72" i="31"/>
  <c r="D71" i="31"/>
  <c r="D69" i="31"/>
  <c r="D61" i="31"/>
  <c r="D60" i="31"/>
  <c r="D59" i="31"/>
  <c r="C59" i="31"/>
  <c r="D58" i="31"/>
  <c r="C58" i="31"/>
  <c r="D56" i="31"/>
  <c r="J48" i="31"/>
  <c r="J47" i="31"/>
  <c r="C32" i="31"/>
  <c r="D35" i="31"/>
  <c r="D34" i="31"/>
  <c r="D33" i="31"/>
  <c r="C33" i="31"/>
  <c r="D32" i="31"/>
  <c r="D30" i="31"/>
  <c r="B13" i="31"/>
  <c r="B14" i="31" s="1"/>
  <c r="B15" i="31" s="1"/>
  <c r="B16" i="31" s="1"/>
  <c r="B17" i="31" s="1"/>
  <c r="B18" i="31" s="1"/>
  <c r="B19" i="31" s="1"/>
  <c r="B20" i="31" s="1"/>
  <c r="B21" i="31" s="1"/>
  <c r="A4" i="31"/>
  <c r="A5" i="31" s="1"/>
  <c r="A6" i="31" s="1"/>
  <c r="A7" i="31" s="1"/>
  <c r="A8" i="31" s="1"/>
  <c r="A9" i="31" s="1"/>
  <c r="A10" i="31" s="1"/>
  <c r="A11" i="31" s="1"/>
  <c r="A3" i="31"/>
  <c r="D48" i="31"/>
  <c r="D47" i="31"/>
  <c r="D46" i="31"/>
  <c r="C47" i="31" s="1"/>
  <c r="D45" i="31"/>
  <c r="D43" i="31"/>
  <c r="A14" i="31"/>
  <c r="M13" i="31"/>
  <c r="L13" i="31"/>
  <c r="K13" i="31"/>
  <c r="A13" i="31"/>
  <c r="M12" i="31"/>
  <c r="L12" i="31"/>
  <c r="T11" i="31" s="1"/>
  <c r="M11" i="31"/>
  <c r="L11" i="31"/>
  <c r="U11" i="31" s="1"/>
  <c r="U12" i="31" s="1"/>
  <c r="M10" i="31"/>
  <c r="L10" i="31"/>
  <c r="R11" i="31" s="1"/>
  <c r="M9" i="31"/>
  <c r="L9" i="31"/>
  <c r="T8" i="31" s="1"/>
  <c r="M8" i="31"/>
  <c r="L8" i="31"/>
  <c r="U8" i="31" s="1"/>
  <c r="U9" i="31" s="1"/>
  <c r="M7" i="31"/>
  <c r="L7" i="31"/>
  <c r="R8" i="31" s="1"/>
  <c r="R9" i="31" s="1"/>
  <c r="M6" i="31"/>
  <c r="L6" i="31"/>
  <c r="T5" i="31" s="1"/>
  <c r="M5" i="31"/>
  <c r="L5" i="31"/>
  <c r="U5" i="31" s="1"/>
  <c r="U6" i="31" s="1"/>
  <c r="M4" i="31"/>
  <c r="L4" i="31"/>
  <c r="R5" i="31" s="1"/>
  <c r="R6" i="31" s="1"/>
  <c r="M3" i="31"/>
  <c r="L3" i="31"/>
  <c r="T2" i="31" s="1"/>
  <c r="T3" i="31" s="1"/>
  <c r="B3" i="31"/>
  <c r="M2" i="31"/>
  <c r="L2" i="31"/>
  <c r="U2" i="31" s="1"/>
  <c r="U3" i="31" s="1"/>
  <c r="M1" i="31"/>
  <c r="L1" i="31"/>
  <c r="R2" i="31" s="1"/>
  <c r="D263" i="30"/>
  <c r="D262" i="30"/>
  <c r="D261" i="30"/>
  <c r="D260" i="30"/>
  <c r="B258" i="30"/>
  <c r="A258" i="30"/>
  <c r="E252" i="30"/>
  <c r="D250" i="30"/>
  <c r="D249" i="30"/>
  <c r="D248" i="30"/>
  <c r="C248" i="30"/>
  <c r="D246" i="30"/>
  <c r="B246" i="30"/>
  <c r="A246" i="30"/>
  <c r="D239" i="30"/>
  <c r="D238" i="30"/>
  <c r="D237" i="30"/>
  <c r="D236" i="30"/>
  <c r="D234" i="30"/>
  <c r="B234" i="30"/>
  <c r="A234" i="30"/>
  <c r="E228" i="30"/>
  <c r="D226" i="30"/>
  <c r="D225" i="30"/>
  <c r="D224" i="30"/>
  <c r="C224" i="30"/>
  <c r="B222" i="30"/>
  <c r="D222" i="30" s="1"/>
  <c r="A222" i="30"/>
  <c r="D215" i="30"/>
  <c r="D214" i="30"/>
  <c r="D213" i="30"/>
  <c r="C214" i="30" s="1"/>
  <c r="D212" i="30"/>
  <c r="B210" i="30"/>
  <c r="A210" i="30"/>
  <c r="D210" i="30" s="1"/>
  <c r="E204" i="30"/>
  <c r="D202" i="30"/>
  <c r="D201" i="30"/>
  <c r="D200" i="30"/>
  <c r="C200" i="30"/>
  <c r="D198" i="30"/>
  <c r="B198" i="30"/>
  <c r="A198" i="30"/>
  <c r="D191" i="30"/>
  <c r="D190" i="30"/>
  <c r="D189" i="30"/>
  <c r="D188" i="30"/>
  <c r="B186" i="30"/>
  <c r="A186" i="30"/>
  <c r="E180" i="30"/>
  <c r="D178" i="30"/>
  <c r="D177" i="30"/>
  <c r="D176" i="30"/>
  <c r="C176" i="30"/>
  <c r="D174" i="30"/>
  <c r="B174" i="30"/>
  <c r="A174" i="30"/>
  <c r="D167" i="30"/>
  <c r="D166" i="30"/>
  <c r="D165" i="30"/>
  <c r="C166" i="30" s="1"/>
  <c r="D164" i="30"/>
  <c r="B162" i="30"/>
  <c r="A162" i="30"/>
  <c r="E156" i="30"/>
  <c r="D154" i="30"/>
  <c r="D153" i="30"/>
  <c r="D152" i="30"/>
  <c r="C152" i="30"/>
  <c r="D150" i="30"/>
  <c r="B150" i="30"/>
  <c r="A150" i="30"/>
  <c r="D143" i="30"/>
  <c r="D142" i="30"/>
  <c r="D141" i="30"/>
  <c r="C142" i="30" s="1"/>
  <c r="D140" i="30"/>
  <c r="B138" i="30"/>
  <c r="A138" i="30"/>
  <c r="E132" i="30"/>
  <c r="D130" i="30"/>
  <c r="D129" i="30"/>
  <c r="D128" i="30"/>
  <c r="C128" i="30"/>
  <c r="D126" i="30"/>
  <c r="B126" i="30"/>
  <c r="A126" i="30"/>
  <c r="D119" i="30"/>
  <c r="D118" i="30"/>
  <c r="D117" i="30"/>
  <c r="C118" i="30" s="1"/>
  <c r="D116" i="30"/>
  <c r="B114" i="30"/>
  <c r="A114" i="30"/>
  <c r="E108" i="30"/>
  <c r="J106" i="30"/>
  <c r="D106" i="30"/>
  <c r="D105" i="30"/>
  <c r="D104" i="30"/>
  <c r="C104" i="30"/>
  <c r="D102" i="30"/>
  <c r="B102" i="30"/>
  <c r="A102" i="30"/>
  <c r="D95" i="30"/>
  <c r="D94" i="30"/>
  <c r="D93" i="30"/>
  <c r="C94" i="30" s="1"/>
  <c r="D92" i="30"/>
  <c r="B90" i="30"/>
  <c r="A90" i="30"/>
  <c r="D90" i="30" s="1"/>
  <c r="E84" i="30"/>
  <c r="J82" i="30"/>
  <c r="D82" i="30"/>
  <c r="D81" i="30"/>
  <c r="D80" i="30"/>
  <c r="C80" i="30"/>
  <c r="D78" i="30"/>
  <c r="B78" i="30"/>
  <c r="A78" i="30"/>
  <c r="B66" i="30"/>
  <c r="A66" i="30"/>
  <c r="B54" i="30"/>
  <c r="A54" i="30"/>
  <c r="D71" i="30"/>
  <c r="D70" i="30"/>
  <c r="D69" i="30"/>
  <c r="C70" i="30" s="1"/>
  <c r="D68" i="30"/>
  <c r="E60" i="30"/>
  <c r="J58" i="30"/>
  <c r="D58" i="30"/>
  <c r="D57" i="30"/>
  <c r="J56" i="30"/>
  <c r="D56" i="30"/>
  <c r="C56" i="30"/>
  <c r="D54" i="30"/>
  <c r="C32" i="30"/>
  <c r="D47" i="30"/>
  <c r="D46" i="30"/>
  <c r="D45" i="30"/>
  <c r="C46" i="30" s="1"/>
  <c r="D44" i="30"/>
  <c r="D42" i="30"/>
  <c r="J34" i="30"/>
  <c r="J32" i="30"/>
  <c r="E36" i="30"/>
  <c r="D34" i="30"/>
  <c r="D33" i="30"/>
  <c r="D32" i="30"/>
  <c r="D30" i="30"/>
  <c r="M13" i="30"/>
  <c r="L13" i="30"/>
  <c r="K13" i="30"/>
  <c r="B13" i="30"/>
  <c r="A13" i="30"/>
  <c r="M12" i="30"/>
  <c r="L12" i="30"/>
  <c r="T11" i="30" s="1"/>
  <c r="T12" i="30" s="1"/>
  <c r="M11" i="30"/>
  <c r="L11" i="30"/>
  <c r="U11" i="30" s="1"/>
  <c r="U12" i="30" s="1"/>
  <c r="M10" i="30"/>
  <c r="L10" i="30"/>
  <c r="R11" i="30" s="1"/>
  <c r="R12" i="30" s="1"/>
  <c r="M9" i="30"/>
  <c r="L9" i="30"/>
  <c r="T8" i="30" s="1"/>
  <c r="M8" i="30"/>
  <c r="L8" i="30"/>
  <c r="U8" i="30" s="1"/>
  <c r="U9" i="30" s="1"/>
  <c r="M7" i="30"/>
  <c r="L7" i="30"/>
  <c r="R8" i="30" s="1"/>
  <c r="R9" i="30" s="1"/>
  <c r="M6" i="30"/>
  <c r="L6" i="30"/>
  <c r="T5" i="30" s="1"/>
  <c r="M5" i="30"/>
  <c r="L5" i="30"/>
  <c r="U5" i="30" s="1"/>
  <c r="U6" i="30" s="1"/>
  <c r="M4" i="30"/>
  <c r="L4" i="30"/>
  <c r="R5" i="30" s="1"/>
  <c r="M3" i="30"/>
  <c r="L3" i="30"/>
  <c r="T2" i="30" s="1"/>
  <c r="T3" i="30" s="1"/>
  <c r="B3" i="30"/>
  <c r="A3" i="30"/>
  <c r="M2" i="30"/>
  <c r="L2" i="30"/>
  <c r="U2" i="30" s="1"/>
  <c r="U3" i="30" s="1"/>
  <c r="M1" i="30"/>
  <c r="L1" i="30"/>
  <c r="R2" i="30" s="1"/>
  <c r="D138" i="22"/>
  <c r="D137" i="22"/>
  <c r="D136" i="22"/>
  <c r="D135" i="22"/>
  <c r="B133" i="22"/>
  <c r="A133" i="22"/>
  <c r="D125" i="22"/>
  <c r="D124" i="22"/>
  <c r="D123" i="22"/>
  <c r="D122" i="22"/>
  <c r="B120" i="22"/>
  <c r="A120" i="22"/>
  <c r="D112" i="22"/>
  <c r="D111" i="22"/>
  <c r="D110" i="22"/>
  <c r="D109" i="22"/>
  <c r="B107" i="22"/>
  <c r="A107" i="22"/>
  <c r="D99" i="22"/>
  <c r="D98" i="22"/>
  <c r="D97" i="22"/>
  <c r="D96" i="22"/>
  <c r="B94" i="22"/>
  <c r="A94" i="22"/>
  <c r="D86" i="22"/>
  <c r="D85" i="22"/>
  <c r="D84" i="22"/>
  <c r="D83" i="22"/>
  <c r="B81" i="22"/>
  <c r="A81" i="22"/>
  <c r="D73" i="22"/>
  <c r="D72" i="22"/>
  <c r="D71" i="22"/>
  <c r="D70" i="22"/>
  <c r="B68" i="22"/>
  <c r="A68" i="22"/>
  <c r="D60" i="22"/>
  <c r="D59" i="22"/>
  <c r="D58" i="22"/>
  <c r="D57" i="22"/>
  <c r="B55" i="22"/>
  <c r="A55" i="22"/>
  <c r="J59" i="22" s="1"/>
  <c r="D47" i="22"/>
  <c r="D46" i="22"/>
  <c r="D45" i="22"/>
  <c r="D44" i="22"/>
  <c r="B42" i="22"/>
  <c r="A42" i="22"/>
  <c r="J46" i="22" s="1"/>
  <c r="D29" i="22"/>
  <c r="D16" i="22"/>
  <c r="B29" i="22"/>
  <c r="A29" i="22"/>
  <c r="J34" i="22" s="1"/>
  <c r="D34" i="22"/>
  <c r="J33" i="22"/>
  <c r="D33" i="22"/>
  <c r="D32" i="22"/>
  <c r="D31" i="22"/>
  <c r="J21" i="22"/>
  <c r="J20" i="22"/>
  <c r="A5" i="22"/>
  <c r="A6" i="22" s="1"/>
  <c r="A7" i="22" s="1"/>
  <c r="A8" i="22" s="1"/>
  <c r="A9" i="22" s="1"/>
  <c r="A10" i="22" s="1"/>
  <c r="A11" i="22" s="1"/>
  <c r="B5" i="22"/>
  <c r="B6" i="22" s="1"/>
  <c r="B7" i="22" s="1"/>
  <c r="B8" i="22" s="1"/>
  <c r="B9" i="22" s="1"/>
  <c r="B10" i="22" s="1"/>
  <c r="B11" i="22" s="1"/>
  <c r="C283" i="31" l="1"/>
  <c r="C269" i="31"/>
  <c r="C190" i="30"/>
  <c r="C217" i="31"/>
  <c r="C262" i="30"/>
  <c r="C238" i="30"/>
  <c r="C49" i="31"/>
  <c r="C231" i="31"/>
  <c r="C281" i="31"/>
  <c r="C280" i="31"/>
  <c r="C58" i="22"/>
  <c r="C61" i="22" s="1"/>
  <c r="C110" i="22"/>
  <c r="C113" i="22" s="1"/>
  <c r="C125" i="31"/>
  <c r="C32" i="22"/>
  <c r="C35" i="22" s="1"/>
  <c r="C101" i="31"/>
  <c r="C153" i="31"/>
  <c r="C179" i="31"/>
  <c r="C177" i="31"/>
  <c r="C202" i="31"/>
  <c r="C228" i="31"/>
  <c r="C219" i="31" s="1"/>
  <c r="C71" i="22"/>
  <c r="C74" i="22" s="1"/>
  <c r="C124" i="22"/>
  <c r="C137" i="22"/>
  <c r="C69" i="30"/>
  <c r="C60" i="30" s="1"/>
  <c r="G60" i="30" s="1"/>
  <c r="C127" i="31"/>
  <c r="C205" i="31"/>
  <c r="C257" i="31"/>
  <c r="C237" i="30"/>
  <c r="C228" i="30" s="1"/>
  <c r="H228" i="30" s="1"/>
  <c r="C213" i="30"/>
  <c r="C204" i="30" s="1"/>
  <c r="C202" i="30" s="1"/>
  <c r="C150" i="31"/>
  <c r="C97" i="22"/>
  <c r="C100" i="22" s="1"/>
  <c r="C75" i="31"/>
  <c r="C73" i="31"/>
  <c r="C151" i="31"/>
  <c r="C117" i="30"/>
  <c r="C108" i="30" s="1"/>
  <c r="C165" i="30"/>
  <c r="C156" i="30" s="1"/>
  <c r="C254" i="31"/>
  <c r="C245" i="31" s="1"/>
  <c r="C243" i="31" s="1"/>
  <c r="C72" i="31"/>
  <c r="C124" i="31"/>
  <c r="C176" i="31"/>
  <c r="C255" i="31"/>
  <c r="C189" i="30"/>
  <c r="C180" i="30" s="1"/>
  <c r="C98" i="31"/>
  <c r="C89" i="31" s="1"/>
  <c r="C87" i="31" s="1"/>
  <c r="C93" i="30"/>
  <c r="C84" i="30" s="1"/>
  <c r="H84" i="30" s="1"/>
  <c r="C141" i="30"/>
  <c r="C132" i="30" s="1"/>
  <c r="C130" i="30" s="1"/>
  <c r="C261" i="30"/>
  <c r="C252" i="30" s="1"/>
  <c r="C250" i="30" s="1"/>
  <c r="C99" i="31"/>
  <c r="D251" i="31"/>
  <c r="C229" i="31"/>
  <c r="C203" i="31"/>
  <c r="D173" i="31"/>
  <c r="D147" i="31"/>
  <c r="C46" i="31"/>
  <c r="C37" i="31" s="1"/>
  <c r="C35" i="31" s="1"/>
  <c r="R12" i="31"/>
  <c r="T9" i="31"/>
  <c r="T12" i="31"/>
  <c r="R3" i="31"/>
  <c r="T6" i="31"/>
  <c r="A15" i="31"/>
  <c r="B4" i="31"/>
  <c r="D258" i="30"/>
  <c r="D186" i="30"/>
  <c r="D162" i="30"/>
  <c r="D138" i="30"/>
  <c r="J104" i="30"/>
  <c r="D114" i="30"/>
  <c r="J80" i="30"/>
  <c r="D66" i="30"/>
  <c r="C45" i="30"/>
  <c r="C36" i="30" s="1"/>
  <c r="C34" i="30" s="1"/>
  <c r="A4" i="30"/>
  <c r="A5" i="30" s="1"/>
  <c r="A6" i="30" s="1"/>
  <c r="A14" i="30"/>
  <c r="A15" i="30" s="1"/>
  <c r="A16" i="30" s="1"/>
  <c r="T6" i="30"/>
  <c r="R3" i="30"/>
  <c r="B4" i="30"/>
  <c r="A7" i="30"/>
  <c r="R6" i="30"/>
  <c r="T9" i="30"/>
  <c r="B14" i="30"/>
  <c r="C84" i="22"/>
  <c r="C87" i="22" s="1"/>
  <c r="C45" i="22"/>
  <c r="C48" i="22" s="1"/>
  <c r="C136" i="22"/>
  <c r="D133" i="22"/>
  <c r="C123" i="22"/>
  <c r="D120" i="22"/>
  <c r="C111" i="22"/>
  <c r="D107" i="22"/>
  <c r="C98" i="22"/>
  <c r="D94" i="22"/>
  <c r="D81" i="22"/>
  <c r="C85" i="22"/>
  <c r="D68" i="22"/>
  <c r="C72" i="22"/>
  <c r="C59" i="22"/>
  <c r="D55" i="22"/>
  <c r="J60" i="22"/>
  <c r="C46" i="22"/>
  <c r="D42" i="22"/>
  <c r="J47" i="22"/>
  <c r="C33" i="22"/>
  <c r="C47" i="22" l="1"/>
  <c r="C48" i="31"/>
  <c r="C47" i="30"/>
  <c r="C282" i="31"/>
  <c r="C60" i="22"/>
  <c r="C193" i="31"/>
  <c r="C191" i="31" s="1"/>
  <c r="C167" i="31"/>
  <c r="C165" i="31" s="1"/>
  <c r="C115" i="31"/>
  <c r="C113" i="31" s="1"/>
  <c r="C63" i="31"/>
  <c r="C61" i="31" s="1"/>
  <c r="C141" i="31"/>
  <c r="C139" i="31" s="1"/>
  <c r="C271" i="31"/>
  <c r="G132" i="30"/>
  <c r="F132" i="30"/>
  <c r="H132" i="30"/>
  <c r="C143" i="30"/>
  <c r="C71" i="30"/>
  <c r="C112" i="22"/>
  <c r="C204" i="31"/>
  <c r="C230" i="31"/>
  <c r="C167" i="30"/>
  <c r="C99" i="22"/>
  <c r="C152" i="31"/>
  <c r="C239" i="30"/>
  <c r="C95" i="30"/>
  <c r="H180" i="30"/>
  <c r="G180" i="30"/>
  <c r="H156" i="30"/>
  <c r="G156" i="30"/>
  <c r="C191" i="30"/>
  <c r="C73" i="22"/>
  <c r="C263" i="30"/>
  <c r="C86" i="22"/>
  <c r="G252" i="30"/>
  <c r="F252" i="30"/>
  <c r="C215" i="30"/>
  <c r="H252" i="30"/>
  <c r="C74" i="31"/>
  <c r="C100" i="31"/>
  <c r="C106" i="30"/>
  <c r="G108" i="30"/>
  <c r="F108" i="30"/>
  <c r="H108" i="30"/>
  <c r="C178" i="31"/>
  <c r="F36" i="30"/>
  <c r="C256" i="31"/>
  <c r="G36" i="30"/>
  <c r="H36" i="30"/>
  <c r="C119" i="30"/>
  <c r="C126" i="31"/>
  <c r="A16" i="31"/>
  <c r="B5" i="31"/>
  <c r="G228" i="30"/>
  <c r="C226" i="30"/>
  <c r="F228" i="30"/>
  <c r="G204" i="30"/>
  <c r="F204" i="30"/>
  <c r="H204" i="30"/>
  <c r="F180" i="30"/>
  <c r="C178" i="30"/>
  <c r="C154" i="30"/>
  <c r="F156" i="30"/>
  <c r="C82" i="30"/>
  <c r="G84" i="30"/>
  <c r="F84" i="30"/>
  <c r="H60" i="30"/>
  <c r="F60" i="30"/>
  <c r="C58" i="30"/>
  <c r="B15" i="30"/>
  <c r="A8" i="30"/>
  <c r="A17" i="30"/>
  <c r="B5" i="30"/>
  <c r="C139" i="22"/>
  <c r="C138" i="22" s="1"/>
  <c r="C126" i="22"/>
  <c r="C125" i="22" s="1"/>
  <c r="C34" i="22"/>
  <c r="B6" i="31" l="1"/>
  <c r="A17" i="31"/>
  <c r="B16" i="30"/>
  <c r="B6" i="30"/>
  <c r="A9" i="30"/>
  <c r="A18" i="30"/>
  <c r="A18" i="31" l="1"/>
  <c r="B7" i="31"/>
  <c r="B7" i="30"/>
  <c r="B17" i="30"/>
  <c r="A10" i="30"/>
  <c r="A19" i="30"/>
  <c r="B8" i="31" l="1"/>
  <c r="A19" i="31"/>
  <c r="A11" i="30"/>
  <c r="B18" i="30"/>
  <c r="A20" i="30"/>
  <c r="B8" i="30"/>
  <c r="A20" i="31" l="1"/>
  <c r="B9" i="31"/>
  <c r="B19" i="30"/>
  <c r="B9" i="30"/>
  <c r="A21" i="30"/>
  <c r="A21" i="31" l="1"/>
  <c r="B10" i="31"/>
  <c r="B10" i="30"/>
  <c r="B20" i="30"/>
  <c r="B11" i="31" l="1"/>
  <c r="B21" i="30"/>
  <c r="B11" i="30"/>
  <c r="C22" i="23" l="1"/>
  <c r="Q19" i="23"/>
  <c r="R18" i="23"/>
  <c r="C154" i="23"/>
  <c r="C153" i="23"/>
  <c r="C139" i="23"/>
  <c r="C138" i="23"/>
  <c r="C124" i="23"/>
  <c r="C123" i="23"/>
  <c r="C109" i="23"/>
  <c r="C108" i="23"/>
  <c r="C94" i="23"/>
  <c r="C93" i="23"/>
  <c r="C79" i="23"/>
  <c r="C78" i="23"/>
  <c r="C64" i="23"/>
  <c r="C63" i="23"/>
  <c r="C49" i="23"/>
  <c r="C48" i="23"/>
  <c r="C34" i="23"/>
  <c r="C33" i="23"/>
  <c r="C19" i="23"/>
  <c r="C18" i="23"/>
  <c r="C280" i="26"/>
  <c r="C279" i="26"/>
  <c r="C254" i="26"/>
  <c r="C253" i="26"/>
  <c r="C228" i="26"/>
  <c r="C227" i="26"/>
  <c r="C202" i="26"/>
  <c r="C201" i="26"/>
  <c r="C176" i="26"/>
  <c r="C175" i="26"/>
  <c r="C150" i="26"/>
  <c r="C149" i="26"/>
  <c r="C124" i="26"/>
  <c r="C123" i="26"/>
  <c r="C98" i="26"/>
  <c r="C97" i="26"/>
  <c r="C72" i="26"/>
  <c r="C71" i="26"/>
  <c r="C46" i="26"/>
  <c r="C45" i="26"/>
  <c r="C137" i="21"/>
  <c r="C136" i="21"/>
  <c r="C124" i="21"/>
  <c r="C123" i="21"/>
  <c r="C111" i="21"/>
  <c r="C110" i="21"/>
  <c r="C98" i="21"/>
  <c r="C97" i="21"/>
  <c r="C85" i="21"/>
  <c r="C84" i="21"/>
  <c r="C72" i="21"/>
  <c r="C71" i="21"/>
  <c r="C59" i="21"/>
  <c r="C58" i="21"/>
  <c r="C46" i="21"/>
  <c r="C45" i="21"/>
  <c r="C33" i="21"/>
  <c r="C32" i="21"/>
  <c r="C19" i="21"/>
  <c r="C20" i="21"/>
  <c r="C69" i="20"/>
  <c r="C68" i="20"/>
  <c r="C93" i="20"/>
  <c r="C92" i="20"/>
  <c r="C117" i="20"/>
  <c r="C116" i="20"/>
  <c r="C141" i="20"/>
  <c r="C140" i="20"/>
  <c r="C165" i="20"/>
  <c r="C164" i="20"/>
  <c r="C189" i="20"/>
  <c r="C188" i="20"/>
  <c r="C213" i="20"/>
  <c r="C212" i="20"/>
  <c r="C237" i="20"/>
  <c r="C236" i="20"/>
  <c r="C261" i="20"/>
  <c r="C260" i="20"/>
  <c r="C298" i="27"/>
  <c r="C297" i="27"/>
  <c r="C270" i="27"/>
  <c r="C269" i="27"/>
  <c r="C242" i="27"/>
  <c r="C241" i="27"/>
  <c r="C214" i="27"/>
  <c r="C213" i="27"/>
  <c r="C186" i="27"/>
  <c r="C185" i="27"/>
  <c r="C158" i="27"/>
  <c r="C157" i="27"/>
  <c r="C130" i="27"/>
  <c r="C129" i="27"/>
  <c r="C102" i="27"/>
  <c r="C101" i="27"/>
  <c r="C74" i="27"/>
  <c r="C73" i="27"/>
  <c r="C285" i="27"/>
  <c r="C284" i="27"/>
  <c r="C257" i="27"/>
  <c r="C256" i="27"/>
  <c r="C229" i="27"/>
  <c r="C228" i="27"/>
  <c r="C201" i="27"/>
  <c r="C200" i="27"/>
  <c r="C173" i="27"/>
  <c r="C172" i="27"/>
  <c r="C145" i="27"/>
  <c r="C144" i="27"/>
  <c r="C117" i="27"/>
  <c r="C116" i="27"/>
  <c r="C89" i="27"/>
  <c r="C88" i="27"/>
  <c r="C61" i="27"/>
  <c r="C60" i="27"/>
  <c r="C46" i="27"/>
  <c r="C45" i="27"/>
  <c r="C33" i="27"/>
  <c r="C32" i="27"/>
  <c r="D32" i="21"/>
  <c r="C157" i="23" l="1"/>
  <c r="D156" i="23"/>
  <c r="D155" i="23"/>
  <c r="D154" i="23"/>
  <c r="D153" i="23"/>
  <c r="A151" i="23"/>
  <c r="C142" i="23"/>
  <c r="D141" i="23"/>
  <c r="D140" i="23"/>
  <c r="D139" i="23"/>
  <c r="D138" i="23"/>
  <c r="A136" i="23"/>
  <c r="C127" i="23"/>
  <c r="D126" i="23"/>
  <c r="D125" i="23"/>
  <c r="D124" i="23"/>
  <c r="D123" i="23"/>
  <c r="A121" i="23"/>
  <c r="C112" i="23"/>
  <c r="D111" i="23"/>
  <c r="D110" i="23"/>
  <c r="D109" i="23"/>
  <c r="D108" i="23"/>
  <c r="A106" i="23"/>
  <c r="C97" i="23"/>
  <c r="D96" i="23"/>
  <c r="D95" i="23"/>
  <c r="D94" i="23"/>
  <c r="D93" i="23"/>
  <c r="A91" i="23"/>
  <c r="C82" i="23"/>
  <c r="D81" i="23"/>
  <c r="D80" i="23"/>
  <c r="D79" i="23"/>
  <c r="D78" i="23"/>
  <c r="A76" i="23"/>
  <c r="C67" i="23"/>
  <c r="D66" i="23"/>
  <c r="D65" i="23"/>
  <c r="D64" i="23"/>
  <c r="D63" i="23"/>
  <c r="A61" i="23"/>
  <c r="J67" i="23" s="1"/>
  <c r="D46" i="23"/>
  <c r="D31" i="23"/>
  <c r="D16" i="23"/>
  <c r="C52" i="23"/>
  <c r="J51" i="23"/>
  <c r="D51" i="23"/>
  <c r="D50" i="23"/>
  <c r="D49" i="23"/>
  <c r="D48" i="23"/>
  <c r="A46" i="23"/>
  <c r="J52" i="23" s="1"/>
  <c r="J37" i="23"/>
  <c r="J36" i="23"/>
  <c r="J22" i="23"/>
  <c r="J21" i="23"/>
  <c r="A5" i="23"/>
  <c r="B5" i="23"/>
  <c r="B6" i="23"/>
  <c r="C111" i="23" l="1"/>
  <c r="C51" i="23"/>
  <c r="C66" i="23"/>
  <c r="C96" i="23"/>
  <c r="C156" i="23"/>
  <c r="C81" i="23"/>
  <c r="C141" i="23"/>
  <c r="C126" i="23"/>
  <c r="B151" i="23"/>
  <c r="D151" i="23"/>
  <c r="B136" i="23"/>
  <c r="D136" i="23"/>
  <c r="B121" i="23"/>
  <c r="D121" i="23"/>
  <c r="B106" i="23"/>
  <c r="D106" i="23"/>
  <c r="B91" i="23"/>
  <c r="D91" i="23"/>
  <c r="B76" i="23"/>
  <c r="D76" i="23"/>
  <c r="J66" i="23"/>
  <c r="B61" i="23"/>
  <c r="D61" i="23"/>
  <c r="B46" i="23"/>
  <c r="B7" i="23"/>
  <c r="A6" i="23"/>
  <c r="A7" i="23" l="1"/>
  <c r="B8" i="23"/>
  <c r="A8" i="23" l="1"/>
  <c r="B9" i="23"/>
  <c r="B10" i="23" l="1"/>
  <c r="A9" i="23"/>
  <c r="A10" i="23" l="1"/>
  <c r="B11" i="23"/>
  <c r="A11" i="23" l="1"/>
  <c r="D300" i="27" l="1"/>
  <c r="D299" i="27"/>
  <c r="D298" i="27"/>
  <c r="D297" i="27"/>
  <c r="C300" i="27" s="1"/>
  <c r="B295" i="27"/>
  <c r="A295" i="27"/>
  <c r="C288" i="27"/>
  <c r="D287" i="27"/>
  <c r="D286" i="27"/>
  <c r="D285" i="27"/>
  <c r="D284" i="27"/>
  <c r="D282" i="27"/>
  <c r="B282" i="27"/>
  <c r="A282" i="27"/>
  <c r="D272" i="27"/>
  <c r="D271" i="27"/>
  <c r="D270" i="27"/>
  <c r="D269" i="27"/>
  <c r="B267" i="27"/>
  <c r="A267" i="27"/>
  <c r="C260" i="27"/>
  <c r="D259" i="27"/>
  <c r="D258" i="27"/>
  <c r="D257" i="27"/>
  <c r="D256" i="27"/>
  <c r="D254" i="27"/>
  <c r="B254" i="27"/>
  <c r="A254" i="27"/>
  <c r="D244" i="27"/>
  <c r="D243" i="27"/>
  <c r="D242" i="27"/>
  <c r="D241" i="27"/>
  <c r="C244" i="27" s="1"/>
  <c r="B239" i="27"/>
  <c r="A239" i="27"/>
  <c r="C232" i="27"/>
  <c r="D231" i="27"/>
  <c r="D230" i="27"/>
  <c r="D229" i="27"/>
  <c r="D228" i="27"/>
  <c r="D226" i="27"/>
  <c r="B226" i="27"/>
  <c r="A226" i="27"/>
  <c r="D216" i="27"/>
  <c r="D215" i="27"/>
  <c r="D214" i="27"/>
  <c r="D213" i="27"/>
  <c r="C216" i="27" s="1"/>
  <c r="B211" i="27"/>
  <c r="A211" i="27"/>
  <c r="C204" i="27"/>
  <c r="D203" i="27"/>
  <c r="D202" i="27"/>
  <c r="D201" i="27"/>
  <c r="D200" i="27"/>
  <c r="B198" i="27"/>
  <c r="A198" i="27"/>
  <c r="D188" i="27"/>
  <c r="D187" i="27"/>
  <c r="D186" i="27"/>
  <c r="D185" i="27"/>
  <c r="B183" i="27"/>
  <c r="A183" i="27"/>
  <c r="C176" i="27"/>
  <c r="D175" i="27"/>
  <c r="D174" i="27"/>
  <c r="D173" i="27"/>
  <c r="D172" i="27"/>
  <c r="D170" i="27"/>
  <c r="B170" i="27"/>
  <c r="A170" i="27"/>
  <c r="D160" i="27"/>
  <c r="D159" i="27"/>
  <c r="D158" i="27"/>
  <c r="D157" i="27"/>
  <c r="B155" i="27"/>
  <c r="A155" i="27"/>
  <c r="C148" i="27"/>
  <c r="D147" i="27"/>
  <c r="D146" i="27"/>
  <c r="D145" i="27"/>
  <c r="D144" i="27"/>
  <c r="D142" i="27"/>
  <c r="B142" i="27"/>
  <c r="A142" i="27"/>
  <c r="D132" i="27"/>
  <c r="D131" i="27"/>
  <c r="D130" i="27"/>
  <c r="D129" i="27"/>
  <c r="C132" i="27" s="1"/>
  <c r="B127" i="27"/>
  <c r="A127" i="27"/>
  <c r="C120" i="27"/>
  <c r="D119" i="27"/>
  <c r="D118" i="27"/>
  <c r="D117" i="27"/>
  <c r="D116" i="27"/>
  <c r="D114" i="27"/>
  <c r="B114" i="27"/>
  <c r="A114" i="27"/>
  <c r="J119" i="27" s="1"/>
  <c r="D104" i="27"/>
  <c r="D103" i="27"/>
  <c r="D102" i="27"/>
  <c r="D101" i="27"/>
  <c r="C104" i="27" s="1"/>
  <c r="B99" i="27"/>
  <c r="A99" i="27"/>
  <c r="C92" i="27"/>
  <c r="D91" i="27"/>
  <c r="D90" i="27"/>
  <c r="D89" i="27"/>
  <c r="D88" i="27"/>
  <c r="D86" i="27"/>
  <c r="B86" i="27"/>
  <c r="A86" i="27"/>
  <c r="J91" i="27" s="1"/>
  <c r="B71" i="27"/>
  <c r="A71" i="27"/>
  <c r="B58" i="27"/>
  <c r="A58" i="27"/>
  <c r="J63" i="27" s="1"/>
  <c r="D76" i="27"/>
  <c r="D75" i="27"/>
  <c r="D74" i="27"/>
  <c r="D73" i="27"/>
  <c r="C76" i="27" s="1"/>
  <c r="D71" i="27"/>
  <c r="J64" i="27"/>
  <c r="C64" i="27"/>
  <c r="D63" i="27"/>
  <c r="D62" i="27"/>
  <c r="D61" i="27"/>
  <c r="D60" i="27"/>
  <c r="C36" i="27"/>
  <c r="J36" i="27"/>
  <c r="J35" i="27"/>
  <c r="B15" i="27"/>
  <c r="B16" i="27" s="1"/>
  <c r="B17" i="27" s="1"/>
  <c r="B18" i="27" s="1"/>
  <c r="B19" i="27" s="1"/>
  <c r="B20" i="27" s="1"/>
  <c r="B21" i="27" s="1"/>
  <c r="A4" i="27"/>
  <c r="B4" i="27"/>
  <c r="A5" i="27"/>
  <c r="B5" i="27"/>
  <c r="A6" i="27"/>
  <c r="A7" i="27" s="1"/>
  <c r="B6" i="27"/>
  <c r="B7" i="27"/>
  <c r="B13" i="27"/>
  <c r="B14" i="27" s="1"/>
  <c r="A13" i="27"/>
  <c r="A14" i="27" s="1"/>
  <c r="C283" i="26"/>
  <c r="D282" i="26"/>
  <c r="D281" i="26"/>
  <c r="D280" i="26"/>
  <c r="D279" i="26"/>
  <c r="B277" i="26"/>
  <c r="A277" i="26"/>
  <c r="E271" i="26"/>
  <c r="F271" i="26" s="1"/>
  <c r="E270" i="26"/>
  <c r="H270" i="26" s="1"/>
  <c r="D268" i="26"/>
  <c r="D267" i="26"/>
  <c r="D266" i="26"/>
  <c r="C266" i="26"/>
  <c r="B264" i="26"/>
  <c r="D264" i="26" s="1"/>
  <c r="A264" i="26"/>
  <c r="C257" i="26"/>
  <c r="D256" i="26"/>
  <c r="D255" i="26"/>
  <c r="D254" i="26"/>
  <c r="D253" i="26"/>
  <c r="B251" i="26"/>
  <c r="A251" i="26"/>
  <c r="E245" i="26"/>
  <c r="F245" i="26" s="1"/>
  <c r="E244" i="26"/>
  <c r="H244" i="26" s="1"/>
  <c r="D242" i="26"/>
  <c r="D241" i="26"/>
  <c r="D240" i="26"/>
  <c r="C240" i="26"/>
  <c r="D238" i="26"/>
  <c r="B238" i="26"/>
  <c r="A238" i="26"/>
  <c r="C231" i="26"/>
  <c r="D230" i="26"/>
  <c r="D229" i="26"/>
  <c r="D228" i="26"/>
  <c r="D227" i="26"/>
  <c r="B225" i="26"/>
  <c r="A225" i="26"/>
  <c r="E219" i="26"/>
  <c r="F219" i="26" s="1"/>
  <c r="E218" i="26"/>
  <c r="H218" i="26" s="1"/>
  <c r="D216" i="26"/>
  <c r="D215" i="26"/>
  <c r="D214" i="26"/>
  <c r="C214" i="26"/>
  <c r="D212" i="26"/>
  <c r="B212" i="26"/>
  <c r="A212" i="26"/>
  <c r="C205" i="26"/>
  <c r="D204" i="26"/>
  <c r="D203" i="26"/>
  <c r="D202" i="26"/>
  <c r="D201" i="26"/>
  <c r="B199" i="26"/>
  <c r="A199" i="26"/>
  <c r="E193" i="26"/>
  <c r="F193" i="26" s="1"/>
  <c r="E192" i="26"/>
  <c r="H192" i="26" s="1"/>
  <c r="D190" i="26"/>
  <c r="D189" i="26"/>
  <c r="D188" i="26"/>
  <c r="C188" i="26"/>
  <c r="D186" i="26"/>
  <c r="B186" i="26"/>
  <c r="A186" i="26"/>
  <c r="C179" i="26"/>
  <c r="D178" i="26"/>
  <c r="D177" i="26"/>
  <c r="D176" i="26"/>
  <c r="D175" i="26"/>
  <c r="B173" i="26"/>
  <c r="A173" i="26"/>
  <c r="E167" i="26"/>
  <c r="F167" i="26" s="1"/>
  <c r="E166" i="26"/>
  <c r="H166" i="26" s="1"/>
  <c r="D164" i="26"/>
  <c r="D163" i="26"/>
  <c r="D162" i="26"/>
  <c r="C162" i="26"/>
  <c r="D160" i="26"/>
  <c r="B160" i="26"/>
  <c r="A160" i="26"/>
  <c r="C153" i="26"/>
  <c r="D152" i="26"/>
  <c r="D151" i="26"/>
  <c r="D150" i="26"/>
  <c r="D149" i="26"/>
  <c r="B147" i="26"/>
  <c r="A147" i="26"/>
  <c r="E141" i="26"/>
  <c r="F141" i="26" s="1"/>
  <c r="E140" i="26"/>
  <c r="H140" i="26" s="1"/>
  <c r="D138" i="26"/>
  <c r="D137" i="26"/>
  <c r="D136" i="26"/>
  <c r="C136" i="26"/>
  <c r="D134" i="26"/>
  <c r="B134" i="26"/>
  <c r="A134" i="26"/>
  <c r="C127" i="26"/>
  <c r="D126" i="26"/>
  <c r="D125" i="26"/>
  <c r="D124" i="26"/>
  <c r="D123" i="26"/>
  <c r="B121" i="26"/>
  <c r="A121" i="26"/>
  <c r="E115" i="26"/>
  <c r="F115" i="26" s="1"/>
  <c r="E114" i="26"/>
  <c r="H114" i="26" s="1"/>
  <c r="D112" i="26"/>
  <c r="D111" i="26"/>
  <c r="D110" i="26"/>
  <c r="C110" i="26"/>
  <c r="D108" i="26"/>
  <c r="B108" i="26"/>
  <c r="A108" i="26"/>
  <c r="C101" i="26"/>
  <c r="D100" i="26"/>
  <c r="D99" i="26"/>
  <c r="D98" i="26"/>
  <c r="D97" i="26"/>
  <c r="B95" i="26"/>
  <c r="A95" i="26"/>
  <c r="E89" i="26"/>
  <c r="F89" i="26" s="1"/>
  <c r="E88" i="26"/>
  <c r="H88" i="26" s="1"/>
  <c r="D86" i="26"/>
  <c r="D85" i="26"/>
  <c r="D84" i="26"/>
  <c r="C84" i="26"/>
  <c r="D82" i="26"/>
  <c r="B82" i="26"/>
  <c r="A82" i="26"/>
  <c r="B69" i="26"/>
  <c r="A69" i="26"/>
  <c r="B56" i="26"/>
  <c r="A56" i="26"/>
  <c r="C75" i="26"/>
  <c r="D74" i="26"/>
  <c r="D73" i="26"/>
  <c r="D72" i="26"/>
  <c r="D71" i="26"/>
  <c r="D69" i="26"/>
  <c r="E63" i="26"/>
  <c r="G63" i="26" s="1"/>
  <c r="E62" i="26"/>
  <c r="H62" i="26" s="1"/>
  <c r="J60" i="26"/>
  <c r="D60" i="26"/>
  <c r="D59" i="26"/>
  <c r="J58" i="26"/>
  <c r="D58" i="26"/>
  <c r="C58" i="26"/>
  <c r="D56" i="26"/>
  <c r="J32" i="26"/>
  <c r="J34" i="26"/>
  <c r="J34" i="20"/>
  <c r="C32" i="26"/>
  <c r="A15" i="26"/>
  <c r="B15" i="26"/>
  <c r="A16" i="26"/>
  <c r="B16" i="26"/>
  <c r="A17" i="26"/>
  <c r="B17" i="26"/>
  <c r="A18" i="26"/>
  <c r="A19" i="26" s="1"/>
  <c r="A20" i="26" s="1"/>
  <c r="A21" i="26" s="1"/>
  <c r="B18" i="26"/>
  <c r="B19" i="26" s="1"/>
  <c r="B20" i="26" s="1"/>
  <c r="B21" i="26" s="1"/>
  <c r="A14" i="26"/>
  <c r="B13" i="26"/>
  <c r="B14" i="26" s="1"/>
  <c r="A13" i="26"/>
  <c r="A5" i="26"/>
  <c r="B5" i="26"/>
  <c r="B6" i="26" s="1"/>
  <c r="B7" i="26" s="1"/>
  <c r="B8" i="26" s="1"/>
  <c r="B9" i="26" s="1"/>
  <c r="B10" i="26" s="1"/>
  <c r="B11" i="26" s="1"/>
  <c r="A6" i="26"/>
  <c r="A7" i="26" s="1"/>
  <c r="A8" i="26" s="1"/>
  <c r="A9" i="26" s="1"/>
  <c r="A10" i="26" s="1"/>
  <c r="A11" i="26" s="1"/>
  <c r="D139" i="21"/>
  <c r="D138" i="21"/>
  <c r="D137" i="21"/>
  <c r="D136" i="21"/>
  <c r="A134" i="21"/>
  <c r="D126" i="21"/>
  <c r="D125" i="21"/>
  <c r="D124" i="21"/>
  <c r="D123" i="21"/>
  <c r="C126" i="21" s="1"/>
  <c r="A121" i="21"/>
  <c r="D113" i="21"/>
  <c r="D112" i="21"/>
  <c r="D111" i="21"/>
  <c r="D110" i="21"/>
  <c r="C113" i="21" s="1"/>
  <c r="A108" i="21"/>
  <c r="D100" i="21"/>
  <c r="D99" i="21"/>
  <c r="D98" i="21"/>
  <c r="D97" i="21"/>
  <c r="A95" i="21"/>
  <c r="D87" i="21"/>
  <c r="D86" i="21"/>
  <c r="D85" i="21"/>
  <c r="D84" i="21"/>
  <c r="C87" i="21" s="1"/>
  <c r="A82" i="21"/>
  <c r="D74" i="21"/>
  <c r="D73" i="21"/>
  <c r="D72" i="21"/>
  <c r="D71" i="21"/>
  <c r="C74" i="21" s="1"/>
  <c r="A69" i="21"/>
  <c r="D61" i="21"/>
  <c r="D60" i="21"/>
  <c r="D59" i="21"/>
  <c r="D58" i="21"/>
  <c r="A56" i="21"/>
  <c r="D48" i="21"/>
  <c r="D47" i="21"/>
  <c r="D46" i="21"/>
  <c r="D45" i="21"/>
  <c r="C48" i="21" s="1"/>
  <c r="A43" i="21"/>
  <c r="A30" i="21"/>
  <c r="B4" i="21"/>
  <c r="B5" i="21" s="1"/>
  <c r="B6" i="21" s="1"/>
  <c r="B7" i="21" s="1"/>
  <c r="B8" i="21" s="1"/>
  <c r="B9" i="21" s="1"/>
  <c r="B10" i="21" s="1"/>
  <c r="B11" i="21" s="1"/>
  <c r="B3" i="21"/>
  <c r="A5" i="21"/>
  <c r="A6" i="21" s="1"/>
  <c r="A4" i="21"/>
  <c r="A3" i="21"/>
  <c r="J154" i="20"/>
  <c r="J130" i="20"/>
  <c r="J106" i="20"/>
  <c r="J104" i="20"/>
  <c r="J82" i="20"/>
  <c r="J80" i="20"/>
  <c r="J58" i="20"/>
  <c r="J56" i="20"/>
  <c r="J32" i="20"/>
  <c r="B258" i="20"/>
  <c r="A258" i="20"/>
  <c r="D258" i="20" s="1"/>
  <c r="B234" i="20"/>
  <c r="A234" i="20"/>
  <c r="D234" i="20" s="1"/>
  <c r="B210" i="20"/>
  <c r="A210" i="20"/>
  <c r="D210" i="20" s="1"/>
  <c r="B186" i="20"/>
  <c r="A186" i="20"/>
  <c r="D186" i="20" s="1"/>
  <c r="B162" i="20"/>
  <c r="A162" i="20"/>
  <c r="B138" i="20"/>
  <c r="A138" i="20"/>
  <c r="B114" i="20"/>
  <c r="A114" i="20"/>
  <c r="B90" i="20"/>
  <c r="A90" i="20"/>
  <c r="A66" i="20"/>
  <c r="B66" i="20"/>
  <c r="B246" i="20"/>
  <c r="A246" i="20"/>
  <c r="B222" i="20"/>
  <c r="A222" i="20"/>
  <c r="B198" i="20"/>
  <c r="A198" i="20"/>
  <c r="B174" i="20"/>
  <c r="D174" i="20" s="1"/>
  <c r="A174" i="20"/>
  <c r="A102" i="20"/>
  <c r="A126" i="20" s="1"/>
  <c r="A150" i="20" s="1"/>
  <c r="B78" i="20"/>
  <c r="B102" i="20" s="1"/>
  <c r="B126" i="20" s="1"/>
  <c r="B150" i="20" s="1"/>
  <c r="A78" i="20"/>
  <c r="B54" i="20"/>
  <c r="A54" i="20"/>
  <c r="D263" i="20"/>
  <c r="D262" i="20"/>
  <c r="C252" i="20" s="1"/>
  <c r="C248" i="20" s="1"/>
  <c r="D261" i="20"/>
  <c r="D260" i="20"/>
  <c r="D250" i="20"/>
  <c r="D249" i="20"/>
  <c r="D248" i="20"/>
  <c r="D246" i="20"/>
  <c r="D239" i="20"/>
  <c r="D238" i="20"/>
  <c r="C228" i="20" s="1"/>
  <c r="C224" i="20" s="1"/>
  <c r="D237" i="20"/>
  <c r="D236" i="20"/>
  <c r="D226" i="20"/>
  <c r="D225" i="20"/>
  <c r="D224" i="20"/>
  <c r="D222" i="20"/>
  <c r="D215" i="20"/>
  <c r="D214" i="20"/>
  <c r="C204" i="20" s="1"/>
  <c r="C200" i="20" s="1"/>
  <c r="D213" i="20"/>
  <c r="D212" i="20"/>
  <c r="D202" i="20"/>
  <c r="D201" i="20"/>
  <c r="D200" i="20"/>
  <c r="D198" i="20"/>
  <c r="D191" i="20"/>
  <c r="D190" i="20"/>
  <c r="C180" i="20" s="1"/>
  <c r="C176" i="20" s="1"/>
  <c r="D189" i="20"/>
  <c r="D188" i="20"/>
  <c r="D178" i="20"/>
  <c r="D177" i="20"/>
  <c r="D176" i="20"/>
  <c r="D42" i="20"/>
  <c r="D30" i="20"/>
  <c r="B15" i="20"/>
  <c r="B16" i="20"/>
  <c r="B17" i="20"/>
  <c r="B18" i="20" s="1"/>
  <c r="B19" i="20" s="1"/>
  <c r="B20" i="20" s="1"/>
  <c r="B21" i="20" s="1"/>
  <c r="A14" i="20"/>
  <c r="B13" i="20"/>
  <c r="B14" i="20" s="1"/>
  <c r="A13" i="20"/>
  <c r="J24" i="19"/>
  <c r="W5" i="17"/>
  <c r="W6" i="17"/>
  <c r="W7" i="17"/>
  <c r="W8" i="17"/>
  <c r="W9" i="17"/>
  <c r="W10" i="17"/>
  <c r="W11" i="17"/>
  <c r="W12" i="17"/>
  <c r="W13" i="17"/>
  <c r="W14" i="17"/>
  <c r="W4" i="17"/>
  <c r="D128" i="19"/>
  <c r="A128" i="19"/>
  <c r="B128" i="19" s="1"/>
  <c r="B116" i="19"/>
  <c r="A116" i="19"/>
  <c r="D116" i="19" s="1"/>
  <c r="B104" i="19"/>
  <c r="A104" i="19"/>
  <c r="D104" i="19" s="1"/>
  <c r="B92" i="19"/>
  <c r="A92" i="19"/>
  <c r="D92" i="19" s="1"/>
  <c r="B80" i="19"/>
  <c r="A80" i="19"/>
  <c r="D80" i="19" s="1"/>
  <c r="B68" i="19"/>
  <c r="A68" i="19"/>
  <c r="D68" i="19" s="1"/>
  <c r="B56" i="19"/>
  <c r="A56" i="19"/>
  <c r="D56" i="19" s="1"/>
  <c r="B44" i="19"/>
  <c r="A44" i="19"/>
  <c r="D44" i="19" s="1"/>
  <c r="A32" i="19"/>
  <c r="B32" i="19" s="1"/>
  <c r="D32" i="19"/>
  <c r="C34" i="19"/>
  <c r="B20" i="19"/>
  <c r="D20" i="19"/>
  <c r="J72" i="19"/>
  <c r="J70" i="19"/>
  <c r="J60" i="19"/>
  <c r="J58" i="19"/>
  <c r="J48" i="19"/>
  <c r="J46" i="19"/>
  <c r="J34" i="19"/>
  <c r="J22" i="19"/>
  <c r="G3" i="19"/>
  <c r="G4" i="19"/>
  <c r="G5" i="19"/>
  <c r="G6" i="19"/>
  <c r="G2" i="19"/>
  <c r="D132" i="19"/>
  <c r="D131" i="19"/>
  <c r="D130" i="19"/>
  <c r="C130" i="19"/>
  <c r="D120" i="19"/>
  <c r="D119" i="19"/>
  <c r="D118" i="19"/>
  <c r="C118" i="19"/>
  <c r="D108" i="19"/>
  <c r="D107" i="19"/>
  <c r="D106" i="19"/>
  <c r="C106" i="19"/>
  <c r="D96" i="19"/>
  <c r="D95" i="19"/>
  <c r="D94" i="19"/>
  <c r="C94" i="19"/>
  <c r="C46" i="19"/>
  <c r="C22" i="19"/>
  <c r="P19" i="19"/>
  <c r="P20" i="19"/>
  <c r="P21" i="19"/>
  <c r="P22" i="19"/>
  <c r="P23" i="19"/>
  <c r="P24" i="19"/>
  <c r="P25" i="19"/>
  <c r="P26" i="19"/>
  <c r="P27" i="19"/>
  <c r="P28" i="19"/>
  <c r="P29" i="19"/>
  <c r="P18" i="19"/>
  <c r="C139" i="21" l="1"/>
  <c r="C188" i="27"/>
  <c r="C272" i="27"/>
  <c r="C100" i="21"/>
  <c r="C191" i="20"/>
  <c r="C215" i="20"/>
  <c r="C239" i="20"/>
  <c r="C263" i="20"/>
  <c r="C61" i="21"/>
  <c r="C160" i="27"/>
  <c r="C250" i="20"/>
  <c r="C60" i="26"/>
  <c r="C282" i="26"/>
  <c r="C178" i="20"/>
  <c r="C63" i="27"/>
  <c r="C202" i="20"/>
  <c r="C226" i="20"/>
  <c r="C164" i="26"/>
  <c r="C216" i="26"/>
  <c r="C242" i="26"/>
  <c r="C203" i="27"/>
  <c r="C287" i="27"/>
  <c r="C175" i="27"/>
  <c r="C259" i="27"/>
  <c r="C112" i="26"/>
  <c r="C138" i="26"/>
  <c r="C190" i="26"/>
  <c r="C256" i="26"/>
  <c r="C268" i="26"/>
  <c r="C91" i="27"/>
  <c r="G89" i="26"/>
  <c r="G245" i="26"/>
  <c r="G271" i="26"/>
  <c r="C74" i="26"/>
  <c r="C100" i="26"/>
  <c r="C126" i="26"/>
  <c r="H271" i="26"/>
  <c r="C119" i="27"/>
  <c r="C147" i="27"/>
  <c r="C231" i="27"/>
  <c r="G141" i="26"/>
  <c r="C86" i="26"/>
  <c r="C152" i="26"/>
  <c r="C178" i="26"/>
  <c r="C204" i="26"/>
  <c r="C230" i="26"/>
  <c r="D295" i="27"/>
  <c r="D267" i="27"/>
  <c r="D239" i="27"/>
  <c r="D211" i="27"/>
  <c r="D198" i="27"/>
  <c r="D183" i="27"/>
  <c r="J147" i="27"/>
  <c r="D155" i="27"/>
  <c r="J120" i="27"/>
  <c r="D127" i="27"/>
  <c r="J92" i="27"/>
  <c r="D99" i="27"/>
  <c r="D58" i="27"/>
  <c r="A15" i="27"/>
  <c r="A8" i="27"/>
  <c r="B8" i="27"/>
  <c r="F270" i="26"/>
  <c r="G270" i="26"/>
  <c r="D277" i="26"/>
  <c r="H245" i="26"/>
  <c r="F244" i="26"/>
  <c r="G244" i="26"/>
  <c r="D251" i="26"/>
  <c r="H219" i="26"/>
  <c r="G219" i="26"/>
  <c r="F218" i="26"/>
  <c r="G218" i="26"/>
  <c r="D225" i="26"/>
  <c r="G193" i="26"/>
  <c r="H193" i="26"/>
  <c r="F192" i="26"/>
  <c r="G192" i="26"/>
  <c r="D199" i="26"/>
  <c r="G167" i="26"/>
  <c r="H167" i="26"/>
  <c r="G166" i="26"/>
  <c r="D173" i="26"/>
  <c r="F166" i="26"/>
  <c r="H141" i="26"/>
  <c r="F140" i="26"/>
  <c r="G140" i="26"/>
  <c r="D147" i="26"/>
  <c r="J110" i="26"/>
  <c r="H115" i="26"/>
  <c r="F114" i="26"/>
  <c r="G115" i="26"/>
  <c r="G114" i="26"/>
  <c r="D121" i="26"/>
  <c r="J112" i="26"/>
  <c r="J84" i="26"/>
  <c r="H89" i="26"/>
  <c r="F88" i="26"/>
  <c r="G88" i="26"/>
  <c r="D95" i="26"/>
  <c r="J86" i="26"/>
  <c r="H63" i="26"/>
  <c r="F62" i="26"/>
  <c r="G62" i="26"/>
  <c r="F63" i="26"/>
  <c r="B134" i="21"/>
  <c r="D134" i="21"/>
  <c r="B121" i="21"/>
  <c r="D121" i="21"/>
  <c r="B108" i="21"/>
  <c r="D108" i="21"/>
  <c r="B95" i="21"/>
  <c r="D95" i="21"/>
  <c r="B82" i="21"/>
  <c r="D82" i="21"/>
  <c r="B69" i="21"/>
  <c r="D69" i="21"/>
  <c r="B56" i="21"/>
  <c r="D56" i="21"/>
  <c r="B43" i="21"/>
  <c r="D43" i="21"/>
  <c r="A7" i="21"/>
  <c r="A15" i="20"/>
  <c r="C120" i="19"/>
  <c r="C108" i="19"/>
  <c r="C132" i="19"/>
  <c r="C96" i="19"/>
  <c r="J36" i="19"/>
  <c r="A16" i="27" l="1"/>
  <c r="A9" i="27"/>
  <c r="B9" i="27"/>
  <c r="A8" i="21"/>
  <c r="A16" i="20"/>
  <c r="A17" i="27" l="1"/>
  <c r="A10" i="27"/>
  <c r="B10" i="27"/>
  <c r="A9" i="21"/>
  <c r="A17" i="20"/>
  <c r="A18" i="27" l="1"/>
  <c r="A11" i="27"/>
  <c r="B11" i="27"/>
  <c r="A10" i="21"/>
  <c r="A18" i="20"/>
  <c r="A19" i="27" l="1"/>
  <c r="A11" i="21"/>
  <c r="A19" i="20"/>
  <c r="A20" i="27" l="1"/>
  <c r="A20" i="20"/>
  <c r="A21" i="27" l="1"/>
  <c r="A21" i="20"/>
  <c r="A8" i="19" l="1"/>
  <c r="B8" i="19"/>
  <c r="A9" i="19"/>
  <c r="B9" i="19"/>
  <c r="C63" i="18"/>
  <c r="E63" i="18"/>
  <c r="F63" i="18"/>
  <c r="G63" i="18"/>
  <c r="W63" i="18"/>
  <c r="C64" i="18"/>
  <c r="C65" i="18" s="1"/>
  <c r="C66" i="18" s="1"/>
  <c r="E64" i="18"/>
  <c r="G64" i="18"/>
  <c r="G65" i="18" s="1"/>
  <c r="G66" i="18" s="1"/>
  <c r="E60" i="18"/>
  <c r="E61" i="18"/>
  <c r="E62" i="18" s="1"/>
  <c r="C15" i="18"/>
  <c r="C16" i="18"/>
  <c r="C17" i="18"/>
  <c r="C18" i="18"/>
  <c r="C19" i="18"/>
  <c r="C20" i="18"/>
  <c r="C21" i="18"/>
  <c r="C22" i="18"/>
  <c r="C4" i="18"/>
  <c r="C5" i="18"/>
  <c r="C6" i="18"/>
  <c r="C7" i="18"/>
  <c r="C8" i="18"/>
  <c r="C9" i="18"/>
  <c r="C10" i="18"/>
  <c r="C11" i="18"/>
  <c r="C12" i="18"/>
  <c r="C13" i="18"/>
  <c r="C14" i="18"/>
  <c r="C3" i="18"/>
  <c r="E15" i="18"/>
  <c r="E16" i="18"/>
  <c r="E17" i="18"/>
  <c r="E18" i="18"/>
  <c r="E19" i="18"/>
  <c r="E20" i="18"/>
  <c r="E21" i="18"/>
  <c r="E22" i="18"/>
  <c r="E4" i="18"/>
  <c r="E5" i="18"/>
  <c r="E6" i="18"/>
  <c r="E7" i="18"/>
  <c r="E8" i="18"/>
  <c r="E9" i="18"/>
  <c r="E10" i="18"/>
  <c r="E11" i="18"/>
  <c r="E12" i="18"/>
  <c r="E13" i="18"/>
  <c r="E14" i="18"/>
  <c r="E3" i="18"/>
  <c r="A6" i="18"/>
  <c r="A8" i="18" s="1"/>
  <c r="A10" i="18" s="1"/>
  <c r="A12" i="18" s="1"/>
  <c r="A14" i="18" s="1"/>
  <c r="A16" i="18" s="1"/>
  <c r="A18" i="18" s="1"/>
  <c r="A20" i="18" s="1"/>
  <c r="A22" i="18" s="1"/>
  <c r="B6" i="18"/>
  <c r="B8" i="18" s="1"/>
  <c r="B10" i="18" s="1"/>
  <c r="B12" i="18" s="1"/>
  <c r="B14" i="18" s="1"/>
  <c r="B16" i="18" s="1"/>
  <c r="B18" i="18" s="1"/>
  <c r="B20" i="18" s="1"/>
  <c r="B22" i="18" s="1"/>
  <c r="A7" i="18"/>
  <c r="A9" i="18" s="1"/>
  <c r="A11" i="18" s="1"/>
  <c r="A13" i="18" s="1"/>
  <c r="A15" i="18" s="1"/>
  <c r="A17" i="18" s="1"/>
  <c r="A19" i="18" s="1"/>
  <c r="A21" i="18" s="1"/>
  <c r="B7" i="18"/>
  <c r="B9" i="18"/>
  <c r="B11" i="18" s="1"/>
  <c r="B13" i="18" s="1"/>
  <c r="B15" i="18" s="1"/>
  <c r="B17" i="18" s="1"/>
  <c r="B19" i="18" s="1"/>
  <c r="B21" i="18" s="1"/>
  <c r="A5" i="18"/>
  <c r="B5" i="18"/>
  <c r="B10" i="19" l="1"/>
  <c r="A10" i="19"/>
  <c r="F64" i="18"/>
  <c r="Z63" i="18"/>
  <c r="E65" i="18"/>
  <c r="X63" i="18"/>
  <c r="N260" i="17"/>
  <c r="N261" i="17"/>
  <c r="N262" i="17"/>
  <c r="N263" i="17"/>
  <c r="N264" i="17"/>
  <c r="N265" i="17"/>
  <c r="N259" i="17"/>
  <c r="I259" i="17"/>
  <c r="P32" i="24"/>
  <c r="D46" i="28"/>
  <c r="D45" i="28"/>
  <c r="D43" i="28"/>
  <c r="D42" i="28"/>
  <c r="N209" i="17"/>
  <c r="N210" i="17"/>
  <c r="N211" i="17"/>
  <c r="N212" i="17"/>
  <c r="N208" i="17"/>
  <c r="A11" i="19" l="1"/>
  <c r="B11" i="19"/>
  <c r="E66" i="18"/>
  <c r="F65" i="18"/>
  <c r="X64" i="18"/>
  <c r="W64" i="18"/>
  <c r="Z64" i="18"/>
  <c r="W65" i="18" l="1"/>
  <c r="X65" i="18"/>
  <c r="Z65" i="18"/>
  <c r="F66" i="18"/>
  <c r="B3" i="28"/>
  <c r="B4" i="28" s="1"/>
  <c r="B5" i="28" s="1"/>
  <c r="B6" i="28" s="1"/>
  <c r="B7" i="28" s="1"/>
  <c r="B8" i="28" s="1"/>
  <c r="B9" i="28" s="1"/>
  <c r="B10" i="28" s="1"/>
  <c r="B11" i="28" s="1"/>
  <c r="A3" i="28"/>
  <c r="A4" i="28" s="1"/>
  <c r="D32" i="28"/>
  <c r="D31" i="28"/>
  <c r="D30" i="28"/>
  <c r="D28" i="28"/>
  <c r="M13" i="28"/>
  <c r="L13" i="28"/>
  <c r="K13" i="28"/>
  <c r="M12" i="28"/>
  <c r="L12" i="28"/>
  <c r="T11" i="28" s="1"/>
  <c r="M11" i="28"/>
  <c r="L11" i="28"/>
  <c r="U11" i="28" s="1"/>
  <c r="U12" i="28" s="1"/>
  <c r="M10" i="28"/>
  <c r="L10" i="28"/>
  <c r="R11" i="28" s="1"/>
  <c r="R12" i="28" s="1"/>
  <c r="M9" i="28"/>
  <c r="L9" i="28"/>
  <c r="T8" i="28" s="1"/>
  <c r="M8" i="28"/>
  <c r="L8" i="28"/>
  <c r="U8" i="28" s="1"/>
  <c r="U9" i="28" s="1"/>
  <c r="M7" i="28"/>
  <c r="L7" i="28"/>
  <c r="R8" i="28" s="1"/>
  <c r="R9" i="28" s="1"/>
  <c r="M6" i="28"/>
  <c r="L6" i="28"/>
  <c r="T5" i="28" s="1"/>
  <c r="M5" i="28"/>
  <c r="L5" i="28"/>
  <c r="U5" i="28" s="1"/>
  <c r="U6" i="28" s="1"/>
  <c r="M4" i="28"/>
  <c r="L4" i="28"/>
  <c r="R5" i="28" s="1"/>
  <c r="M3" i="28"/>
  <c r="L3" i="28"/>
  <c r="T2" i="28" s="1"/>
  <c r="M2" i="28"/>
  <c r="L2" i="28"/>
  <c r="U2" i="28" s="1"/>
  <c r="M1" i="28"/>
  <c r="L1" i="28"/>
  <c r="R2" i="28" s="1"/>
  <c r="A5" i="28" l="1"/>
  <c r="A6" i="28" s="1"/>
  <c r="A7" i="28" s="1"/>
  <c r="A8" i="28" s="1"/>
  <c r="A9" i="28" s="1"/>
  <c r="A10" i="28" s="1"/>
  <c r="A11" i="28" s="1"/>
  <c r="T9" i="28"/>
  <c r="R3" i="28"/>
  <c r="T6" i="28"/>
  <c r="T3" i="28"/>
  <c r="X66" i="18"/>
  <c r="W66" i="18"/>
  <c r="Z66" i="18"/>
  <c r="R6" i="28"/>
  <c r="T12" i="28"/>
  <c r="U3" i="28"/>
  <c r="AA20" i="24"/>
  <c r="AB20" i="24"/>
  <c r="AC20" i="24"/>
  <c r="AD20" i="24"/>
  <c r="AG20" i="24"/>
  <c r="AH20" i="24"/>
  <c r="AI20" i="24"/>
  <c r="AA21" i="24"/>
  <c r="AB21" i="24"/>
  <c r="AC21" i="24"/>
  <c r="AD21" i="24"/>
  <c r="AG21" i="24"/>
  <c r="AH21" i="24"/>
  <c r="AI21" i="24"/>
  <c r="AA22" i="24"/>
  <c r="AB22" i="24"/>
  <c r="AC22" i="24"/>
  <c r="AD22" i="24"/>
  <c r="AG22" i="24"/>
  <c r="AH22" i="24"/>
  <c r="AI22" i="24"/>
  <c r="AA23" i="24"/>
  <c r="AB23" i="24"/>
  <c r="AC23" i="24"/>
  <c r="AD23" i="24"/>
  <c r="AG23" i="24"/>
  <c r="AH23" i="24"/>
  <c r="AI23" i="24"/>
  <c r="AA24" i="24"/>
  <c r="AB24" i="24"/>
  <c r="AC24" i="24"/>
  <c r="AD24" i="24"/>
  <c r="AG24" i="24"/>
  <c r="AH24" i="24"/>
  <c r="AI24" i="24"/>
  <c r="AA25" i="24"/>
  <c r="AB25" i="24"/>
  <c r="AC25" i="24"/>
  <c r="AD25" i="24"/>
  <c r="AG25" i="24"/>
  <c r="AH25" i="24"/>
  <c r="AI25" i="24"/>
  <c r="AA3" i="24"/>
  <c r="AB3" i="24"/>
  <c r="AC3" i="24"/>
  <c r="AD3" i="24"/>
  <c r="AE3" i="24"/>
  <c r="AF3" i="24"/>
  <c r="AG3" i="24"/>
  <c r="AH3" i="24"/>
  <c r="AI3" i="24"/>
  <c r="AA4" i="24"/>
  <c r="AB4" i="24"/>
  <c r="AC4" i="24"/>
  <c r="AD4" i="24"/>
  <c r="AF4" i="24"/>
  <c r="AH4" i="24"/>
  <c r="AI4" i="24"/>
  <c r="AA5" i="24"/>
  <c r="AB5" i="24"/>
  <c r="AC5" i="24"/>
  <c r="AD5" i="24"/>
  <c r="AF5" i="24"/>
  <c r="AH5" i="24"/>
  <c r="AI5" i="24"/>
  <c r="AA6" i="24"/>
  <c r="AB6" i="24"/>
  <c r="AC6" i="24"/>
  <c r="AD6" i="24"/>
  <c r="AF6" i="24"/>
  <c r="AH6" i="24"/>
  <c r="AI6" i="24"/>
  <c r="AA7" i="24"/>
  <c r="AB7" i="24"/>
  <c r="AC7" i="24"/>
  <c r="AD7" i="24"/>
  <c r="AF7" i="24"/>
  <c r="AH7" i="24"/>
  <c r="AI7" i="24"/>
  <c r="AA8" i="24"/>
  <c r="AB8" i="24"/>
  <c r="AC8" i="24"/>
  <c r="AD8" i="24"/>
  <c r="AF8" i="24"/>
  <c r="AH8" i="24"/>
  <c r="AI8" i="24"/>
  <c r="AA9" i="24"/>
  <c r="AB9" i="24"/>
  <c r="AC9" i="24"/>
  <c r="AD9" i="24"/>
  <c r="AF9" i="24"/>
  <c r="AH9" i="24"/>
  <c r="AI9" i="24"/>
  <c r="AA10" i="24"/>
  <c r="AB10" i="24"/>
  <c r="AC10" i="24"/>
  <c r="AD10" i="24"/>
  <c r="AF10" i="24"/>
  <c r="AH10" i="24"/>
  <c r="AI10" i="24"/>
  <c r="AA11" i="24"/>
  <c r="AB11" i="24"/>
  <c r="AC11" i="24"/>
  <c r="AD11" i="24"/>
  <c r="AF11" i="24"/>
  <c r="AH11" i="24"/>
  <c r="AI11" i="24"/>
  <c r="AA12" i="24"/>
  <c r="AB12" i="24"/>
  <c r="AC12" i="24"/>
  <c r="AD12" i="24"/>
  <c r="AF12" i="24"/>
  <c r="AH12" i="24"/>
  <c r="AI12" i="24"/>
  <c r="AA13" i="24"/>
  <c r="AB13" i="24"/>
  <c r="AC13" i="24"/>
  <c r="AD13" i="24"/>
  <c r="AF13" i="24"/>
  <c r="AH13" i="24"/>
  <c r="AI13" i="24"/>
  <c r="AA14" i="24"/>
  <c r="AA15" i="24"/>
  <c r="AB15" i="24"/>
  <c r="AC15" i="24"/>
  <c r="AD15" i="24"/>
  <c r="AE15" i="24"/>
  <c r="AF15" i="24"/>
  <c r="AG15" i="24"/>
  <c r="AH15" i="24"/>
  <c r="AI15" i="24"/>
  <c r="AA16" i="24"/>
  <c r="AB16" i="24"/>
  <c r="AC16" i="24"/>
  <c r="AD16" i="24"/>
  <c r="AG16" i="24"/>
  <c r="AH16" i="24"/>
  <c r="AI16" i="24"/>
  <c r="AA17" i="24"/>
  <c r="AB17" i="24"/>
  <c r="AC17" i="24"/>
  <c r="AD17" i="24"/>
  <c r="AG17" i="24"/>
  <c r="AH17" i="24"/>
  <c r="AI17" i="24"/>
  <c r="AA18" i="24"/>
  <c r="AB18" i="24"/>
  <c r="AC18" i="24"/>
  <c r="AD18" i="24"/>
  <c r="AG18" i="24"/>
  <c r="AH18" i="24"/>
  <c r="AI18" i="24"/>
  <c r="AA19" i="24"/>
  <c r="AB19" i="24"/>
  <c r="AC19" i="24"/>
  <c r="AD19" i="24"/>
  <c r="AG19" i="24"/>
  <c r="AH19" i="24"/>
  <c r="AI19" i="24"/>
  <c r="AA2" i="24"/>
  <c r="P24" i="24" l="1"/>
  <c r="P25" i="24"/>
  <c r="P26" i="24"/>
  <c r="P27" i="24"/>
  <c r="P28" i="24"/>
  <c r="P29" i="24"/>
  <c r="P30" i="24"/>
  <c r="P31" i="24"/>
  <c r="P23" i="24"/>
  <c r="M199" i="17"/>
  <c r="M200" i="17"/>
  <c r="M201" i="17"/>
  <c r="M202" i="17"/>
  <c r="M203" i="17"/>
  <c r="M204" i="17"/>
  <c r="M205" i="17"/>
  <c r="M206" i="17"/>
  <c r="M197" i="17"/>
  <c r="M198" i="17"/>
  <c r="M13" i="24" l="1"/>
  <c r="L13" i="24"/>
  <c r="K13" i="24"/>
  <c r="M12" i="24"/>
  <c r="L12" i="24"/>
  <c r="T11" i="24" s="1"/>
  <c r="T12" i="24" s="1"/>
  <c r="M11" i="24"/>
  <c r="L11" i="24"/>
  <c r="U11" i="24" s="1"/>
  <c r="U12" i="24" s="1"/>
  <c r="M10" i="24"/>
  <c r="L10" i="24"/>
  <c r="R11" i="24" s="1"/>
  <c r="M9" i="24"/>
  <c r="L9" i="24"/>
  <c r="T8" i="24" s="1"/>
  <c r="T9" i="24" s="1"/>
  <c r="M8" i="24"/>
  <c r="L8" i="24"/>
  <c r="U8" i="24" s="1"/>
  <c r="U9" i="24" s="1"/>
  <c r="M7" i="24"/>
  <c r="L7" i="24"/>
  <c r="R8" i="24" s="1"/>
  <c r="R9" i="24" s="1"/>
  <c r="M6" i="24"/>
  <c r="L6" i="24"/>
  <c r="T5" i="24" s="1"/>
  <c r="M5" i="24"/>
  <c r="L5" i="24"/>
  <c r="U5" i="24" s="1"/>
  <c r="U6" i="24" s="1"/>
  <c r="M4" i="24"/>
  <c r="L4" i="24"/>
  <c r="R5" i="24" s="1"/>
  <c r="R6" i="24" s="1"/>
  <c r="M3" i="24"/>
  <c r="L3" i="24"/>
  <c r="T2" i="24" s="1"/>
  <c r="T3" i="24" s="1"/>
  <c r="M2" i="24"/>
  <c r="L2" i="24"/>
  <c r="U2" i="24" s="1"/>
  <c r="U3" i="24" s="1"/>
  <c r="M1" i="24"/>
  <c r="L1" i="24"/>
  <c r="R2" i="24" s="1"/>
  <c r="D21" i="22"/>
  <c r="D20" i="22"/>
  <c r="D19" i="22"/>
  <c r="D18" i="22"/>
  <c r="M13" i="22"/>
  <c r="L13" i="22"/>
  <c r="K13" i="22"/>
  <c r="M12" i="22"/>
  <c r="L12" i="22"/>
  <c r="T11" i="22" s="1"/>
  <c r="T12" i="22" s="1"/>
  <c r="M11" i="22"/>
  <c r="L11" i="22"/>
  <c r="U11" i="22" s="1"/>
  <c r="U12" i="22" s="1"/>
  <c r="M10" i="22"/>
  <c r="L10" i="22"/>
  <c r="R11" i="22" s="1"/>
  <c r="M9" i="22"/>
  <c r="L9" i="22"/>
  <c r="T8" i="22" s="1"/>
  <c r="M8" i="22"/>
  <c r="L8" i="22"/>
  <c r="U8" i="22" s="1"/>
  <c r="U9" i="22" s="1"/>
  <c r="M7" i="22"/>
  <c r="L7" i="22"/>
  <c r="R8" i="22" s="1"/>
  <c r="M6" i="22"/>
  <c r="L6" i="22"/>
  <c r="T5" i="22" s="1"/>
  <c r="M5" i="22"/>
  <c r="L5" i="22"/>
  <c r="U5" i="22" s="1"/>
  <c r="M4" i="22"/>
  <c r="L4" i="22"/>
  <c r="R5" i="22" s="1"/>
  <c r="R6" i="22" s="1"/>
  <c r="M3" i="22"/>
  <c r="L3" i="22"/>
  <c r="T2" i="22" s="1"/>
  <c r="B3" i="22"/>
  <c r="A3" i="22"/>
  <c r="A4" i="22" s="1"/>
  <c r="M2" i="22"/>
  <c r="L2" i="22"/>
  <c r="U2" i="22" s="1"/>
  <c r="U3" i="22" s="1"/>
  <c r="M1" i="22"/>
  <c r="L1" i="22"/>
  <c r="R2" i="22" s="1"/>
  <c r="T9" i="22" l="1"/>
  <c r="R12" i="22"/>
  <c r="T6" i="22"/>
  <c r="C20" i="22"/>
  <c r="C19" i="22"/>
  <c r="R3" i="22"/>
  <c r="R3" i="24"/>
  <c r="R12" i="24"/>
  <c r="T6" i="24"/>
  <c r="U6" i="22"/>
  <c r="T3" i="22"/>
  <c r="R9" i="22"/>
  <c r="B4" i="22"/>
  <c r="D35" i="27"/>
  <c r="D34" i="27"/>
  <c r="D33" i="27"/>
  <c r="D32" i="27"/>
  <c r="D30" i="27"/>
  <c r="C35" i="27" l="1"/>
  <c r="C22" i="22"/>
  <c r="C21" i="22" s="1"/>
  <c r="C49" i="26" l="1"/>
  <c r="Q25" i="23"/>
  <c r="Q26" i="23"/>
  <c r="Q27" i="23"/>
  <c r="D48" i="26"/>
  <c r="D47" i="26"/>
  <c r="D46" i="26"/>
  <c r="D45" i="26"/>
  <c r="E37" i="26"/>
  <c r="H37" i="26" s="1"/>
  <c r="E36" i="26"/>
  <c r="H36" i="26" s="1"/>
  <c r="A3" i="27"/>
  <c r="B3" i="26"/>
  <c r="B4" i="26" s="1"/>
  <c r="D48" i="27"/>
  <c r="D47" i="27"/>
  <c r="D46" i="27"/>
  <c r="D45" i="27"/>
  <c r="D43" i="27"/>
  <c r="M13" i="27"/>
  <c r="L13" i="27"/>
  <c r="K13" i="27"/>
  <c r="M12" i="27"/>
  <c r="L12" i="27"/>
  <c r="T11" i="27" s="1"/>
  <c r="T12" i="27" s="1"/>
  <c r="M11" i="27"/>
  <c r="L11" i="27"/>
  <c r="U11" i="27" s="1"/>
  <c r="M10" i="27"/>
  <c r="L10" i="27"/>
  <c r="R11" i="27" s="1"/>
  <c r="M9" i="27"/>
  <c r="L9" i="27"/>
  <c r="T8" i="27" s="1"/>
  <c r="M8" i="27"/>
  <c r="L8" i="27"/>
  <c r="U8" i="27" s="1"/>
  <c r="U9" i="27" s="1"/>
  <c r="M7" i="27"/>
  <c r="L7" i="27"/>
  <c r="R8" i="27" s="1"/>
  <c r="M6" i="27"/>
  <c r="L6" i="27"/>
  <c r="T5" i="27" s="1"/>
  <c r="M5" i="27"/>
  <c r="L5" i="27"/>
  <c r="U5" i="27" s="1"/>
  <c r="U6" i="27" s="1"/>
  <c r="M4" i="27"/>
  <c r="L4" i="27"/>
  <c r="R5" i="27" s="1"/>
  <c r="R6" i="27" s="1"/>
  <c r="M3" i="27"/>
  <c r="L3" i="27"/>
  <c r="T2" i="27" s="1"/>
  <c r="B3" i="27"/>
  <c r="M2" i="27"/>
  <c r="L2" i="27"/>
  <c r="U2" i="27" s="1"/>
  <c r="U3" i="27" s="1"/>
  <c r="M1" i="27"/>
  <c r="L1" i="27"/>
  <c r="R2" i="27" s="1"/>
  <c r="D43" i="26"/>
  <c r="D34" i="26"/>
  <c r="D33" i="26"/>
  <c r="D32" i="26"/>
  <c r="D30" i="26"/>
  <c r="M13" i="26"/>
  <c r="L13" i="26"/>
  <c r="K13" i="26"/>
  <c r="M12" i="26"/>
  <c r="L12" i="26"/>
  <c r="T11" i="26" s="1"/>
  <c r="T12" i="26" s="1"/>
  <c r="M11" i="26"/>
  <c r="L11" i="26"/>
  <c r="U11" i="26" s="1"/>
  <c r="U12" i="26" s="1"/>
  <c r="M10" i="26"/>
  <c r="L10" i="26"/>
  <c r="R11" i="26" s="1"/>
  <c r="M9" i="26"/>
  <c r="L9" i="26"/>
  <c r="T8" i="26" s="1"/>
  <c r="M8" i="26"/>
  <c r="L8" i="26"/>
  <c r="U8" i="26" s="1"/>
  <c r="U9" i="26" s="1"/>
  <c r="M7" i="26"/>
  <c r="L7" i="26"/>
  <c r="R8" i="26" s="1"/>
  <c r="R9" i="26" s="1"/>
  <c r="M6" i="26"/>
  <c r="L6" i="26"/>
  <c r="T5" i="26" s="1"/>
  <c r="M5" i="26"/>
  <c r="L5" i="26"/>
  <c r="U5" i="26" s="1"/>
  <c r="U6" i="26" s="1"/>
  <c r="M4" i="26"/>
  <c r="L4" i="26"/>
  <c r="R5" i="26" s="1"/>
  <c r="R6" i="26" s="1"/>
  <c r="M3" i="26"/>
  <c r="L3" i="26"/>
  <c r="T2" i="26" s="1"/>
  <c r="A3" i="26"/>
  <c r="A4" i="26" s="1"/>
  <c r="M2" i="26"/>
  <c r="L2" i="26"/>
  <c r="U2" i="26" s="1"/>
  <c r="U3" i="26" s="1"/>
  <c r="M1" i="26"/>
  <c r="L1" i="26"/>
  <c r="R2" i="26" s="1"/>
  <c r="A31" i="23"/>
  <c r="B31" i="23" s="1"/>
  <c r="C37" i="23"/>
  <c r="D36" i="23"/>
  <c r="D35" i="23"/>
  <c r="D34" i="23"/>
  <c r="D33" i="23"/>
  <c r="B3" i="23"/>
  <c r="B4" i="23" s="1"/>
  <c r="A4" i="23"/>
  <c r="A3" i="23"/>
  <c r="Q20" i="23"/>
  <c r="Q21" i="23"/>
  <c r="Q22" i="23"/>
  <c r="Q23" i="23"/>
  <c r="Q24" i="23"/>
  <c r="Q18" i="23"/>
  <c r="X294" i="17"/>
  <c r="Y278" i="17"/>
  <c r="Y279" i="17"/>
  <c r="Y280" i="17"/>
  <c r="Y281" i="17"/>
  <c r="Y282" i="17"/>
  <c r="Y283" i="17"/>
  <c r="Y284" i="17"/>
  <c r="Y285" i="17"/>
  <c r="Y286" i="17"/>
  <c r="Y287" i="17"/>
  <c r="Y288" i="17"/>
  <c r="Y289" i="17"/>
  <c r="Y290" i="17"/>
  <c r="Y291" i="17"/>
  <c r="Y292" i="17"/>
  <c r="Y293" i="17"/>
  <c r="Y294" i="17"/>
  <c r="Y295" i="17"/>
  <c r="Y296" i="17"/>
  <c r="Y297" i="17"/>
  <c r="Y298" i="17"/>
  <c r="Y299" i="17"/>
  <c r="Y300" i="17"/>
  <c r="Y301" i="17"/>
  <c r="Y302" i="17"/>
  <c r="Y303" i="17"/>
  <c r="Y304" i="17"/>
  <c r="Y305" i="17"/>
  <c r="Y306" i="17"/>
  <c r="Y307" i="17"/>
  <c r="Y308" i="17"/>
  <c r="Y309" i="17"/>
  <c r="Y310" i="17"/>
  <c r="Y311" i="17"/>
  <c r="Y312" i="17"/>
  <c r="Y313" i="17"/>
  <c r="Y314" i="17"/>
  <c r="X315" i="17"/>
  <c r="Y315" i="17"/>
  <c r="X316" i="17"/>
  <c r="Y316" i="17"/>
  <c r="X317" i="17"/>
  <c r="Y317" i="17"/>
  <c r="X318" i="17"/>
  <c r="Y318" i="17"/>
  <c r="X319" i="17"/>
  <c r="Y319" i="17"/>
  <c r="Y266" i="17"/>
  <c r="Y267" i="17"/>
  <c r="Y268" i="17"/>
  <c r="Y269" i="17"/>
  <c r="Y270" i="17"/>
  <c r="Y271" i="17"/>
  <c r="Y272" i="17"/>
  <c r="Y273" i="17"/>
  <c r="Y274" i="17"/>
  <c r="Y275" i="17"/>
  <c r="Y276" i="17"/>
  <c r="Y277" i="17"/>
  <c r="E296" i="17"/>
  <c r="G293" i="17"/>
  <c r="G296" i="17"/>
  <c r="I296" i="17"/>
  <c r="J296" i="17"/>
  <c r="A296" i="17"/>
  <c r="D18" i="23"/>
  <c r="D21" i="23"/>
  <c r="D20" i="23"/>
  <c r="D19" i="23"/>
  <c r="M13" i="23"/>
  <c r="L13" i="23"/>
  <c r="K13" i="23"/>
  <c r="M12" i="23"/>
  <c r="L12" i="23"/>
  <c r="T11" i="23" s="1"/>
  <c r="T12" i="23" s="1"/>
  <c r="M11" i="23"/>
  <c r="L11" i="23"/>
  <c r="U11" i="23" s="1"/>
  <c r="M10" i="23"/>
  <c r="L10" i="23"/>
  <c r="R11" i="23" s="1"/>
  <c r="R12" i="23" s="1"/>
  <c r="M9" i="23"/>
  <c r="L9" i="23"/>
  <c r="T8" i="23" s="1"/>
  <c r="M8" i="23"/>
  <c r="L8" i="23"/>
  <c r="U8" i="23" s="1"/>
  <c r="U9" i="23" s="1"/>
  <c r="M7" i="23"/>
  <c r="L7" i="23"/>
  <c r="R8" i="23" s="1"/>
  <c r="R9" i="23" s="1"/>
  <c r="M6" i="23"/>
  <c r="L6" i="23"/>
  <c r="T5" i="23" s="1"/>
  <c r="T6" i="23" s="1"/>
  <c r="M5" i="23"/>
  <c r="L5" i="23"/>
  <c r="U5" i="23" s="1"/>
  <c r="U6" i="23" s="1"/>
  <c r="M4" i="23"/>
  <c r="L4" i="23"/>
  <c r="R5" i="23" s="1"/>
  <c r="R6" i="23" s="1"/>
  <c r="M3" i="23"/>
  <c r="L3" i="23"/>
  <c r="T2" i="23" s="1"/>
  <c r="T3" i="23" s="1"/>
  <c r="M2" i="23"/>
  <c r="L2" i="23"/>
  <c r="U2" i="23" s="1"/>
  <c r="U3" i="23" s="1"/>
  <c r="M1" i="23"/>
  <c r="L1" i="23"/>
  <c r="R2" i="23" s="1"/>
  <c r="C48" i="27" l="1"/>
  <c r="C48" i="26"/>
  <c r="C34" i="26"/>
  <c r="C21" i="23"/>
  <c r="T3" i="27"/>
  <c r="R9" i="27"/>
  <c r="T6" i="27"/>
  <c r="T3" i="26"/>
  <c r="R12" i="26"/>
  <c r="F36" i="26"/>
  <c r="G36" i="26"/>
  <c r="F37" i="26"/>
  <c r="G37" i="26"/>
  <c r="R12" i="27"/>
  <c r="R3" i="27"/>
  <c r="T9" i="27"/>
  <c r="U12" i="27"/>
  <c r="T6" i="26"/>
  <c r="T9" i="26"/>
  <c r="R3" i="26"/>
  <c r="C36" i="23"/>
  <c r="D296" i="17"/>
  <c r="T9" i="23"/>
  <c r="R3" i="23"/>
  <c r="U12" i="23"/>
  <c r="I9" i="17"/>
  <c r="J9" i="17"/>
  <c r="I10" i="17"/>
  <c r="J10" i="17"/>
  <c r="I11" i="17"/>
  <c r="J11" i="17"/>
  <c r="I12" i="17"/>
  <c r="J12" i="17"/>
  <c r="I13" i="17"/>
  <c r="J13" i="17"/>
  <c r="I14" i="17"/>
  <c r="J14" i="17"/>
  <c r="I15" i="17"/>
  <c r="J15" i="17"/>
  <c r="I16" i="17"/>
  <c r="J16" i="17"/>
  <c r="I17" i="17"/>
  <c r="J17" i="17"/>
  <c r="I18" i="17"/>
  <c r="J18" i="17"/>
  <c r="I19" i="17"/>
  <c r="J19" i="17"/>
  <c r="I20" i="17"/>
  <c r="J20" i="17"/>
  <c r="I21" i="17"/>
  <c r="J21" i="17"/>
  <c r="I22" i="17"/>
  <c r="J22" i="17"/>
  <c r="I23" i="17"/>
  <c r="J23" i="17"/>
  <c r="I24" i="17"/>
  <c r="J24" i="17"/>
  <c r="I25" i="17"/>
  <c r="J25" i="17"/>
  <c r="I26" i="17"/>
  <c r="J26" i="17"/>
  <c r="I27" i="17"/>
  <c r="J27" i="17"/>
  <c r="I28" i="17"/>
  <c r="J28" i="17"/>
  <c r="I29" i="17"/>
  <c r="J29" i="17"/>
  <c r="I30" i="17"/>
  <c r="J30" i="17"/>
  <c r="I31" i="17"/>
  <c r="J31" i="17"/>
  <c r="I32" i="17"/>
  <c r="J32" i="17"/>
  <c r="I33" i="17"/>
  <c r="J33" i="17"/>
  <c r="I34" i="17"/>
  <c r="J34" i="17"/>
  <c r="I35" i="17"/>
  <c r="J35" i="17"/>
  <c r="I36" i="17"/>
  <c r="J36" i="17"/>
  <c r="I37" i="17"/>
  <c r="J37" i="17"/>
  <c r="I38" i="17"/>
  <c r="J38" i="17"/>
  <c r="I39" i="17"/>
  <c r="J39" i="17"/>
  <c r="I40" i="17"/>
  <c r="J40" i="17"/>
  <c r="I41" i="17"/>
  <c r="J41" i="17"/>
  <c r="I42" i="17"/>
  <c r="J42" i="17"/>
  <c r="I43" i="17"/>
  <c r="J43" i="17"/>
  <c r="I44" i="17"/>
  <c r="J44" i="17"/>
  <c r="I45" i="17"/>
  <c r="J45" i="17"/>
  <c r="I46" i="17"/>
  <c r="J46" i="17"/>
  <c r="I47" i="17"/>
  <c r="J47" i="17"/>
  <c r="I48" i="17"/>
  <c r="J48" i="17"/>
  <c r="I49" i="17"/>
  <c r="J49" i="17"/>
  <c r="I50" i="17"/>
  <c r="J50" i="17"/>
  <c r="I51" i="17"/>
  <c r="J51" i="17"/>
  <c r="I52" i="17"/>
  <c r="J52" i="17"/>
  <c r="I53" i="17"/>
  <c r="J53" i="17"/>
  <c r="I54" i="17"/>
  <c r="J54" i="17"/>
  <c r="I55" i="17"/>
  <c r="J55" i="17"/>
  <c r="I56" i="17"/>
  <c r="J56" i="17"/>
  <c r="I57" i="17"/>
  <c r="J57" i="17"/>
  <c r="I58" i="17"/>
  <c r="J58" i="17"/>
  <c r="I59" i="17"/>
  <c r="J59" i="17"/>
  <c r="I60" i="17"/>
  <c r="J60" i="17"/>
  <c r="I61" i="17"/>
  <c r="J61" i="17"/>
  <c r="I62" i="17"/>
  <c r="J62" i="17"/>
  <c r="I63" i="17"/>
  <c r="J63" i="17"/>
  <c r="I64" i="17"/>
  <c r="J64" i="17"/>
  <c r="I65" i="17"/>
  <c r="J65" i="17"/>
  <c r="I66" i="17"/>
  <c r="J66" i="17"/>
  <c r="I67" i="17"/>
  <c r="J67" i="17"/>
  <c r="I68" i="17"/>
  <c r="J68" i="17"/>
  <c r="I69" i="17"/>
  <c r="J69" i="17"/>
  <c r="I70" i="17"/>
  <c r="J70" i="17"/>
  <c r="I71" i="17"/>
  <c r="J71" i="17"/>
  <c r="I72" i="17"/>
  <c r="J72" i="17"/>
  <c r="I73" i="17"/>
  <c r="J73" i="17"/>
  <c r="I74" i="17"/>
  <c r="J74" i="17"/>
  <c r="I75" i="17"/>
  <c r="J75" i="17"/>
  <c r="I76" i="17"/>
  <c r="J76" i="17"/>
  <c r="I77" i="17"/>
  <c r="J77" i="17"/>
  <c r="I78" i="17"/>
  <c r="J78" i="17"/>
  <c r="I79" i="17"/>
  <c r="J79" i="17"/>
  <c r="I80" i="17"/>
  <c r="J80" i="17"/>
  <c r="I81" i="17"/>
  <c r="J81" i="17"/>
  <c r="I82" i="17"/>
  <c r="J82" i="17"/>
  <c r="I83" i="17"/>
  <c r="J83" i="17"/>
  <c r="I84" i="17"/>
  <c r="J84" i="17"/>
  <c r="I85" i="17"/>
  <c r="J85" i="17"/>
  <c r="I86" i="17"/>
  <c r="J86" i="17"/>
  <c r="I87" i="17"/>
  <c r="J87" i="17"/>
  <c r="I88" i="17"/>
  <c r="J88" i="17"/>
  <c r="I89" i="17"/>
  <c r="J89" i="17"/>
  <c r="I90" i="17"/>
  <c r="J90" i="17"/>
  <c r="I91" i="17"/>
  <c r="J91" i="17"/>
  <c r="I92" i="17"/>
  <c r="J92" i="17"/>
  <c r="I93" i="17"/>
  <c r="J93" i="17"/>
  <c r="I94" i="17"/>
  <c r="J94" i="17"/>
  <c r="I95" i="17"/>
  <c r="J95" i="17"/>
  <c r="I96" i="17"/>
  <c r="J96" i="17"/>
  <c r="I97" i="17"/>
  <c r="J97" i="17"/>
  <c r="I98" i="17"/>
  <c r="J98" i="17"/>
  <c r="I99" i="17"/>
  <c r="J99" i="17"/>
  <c r="I100" i="17"/>
  <c r="J100" i="17"/>
  <c r="I101" i="17"/>
  <c r="J101" i="17"/>
  <c r="I102" i="17"/>
  <c r="J102" i="17"/>
  <c r="I103" i="17"/>
  <c r="J103" i="17"/>
  <c r="I104" i="17"/>
  <c r="J104" i="17"/>
  <c r="I105" i="17"/>
  <c r="J105" i="17"/>
  <c r="I106" i="17"/>
  <c r="J106" i="17"/>
  <c r="I107" i="17"/>
  <c r="J107" i="17"/>
  <c r="I108" i="17"/>
  <c r="J108" i="17"/>
  <c r="I109" i="17"/>
  <c r="J109" i="17"/>
  <c r="I110" i="17"/>
  <c r="J110" i="17"/>
  <c r="I111" i="17"/>
  <c r="J111" i="17"/>
  <c r="I112" i="17"/>
  <c r="J112" i="17"/>
  <c r="I113" i="17"/>
  <c r="J113" i="17"/>
  <c r="I114" i="17"/>
  <c r="J114" i="17"/>
  <c r="I115" i="17"/>
  <c r="J115" i="17"/>
  <c r="I116" i="17"/>
  <c r="J116" i="17"/>
  <c r="I117" i="17"/>
  <c r="J117" i="17"/>
  <c r="I118" i="17"/>
  <c r="J118" i="17"/>
  <c r="I119" i="17"/>
  <c r="J119" i="17"/>
  <c r="I120" i="17"/>
  <c r="J120" i="17"/>
  <c r="I121" i="17"/>
  <c r="J121" i="17"/>
  <c r="I122" i="17"/>
  <c r="J122" i="17"/>
  <c r="I123" i="17"/>
  <c r="J123" i="17"/>
  <c r="I124" i="17"/>
  <c r="J124" i="17"/>
  <c r="I125" i="17"/>
  <c r="J125" i="17"/>
  <c r="I126" i="17"/>
  <c r="J126" i="17"/>
  <c r="I127" i="17"/>
  <c r="J127" i="17"/>
  <c r="I128" i="17"/>
  <c r="J128" i="17"/>
  <c r="I129" i="17"/>
  <c r="J129" i="17"/>
  <c r="I130" i="17"/>
  <c r="J130" i="17"/>
  <c r="I131" i="17"/>
  <c r="J131" i="17"/>
  <c r="I132" i="17"/>
  <c r="J132" i="17"/>
  <c r="I133" i="17"/>
  <c r="J133" i="17"/>
  <c r="I134" i="17"/>
  <c r="J134" i="17"/>
  <c r="I135" i="17"/>
  <c r="J135" i="17"/>
  <c r="I136" i="17"/>
  <c r="J136" i="17"/>
  <c r="I137" i="17"/>
  <c r="J137" i="17"/>
  <c r="I138" i="17"/>
  <c r="J138" i="17"/>
  <c r="I139" i="17"/>
  <c r="J139" i="17"/>
  <c r="I140" i="17"/>
  <c r="J140" i="17"/>
  <c r="I141" i="17"/>
  <c r="J141" i="17"/>
  <c r="I142" i="17"/>
  <c r="J142" i="17"/>
  <c r="I143" i="17"/>
  <c r="J143" i="17"/>
  <c r="I144" i="17"/>
  <c r="J144" i="17"/>
  <c r="I145" i="17"/>
  <c r="J145" i="17"/>
  <c r="I146" i="17"/>
  <c r="J146" i="17"/>
  <c r="I147" i="17"/>
  <c r="J147" i="17"/>
  <c r="I148" i="17"/>
  <c r="J148" i="17"/>
  <c r="I149" i="17"/>
  <c r="J149" i="17"/>
  <c r="I150" i="17"/>
  <c r="J150" i="17"/>
  <c r="I151" i="17"/>
  <c r="J151" i="17"/>
  <c r="I152" i="17"/>
  <c r="J152" i="17"/>
  <c r="I153" i="17"/>
  <c r="J153" i="17"/>
  <c r="I154" i="17"/>
  <c r="J154" i="17"/>
  <c r="I155" i="17"/>
  <c r="J155" i="17"/>
  <c r="I156" i="17"/>
  <c r="J156" i="17"/>
  <c r="I157" i="17"/>
  <c r="J157" i="17"/>
  <c r="I158" i="17"/>
  <c r="J158" i="17"/>
  <c r="I159" i="17"/>
  <c r="J159" i="17"/>
  <c r="I160" i="17"/>
  <c r="J160" i="17"/>
  <c r="I161" i="17"/>
  <c r="J161" i="17"/>
  <c r="I162" i="17"/>
  <c r="J162" i="17"/>
  <c r="I163" i="17"/>
  <c r="J163" i="17"/>
  <c r="I164" i="17"/>
  <c r="J164" i="17"/>
  <c r="I165" i="17"/>
  <c r="J165" i="17"/>
  <c r="I166" i="17"/>
  <c r="J166" i="17"/>
  <c r="I167" i="17"/>
  <c r="J167" i="17"/>
  <c r="I168" i="17"/>
  <c r="J168" i="17"/>
  <c r="I169" i="17"/>
  <c r="J169" i="17"/>
  <c r="I170" i="17"/>
  <c r="J170" i="17"/>
  <c r="I171" i="17"/>
  <c r="J171" i="17"/>
  <c r="I172" i="17"/>
  <c r="J172" i="17"/>
  <c r="I173" i="17"/>
  <c r="J173" i="17"/>
  <c r="I174" i="17"/>
  <c r="J174" i="17"/>
  <c r="I175" i="17"/>
  <c r="J175" i="17"/>
  <c r="I176" i="17"/>
  <c r="J176" i="17"/>
  <c r="I177" i="17"/>
  <c r="J177" i="17"/>
  <c r="I178" i="17"/>
  <c r="J178" i="17"/>
  <c r="I179" i="17"/>
  <c r="J179" i="17"/>
  <c r="I180" i="17"/>
  <c r="J180" i="17"/>
  <c r="I181" i="17"/>
  <c r="J181" i="17"/>
  <c r="I182" i="17"/>
  <c r="J182" i="17"/>
  <c r="I183" i="17"/>
  <c r="J183" i="17"/>
  <c r="I184" i="17"/>
  <c r="J184" i="17"/>
  <c r="I185" i="17"/>
  <c r="J185" i="17"/>
  <c r="I186" i="17"/>
  <c r="J186" i="17"/>
  <c r="I187" i="17"/>
  <c r="J187" i="17"/>
  <c r="I188" i="17"/>
  <c r="J188" i="17"/>
  <c r="I189" i="17"/>
  <c r="J189" i="17"/>
  <c r="I190" i="17"/>
  <c r="J190" i="17"/>
  <c r="I191" i="17"/>
  <c r="J191" i="17"/>
  <c r="I192" i="17"/>
  <c r="J192" i="17"/>
  <c r="I193" i="17"/>
  <c r="J193" i="17"/>
  <c r="I194" i="17"/>
  <c r="J194" i="17"/>
  <c r="I195" i="17"/>
  <c r="J195" i="17"/>
  <c r="I196" i="17"/>
  <c r="J196" i="17"/>
  <c r="I197" i="17"/>
  <c r="J197" i="17"/>
  <c r="I198" i="17"/>
  <c r="J198" i="17"/>
  <c r="I199" i="17"/>
  <c r="J199" i="17"/>
  <c r="I200" i="17"/>
  <c r="J200" i="17"/>
  <c r="I201" i="17"/>
  <c r="J201" i="17"/>
  <c r="I202" i="17"/>
  <c r="J202" i="17"/>
  <c r="I203" i="17"/>
  <c r="J203" i="17"/>
  <c r="I204" i="17"/>
  <c r="J204" i="17"/>
  <c r="I205" i="17"/>
  <c r="J205" i="17"/>
  <c r="I206" i="17"/>
  <c r="J206" i="17"/>
  <c r="I207" i="17"/>
  <c r="J207" i="17"/>
  <c r="I208" i="17"/>
  <c r="J208" i="17"/>
  <c r="I209" i="17"/>
  <c r="J209" i="17"/>
  <c r="I210" i="17"/>
  <c r="J210" i="17"/>
  <c r="I211" i="17"/>
  <c r="J211" i="17"/>
  <c r="I212" i="17"/>
  <c r="J212" i="17"/>
  <c r="I213" i="17"/>
  <c r="J213" i="17"/>
  <c r="I214" i="17"/>
  <c r="J214" i="17"/>
  <c r="I215" i="17"/>
  <c r="J215" i="17"/>
  <c r="I216" i="17"/>
  <c r="J216" i="17"/>
  <c r="I217" i="17"/>
  <c r="J217" i="17"/>
  <c r="I218" i="17"/>
  <c r="J218" i="17"/>
  <c r="I219" i="17"/>
  <c r="J219" i="17"/>
  <c r="I220" i="17"/>
  <c r="J220" i="17"/>
  <c r="I221" i="17"/>
  <c r="J221" i="17"/>
  <c r="I222" i="17"/>
  <c r="J222" i="17"/>
  <c r="I223" i="17"/>
  <c r="J223" i="17"/>
  <c r="I224" i="17"/>
  <c r="J224" i="17"/>
  <c r="I225" i="17"/>
  <c r="J225" i="17"/>
  <c r="I226" i="17"/>
  <c r="J226" i="17"/>
  <c r="I227" i="17"/>
  <c r="J227" i="17"/>
  <c r="I228" i="17"/>
  <c r="J228" i="17"/>
  <c r="I229" i="17"/>
  <c r="J229" i="17"/>
  <c r="I230" i="17"/>
  <c r="J230" i="17"/>
  <c r="I231" i="17"/>
  <c r="J231" i="17"/>
  <c r="I232" i="17"/>
  <c r="J232" i="17"/>
  <c r="I233" i="17"/>
  <c r="J233" i="17"/>
  <c r="I234" i="17"/>
  <c r="J234" i="17"/>
  <c r="I235" i="17"/>
  <c r="J235" i="17"/>
  <c r="I236" i="17"/>
  <c r="J236" i="17"/>
  <c r="I237" i="17"/>
  <c r="J237" i="17"/>
  <c r="I238" i="17"/>
  <c r="J238" i="17"/>
  <c r="I239" i="17"/>
  <c r="J239" i="17"/>
  <c r="I240" i="17"/>
  <c r="J240" i="17"/>
  <c r="I241" i="17"/>
  <c r="J241" i="17"/>
  <c r="I242" i="17"/>
  <c r="J242" i="17"/>
  <c r="I243" i="17"/>
  <c r="J243" i="17"/>
  <c r="I244" i="17"/>
  <c r="J244" i="17"/>
  <c r="I245" i="17"/>
  <c r="J245" i="17"/>
  <c r="I246" i="17"/>
  <c r="J246" i="17"/>
  <c r="I247" i="17"/>
  <c r="J247" i="17"/>
  <c r="I248" i="17"/>
  <c r="J248" i="17"/>
  <c r="I249" i="17"/>
  <c r="J249" i="17"/>
  <c r="I250" i="17"/>
  <c r="J250" i="17"/>
  <c r="I251" i="17"/>
  <c r="J251" i="17"/>
  <c r="I252" i="17"/>
  <c r="J252" i="17"/>
  <c r="I253" i="17"/>
  <c r="J253" i="17"/>
  <c r="I254" i="17"/>
  <c r="J254" i="17"/>
  <c r="I255" i="17"/>
  <c r="J255" i="17"/>
  <c r="I256" i="17"/>
  <c r="J256" i="17"/>
  <c r="I257" i="17"/>
  <c r="J257" i="17"/>
  <c r="I258" i="17"/>
  <c r="J258" i="17"/>
  <c r="J259" i="17"/>
  <c r="I260" i="17"/>
  <c r="J260" i="17"/>
  <c r="I261" i="17"/>
  <c r="J261" i="17"/>
  <c r="I262" i="17"/>
  <c r="J262" i="17"/>
  <c r="I263" i="17"/>
  <c r="J263" i="17"/>
  <c r="I264" i="17"/>
  <c r="J264" i="17"/>
  <c r="I265" i="17"/>
  <c r="J265" i="17"/>
  <c r="I266" i="17"/>
  <c r="J266" i="17"/>
  <c r="I267" i="17"/>
  <c r="J267" i="17"/>
  <c r="I268" i="17"/>
  <c r="J268" i="17"/>
  <c r="I269" i="17"/>
  <c r="J269" i="17"/>
  <c r="I270" i="17"/>
  <c r="J270" i="17"/>
  <c r="I271" i="17"/>
  <c r="J271" i="17"/>
  <c r="I272" i="17"/>
  <c r="J272" i="17"/>
  <c r="I273" i="17"/>
  <c r="J273" i="17"/>
  <c r="I274" i="17"/>
  <c r="J274" i="17"/>
  <c r="I275" i="17"/>
  <c r="J275" i="17"/>
  <c r="I276" i="17"/>
  <c r="J276" i="17"/>
  <c r="I277" i="17"/>
  <c r="J277" i="17"/>
  <c r="I278" i="17"/>
  <c r="J278" i="17"/>
  <c r="I279" i="17"/>
  <c r="J279" i="17"/>
  <c r="I280" i="17"/>
  <c r="J280" i="17"/>
  <c r="I281" i="17"/>
  <c r="J281" i="17"/>
  <c r="I282" i="17"/>
  <c r="J282" i="17"/>
  <c r="I283" i="17"/>
  <c r="J283" i="17"/>
  <c r="I284" i="17"/>
  <c r="J284" i="17"/>
  <c r="I285" i="17"/>
  <c r="J285" i="17"/>
  <c r="I286" i="17"/>
  <c r="J286" i="17"/>
  <c r="I287" i="17"/>
  <c r="J287" i="17"/>
  <c r="I288" i="17"/>
  <c r="J288" i="17"/>
  <c r="I289" i="17"/>
  <c r="J289" i="17"/>
  <c r="I290" i="17"/>
  <c r="J290" i="17"/>
  <c r="J291" i="17"/>
  <c r="I292" i="17"/>
  <c r="J292" i="17"/>
  <c r="I293" i="17"/>
  <c r="J293" i="17"/>
  <c r="I294" i="17"/>
  <c r="J294" i="17"/>
  <c r="I295" i="17"/>
  <c r="J295" i="17"/>
  <c r="J7" i="17"/>
  <c r="J8" i="17"/>
  <c r="J6" i="17"/>
  <c r="I7" i="17"/>
  <c r="I8" i="17"/>
  <c r="I6" i="17"/>
  <c r="D167" i="20" l="1"/>
  <c r="D166" i="20"/>
  <c r="C156" i="20" s="1"/>
  <c r="C152" i="20" s="1"/>
  <c r="D165" i="20"/>
  <c r="D164" i="20"/>
  <c r="D162" i="20"/>
  <c r="D154" i="20"/>
  <c r="D153" i="20"/>
  <c r="D152" i="20"/>
  <c r="D150" i="20"/>
  <c r="D143" i="20"/>
  <c r="D142" i="20"/>
  <c r="C132" i="20" s="1"/>
  <c r="C128" i="20" s="1"/>
  <c r="D141" i="20"/>
  <c r="D140" i="20"/>
  <c r="C143" i="20" s="1"/>
  <c r="D138" i="20"/>
  <c r="D130" i="20"/>
  <c r="D129" i="20"/>
  <c r="D128" i="20"/>
  <c r="D126" i="20"/>
  <c r="D119" i="20"/>
  <c r="D118" i="20"/>
  <c r="C108" i="20" s="1"/>
  <c r="C104" i="20" s="1"/>
  <c r="D117" i="20"/>
  <c r="D116" i="20"/>
  <c r="C119" i="20" s="1"/>
  <c r="D114" i="20"/>
  <c r="D106" i="20"/>
  <c r="D105" i="20"/>
  <c r="D104" i="20"/>
  <c r="D102" i="20"/>
  <c r="D95" i="20"/>
  <c r="D94" i="20"/>
  <c r="C84" i="20" s="1"/>
  <c r="C80" i="20" s="1"/>
  <c r="D93" i="20"/>
  <c r="D92" i="20"/>
  <c r="C95" i="20" s="1"/>
  <c r="D90" i="20"/>
  <c r="D82" i="20"/>
  <c r="D81" i="20"/>
  <c r="D80" i="20"/>
  <c r="D78" i="20"/>
  <c r="D71" i="20"/>
  <c r="D70" i="20"/>
  <c r="C60" i="20" s="1"/>
  <c r="C56" i="20" s="1"/>
  <c r="D69" i="20"/>
  <c r="D68" i="20"/>
  <c r="C71" i="20" s="1"/>
  <c r="D66" i="20"/>
  <c r="D58" i="20"/>
  <c r="D57" i="20"/>
  <c r="D56" i="20"/>
  <c r="D54" i="20"/>
  <c r="A3" i="20"/>
  <c r="B3" i="20"/>
  <c r="B4" i="19"/>
  <c r="B5" i="19" s="1"/>
  <c r="B6" i="19" s="1"/>
  <c r="B7" i="19" s="1"/>
  <c r="B3" i="19"/>
  <c r="A3" i="19"/>
  <c r="A4" i="19" s="1"/>
  <c r="A5" i="19" s="1"/>
  <c r="A6" i="19" s="1"/>
  <c r="A7" i="19" s="1"/>
  <c r="D17" i="21"/>
  <c r="D30" i="21"/>
  <c r="B30" i="21"/>
  <c r="B17" i="21"/>
  <c r="D35" i="21"/>
  <c r="D34" i="21"/>
  <c r="D33" i="21"/>
  <c r="AP62" i="18"/>
  <c r="AO62" i="18"/>
  <c r="AN62" i="18"/>
  <c r="AM62" i="18"/>
  <c r="AL62" i="18"/>
  <c r="AK62" i="18"/>
  <c r="AG62" i="18"/>
  <c r="AF62" i="18"/>
  <c r="AE62" i="18"/>
  <c r="AD62" i="18"/>
  <c r="C62" i="18"/>
  <c r="AP61" i="18"/>
  <c r="AO61" i="18"/>
  <c r="AN61" i="18"/>
  <c r="AM61" i="18"/>
  <c r="AL61" i="18"/>
  <c r="AK61" i="18"/>
  <c r="AG61" i="18"/>
  <c r="AF61" i="18"/>
  <c r="AE61" i="18"/>
  <c r="AD61" i="18"/>
  <c r="C61" i="18"/>
  <c r="AE14" i="18"/>
  <c r="AD14" i="18"/>
  <c r="AC14" i="18"/>
  <c r="AE13" i="18"/>
  <c r="AD13" i="18"/>
  <c r="AC13" i="18"/>
  <c r="AE12" i="18"/>
  <c r="AD12" i="18"/>
  <c r="AC12" i="18"/>
  <c r="AE11" i="18"/>
  <c r="AD11" i="18"/>
  <c r="AC11" i="18"/>
  <c r="D84" i="19"/>
  <c r="D83" i="19"/>
  <c r="D82" i="19"/>
  <c r="C82" i="19"/>
  <c r="D72" i="19"/>
  <c r="D71" i="19"/>
  <c r="D70" i="19"/>
  <c r="C70" i="19"/>
  <c r="D60" i="19"/>
  <c r="D59" i="19"/>
  <c r="D58" i="19"/>
  <c r="C58" i="19"/>
  <c r="D48" i="19"/>
  <c r="D47" i="19"/>
  <c r="D46" i="19"/>
  <c r="D36" i="19"/>
  <c r="D35" i="19"/>
  <c r="D34" i="19"/>
  <c r="M13" i="21"/>
  <c r="L13" i="21"/>
  <c r="K13" i="21"/>
  <c r="M12" i="21"/>
  <c r="L12" i="21"/>
  <c r="T11" i="21" s="1"/>
  <c r="M11" i="21"/>
  <c r="L11" i="21"/>
  <c r="U11" i="21" s="1"/>
  <c r="U12" i="21" s="1"/>
  <c r="M10" i="21"/>
  <c r="L10" i="21"/>
  <c r="R11" i="21" s="1"/>
  <c r="R12" i="21" s="1"/>
  <c r="M9" i="21"/>
  <c r="L9" i="21"/>
  <c r="T8" i="21" s="1"/>
  <c r="T9" i="21" s="1"/>
  <c r="M8" i="21"/>
  <c r="L8" i="21"/>
  <c r="U8" i="21" s="1"/>
  <c r="U9" i="21" s="1"/>
  <c r="M7" i="21"/>
  <c r="L7" i="21"/>
  <c r="R8" i="21" s="1"/>
  <c r="M6" i="21"/>
  <c r="L6" i="21"/>
  <c r="T5" i="21" s="1"/>
  <c r="M5" i="21"/>
  <c r="L5" i="21"/>
  <c r="U5" i="21" s="1"/>
  <c r="U6" i="21" s="1"/>
  <c r="M4" i="21"/>
  <c r="L4" i="21"/>
  <c r="R5" i="21" s="1"/>
  <c r="R6" i="21" s="1"/>
  <c r="M3" i="21"/>
  <c r="L3" i="21"/>
  <c r="T2" i="21" s="1"/>
  <c r="M2" i="21"/>
  <c r="L2" i="21"/>
  <c r="U2" i="21" s="1"/>
  <c r="U3" i="21" s="1"/>
  <c r="M1" i="21"/>
  <c r="L1" i="21"/>
  <c r="R2" i="21" s="1"/>
  <c r="R3" i="21" s="1"/>
  <c r="M13" i="20"/>
  <c r="L13" i="20"/>
  <c r="K13" i="20"/>
  <c r="M12" i="20"/>
  <c r="L12" i="20"/>
  <c r="T11" i="20" s="1"/>
  <c r="M11" i="20"/>
  <c r="L11" i="20"/>
  <c r="U11" i="20" s="1"/>
  <c r="U12" i="20" s="1"/>
  <c r="M10" i="20"/>
  <c r="L10" i="20"/>
  <c r="R11" i="20" s="1"/>
  <c r="M9" i="20"/>
  <c r="L9" i="20"/>
  <c r="T8" i="20" s="1"/>
  <c r="M8" i="20"/>
  <c r="L8" i="20"/>
  <c r="U8" i="20" s="1"/>
  <c r="U9" i="20" s="1"/>
  <c r="M7" i="20"/>
  <c r="L7" i="20"/>
  <c r="R8" i="20" s="1"/>
  <c r="R9" i="20" s="1"/>
  <c r="M6" i="20"/>
  <c r="L6" i="20"/>
  <c r="T5" i="20" s="1"/>
  <c r="M5" i="20"/>
  <c r="L5" i="20"/>
  <c r="U5" i="20" s="1"/>
  <c r="U6" i="20" s="1"/>
  <c r="M4" i="20"/>
  <c r="L4" i="20"/>
  <c r="R5" i="20" s="1"/>
  <c r="R6" i="20" s="1"/>
  <c r="M3" i="20"/>
  <c r="L3" i="20"/>
  <c r="T2" i="20" s="1"/>
  <c r="T3" i="20" s="1"/>
  <c r="M2" i="20"/>
  <c r="L2" i="20"/>
  <c r="U2" i="20" s="1"/>
  <c r="U3" i="20" s="1"/>
  <c r="M1" i="20"/>
  <c r="L1" i="20"/>
  <c r="R2" i="20" s="1"/>
  <c r="C167" i="20" l="1"/>
  <c r="C35" i="21"/>
  <c r="C82" i="20"/>
  <c r="C154" i="20"/>
  <c r="C58" i="20"/>
  <c r="C106" i="20"/>
  <c r="C130" i="20"/>
  <c r="T9" i="20"/>
  <c r="A4" i="20"/>
  <c r="R12" i="20"/>
  <c r="B4" i="20"/>
  <c r="C84" i="19"/>
  <c r="C72" i="19"/>
  <c r="C60" i="19"/>
  <c r="C48" i="19"/>
  <c r="C36" i="19"/>
  <c r="R9" i="21"/>
  <c r="T12" i="21"/>
  <c r="T3" i="21"/>
  <c r="T6" i="21"/>
  <c r="T6" i="20"/>
  <c r="R3" i="20"/>
  <c r="T12" i="20"/>
  <c r="B5" i="20" l="1"/>
  <c r="A5" i="20"/>
  <c r="B6" i="20" l="1"/>
  <c r="A6" i="20"/>
  <c r="A7" i="20" l="1"/>
  <c r="B7" i="20"/>
  <c r="AJ62" i="18"/>
  <c r="B8" i="20" l="1"/>
  <c r="A8" i="20"/>
  <c r="AJ61" i="18"/>
  <c r="A9" i="20" l="1"/>
  <c r="B9" i="20"/>
  <c r="D24" i="19"/>
  <c r="D23" i="19"/>
  <c r="D22" i="19"/>
  <c r="M13" i="19"/>
  <c r="L13" i="19"/>
  <c r="K13" i="19"/>
  <c r="M12" i="19"/>
  <c r="L12" i="19"/>
  <c r="T11" i="19" s="1"/>
  <c r="T12" i="19" s="1"/>
  <c r="M11" i="19"/>
  <c r="L11" i="19"/>
  <c r="U11" i="19" s="1"/>
  <c r="U12" i="19" s="1"/>
  <c r="M10" i="19"/>
  <c r="L10" i="19"/>
  <c r="R11" i="19" s="1"/>
  <c r="M9" i="19"/>
  <c r="L9" i="19"/>
  <c r="T8" i="19" s="1"/>
  <c r="T9" i="19" s="1"/>
  <c r="M8" i="19"/>
  <c r="L8" i="19"/>
  <c r="U8" i="19" s="1"/>
  <c r="M7" i="19"/>
  <c r="L7" i="19"/>
  <c r="R8" i="19" s="1"/>
  <c r="R9" i="19" s="1"/>
  <c r="M6" i="19"/>
  <c r="L6" i="19"/>
  <c r="T5" i="19" s="1"/>
  <c r="M5" i="19"/>
  <c r="L5" i="19"/>
  <c r="U5" i="19" s="1"/>
  <c r="U6" i="19" s="1"/>
  <c r="M4" i="19"/>
  <c r="L4" i="19"/>
  <c r="R5" i="19" s="1"/>
  <c r="R6" i="19" s="1"/>
  <c r="M3" i="19"/>
  <c r="L3" i="19"/>
  <c r="T2" i="19" s="1"/>
  <c r="T3" i="19" s="1"/>
  <c r="M2" i="19"/>
  <c r="L2" i="19"/>
  <c r="U2" i="19" s="1"/>
  <c r="U3" i="19" s="1"/>
  <c r="M1" i="19"/>
  <c r="L1" i="19"/>
  <c r="R2" i="19" s="1"/>
  <c r="D47" i="20"/>
  <c r="D46" i="20"/>
  <c r="D45" i="20"/>
  <c r="D44" i="20"/>
  <c r="C47" i="20" s="1"/>
  <c r="D34" i="20"/>
  <c r="D33" i="20"/>
  <c r="D32" i="20"/>
  <c r="D22" i="21"/>
  <c r="D21" i="21"/>
  <c r="D20" i="21"/>
  <c r="D19" i="21"/>
  <c r="C22" i="21" l="1"/>
  <c r="C32" i="20"/>
  <c r="C36" i="20"/>
  <c r="C34" i="20"/>
  <c r="B10" i="20"/>
  <c r="A10" i="20"/>
  <c r="C24" i="19"/>
  <c r="R3" i="19"/>
  <c r="U9" i="19"/>
  <c r="R12" i="19"/>
  <c r="T6" i="19"/>
  <c r="A11" i="20" l="1"/>
  <c r="B11" i="20"/>
  <c r="C59" i="18"/>
  <c r="C60" i="18"/>
  <c r="C58" i="18"/>
  <c r="E58" i="18" l="1"/>
  <c r="G58" i="18"/>
  <c r="G59" i="18" s="1"/>
  <c r="G60" i="18" s="1"/>
  <c r="G61" i="18" s="1"/>
  <c r="G62" i="18" s="1"/>
  <c r="F58" i="18"/>
  <c r="F59" i="18" s="1"/>
  <c r="F60" i="18" l="1"/>
  <c r="F61" i="18" s="1"/>
  <c r="F62" i="18" s="1"/>
  <c r="E59" i="18"/>
  <c r="AE10" i="18"/>
  <c r="AD10" i="18"/>
  <c r="AC10" i="18"/>
  <c r="AE9" i="18"/>
  <c r="AD9" i="18"/>
  <c r="AC9" i="18"/>
  <c r="AE8" i="18"/>
  <c r="AD8" i="18"/>
  <c r="AC8" i="18"/>
  <c r="AE7" i="18"/>
  <c r="AD7" i="18"/>
  <c r="AC7" i="18"/>
  <c r="AE6" i="18"/>
  <c r="AD6" i="18"/>
  <c r="AC6" i="18"/>
  <c r="AE5" i="18"/>
  <c r="AD5" i="18"/>
  <c r="AC5" i="18"/>
  <c r="I16" i="18" l="1"/>
  <c r="I18" i="18"/>
  <c r="I22" i="18"/>
  <c r="I20" i="18"/>
  <c r="L21" i="18"/>
  <c r="L18" i="18"/>
  <c r="L22" i="18"/>
  <c r="L19" i="18"/>
  <c r="L20" i="18"/>
  <c r="L16" i="18"/>
  <c r="L17" i="18"/>
  <c r="L15" i="18"/>
  <c r="M22" i="18"/>
  <c r="M19" i="18"/>
  <c r="M18" i="18"/>
  <c r="M15" i="18"/>
  <c r="M17" i="18"/>
  <c r="M21" i="18"/>
  <c r="M20" i="18"/>
  <c r="M16" i="18"/>
  <c r="L11" i="18"/>
  <c r="L14" i="18"/>
  <c r="L13" i="18"/>
  <c r="L12" i="18"/>
  <c r="M11" i="18"/>
  <c r="M14" i="18"/>
  <c r="M13" i="18"/>
  <c r="M12" i="18"/>
  <c r="I12" i="18"/>
  <c r="I14" i="18"/>
  <c r="M5" i="18"/>
  <c r="M10" i="18"/>
  <c r="M8" i="18"/>
  <c r="M6" i="18"/>
  <c r="M4" i="18"/>
  <c r="M9" i="18"/>
  <c r="M3" i="18"/>
  <c r="M7" i="18"/>
  <c r="L10" i="18"/>
  <c r="L8" i="18"/>
  <c r="L6" i="18"/>
  <c r="L4" i="18"/>
  <c r="L9" i="18"/>
  <c r="L7" i="18"/>
  <c r="L5" i="18"/>
  <c r="L3" i="18"/>
  <c r="I8" i="18"/>
  <c r="I6" i="18"/>
  <c r="I4" i="18"/>
  <c r="I10" i="18"/>
  <c r="W61" i="18" l="1"/>
  <c r="X62" i="18"/>
  <c r="Z57" i="18"/>
  <c r="X58" i="18"/>
  <c r="B273" i="17"/>
  <c r="E273" i="17" s="1"/>
  <c r="D273" i="17"/>
  <c r="G273" i="17"/>
  <c r="B274" i="17"/>
  <c r="E274" i="17" s="1"/>
  <c r="D274" i="17"/>
  <c r="G274" i="17"/>
  <c r="B275" i="17"/>
  <c r="E275" i="17" s="1"/>
  <c r="D275" i="17"/>
  <c r="G275" i="17"/>
  <c r="W58" i="18" l="1"/>
  <c r="Z59" i="18"/>
  <c r="W62" i="18"/>
  <c r="Z58" i="18"/>
  <c r="W57" i="18"/>
  <c r="Z60" i="18"/>
  <c r="W59" i="18"/>
  <c r="Z62" i="18"/>
  <c r="W60" i="18"/>
  <c r="X61" i="18"/>
  <c r="X57" i="18"/>
  <c r="Z61" i="18"/>
  <c r="X60" i="18"/>
  <c r="X59" i="18"/>
  <c r="F30" i="14"/>
  <c r="F29" i="14"/>
  <c r="G276" i="17"/>
  <c r="G277" i="17"/>
  <c r="G278" i="17"/>
  <c r="G279" i="17"/>
  <c r="G280" i="17"/>
  <c r="G281" i="17"/>
  <c r="G282" i="17"/>
  <c r="G283" i="17"/>
  <c r="G284" i="17"/>
  <c r="G285" i="17"/>
  <c r="G289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B277" i="17"/>
  <c r="E277" i="17" s="1"/>
  <c r="B278" i="17"/>
  <c r="E278" i="17" s="1"/>
  <c r="B279" i="17"/>
  <c r="E279" i="17" s="1"/>
  <c r="B280" i="17"/>
  <c r="E280" i="17" s="1"/>
  <c r="B281" i="17"/>
  <c r="E281" i="17" s="1"/>
  <c r="B282" i="17"/>
  <c r="E282" i="17" s="1"/>
  <c r="B283" i="17"/>
  <c r="E283" i="17" s="1"/>
  <c r="B284" i="17"/>
  <c r="E284" i="17" s="1"/>
  <c r="B285" i="17"/>
  <c r="E285" i="17" s="1"/>
  <c r="B294" i="17"/>
  <c r="E294" i="17" s="1"/>
  <c r="A287" i="17"/>
  <c r="B287" i="17" s="1"/>
  <c r="E287" i="17" s="1"/>
  <c r="A288" i="17"/>
  <c r="G288" i="17" s="1"/>
  <c r="A289" i="17"/>
  <c r="B289" i="17" s="1"/>
  <c r="E289" i="17" s="1"/>
  <c r="A290" i="17"/>
  <c r="G290" i="17" s="1"/>
  <c r="A291" i="17"/>
  <c r="A292" i="17"/>
  <c r="A293" i="17"/>
  <c r="A294" i="17"/>
  <c r="G294" i="17" s="1"/>
  <c r="A295" i="17"/>
  <c r="G295" i="17" s="1"/>
  <c r="A286" i="17"/>
  <c r="B286" i="17" s="1"/>
  <c r="E286" i="17" s="1"/>
  <c r="B276" i="17"/>
  <c r="E276" i="17" s="1"/>
  <c r="B267" i="17"/>
  <c r="E267" i="17" s="1"/>
  <c r="B268" i="17"/>
  <c r="E268" i="17" s="1"/>
  <c r="B269" i="17"/>
  <c r="E269" i="17" s="1"/>
  <c r="B270" i="17"/>
  <c r="E270" i="17" s="1"/>
  <c r="B271" i="17"/>
  <c r="E271" i="17" s="1"/>
  <c r="B272" i="17"/>
  <c r="E272" i="17" s="1"/>
  <c r="D267" i="17"/>
  <c r="D268" i="17"/>
  <c r="D269" i="17"/>
  <c r="D270" i="17"/>
  <c r="D271" i="17"/>
  <c r="D272" i="17"/>
  <c r="G266" i="17"/>
  <c r="G267" i="17"/>
  <c r="G268" i="17"/>
  <c r="G269" i="17"/>
  <c r="G270" i="17"/>
  <c r="G271" i="17"/>
  <c r="G272" i="17"/>
  <c r="D266" i="17"/>
  <c r="B266" i="17"/>
  <c r="E266" i="17" s="1"/>
  <c r="AE4" i="18"/>
  <c r="AD4" i="18"/>
  <c r="AC4" i="18"/>
  <c r="AE3" i="18"/>
  <c r="AD3" i="18"/>
  <c r="AC3" i="18"/>
  <c r="AE2" i="18"/>
  <c r="AD2" i="18"/>
  <c r="AC2" i="18"/>
  <c r="AE1" i="18"/>
  <c r="AD1" i="18"/>
  <c r="AC1" i="18"/>
  <c r="AE15" i="18"/>
  <c r="AF15" i="18"/>
  <c r="AG15" i="18"/>
  <c r="AE16" i="18"/>
  <c r="AF16" i="18"/>
  <c r="AG16" i="18"/>
  <c r="AE17" i="18"/>
  <c r="AF17" i="18"/>
  <c r="AG17" i="18"/>
  <c r="AE18" i="18"/>
  <c r="AF18" i="18"/>
  <c r="AG18" i="18"/>
  <c r="AE19" i="18"/>
  <c r="AF19" i="18"/>
  <c r="AG19" i="18"/>
  <c r="AE20" i="18"/>
  <c r="AF20" i="18"/>
  <c r="AG20" i="18"/>
  <c r="AE21" i="18"/>
  <c r="AF21" i="18"/>
  <c r="AG21" i="18"/>
  <c r="AE22" i="18"/>
  <c r="AF22" i="18"/>
  <c r="AG22" i="18"/>
  <c r="AE23" i="18"/>
  <c r="AF23" i="18"/>
  <c r="AG23" i="18"/>
  <c r="AE24" i="18"/>
  <c r="AF24" i="18"/>
  <c r="AG24" i="18"/>
  <c r="AE25" i="18"/>
  <c r="AF25" i="18"/>
  <c r="AG25" i="18"/>
  <c r="AE26" i="18"/>
  <c r="AF26" i="18"/>
  <c r="AG26" i="18"/>
  <c r="AE27" i="18"/>
  <c r="AF27" i="18"/>
  <c r="AG27" i="18"/>
  <c r="AE28" i="18"/>
  <c r="AF28" i="18"/>
  <c r="AG28" i="18"/>
  <c r="AE29" i="18"/>
  <c r="AF29" i="18"/>
  <c r="AG29" i="18"/>
  <c r="AE30" i="18"/>
  <c r="AF30" i="18"/>
  <c r="AG30" i="18"/>
  <c r="AE31" i="18"/>
  <c r="AF31" i="18"/>
  <c r="AG31" i="18"/>
  <c r="AE32" i="18"/>
  <c r="AF32" i="18"/>
  <c r="AG32" i="18"/>
  <c r="AE33" i="18"/>
  <c r="AF33" i="18"/>
  <c r="AG33" i="18"/>
  <c r="AE34" i="18"/>
  <c r="AF34" i="18"/>
  <c r="AG34" i="18"/>
  <c r="AE35" i="18"/>
  <c r="AF35" i="18"/>
  <c r="AG35" i="18"/>
  <c r="AE36" i="18"/>
  <c r="AF36" i="18"/>
  <c r="AG36" i="18"/>
  <c r="AE37" i="18"/>
  <c r="AF37" i="18"/>
  <c r="AG37" i="18"/>
  <c r="AE38" i="18"/>
  <c r="AF38" i="18"/>
  <c r="AG38" i="18"/>
  <c r="AE39" i="18"/>
  <c r="AF39" i="18"/>
  <c r="AG39" i="18"/>
  <c r="AE40" i="18"/>
  <c r="AF40" i="18"/>
  <c r="AG40" i="18"/>
  <c r="AE41" i="18"/>
  <c r="AF41" i="18"/>
  <c r="AG41" i="18"/>
  <c r="AE42" i="18"/>
  <c r="AF42" i="18"/>
  <c r="AG42" i="18"/>
  <c r="AE43" i="18"/>
  <c r="AF43" i="18"/>
  <c r="AG43" i="18"/>
  <c r="AE44" i="18"/>
  <c r="AF44" i="18"/>
  <c r="AG44" i="18"/>
  <c r="AE45" i="18"/>
  <c r="AF45" i="18"/>
  <c r="AG45" i="18"/>
  <c r="AE46" i="18"/>
  <c r="AF46" i="18"/>
  <c r="AG46" i="18"/>
  <c r="AE47" i="18"/>
  <c r="AF47" i="18"/>
  <c r="AG47" i="18"/>
  <c r="AE48" i="18"/>
  <c r="AF48" i="18"/>
  <c r="AG48" i="18"/>
  <c r="AE49" i="18"/>
  <c r="AF49" i="18"/>
  <c r="AG49" i="18"/>
  <c r="AE50" i="18"/>
  <c r="AF50" i="18"/>
  <c r="AG50" i="18"/>
  <c r="AE51" i="18"/>
  <c r="AF51" i="18"/>
  <c r="AG51" i="18"/>
  <c r="AE52" i="18"/>
  <c r="AF52" i="18"/>
  <c r="AG52" i="18"/>
  <c r="AE53" i="18"/>
  <c r="AF53" i="18"/>
  <c r="AG53" i="18"/>
  <c r="AE54" i="18"/>
  <c r="AF54" i="18"/>
  <c r="AG54" i="18"/>
  <c r="AE55" i="18"/>
  <c r="AF55" i="18"/>
  <c r="AG55" i="18"/>
  <c r="AE56" i="18"/>
  <c r="AF56" i="18"/>
  <c r="AG56" i="18"/>
  <c r="AE57" i="18"/>
  <c r="AF57" i="18"/>
  <c r="AG57" i="18"/>
  <c r="AE58" i="18"/>
  <c r="AF58" i="18"/>
  <c r="AG58" i="18"/>
  <c r="AE59" i="18"/>
  <c r="AF59" i="18"/>
  <c r="AG59" i="18"/>
  <c r="AE60" i="18"/>
  <c r="AF60" i="18"/>
  <c r="AG60" i="18"/>
  <c r="AE63" i="18"/>
  <c r="AF63" i="18"/>
  <c r="AG63" i="18"/>
  <c r="AE64" i="18"/>
  <c r="AF64" i="18"/>
  <c r="AG64" i="18"/>
  <c r="AE65" i="18"/>
  <c r="AF65" i="18"/>
  <c r="AG65" i="18"/>
  <c r="AE66" i="18"/>
  <c r="AF66" i="18"/>
  <c r="AG66" i="18"/>
  <c r="AE67" i="18"/>
  <c r="AF67" i="18"/>
  <c r="AG67" i="18"/>
  <c r="AE68" i="18"/>
  <c r="AF68" i="18"/>
  <c r="AG68" i="18"/>
  <c r="AE69" i="18"/>
  <c r="AF69" i="18"/>
  <c r="AG69" i="18"/>
  <c r="AE70" i="18"/>
  <c r="AF70" i="18"/>
  <c r="AG70" i="18"/>
  <c r="AD27" i="18"/>
  <c r="AH27" i="18"/>
  <c r="AI27" i="18"/>
  <c r="AJ27" i="18"/>
  <c r="AK27" i="18"/>
  <c r="AL27" i="18"/>
  <c r="AM27" i="18"/>
  <c r="AN27" i="18"/>
  <c r="AO27" i="18"/>
  <c r="AP27" i="18"/>
  <c r="AD28" i="18"/>
  <c r="AH28" i="18"/>
  <c r="AI28" i="18"/>
  <c r="AJ28" i="18"/>
  <c r="AK28" i="18"/>
  <c r="AL28" i="18"/>
  <c r="AM28" i="18"/>
  <c r="AN28" i="18"/>
  <c r="AO28" i="18"/>
  <c r="AP28" i="18"/>
  <c r="AD29" i="18"/>
  <c r="AH29" i="18"/>
  <c r="AI29" i="18"/>
  <c r="AJ29" i="18"/>
  <c r="AK29" i="18"/>
  <c r="AL29" i="18"/>
  <c r="AM29" i="18"/>
  <c r="AN29" i="18"/>
  <c r="AO29" i="18"/>
  <c r="AP29" i="18"/>
  <c r="AD30" i="18"/>
  <c r="AH30" i="18"/>
  <c r="AI30" i="18"/>
  <c r="AJ30" i="18"/>
  <c r="AK30" i="18"/>
  <c r="AL30" i="18"/>
  <c r="AM30" i="18"/>
  <c r="AN30" i="18"/>
  <c r="AO30" i="18"/>
  <c r="AP30" i="18"/>
  <c r="AD31" i="18"/>
  <c r="AH31" i="18"/>
  <c r="AI31" i="18"/>
  <c r="AJ31" i="18"/>
  <c r="AK31" i="18"/>
  <c r="AL31" i="18"/>
  <c r="AM31" i="18"/>
  <c r="AN31" i="18"/>
  <c r="AO31" i="18"/>
  <c r="AP31" i="18"/>
  <c r="AD32" i="18"/>
  <c r="AH32" i="18"/>
  <c r="AI32" i="18"/>
  <c r="AJ32" i="18"/>
  <c r="AK32" i="18"/>
  <c r="AL32" i="18"/>
  <c r="AM32" i="18"/>
  <c r="AN32" i="18"/>
  <c r="AO32" i="18"/>
  <c r="AP32" i="18"/>
  <c r="AD33" i="18"/>
  <c r="AH33" i="18"/>
  <c r="AI33" i="18"/>
  <c r="AJ33" i="18"/>
  <c r="AK33" i="18"/>
  <c r="AL33" i="18"/>
  <c r="AM33" i="18"/>
  <c r="AN33" i="18"/>
  <c r="AO33" i="18"/>
  <c r="AP33" i="18"/>
  <c r="AD34" i="18"/>
  <c r="AH34" i="18"/>
  <c r="AI34" i="18"/>
  <c r="AJ34" i="18"/>
  <c r="AK34" i="18"/>
  <c r="AL34" i="18"/>
  <c r="AM34" i="18"/>
  <c r="AN34" i="18"/>
  <c r="AO34" i="18"/>
  <c r="AP34" i="18"/>
  <c r="AD35" i="18"/>
  <c r="AH35" i="18"/>
  <c r="AI35" i="18"/>
  <c r="AJ35" i="18"/>
  <c r="AK35" i="18"/>
  <c r="AL35" i="18"/>
  <c r="AM35" i="18"/>
  <c r="AN35" i="18"/>
  <c r="AO35" i="18"/>
  <c r="AP35" i="18"/>
  <c r="AD36" i="18"/>
  <c r="AH36" i="18"/>
  <c r="AI36" i="18"/>
  <c r="AJ36" i="18"/>
  <c r="AK36" i="18"/>
  <c r="AL36" i="18"/>
  <c r="AM36" i="18"/>
  <c r="AN36" i="18"/>
  <c r="AO36" i="18"/>
  <c r="AP36" i="18"/>
  <c r="AD37" i="18"/>
  <c r="AH37" i="18"/>
  <c r="AI37" i="18"/>
  <c r="AJ37" i="18"/>
  <c r="AK37" i="18"/>
  <c r="AL37" i="18"/>
  <c r="AM37" i="18"/>
  <c r="AN37" i="18"/>
  <c r="AO37" i="18"/>
  <c r="AP37" i="18"/>
  <c r="AD38" i="18"/>
  <c r="AH38" i="18"/>
  <c r="AI38" i="18"/>
  <c r="AJ38" i="18"/>
  <c r="AK38" i="18"/>
  <c r="AL38" i="18"/>
  <c r="AM38" i="18"/>
  <c r="AN38" i="18"/>
  <c r="AO38" i="18"/>
  <c r="AP38" i="18"/>
  <c r="AD39" i="18"/>
  <c r="AH39" i="18"/>
  <c r="AI39" i="18"/>
  <c r="AJ39" i="18"/>
  <c r="AK39" i="18"/>
  <c r="AL39" i="18"/>
  <c r="AM39" i="18"/>
  <c r="AN39" i="18"/>
  <c r="AO39" i="18"/>
  <c r="AP39" i="18"/>
  <c r="AD40" i="18"/>
  <c r="AH40" i="18"/>
  <c r="AI40" i="18"/>
  <c r="AJ40" i="18"/>
  <c r="AK40" i="18"/>
  <c r="AL40" i="18"/>
  <c r="AM40" i="18"/>
  <c r="AN40" i="18"/>
  <c r="AO40" i="18"/>
  <c r="AP40" i="18"/>
  <c r="AD41" i="18"/>
  <c r="AH41" i="18"/>
  <c r="AI41" i="18"/>
  <c r="AJ41" i="18"/>
  <c r="AK41" i="18"/>
  <c r="AL41" i="18"/>
  <c r="AM41" i="18"/>
  <c r="AN41" i="18"/>
  <c r="AO41" i="18"/>
  <c r="AP41" i="18"/>
  <c r="AD42" i="18"/>
  <c r="AH42" i="18"/>
  <c r="AI42" i="18"/>
  <c r="AJ42" i="18"/>
  <c r="AK42" i="18"/>
  <c r="AL42" i="18"/>
  <c r="AM42" i="18"/>
  <c r="AN42" i="18"/>
  <c r="AO42" i="18"/>
  <c r="AP42" i="18"/>
  <c r="AD43" i="18"/>
  <c r="AH43" i="18"/>
  <c r="AI43" i="18"/>
  <c r="AJ43" i="18"/>
  <c r="AK43" i="18"/>
  <c r="AL43" i="18"/>
  <c r="AM43" i="18"/>
  <c r="AN43" i="18"/>
  <c r="AO43" i="18"/>
  <c r="AP43" i="18"/>
  <c r="AD44" i="18"/>
  <c r="AH44" i="18"/>
  <c r="AI44" i="18"/>
  <c r="AJ44" i="18"/>
  <c r="AK44" i="18"/>
  <c r="AL44" i="18"/>
  <c r="AM44" i="18"/>
  <c r="AN44" i="18"/>
  <c r="AO44" i="18"/>
  <c r="AP44" i="18"/>
  <c r="AD45" i="18"/>
  <c r="AH45" i="18"/>
  <c r="AI45" i="18"/>
  <c r="AJ45" i="18"/>
  <c r="AK45" i="18"/>
  <c r="AL45" i="18"/>
  <c r="AM45" i="18"/>
  <c r="AN45" i="18"/>
  <c r="AO45" i="18"/>
  <c r="AP45" i="18"/>
  <c r="AD46" i="18"/>
  <c r="AH46" i="18"/>
  <c r="AI46" i="18"/>
  <c r="AJ46" i="18"/>
  <c r="AK46" i="18"/>
  <c r="AL46" i="18"/>
  <c r="AM46" i="18"/>
  <c r="AN46" i="18"/>
  <c r="AO46" i="18"/>
  <c r="AP46" i="18"/>
  <c r="AD47" i="18"/>
  <c r="AH47" i="18"/>
  <c r="AI47" i="18"/>
  <c r="AJ47" i="18"/>
  <c r="AK47" i="18"/>
  <c r="AL47" i="18"/>
  <c r="AM47" i="18"/>
  <c r="AN47" i="18"/>
  <c r="AO47" i="18"/>
  <c r="AP47" i="18"/>
  <c r="AD48" i="18"/>
  <c r="AH48" i="18"/>
  <c r="AI48" i="18"/>
  <c r="AJ48" i="18"/>
  <c r="AK48" i="18"/>
  <c r="AL48" i="18"/>
  <c r="AM48" i="18"/>
  <c r="AN48" i="18"/>
  <c r="AO48" i="18"/>
  <c r="AP48" i="18"/>
  <c r="AD49" i="18"/>
  <c r="AH49" i="18"/>
  <c r="AI49" i="18"/>
  <c r="AJ49" i="18"/>
  <c r="AK49" i="18"/>
  <c r="AL49" i="18"/>
  <c r="AM49" i="18"/>
  <c r="AN49" i="18"/>
  <c r="AO49" i="18"/>
  <c r="AP49" i="18"/>
  <c r="AD50" i="18"/>
  <c r="AH50" i="18"/>
  <c r="AI50" i="18"/>
  <c r="AJ50" i="18"/>
  <c r="AK50" i="18"/>
  <c r="AL50" i="18"/>
  <c r="AM50" i="18"/>
  <c r="AN50" i="18"/>
  <c r="AO50" i="18"/>
  <c r="AP50" i="18"/>
  <c r="AD51" i="18"/>
  <c r="AH51" i="18"/>
  <c r="AI51" i="18"/>
  <c r="AJ51" i="18"/>
  <c r="AK51" i="18"/>
  <c r="AL51" i="18"/>
  <c r="AM51" i="18"/>
  <c r="AN51" i="18"/>
  <c r="AO51" i="18"/>
  <c r="AP51" i="18"/>
  <c r="AD52" i="18"/>
  <c r="AH52" i="18"/>
  <c r="AI52" i="18"/>
  <c r="AJ52" i="18"/>
  <c r="AK52" i="18"/>
  <c r="AL52" i="18"/>
  <c r="AM52" i="18"/>
  <c r="AN52" i="18"/>
  <c r="AO52" i="18"/>
  <c r="AP52" i="18"/>
  <c r="AD53" i="18"/>
  <c r="AH53" i="18"/>
  <c r="AI53" i="18"/>
  <c r="AJ53" i="18"/>
  <c r="AK53" i="18"/>
  <c r="AL53" i="18"/>
  <c r="AM53" i="18"/>
  <c r="AN53" i="18"/>
  <c r="AO53" i="18"/>
  <c r="AP53" i="18"/>
  <c r="AD54" i="18"/>
  <c r="AH54" i="18"/>
  <c r="AI54" i="18"/>
  <c r="AJ54" i="18"/>
  <c r="AK54" i="18"/>
  <c r="AL54" i="18"/>
  <c r="AM54" i="18"/>
  <c r="AN54" i="18"/>
  <c r="AO54" i="18"/>
  <c r="AP54" i="18"/>
  <c r="AD55" i="18"/>
  <c r="AH55" i="18"/>
  <c r="AI55" i="18"/>
  <c r="AJ55" i="18"/>
  <c r="AK55" i="18"/>
  <c r="AL55" i="18"/>
  <c r="AM55" i="18"/>
  <c r="AN55" i="18"/>
  <c r="AO55" i="18"/>
  <c r="AP55" i="18"/>
  <c r="AD56" i="18"/>
  <c r="AH56" i="18"/>
  <c r="AI56" i="18"/>
  <c r="AJ56" i="18"/>
  <c r="AK56" i="18"/>
  <c r="AL56" i="18"/>
  <c r="AM56" i="18"/>
  <c r="AN56" i="18"/>
  <c r="AO56" i="18"/>
  <c r="AP56" i="18"/>
  <c r="AD57" i="18"/>
  <c r="AH57" i="18"/>
  <c r="AI57" i="18"/>
  <c r="AJ57" i="18"/>
  <c r="AK57" i="18"/>
  <c r="AL57" i="18"/>
  <c r="AM57" i="18"/>
  <c r="AN57" i="18"/>
  <c r="AO57" i="18"/>
  <c r="AP57" i="18"/>
  <c r="AD58" i="18"/>
  <c r="AH58" i="18"/>
  <c r="AI58" i="18"/>
  <c r="AJ58" i="18"/>
  <c r="AK58" i="18"/>
  <c r="AL58" i="18"/>
  <c r="AM58" i="18"/>
  <c r="AN58" i="18"/>
  <c r="AO58" i="18"/>
  <c r="AP58" i="18"/>
  <c r="AD59" i="18"/>
  <c r="AH59" i="18"/>
  <c r="AI59" i="18"/>
  <c r="AJ59" i="18"/>
  <c r="AK59" i="18"/>
  <c r="AL59" i="18"/>
  <c r="AM59" i="18"/>
  <c r="AN59" i="18"/>
  <c r="AO59" i="18"/>
  <c r="AP59" i="18"/>
  <c r="AD60" i="18"/>
  <c r="AJ60" i="18"/>
  <c r="AK60" i="18"/>
  <c r="AL60" i="18"/>
  <c r="AM60" i="18"/>
  <c r="AN60" i="18"/>
  <c r="AO60" i="18"/>
  <c r="AP60" i="18"/>
  <c r="AD63" i="18"/>
  <c r="AJ63" i="18"/>
  <c r="AK63" i="18"/>
  <c r="AL63" i="18"/>
  <c r="AM63" i="18"/>
  <c r="AN63" i="18"/>
  <c r="AO63" i="18"/>
  <c r="AP63" i="18"/>
  <c r="AD64" i="18"/>
  <c r="AJ64" i="18"/>
  <c r="AK64" i="18"/>
  <c r="AL64" i="18"/>
  <c r="AM64" i="18"/>
  <c r="AN64" i="18"/>
  <c r="AO64" i="18"/>
  <c r="AP64" i="18"/>
  <c r="AD65" i="18"/>
  <c r="AJ65" i="18"/>
  <c r="AK65" i="18"/>
  <c r="AL65" i="18"/>
  <c r="AM65" i="18"/>
  <c r="AN65" i="18"/>
  <c r="AO65" i="18"/>
  <c r="AP65" i="18"/>
  <c r="AD66" i="18"/>
  <c r="AJ66" i="18"/>
  <c r="AK66" i="18"/>
  <c r="AL66" i="18"/>
  <c r="AM66" i="18"/>
  <c r="AN66" i="18"/>
  <c r="AO66" i="18"/>
  <c r="AP66" i="18"/>
  <c r="AD67" i="18"/>
  <c r="AJ67" i="18"/>
  <c r="AK67" i="18"/>
  <c r="AL67" i="18"/>
  <c r="AM67" i="18"/>
  <c r="AN67" i="18"/>
  <c r="AO67" i="18"/>
  <c r="AP67" i="18"/>
  <c r="AD68" i="18"/>
  <c r="AJ68" i="18"/>
  <c r="AK68" i="18"/>
  <c r="AL68" i="18"/>
  <c r="AM68" i="18"/>
  <c r="AN68" i="18"/>
  <c r="AO68" i="18"/>
  <c r="AP68" i="18"/>
  <c r="AD69" i="18"/>
  <c r="AJ69" i="18"/>
  <c r="AK69" i="18"/>
  <c r="AL69" i="18"/>
  <c r="AM69" i="18"/>
  <c r="AN69" i="18"/>
  <c r="AO69" i="18"/>
  <c r="AP69" i="18"/>
  <c r="AD70" i="18"/>
  <c r="AJ70" i="18"/>
  <c r="AK70" i="18"/>
  <c r="AL70" i="18"/>
  <c r="AM70" i="18"/>
  <c r="AN70" i="18"/>
  <c r="AO70" i="18"/>
  <c r="AP70" i="18"/>
  <c r="AD15" i="18"/>
  <c r="AH15" i="18"/>
  <c r="AI15" i="18"/>
  <c r="AJ15" i="18"/>
  <c r="AK15" i="18"/>
  <c r="AL15" i="18"/>
  <c r="AM15" i="18"/>
  <c r="AN15" i="18"/>
  <c r="AO15" i="18"/>
  <c r="AP15" i="18"/>
  <c r="AD16" i="18"/>
  <c r="AC16" i="18" s="1"/>
  <c r="AH16" i="18"/>
  <c r="AI16" i="18"/>
  <c r="AJ16" i="18"/>
  <c r="AK16" i="18"/>
  <c r="AL16" i="18"/>
  <c r="AM16" i="18"/>
  <c r="AN16" i="18"/>
  <c r="AO16" i="18"/>
  <c r="AP16" i="18"/>
  <c r="AD17" i="18"/>
  <c r="AC17" i="18" s="1"/>
  <c r="AC28" i="18" s="1"/>
  <c r="AC39" i="18" s="1"/>
  <c r="AC50" i="18" s="1"/>
  <c r="AC61" i="18" s="1"/>
  <c r="AH17" i="18"/>
  <c r="AI17" i="18"/>
  <c r="AJ17" i="18"/>
  <c r="AK17" i="18"/>
  <c r="AL17" i="18"/>
  <c r="AM17" i="18"/>
  <c r="AN17" i="18"/>
  <c r="AO17" i="18"/>
  <c r="AP17" i="18"/>
  <c r="AD18" i="18"/>
  <c r="AC18" i="18" s="1"/>
  <c r="AC29" i="18" s="1"/>
  <c r="AC40" i="18" s="1"/>
  <c r="AC51" i="18" s="1"/>
  <c r="AC62" i="18" s="1"/>
  <c r="AH18" i="18"/>
  <c r="AI18" i="18"/>
  <c r="AJ18" i="18"/>
  <c r="AK18" i="18"/>
  <c r="AL18" i="18"/>
  <c r="AM18" i="18"/>
  <c r="AN18" i="18"/>
  <c r="AO18" i="18"/>
  <c r="AP18" i="18"/>
  <c r="AD19" i="18"/>
  <c r="AC19" i="18" s="1"/>
  <c r="AC30" i="18" s="1"/>
  <c r="AC41" i="18" s="1"/>
  <c r="AC52" i="18" s="1"/>
  <c r="AC63" i="18" s="1"/>
  <c r="AH19" i="18"/>
  <c r="AI19" i="18"/>
  <c r="AJ19" i="18"/>
  <c r="AK19" i="18"/>
  <c r="AL19" i="18"/>
  <c r="AM19" i="18"/>
  <c r="AN19" i="18"/>
  <c r="AO19" i="18"/>
  <c r="AP19" i="18"/>
  <c r="AD20" i="18"/>
  <c r="AC20" i="18" s="1"/>
  <c r="AC31" i="18" s="1"/>
  <c r="AC42" i="18" s="1"/>
  <c r="AC53" i="18" s="1"/>
  <c r="AC64" i="18" s="1"/>
  <c r="AH20" i="18"/>
  <c r="AI20" i="18"/>
  <c r="AJ20" i="18"/>
  <c r="AK20" i="18"/>
  <c r="AL20" i="18"/>
  <c r="AM20" i="18"/>
  <c r="AN20" i="18"/>
  <c r="AO20" i="18"/>
  <c r="AP20" i="18"/>
  <c r="AD21" i="18"/>
  <c r="AC21" i="18" s="1"/>
  <c r="AC32" i="18" s="1"/>
  <c r="AC43" i="18" s="1"/>
  <c r="AH21" i="18"/>
  <c r="AI21" i="18"/>
  <c r="AJ21" i="18"/>
  <c r="AK21" i="18"/>
  <c r="AL21" i="18"/>
  <c r="AM21" i="18"/>
  <c r="AN21" i="18"/>
  <c r="AO21" i="18"/>
  <c r="AP21" i="18"/>
  <c r="AD22" i="18"/>
  <c r="AC22" i="18" s="1"/>
  <c r="AC33" i="18" s="1"/>
  <c r="AC44" i="18" s="1"/>
  <c r="AC55" i="18" s="1"/>
  <c r="AC66" i="18" s="1"/>
  <c r="AH22" i="18"/>
  <c r="AI22" i="18"/>
  <c r="AJ22" i="18"/>
  <c r="AK22" i="18"/>
  <c r="AL22" i="18"/>
  <c r="AM22" i="18"/>
  <c r="AN22" i="18"/>
  <c r="AO22" i="18"/>
  <c r="AP22" i="18"/>
  <c r="AD23" i="18"/>
  <c r="AC23" i="18" s="1"/>
  <c r="AC34" i="18" s="1"/>
  <c r="AC45" i="18" s="1"/>
  <c r="AC56" i="18" s="1"/>
  <c r="AC67" i="18" s="1"/>
  <c r="AH23" i="18"/>
  <c r="AI23" i="18"/>
  <c r="AJ23" i="18"/>
  <c r="AK23" i="18"/>
  <c r="AL23" i="18"/>
  <c r="AM23" i="18"/>
  <c r="AN23" i="18"/>
  <c r="AO23" i="18"/>
  <c r="AP23" i="18"/>
  <c r="AD24" i="18"/>
  <c r="AC24" i="18" s="1"/>
  <c r="AC35" i="18" s="1"/>
  <c r="AC46" i="18" s="1"/>
  <c r="AC57" i="18" s="1"/>
  <c r="AC68" i="18" s="1"/>
  <c r="AH24" i="18"/>
  <c r="AI24" i="18"/>
  <c r="AK24" i="18"/>
  <c r="AL24" i="18"/>
  <c r="AM24" i="18"/>
  <c r="AN24" i="18"/>
  <c r="AO24" i="18"/>
  <c r="AP24" i="18"/>
  <c r="AD25" i="18"/>
  <c r="AC25" i="18" s="1"/>
  <c r="AC36" i="18" s="1"/>
  <c r="AC47" i="18" s="1"/>
  <c r="AC58" i="18" s="1"/>
  <c r="AC69" i="18" s="1"/>
  <c r="AH25" i="18"/>
  <c r="AI25" i="18"/>
  <c r="AJ25" i="18"/>
  <c r="AK25" i="18"/>
  <c r="AL25" i="18"/>
  <c r="AM25" i="18"/>
  <c r="AN25" i="18"/>
  <c r="AO25" i="18"/>
  <c r="AP25" i="18"/>
  <c r="AD26" i="18"/>
  <c r="AC26" i="18" s="1"/>
  <c r="AC37" i="18" s="1"/>
  <c r="AC48" i="18" s="1"/>
  <c r="AC59" i="18" s="1"/>
  <c r="AC70" i="18" s="1"/>
  <c r="AH26" i="18"/>
  <c r="AI26" i="18"/>
  <c r="AJ26" i="18"/>
  <c r="AK26" i="18"/>
  <c r="AL26" i="18"/>
  <c r="AM26" i="18"/>
  <c r="AN26" i="18"/>
  <c r="AO26" i="18"/>
  <c r="AP26" i="18"/>
  <c r="J20" i="18" l="1"/>
  <c r="J18" i="18"/>
  <c r="J22" i="18"/>
  <c r="J16" i="18"/>
  <c r="V63" i="18"/>
  <c r="L63" i="18"/>
  <c r="T63" i="18"/>
  <c r="T64" i="18"/>
  <c r="R63" i="18"/>
  <c r="U64" i="18"/>
  <c r="U63" i="18"/>
  <c r="M64" i="18"/>
  <c r="S63" i="18"/>
  <c r="M63" i="18"/>
  <c r="V64" i="18"/>
  <c r="L64" i="18"/>
  <c r="S65" i="18"/>
  <c r="R64" i="18"/>
  <c r="M65" i="18"/>
  <c r="S64" i="18"/>
  <c r="R65" i="18"/>
  <c r="T65" i="18"/>
  <c r="U65" i="18"/>
  <c r="L65" i="18"/>
  <c r="M66" i="18"/>
  <c r="V65" i="18"/>
  <c r="R66" i="18"/>
  <c r="T66" i="18"/>
  <c r="S66" i="18"/>
  <c r="V66" i="18"/>
  <c r="U66" i="18"/>
  <c r="L66" i="18"/>
  <c r="K22" i="18"/>
  <c r="K18" i="18"/>
  <c r="K20" i="18"/>
  <c r="K16" i="18"/>
  <c r="AC54" i="18"/>
  <c r="AC65" i="18" s="1"/>
  <c r="K12" i="18"/>
  <c r="K14" i="18"/>
  <c r="J12" i="18"/>
  <c r="J14" i="18"/>
  <c r="S61" i="18"/>
  <c r="V62" i="18"/>
  <c r="U62" i="18"/>
  <c r="M62" i="18"/>
  <c r="L61" i="18"/>
  <c r="V61" i="18"/>
  <c r="T62" i="18"/>
  <c r="T61" i="18"/>
  <c r="L62" i="18"/>
  <c r="R61" i="18"/>
  <c r="S62" i="18"/>
  <c r="M61" i="18"/>
  <c r="U61" i="18"/>
  <c r="R62" i="18"/>
  <c r="S60" i="18"/>
  <c r="J10" i="18"/>
  <c r="J8" i="18"/>
  <c r="J6" i="18"/>
  <c r="J4" i="18"/>
  <c r="M57" i="18"/>
  <c r="T57" i="18"/>
  <c r="U57" i="18"/>
  <c r="S57" i="18"/>
  <c r="V57" i="18"/>
  <c r="L57" i="18"/>
  <c r="R57" i="18"/>
  <c r="M58" i="18"/>
  <c r="R58" i="18"/>
  <c r="L58" i="18"/>
  <c r="S58" i="18"/>
  <c r="T58" i="18"/>
  <c r="V58" i="18"/>
  <c r="U58" i="18"/>
  <c r="R59" i="18"/>
  <c r="S59" i="18"/>
  <c r="L59" i="18"/>
  <c r="T59" i="18"/>
  <c r="M59" i="18"/>
  <c r="U59" i="18"/>
  <c r="V59" i="18"/>
  <c r="R60" i="18"/>
  <c r="T60" i="18"/>
  <c r="L60" i="18"/>
  <c r="U60" i="18"/>
  <c r="M60" i="18"/>
  <c r="V60" i="18"/>
  <c r="K10" i="18"/>
  <c r="K8" i="18"/>
  <c r="K6" i="18"/>
  <c r="K4" i="18"/>
  <c r="G287" i="17"/>
  <c r="B295" i="17"/>
  <c r="E295" i="17" s="1"/>
  <c r="B293" i="17"/>
  <c r="E293" i="17" s="1"/>
  <c r="AC27" i="18"/>
  <c r="AC38" i="18" s="1"/>
  <c r="AC49" i="18" s="1"/>
  <c r="AC60" i="18" s="1"/>
  <c r="G286" i="17"/>
  <c r="B292" i="17"/>
  <c r="E292" i="17" s="1"/>
  <c r="G292" i="17"/>
  <c r="B291" i="17"/>
  <c r="E291" i="17" s="1"/>
  <c r="G291" i="17"/>
  <c r="B290" i="17"/>
  <c r="E290" i="17" s="1"/>
  <c r="B288" i="17"/>
  <c r="E288" i="17" s="1"/>
  <c r="F129" i="33" l="1"/>
  <c r="F160" i="33"/>
  <c r="I191" i="33"/>
  <c r="I177" i="33"/>
  <c r="F67" i="33"/>
  <c r="G222" i="33"/>
  <c r="I208" i="33"/>
  <c r="I129" i="33"/>
  <c r="F284" i="33"/>
  <c r="G191" i="33"/>
  <c r="I115" i="33"/>
  <c r="I84" i="33"/>
  <c r="G315" i="33"/>
  <c r="G160" i="33"/>
  <c r="I315" i="33"/>
  <c r="I253" i="33"/>
  <c r="G284" i="33"/>
  <c r="F253" i="33"/>
  <c r="F191" i="33"/>
  <c r="I332" i="33"/>
  <c r="I301" i="33"/>
  <c r="F222" i="33"/>
  <c r="G98" i="33"/>
  <c r="F315" i="33"/>
  <c r="I146" i="33"/>
  <c r="I270" i="33"/>
  <c r="G253" i="33"/>
  <c r="F98" i="33"/>
  <c r="I239" i="33"/>
  <c r="I222" i="33"/>
  <c r="I284" i="33"/>
  <c r="G67" i="33"/>
  <c r="G129" i="33"/>
  <c r="I160" i="33"/>
  <c r="I98" i="33"/>
  <c r="I67" i="33"/>
  <c r="F11" i="24"/>
  <c r="E11" i="33"/>
  <c r="D20" i="33"/>
  <c r="F19" i="33"/>
  <c r="F18" i="33"/>
  <c r="F9" i="33"/>
  <c r="C17" i="33"/>
  <c r="E7" i="24"/>
  <c r="C6" i="24"/>
  <c r="D16" i="33"/>
  <c r="C6" i="33"/>
  <c r="D4" i="24"/>
  <c r="E4" i="24"/>
  <c r="E3" i="33"/>
  <c r="D14" i="33"/>
  <c r="D2" i="24"/>
  <c r="C11" i="24"/>
  <c r="E20" i="33"/>
  <c r="H20" i="33" s="1"/>
  <c r="J297" i="33" s="1"/>
  <c r="C20" i="33"/>
  <c r="E9" i="24"/>
  <c r="C9" i="33"/>
  <c r="C18" i="33"/>
  <c r="F8" i="33"/>
  <c r="F17" i="33"/>
  <c r="F36" i="33"/>
  <c r="D15" i="33"/>
  <c r="D6" i="33"/>
  <c r="F14" i="33"/>
  <c r="E5" i="33"/>
  <c r="F12" i="33"/>
  <c r="E3" i="24"/>
  <c r="E2" i="33"/>
  <c r="C14" i="33"/>
  <c r="E2" i="24"/>
  <c r="D11" i="24"/>
  <c r="G11" i="24" s="1"/>
  <c r="C10" i="24"/>
  <c r="E10" i="33"/>
  <c r="D9" i="33"/>
  <c r="D8" i="24"/>
  <c r="G8" i="24" s="1"/>
  <c r="D17" i="33"/>
  <c r="G17" i="33" s="1"/>
  <c r="E16" i="33"/>
  <c r="H16" i="33" s="1"/>
  <c r="J173" i="33" s="1"/>
  <c r="D6" i="24"/>
  <c r="F5" i="24"/>
  <c r="F5" i="33"/>
  <c r="D3" i="33"/>
  <c r="D4" i="33"/>
  <c r="E12" i="33"/>
  <c r="F2" i="33"/>
  <c r="C21" i="33"/>
  <c r="C11" i="33"/>
  <c r="C9" i="24"/>
  <c r="E9" i="33"/>
  <c r="E8" i="24"/>
  <c r="D7" i="24"/>
  <c r="G7" i="24" s="1"/>
  <c r="E7" i="33"/>
  <c r="C7" i="33"/>
  <c r="E6" i="33"/>
  <c r="C5" i="24"/>
  <c r="D13" i="33"/>
  <c r="F3" i="33"/>
  <c r="D3" i="24"/>
  <c r="E4" i="33"/>
  <c r="F2" i="24"/>
  <c r="E11" i="24"/>
  <c r="F11" i="33"/>
  <c r="E19" i="33"/>
  <c r="H19" i="33" s="1"/>
  <c r="J266" i="33" s="1"/>
  <c r="F10" i="33"/>
  <c r="D18" i="33"/>
  <c r="C7" i="24"/>
  <c r="E6" i="24"/>
  <c r="F16" i="33"/>
  <c r="C15" i="33"/>
  <c r="D5" i="24"/>
  <c r="C5" i="33"/>
  <c r="C12" i="33"/>
  <c r="F3" i="24"/>
  <c r="C2" i="33"/>
  <c r="D21" i="33"/>
  <c r="E10" i="24"/>
  <c r="D10" i="33"/>
  <c r="D9" i="24"/>
  <c r="G9" i="24" s="1"/>
  <c r="F8" i="24"/>
  <c r="C8" i="33"/>
  <c r="F7" i="33"/>
  <c r="F6" i="24"/>
  <c r="E15" i="33"/>
  <c r="F6" i="33"/>
  <c r="E13" i="33"/>
  <c r="C4" i="33"/>
  <c r="D12" i="33"/>
  <c r="E21" i="33"/>
  <c r="H21" i="33" s="1"/>
  <c r="J328" i="33" s="1"/>
  <c r="F20" i="33"/>
  <c r="F10" i="24"/>
  <c r="D19" i="33"/>
  <c r="F9" i="24"/>
  <c r="E18" i="33"/>
  <c r="H18" i="33" s="1"/>
  <c r="J235" i="33" s="1"/>
  <c r="F7" i="24"/>
  <c r="E17" i="33"/>
  <c r="H17" i="33" s="1"/>
  <c r="J204" i="33" s="1"/>
  <c r="C16" i="33"/>
  <c r="E5" i="24"/>
  <c r="F4" i="24"/>
  <c r="D5" i="33"/>
  <c r="D2" i="33"/>
  <c r="F4" i="33"/>
  <c r="F13" i="33"/>
  <c r="C2" i="24"/>
  <c r="F21" i="33"/>
  <c r="D10" i="24"/>
  <c r="G10" i="24" s="1"/>
  <c r="D11" i="33"/>
  <c r="C10" i="33"/>
  <c r="C19" i="33"/>
  <c r="C8" i="24"/>
  <c r="E8" i="33"/>
  <c r="D8" i="33"/>
  <c r="G36" i="33"/>
  <c r="D7" i="33"/>
  <c r="F15" i="33"/>
  <c r="E14" i="33"/>
  <c r="C4" i="24"/>
  <c r="C3" i="24"/>
  <c r="C13" i="33"/>
  <c r="C3" i="33"/>
  <c r="I53" i="33"/>
  <c r="I36" i="33"/>
  <c r="F21" i="29"/>
  <c r="H21" i="29" s="1"/>
  <c r="D11" i="25"/>
  <c r="C20" i="29"/>
  <c r="C10" i="29"/>
  <c r="D20" i="25"/>
  <c r="H20" i="25" s="1"/>
  <c r="F19" i="29"/>
  <c r="H19" i="29" s="1"/>
  <c r="F9" i="29"/>
  <c r="D18" i="25"/>
  <c r="D8" i="29"/>
  <c r="F8" i="25"/>
  <c r="D7" i="29"/>
  <c r="C7" i="25"/>
  <c r="D6" i="25"/>
  <c r="F16" i="25"/>
  <c r="C5" i="25"/>
  <c r="C15" i="25"/>
  <c r="C15" i="29"/>
  <c r="F14" i="25"/>
  <c r="F13" i="29"/>
  <c r="E3" i="25"/>
  <c r="I172" i="25"/>
  <c r="F3" i="25"/>
  <c r="E13" i="25"/>
  <c r="I292" i="25"/>
  <c r="D21" i="25"/>
  <c r="H21" i="25" s="1"/>
  <c r="C11" i="25"/>
  <c r="G11" i="25" s="1"/>
  <c r="J302" i="25" s="1"/>
  <c r="E11" i="29"/>
  <c r="C10" i="25"/>
  <c r="F19" i="25"/>
  <c r="D18" i="29"/>
  <c r="E17" i="29"/>
  <c r="I17" i="29" s="1"/>
  <c r="F17" i="25"/>
  <c r="F6" i="25"/>
  <c r="D16" i="29"/>
  <c r="E5" i="29"/>
  <c r="F5" i="29"/>
  <c r="D5" i="25"/>
  <c r="C4" i="29"/>
  <c r="E14" i="25"/>
  <c r="D14" i="25"/>
  <c r="I112" i="25"/>
  <c r="D3" i="25"/>
  <c r="I262" i="25"/>
  <c r="C11" i="29"/>
  <c r="D21" i="29"/>
  <c r="E20" i="29"/>
  <c r="I20" i="29" s="1"/>
  <c r="E10" i="25"/>
  <c r="C9" i="25"/>
  <c r="E19" i="25"/>
  <c r="C8" i="29"/>
  <c r="G8" i="29" s="1"/>
  <c r="D17" i="29"/>
  <c r="D7" i="25"/>
  <c r="C16" i="25"/>
  <c r="C6" i="29"/>
  <c r="F15" i="29"/>
  <c r="C5" i="29"/>
  <c r="F6" i="29"/>
  <c r="D14" i="29"/>
  <c r="I82" i="25"/>
  <c r="C12" i="25"/>
  <c r="C3" i="29"/>
  <c r="I142" i="25"/>
  <c r="F21" i="25"/>
  <c r="E21" i="25"/>
  <c r="I21" i="25" s="1"/>
  <c r="J319" i="25" s="1"/>
  <c r="E20" i="25"/>
  <c r="I20" i="25" s="1"/>
  <c r="J289" i="25" s="1"/>
  <c r="F10" i="29"/>
  <c r="D19" i="29"/>
  <c r="E9" i="25"/>
  <c r="D9" i="29"/>
  <c r="E18" i="29"/>
  <c r="I18" i="29" s="1"/>
  <c r="E18" i="25"/>
  <c r="F7" i="25"/>
  <c r="E17" i="25"/>
  <c r="C17" i="29"/>
  <c r="E6" i="25"/>
  <c r="E16" i="25"/>
  <c r="E5" i="25"/>
  <c r="E15" i="25"/>
  <c r="E15" i="29"/>
  <c r="C4" i="25"/>
  <c r="E4" i="29"/>
  <c r="D3" i="29"/>
  <c r="E3" i="29"/>
  <c r="D12" i="25"/>
  <c r="I202" i="25"/>
  <c r="D2" i="25"/>
  <c r="I232" i="25"/>
  <c r="D11" i="29"/>
  <c r="F11" i="25"/>
  <c r="F11" i="29"/>
  <c r="D10" i="29"/>
  <c r="D9" i="25"/>
  <c r="C19" i="29"/>
  <c r="E8" i="29"/>
  <c r="C7" i="29"/>
  <c r="F17" i="29"/>
  <c r="H17" i="29" s="1"/>
  <c r="C16" i="29"/>
  <c r="D15" i="29"/>
  <c r="E4" i="25"/>
  <c r="C14" i="25"/>
  <c r="F4" i="29"/>
  <c r="F3" i="29"/>
  <c r="E12" i="29"/>
  <c r="I322" i="25"/>
  <c r="D2" i="29"/>
  <c r="F13" i="25"/>
  <c r="C21" i="25"/>
  <c r="E21" i="29"/>
  <c r="I21" i="29" s="1"/>
  <c r="F20" i="29"/>
  <c r="H20" i="29" s="1"/>
  <c r="D10" i="25"/>
  <c r="F9" i="25"/>
  <c r="E9" i="29"/>
  <c r="F18" i="25"/>
  <c r="D8" i="25"/>
  <c r="E7" i="29"/>
  <c r="C17" i="25"/>
  <c r="C6" i="25"/>
  <c r="E16" i="29"/>
  <c r="D6" i="29"/>
  <c r="D5" i="29"/>
  <c r="C14" i="29"/>
  <c r="D4" i="29"/>
  <c r="D4" i="25"/>
  <c r="F12" i="25"/>
  <c r="C13" i="25"/>
  <c r="E2" i="29"/>
  <c r="F12" i="29"/>
  <c r="E12" i="25"/>
  <c r="I52" i="25"/>
  <c r="E11" i="25"/>
  <c r="F20" i="25"/>
  <c r="F10" i="25"/>
  <c r="C20" i="25"/>
  <c r="C9" i="29"/>
  <c r="C19" i="25"/>
  <c r="C18" i="25"/>
  <c r="F8" i="29"/>
  <c r="C8" i="25"/>
  <c r="F7" i="29"/>
  <c r="F16" i="29"/>
  <c r="H16" i="29" s="1"/>
  <c r="D16" i="25"/>
  <c r="D15" i="25"/>
  <c r="F15" i="25"/>
  <c r="F4" i="25"/>
  <c r="E2" i="25"/>
  <c r="D12" i="29"/>
  <c r="C2" i="25"/>
  <c r="D13" i="25"/>
  <c r="C12" i="29"/>
  <c r="F2" i="29"/>
  <c r="D13" i="29"/>
  <c r="C21" i="29"/>
  <c r="D20" i="29"/>
  <c r="E10" i="29"/>
  <c r="E19" i="29"/>
  <c r="I19" i="29" s="1"/>
  <c r="D19" i="25"/>
  <c r="H19" i="25" s="1"/>
  <c r="C18" i="29"/>
  <c r="F18" i="29"/>
  <c r="H18" i="29" s="1"/>
  <c r="E8" i="25"/>
  <c r="E7" i="25"/>
  <c r="D17" i="25"/>
  <c r="F5" i="25"/>
  <c r="E6" i="29"/>
  <c r="E14" i="29"/>
  <c r="F14" i="29"/>
  <c r="C3" i="25"/>
  <c r="C13" i="29"/>
  <c r="F2" i="25"/>
  <c r="C2" i="29"/>
  <c r="G2" i="29" s="1"/>
  <c r="E13" i="29"/>
  <c r="C15" i="32"/>
  <c r="E11" i="32"/>
  <c r="F13" i="32"/>
  <c r="F10" i="32"/>
  <c r="I295" i="32"/>
  <c r="E20" i="32"/>
  <c r="C3" i="32"/>
  <c r="D8" i="32"/>
  <c r="I133" i="32"/>
  <c r="F18" i="32"/>
  <c r="T65" i="31"/>
  <c r="C6" i="32"/>
  <c r="T221" i="31"/>
  <c r="F5" i="32"/>
  <c r="T247" i="31"/>
  <c r="F11" i="28"/>
  <c r="D11" i="28"/>
  <c r="F21" i="28"/>
  <c r="C21" i="28"/>
  <c r="D21" i="28"/>
  <c r="H21" i="28" s="1"/>
  <c r="C13" i="28"/>
  <c r="D13" i="28"/>
  <c r="F13" i="28"/>
  <c r="C16" i="28"/>
  <c r="D16" i="28"/>
  <c r="F16" i="28"/>
  <c r="D8" i="28"/>
  <c r="F8" i="28"/>
  <c r="C18" i="28"/>
  <c r="D18" i="28"/>
  <c r="H18" i="28" s="1"/>
  <c r="F18" i="28"/>
  <c r="C20" i="28"/>
  <c r="D20" i="28"/>
  <c r="H20" i="28" s="1"/>
  <c r="F20" i="28"/>
  <c r="C14" i="28"/>
  <c r="D14" i="28"/>
  <c r="F14" i="28"/>
  <c r="D2" i="28"/>
  <c r="F2" i="28"/>
  <c r="F6" i="28"/>
  <c r="D6" i="28"/>
  <c r="D7" i="28"/>
  <c r="F7" i="28"/>
  <c r="F19" i="28"/>
  <c r="C19" i="28"/>
  <c r="D19" i="28"/>
  <c r="H19" i="28" s="1"/>
  <c r="D4" i="28"/>
  <c r="F4" i="28"/>
  <c r="F3" i="28"/>
  <c r="D3" i="28"/>
  <c r="D9" i="28"/>
  <c r="F9" i="28"/>
  <c r="F15" i="28"/>
  <c r="C15" i="28"/>
  <c r="D15" i="28"/>
  <c r="D10" i="28"/>
  <c r="F10" i="28"/>
  <c r="D5" i="28"/>
  <c r="F5" i="28"/>
  <c r="D12" i="28"/>
  <c r="C12" i="28"/>
  <c r="F12" i="28"/>
  <c r="F17" i="28"/>
  <c r="C17" i="28"/>
  <c r="D17" i="28"/>
  <c r="H17" i="28" s="1"/>
  <c r="C11" i="32"/>
  <c r="E10" i="32"/>
  <c r="F20" i="32"/>
  <c r="E8" i="32"/>
  <c r="F7" i="32"/>
  <c r="D6" i="32"/>
  <c r="F16" i="32"/>
  <c r="F4" i="32"/>
  <c r="I241" i="32"/>
  <c r="E3" i="32"/>
  <c r="C14" i="32"/>
  <c r="E2" i="32"/>
  <c r="I39" i="32"/>
  <c r="I52" i="32"/>
  <c r="T81" i="27"/>
  <c r="F11" i="32"/>
  <c r="F21" i="32"/>
  <c r="F9" i="32"/>
  <c r="F19" i="32"/>
  <c r="C7" i="32"/>
  <c r="F6" i="32"/>
  <c r="C5" i="32"/>
  <c r="D4" i="32"/>
  <c r="E14" i="32"/>
  <c r="F12" i="32"/>
  <c r="F2" i="32"/>
  <c r="C2" i="32"/>
  <c r="T53" i="27"/>
  <c r="I79" i="32"/>
  <c r="T193" i="27"/>
  <c r="C9" i="32"/>
  <c r="E17" i="32"/>
  <c r="F3" i="32"/>
  <c r="C12" i="32"/>
  <c r="I93" i="32"/>
  <c r="D10" i="32"/>
  <c r="C20" i="32"/>
  <c r="D19" i="32"/>
  <c r="E18" i="32"/>
  <c r="E6" i="32"/>
  <c r="D5" i="32"/>
  <c r="D15" i="32"/>
  <c r="D3" i="32"/>
  <c r="D14" i="32"/>
  <c r="I187" i="32"/>
  <c r="F15" i="32"/>
  <c r="I106" i="32"/>
  <c r="T249" i="27"/>
  <c r="T39" i="31"/>
  <c r="I174" i="32"/>
  <c r="D11" i="32"/>
  <c r="E16" i="32"/>
  <c r="T137" i="27"/>
  <c r="D21" i="32"/>
  <c r="E9" i="32"/>
  <c r="C8" i="32"/>
  <c r="C18" i="32"/>
  <c r="C17" i="32"/>
  <c r="E5" i="32"/>
  <c r="C4" i="32"/>
  <c r="E13" i="32"/>
  <c r="I228" i="32"/>
  <c r="E12" i="32"/>
  <c r="D2" i="32"/>
  <c r="I66" i="32"/>
  <c r="T91" i="31"/>
  <c r="T195" i="31"/>
  <c r="I255" i="32"/>
  <c r="E21" i="32"/>
  <c r="D7" i="32"/>
  <c r="I282" i="32"/>
  <c r="C10" i="32"/>
  <c r="D20" i="32"/>
  <c r="C19" i="32"/>
  <c r="E7" i="32"/>
  <c r="F17" i="32"/>
  <c r="D16" i="32"/>
  <c r="E4" i="32"/>
  <c r="F14" i="32"/>
  <c r="I214" i="32"/>
  <c r="I147" i="32"/>
  <c r="C13" i="32"/>
  <c r="T109" i="27"/>
  <c r="T277" i="27"/>
  <c r="T305" i="27"/>
  <c r="T169" i="31"/>
  <c r="E19" i="32"/>
  <c r="D13" i="32"/>
  <c r="I201" i="32"/>
  <c r="T165" i="27"/>
  <c r="C21" i="32"/>
  <c r="D9" i="32"/>
  <c r="F8" i="32"/>
  <c r="D18" i="32"/>
  <c r="D17" i="32"/>
  <c r="C16" i="32"/>
  <c r="E15" i="32"/>
  <c r="D12" i="32"/>
  <c r="I268" i="32"/>
  <c r="I160" i="32"/>
  <c r="I120" i="32"/>
  <c r="T221" i="27"/>
  <c r="T117" i="31"/>
  <c r="T143" i="31"/>
  <c r="T273" i="31"/>
  <c r="F8" i="22"/>
  <c r="C6" i="22"/>
  <c r="F11" i="22"/>
  <c r="D9" i="22"/>
  <c r="E11" i="22"/>
  <c r="C10" i="31"/>
  <c r="E9" i="31"/>
  <c r="C8" i="31"/>
  <c r="F19" i="31"/>
  <c r="E6" i="31"/>
  <c r="C5" i="31"/>
  <c r="E16" i="31"/>
  <c r="I115" i="22"/>
  <c r="I273" i="31"/>
  <c r="I37" i="22"/>
  <c r="E13" i="31"/>
  <c r="I102" i="22"/>
  <c r="I206" i="30"/>
  <c r="C5" i="22"/>
  <c r="E2" i="22"/>
  <c r="C8" i="22"/>
  <c r="E3" i="22"/>
  <c r="F5" i="22"/>
  <c r="E11" i="31"/>
  <c r="D10" i="31"/>
  <c r="D9" i="31"/>
  <c r="D8" i="31"/>
  <c r="C18" i="31"/>
  <c r="F6" i="31"/>
  <c r="D16" i="31"/>
  <c r="C15" i="31"/>
  <c r="I141" i="22"/>
  <c r="I230" i="30"/>
  <c r="C2" i="31"/>
  <c r="I65" i="31"/>
  <c r="F13" i="31"/>
  <c r="I110" i="30"/>
  <c r="D8" i="22"/>
  <c r="C2" i="22"/>
  <c r="D6" i="22"/>
  <c r="C11" i="22"/>
  <c r="E4" i="22"/>
  <c r="D11" i="31"/>
  <c r="C21" i="31"/>
  <c r="E20" i="31"/>
  <c r="F8" i="31"/>
  <c r="E7" i="31"/>
  <c r="D17" i="31"/>
  <c r="D5" i="31"/>
  <c r="E4" i="31"/>
  <c r="I128" i="22"/>
  <c r="C14" i="31"/>
  <c r="E14" i="31"/>
  <c r="E3" i="31"/>
  <c r="I143" i="31"/>
  <c r="I182" i="30"/>
  <c r="D5" i="22"/>
  <c r="C10" i="22"/>
  <c r="F4" i="22"/>
  <c r="D11" i="22"/>
  <c r="E8" i="22"/>
  <c r="C11" i="31"/>
  <c r="D20" i="31"/>
  <c r="F20" i="31"/>
  <c r="C7" i="31"/>
  <c r="F17" i="31"/>
  <c r="E17" i="31"/>
  <c r="F16" i="31"/>
  <c r="D15" i="31"/>
  <c r="C3" i="31"/>
  <c r="I247" i="31"/>
  <c r="F14" i="31"/>
  <c r="C13" i="31"/>
  <c r="I62" i="30"/>
  <c r="I39" i="31"/>
  <c r="F2" i="22"/>
  <c r="D10" i="22"/>
  <c r="F10" i="22"/>
  <c r="F9" i="22"/>
  <c r="C7" i="22"/>
  <c r="F11" i="31"/>
  <c r="C20" i="31"/>
  <c r="E21" i="31"/>
  <c r="F7" i="31"/>
  <c r="C6" i="31"/>
  <c r="E18" i="31"/>
  <c r="F15" i="31"/>
  <c r="C4" i="31"/>
  <c r="C12" i="31"/>
  <c r="F3" i="31"/>
  <c r="E2" i="31"/>
  <c r="I86" i="30"/>
  <c r="I91" i="31"/>
  <c r="E9" i="22"/>
  <c r="F6" i="22"/>
  <c r="E5" i="22"/>
  <c r="E6" i="22"/>
  <c r="D7" i="22"/>
  <c r="E10" i="31"/>
  <c r="F9" i="31"/>
  <c r="C19" i="31"/>
  <c r="D18" i="31"/>
  <c r="D6" i="31"/>
  <c r="E5" i="31"/>
  <c r="D4" i="31"/>
  <c r="I169" i="31"/>
  <c r="D3" i="31"/>
  <c r="F2" i="31"/>
  <c r="I89" i="22"/>
  <c r="I195" i="31"/>
  <c r="I76" i="22"/>
  <c r="I158" i="30"/>
  <c r="I254" i="30"/>
  <c r="C3" i="22"/>
  <c r="F3" i="22"/>
  <c r="C4" i="22"/>
  <c r="E10" i="22"/>
  <c r="D3" i="22"/>
  <c r="F10" i="31"/>
  <c r="C9" i="31"/>
  <c r="D19" i="31"/>
  <c r="E19" i="31"/>
  <c r="C17" i="31"/>
  <c r="F5" i="31"/>
  <c r="E15" i="31"/>
  <c r="D12" i="31"/>
  <c r="D2" i="31"/>
  <c r="E12" i="31"/>
  <c r="I50" i="22"/>
  <c r="D2" i="22"/>
  <c r="E7" i="22"/>
  <c r="D4" i="22"/>
  <c r="C9" i="22"/>
  <c r="F7" i="22"/>
  <c r="D21" i="31"/>
  <c r="F21" i="31"/>
  <c r="E8" i="31"/>
  <c r="D7" i="31"/>
  <c r="F18" i="31"/>
  <c r="C16" i="31"/>
  <c r="F4" i="31"/>
  <c r="F12" i="31"/>
  <c r="D14" i="31"/>
  <c r="D13" i="31"/>
  <c r="I221" i="31"/>
  <c r="I63" i="22"/>
  <c r="I117" i="31"/>
  <c r="I38" i="30"/>
  <c r="I134" i="30"/>
  <c r="F21" i="30"/>
  <c r="C21" i="30"/>
  <c r="D21" i="30"/>
  <c r="D13" i="30"/>
  <c r="C13" i="30"/>
  <c r="F13" i="30"/>
  <c r="D7" i="30"/>
  <c r="F7" i="30"/>
  <c r="C15" i="30"/>
  <c r="F15" i="30"/>
  <c r="D15" i="30"/>
  <c r="F3" i="30"/>
  <c r="D3" i="30"/>
  <c r="F9" i="30"/>
  <c r="D9" i="30"/>
  <c r="F5" i="30"/>
  <c r="D5" i="30"/>
  <c r="D14" i="30"/>
  <c r="F14" i="30"/>
  <c r="C14" i="30"/>
  <c r="D10" i="30"/>
  <c r="F10" i="30"/>
  <c r="C19" i="30"/>
  <c r="D19" i="30"/>
  <c r="F19" i="30"/>
  <c r="F4" i="30"/>
  <c r="D4" i="30"/>
  <c r="F18" i="30"/>
  <c r="C18" i="30"/>
  <c r="D18" i="30"/>
  <c r="F2" i="30"/>
  <c r="D2" i="30"/>
  <c r="C12" i="30"/>
  <c r="F12" i="30"/>
  <c r="D12" i="30"/>
  <c r="D17" i="30"/>
  <c r="C17" i="30"/>
  <c r="F17" i="30"/>
  <c r="C20" i="30"/>
  <c r="F20" i="30"/>
  <c r="D20" i="30"/>
  <c r="F16" i="30"/>
  <c r="C16" i="30"/>
  <c r="D16" i="30"/>
  <c r="F8" i="30"/>
  <c r="D8" i="30"/>
  <c r="F6" i="30"/>
  <c r="D6" i="30"/>
  <c r="D11" i="30"/>
  <c r="F11" i="30"/>
  <c r="C20" i="27"/>
  <c r="I169" i="26"/>
  <c r="I71" i="23"/>
  <c r="D8" i="23"/>
  <c r="C10" i="23"/>
  <c r="E9" i="23"/>
  <c r="G9" i="23" s="1"/>
  <c r="J126" i="23" s="1"/>
  <c r="D7" i="23"/>
  <c r="C3" i="23"/>
  <c r="E16" i="27"/>
  <c r="C4" i="21"/>
  <c r="I56" i="23"/>
  <c r="F9" i="23"/>
  <c r="H9" i="23" s="1"/>
  <c r="J127" i="23" s="1"/>
  <c r="C8" i="23"/>
  <c r="E7" i="23"/>
  <c r="G7" i="23" s="1"/>
  <c r="J96" i="23" s="1"/>
  <c r="D5" i="23"/>
  <c r="D6" i="23"/>
  <c r="D10" i="27"/>
  <c r="D3" i="21"/>
  <c r="I101" i="23"/>
  <c r="D2" i="23"/>
  <c r="C6" i="23"/>
  <c r="E5" i="23"/>
  <c r="D3" i="23"/>
  <c r="F5" i="23"/>
  <c r="E8" i="27"/>
  <c r="G8" i="27" s="1"/>
  <c r="J203" i="27" s="1"/>
  <c r="F19" i="27"/>
  <c r="I65" i="26"/>
  <c r="I146" i="23"/>
  <c r="E10" i="23"/>
  <c r="G10" i="23" s="1"/>
  <c r="J141" i="23" s="1"/>
  <c r="C4" i="23"/>
  <c r="E3" i="23"/>
  <c r="D4" i="23"/>
  <c r="C2" i="23"/>
  <c r="D6" i="27"/>
  <c r="C11" i="27"/>
  <c r="I131" i="23"/>
  <c r="E8" i="23"/>
  <c r="G8" i="23" s="1"/>
  <c r="J111" i="23" s="1"/>
  <c r="E2" i="23"/>
  <c r="D10" i="23"/>
  <c r="C11" i="23"/>
  <c r="F10" i="23"/>
  <c r="H10" i="23" s="1"/>
  <c r="J142" i="23" s="1"/>
  <c r="D20" i="27"/>
  <c r="E10" i="21"/>
  <c r="I161" i="23"/>
  <c r="E6" i="23"/>
  <c r="G6" i="23" s="1"/>
  <c r="J81" i="23" s="1"/>
  <c r="F11" i="23"/>
  <c r="H11" i="23" s="1"/>
  <c r="J157" i="23" s="1"/>
  <c r="F7" i="23"/>
  <c r="H7" i="23" s="1"/>
  <c r="J97" i="23" s="1"/>
  <c r="C9" i="23"/>
  <c r="F8" i="23"/>
  <c r="H8" i="23" s="1"/>
  <c r="J112" i="23" s="1"/>
  <c r="F13" i="27"/>
  <c r="E8" i="21"/>
  <c r="I86" i="23"/>
  <c r="E4" i="23"/>
  <c r="F3" i="23"/>
  <c r="D11" i="23"/>
  <c r="C7" i="23"/>
  <c r="F6" i="23"/>
  <c r="H6" i="23" s="1"/>
  <c r="J82" i="23" s="1"/>
  <c r="C3" i="27"/>
  <c r="D7" i="21"/>
  <c r="I116" i="23"/>
  <c r="F2" i="23"/>
  <c r="E11" i="23"/>
  <c r="G11" i="23" s="1"/>
  <c r="J156" i="23" s="1"/>
  <c r="D9" i="23"/>
  <c r="C5" i="23"/>
  <c r="F4" i="23"/>
  <c r="E19" i="27"/>
  <c r="D16" i="27"/>
  <c r="F14" i="27"/>
  <c r="F17" i="27"/>
  <c r="C16" i="27"/>
  <c r="E4" i="27"/>
  <c r="D14" i="27"/>
  <c r="F3" i="27"/>
  <c r="C5" i="27"/>
  <c r="E13" i="27"/>
  <c r="C10" i="21"/>
  <c r="D8" i="21"/>
  <c r="C7" i="21"/>
  <c r="F6" i="21"/>
  <c r="I221" i="27"/>
  <c r="D2" i="21"/>
  <c r="E2" i="27"/>
  <c r="E18" i="27"/>
  <c r="D8" i="27"/>
  <c r="D19" i="27"/>
  <c r="F9" i="27"/>
  <c r="H9" i="27" s="1"/>
  <c r="J232" i="27" s="1"/>
  <c r="C8" i="27"/>
  <c r="E3" i="27"/>
  <c r="D13" i="27"/>
  <c r="F15" i="27"/>
  <c r="C14" i="27"/>
  <c r="D10" i="21"/>
  <c r="F8" i="21"/>
  <c r="F3" i="21"/>
  <c r="I81" i="27"/>
  <c r="I91" i="26"/>
  <c r="F11" i="27"/>
  <c r="H11" i="27" s="1"/>
  <c r="J288" i="27" s="1"/>
  <c r="C10" i="27"/>
  <c r="E7" i="27"/>
  <c r="G7" i="27" s="1"/>
  <c r="J175" i="27" s="1"/>
  <c r="D2" i="27"/>
  <c r="D15" i="27"/>
  <c r="F4" i="27"/>
  <c r="C13" i="27"/>
  <c r="C19" i="27"/>
  <c r="E21" i="27"/>
  <c r="F12" i="27"/>
  <c r="D11" i="21"/>
  <c r="D9" i="21"/>
  <c r="I137" i="27"/>
  <c r="I247" i="26"/>
  <c r="C3" i="21"/>
  <c r="I273" i="26"/>
  <c r="F7" i="27"/>
  <c r="H7" i="27" s="1"/>
  <c r="J176" i="27" s="1"/>
  <c r="C12" i="27"/>
  <c r="E12" i="27"/>
  <c r="E11" i="27"/>
  <c r="G11" i="27" s="1"/>
  <c r="J287" i="27" s="1"/>
  <c r="D5" i="27"/>
  <c r="D11" i="27"/>
  <c r="F21" i="27"/>
  <c r="C15" i="27"/>
  <c r="E9" i="27"/>
  <c r="G9" i="27" s="1"/>
  <c r="J231" i="27" s="1"/>
  <c r="D17" i="27"/>
  <c r="F11" i="21"/>
  <c r="E9" i="21"/>
  <c r="E7" i="21"/>
  <c r="C5" i="21"/>
  <c r="I165" i="27"/>
  <c r="E2" i="21"/>
  <c r="I249" i="27"/>
  <c r="F2" i="21"/>
  <c r="F2" i="27"/>
  <c r="F18" i="27"/>
  <c r="C17" i="27"/>
  <c r="E14" i="27"/>
  <c r="E17" i="27"/>
  <c r="D7" i="27"/>
  <c r="F16" i="27"/>
  <c r="C6" i="27"/>
  <c r="E6" i="27"/>
  <c r="D3" i="27"/>
  <c r="E11" i="21"/>
  <c r="C9" i="21"/>
  <c r="D6" i="21"/>
  <c r="E5" i="21"/>
  <c r="I195" i="26"/>
  <c r="E4" i="21"/>
  <c r="I117" i="26"/>
  <c r="I277" i="27"/>
  <c r="I109" i="27"/>
  <c r="D9" i="27"/>
  <c r="F5" i="27"/>
  <c r="C4" i="27"/>
  <c r="C9" i="27"/>
  <c r="E5" i="27"/>
  <c r="D12" i="27"/>
  <c r="F6" i="27"/>
  <c r="H6" i="27" s="1"/>
  <c r="J148" i="27" s="1"/>
  <c r="F20" i="27"/>
  <c r="C18" i="27"/>
  <c r="E20" i="27"/>
  <c r="C11" i="21"/>
  <c r="F9" i="21"/>
  <c r="C6" i="21"/>
  <c r="D5" i="21"/>
  <c r="F4" i="21"/>
  <c r="I143" i="26"/>
  <c r="I305" i="27"/>
  <c r="I193" i="27"/>
  <c r="D4" i="27"/>
  <c r="D21" i="27"/>
  <c r="F10" i="27"/>
  <c r="H10" i="27" s="1"/>
  <c r="J260" i="27" s="1"/>
  <c r="C2" i="27"/>
  <c r="C21" i="27"/>
  <c r="E10" i="27"/>
  <c r="G10" i="27" s="1"/>
  <c r="J259" i="27" s="1"/>
  <c r="D18" i="27"/>
  <c r="F8" i="27"/>
  <c r="H8" i="27" s="1"/>
  <c r="J204" i="27" s="1"/>
  <c r="C7" i="27"/>
  <c r="E15" i="27"/>
  <c r="F10" i="21"/>
  <c r="C8" i="21"/>
  <c r="F7" i="21"/>
  <c r="E6" i="21"/>
  <c r="F5" i="21"/>
  <c r="D4" i="21"/>
  <c r="E3" i="21"/>
  <c r="I221" i="26"/>
  <c r="C2" i="21"/>
  <c r="C21" i="26"/>
  <c r="D21" i="26"/>
  <c r="F21" i="26"/>
  <c r="C20" i="26"/>
  <c r="D20" i="26"/>
  <c r="F20" i="26"/>
  <c r="C19" i="26"/>
  <c r="D19" i="26"/>
  <c r="F19" i="26"/>
  <c r="F6" i="26"/>
  <c r="D6" i="26"/>
  <c r="D7" i="26"/>
  <c r="F7" i="26"/>
  <c r="C13" i="26"/>
  <c r="D13" i="26"/>
  <c r="F13" i="26"/>
  <c r="D14" i="26"/>
  <c r="C14" i="26"/>
  <c r="F14" i="26"/>
  <c r="C15" i="26"/>
  <c r="D15" i="26"/>
  <c r="F15" i="26"/>
  <c r="F3" i="26"/>
  <c r="D3" i="26"/>
  <c r="D9" i="26"/>
  <c r="F9" i="26"/>
  <c r="F4" i="26"/>
  <c r="D4" i="26"/>
  <c r="F18" i="26"/>
  <c r="C18" i="26"/>
  <c r="D18" i="26"/>
  <c r="F10" i="26"/>
  <c r="D10" i="26"/>
  <c r="D5" i="26"/>
  <c r="F5" i="26"/>
  <c r="C16" i="26"/>
  <c r="D16" i="26"/>
  <c r="F16" i="26"/>
  <c r="C12" i="26"/>
  <c r="D12" i="26"/>
  <c r="F12" i="26"/>
  <c r="C17" i="26"/>
  <c r="D17" i="26"/>
  <c r="F17" i="26"/>
  <c r="D8" i="26"/>
  <c r="F8" i="26"/>
  <c r="F2" i="26"/>
  <c r="D2" i="26"/>
  <c r="D11" i="26"/>
  <c r="F11" i="26"/>
  <c r="C21" i="20"/>
  <c r="D21" i="20"/>
  <c r="F21" i="20"/>
  <c r="D20" i="20"/>
  <c r="C20" i="20"/>
  <c r="F20" i="20"/>
  <c r="C19" i="20"/>
  <c r="D19" i="20"/>
  <c r="F19" i="20"/>
  <c r="F4" i="20"/>
  <c r="D4" i="20"/>
  <c r="D5" i="19"/>
  <c r="D5" i="20"/>
  <c r="F5" i="20"/>
  <c r="C18" i="20"/>
  <c r="D18" i="20"/>
  <c r="F18" i="20"/>
  <c r="F14" i="20"/>
  <c r="C14" i="20"/>
  <c r="D14" i="20"/>
  <c r="F2" i="20"/>
  <c r="D2" i="20"/>
  <c r="D6" i="20"/>
  <c r="F6" i="20"/>
  <c r="H6" i="20" s="1"/>
  <c r="J128" i="20" s="1"/>
  <c r="F7" i="20"/>
  <c r="H7" i="20" s="1"/>
  <c r="J152" i="20" s="1"/>
  <c r="D7" i="20"/>
  <c r="F9" i="20"/>
  <c r="D9" i="20"/>
  <c r="D10" i="20"/>
  <c r="F10" i="20"/>
  <c r="F13" i="20"/>
  <c r="D13" i="20"/>
  <c r="C13" i="20"/>
  <c r="D8" i="20"/>
  <c r="F8" i="20"/>
  <c r="F12" i="20"/>
  <c r="D12" i="20"/>
  <c r="C12" i="20"/>
  <c r="C17" i="20"/>
  <c r="D17" i="20"/>
  <c r="F17" i="20"/>
  <c r="D16" i="20"/>
  <c r="F16" i="20"/>
  <c r="C16" i="20"/>
  <c r="D15" i="20"/>
  <c r="F15" i="20"/>
  <c r="C15" i="20"/>
  <c r="D3" i="20"/>
  <c r="F3" i="20"/>
  <c r="F11" i="20"/>
  <c r="D11" i="20"/>
  <c r="D8" i="19"/>
  <c r="F11" i="19"/>
  <c r="F10" i="19"/>
  <c r="F9" i="19"/>
  <c r="D4" i="19"/>
  <c r="F4" i="19"/>
  <c r="D6" i="19"/>
  <c r="D7" i="19"/>
  <c r="F3" i="19"/>
  <c r="F6" i="19"/>
  <c r="D2" i="19"/>
  <c r="F5" i="19"/>
  <c r="D3" i="19"/>
  <c r="D9" i="19"/>
  <c r="D10" i="19"/>
  <c r="F2" i="19"/>
  <c r="F7" i="19"/>
  <c r="F8" i="19"/>
  <c r="D11" i="19"/>
  <c r="I53" i="27"/>
  <c r="I24" i="22"/>
  <c r="I41" i="23"/>
  <c r="I39" i="26"/>
  <c r="I26" i="23"/>
  <c r="Y264" i="17"/>
  <c r="Y265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4" i="17"/>
  <c r="G19" i="33" l="1"/>
  <c r="G21" i="33"/>
  <c r="J324" i="33" s="1"/>
  <c r="J200" i="33"/>
  <c r="J202" i="33"/>
  <c r="J262" i="33"/>
  <c r="J264" i="33"/>
  <c r="G7" i="29"/>
  <c r="U178" i="29" s="1"/>
  <c r="G20" i="33"/>
  <c r="G18" i="33"/>
  <c r="G16" i="33"/>
  <c r="J33" i="29"/>
  <c r="U33" i="29"/>
  <c r="J308" i="29"/>
  <c r="U306" i="29"/>
  <c r="U308" i="29"/>
  <c r="J306" i="29"/>
  <c r="U190" i="29"/>
  <c r="J190" i="29"/>
  <c r="U192" i="29"/>
  <c r="J192" i="29"/>
  <c r="G5" i="29"/>
  <c r="J116" i="24"/>
  <c r="J118" i="24"/>
  <c r="U194" i="29"/>
  <c r="J194" i="29"/>
  <c r="J219" i="29"/>
  <c r="J221" i="29"/>
  <c r="U219" i="29"/>
  <c r="U221" i="29"/>
  <c r="U223" i="29"/>
  <c r="J223" i="29"/>
  <c r="G6" i="29"/>
  <c r="U281" i="29"/>
  <c r="J281" i="29"/>
  <c r="G4" i="29"/>
  <c r="J250" i="29"/>
  <c r="J248" i="29"/>
  <c r="U250" i="29"/>
  <c r="U248" i="29"/>
  <c r="J148" i="24"/>
  <c r="J150" i="24"/>
  <c r="J279" i="29"/>
  <c r="J277" i="29"/>
  <c r="U277" i="29"/>
  <c r="U279" i="29"/>
  <c r="G3" i="29"/>
  <c r="J100" i="24"/>
  <c r="J102" i="24"/>
  <c r="J163" i="29"/>
  <c r="J161" i="29"/>
  <c r="U163" i="29"/>
  <c r="U161" i="29"/>
  <c r="U310" i="29"/>
  <c r="J310" i="29"/>
  <c r="G11" i="29"/>
  <c r="J252" i="29"/>
  <c r="U252" i="29"/>
  <c r="J164" i="24"/>
  <c r="J166" i="24"/>
  <c r="J207" i="29"/>
  <c r="U207" i="29"/>
  <c r="J132" i="24"/>
  <c r="J134" i="24"/>
  <c r="J78" i="29"/>
  <c r="J76" i="29"/>
  <c r="J74" i="29"/>
  <c r="U78" i="29"/>
  <c r="U74" i="29"/>
  <c r="U76" i="29"/>
  <c r="J49" i="29"/>
  <c r="J47" i="29"/>
  <c r="U45" i="29"/>
  <c r="U49" i="29"/>
  <c r="U47" i="29"/>
  <c r="J45" i="29"/>
  <c r="G9" i="29"/>
  <c r="G8" i="25"/>
  <c r="J212" i="25" s="1"/>
  <c r="G6" i="25"/>
  <c r="J152" i="25" s="1"/>
  <c r="U214" i="28"/>
  <c r="J214" i="28"/>
  <c r="U184" i="28"/>
  <c r="J184" i="28"/>
  <c r="U298" i="28"/>
  <c r="J298" i="28"/>
  <c r="U268" i="28"/>
  <c r="J268" i="28"/>
  <c r="G10" i="25"/>
  <c r="J272" i="25" s="1"/>
  <c r="J285" i="25"/>
  <c r="J287" i="25"/>
  <c r="U270" i="28"/>
  <c r="J270" i="28"/>
  <c r="U240" i="28"/>
  <c r="J240" i="28"/>
  <c r="J242" i="28"/>
  <c r="U242" i="28"/>
  <c r="U212" i="28"/>
  <c r="J212" i="28"/>
  <c r="G7" i="25"/>
  <c r="J182" i="25" s="1"/>
  <c r="G10" i="29"/>
  <c r="J315" i="25"/>
  <c r="J317" i="25"/>
  <c r="J296" i="28"/>
  <c r="U296" i="28"/>
  <c r="J257" i="25"/>
  <c r="J255" i="25"/>
  <c r="G9" i="25"/>
  <c r="J242" i="25" s="1"/>
  <c r="G9" i="22"/>
  <c r="J112" i="22" s="1"/>
  <c r="G15" i="32"/>
  <c r="J128" i="32" s="1"/>
  <c r="G20" i="32"/>
  <c r="J264" i="32" s="1"/>
  <c r="G21" i="32"/>
  <c r="J291" i="32" s="1"/>
  <c r="G16" i="32"/>
  <c r="J155" i="32" s="1"/>
  <c r="G13" i="32"/>
  <c r="G19" i="32"/>
  <c r="G14" i="32"/>
  <c r="G17" i="32"/>
  <c r="G12" i="32"/>
  <c r="G18" i="32"/>
  <c r="G14" i="31"/>
  <c r="G16" i="31"/>
  <c r="G18" i="31"/>
  <c r="H6" i="31"/>
  <c r="J152" i="31" s="1"/>
  <c r="H11" i="31"/>
  <c r="J281" i="31" s="1"/>
  <c r="I16" i="27"/>
  <c r="G19" i="31"/>
  <c r="G15" i="31"/>
  <c r="G13" i="31"/>
  <c r="H8" i="31"/>
  <c r="H9" i="31"/>
  <c r="G8" i="22"/>
  <c r="H10" i="31"/>
  <c r="G10" i="22"/>
  <c r="G12" i="31"/>
  <c r="G7" i="22"/>
  <c r="H7" i="31"/>
  <c r="G11" i="22"/>
  <c r="G20" i="31"/>
  <c r="G17" i="31"/>
  <c r="G6" i="22"/>
  <c r="G21" i="31"/>
  <c r="G10" i="21"/>
  <c r="J126" i="21" s="1"/>
  <c r="G3" i="21"/>
  <c r="J35" i="21" s="1"/>
  <c r="I12" i="27"/>
  <c r="G8" i="21"/>
  <c r="J100" i="21" s="1"/>
  <c r="I21" i="27"/>
  <c r="G7" i="21"/>
  <c r="J87" i="21" s="1"/>
  <c r="I20" i="27"/>
  <c r="I13" i="27"/>
  <c r="I18" i="27"/>
  <c r="G9" i="21"/>
  <c r="J113" i="21" s="1"/>
  <c r="I19" i="27"/>
  <c r="G4" i="21"/>
  <c r="J48" i="21" s="1"/>
  <c r="I17" i="27"/>
  <c r="I14" i="27"/>
  <c r="I15" i="27"/>
  <c r="G2" i="21"/>
  <c r="J22" i="21" s="1"/>
  <c r="G11" i="21"/>
  <c r="J139" i="21" s="1"/>
  <c r="G5" i="21"/>
  <c r="J61" i="21" s="1"/>
  <c r="G6" i="21"/>
  <c r="J74" i="21" s="1"/>
  <c r="V14" i="17"/>
  <c r="V5" i="17"/>
  <c r="V6" i="17"/>
  <c r="V7" i="17"/>
  <c r="V8" i="17"/>
  <c r="V9" i="17"/>
  <c r="V10" i="17"/>
  <c r="V11" i="17"/>
  <c r="V12" i="17"/>
  <c r="V13" i="17"/>
  <c r="V4" i="17"/>
  <c r="J326" i="33" l="1"/>
  <c r="G326" i="33" s="1"/>
  <c r="J293" i="33"/>
  <c r="J295" i="33"/>
  <c r="F324" i="33"/>
  <c r="G324" i="33"/>
  <c r="F264" i="33"/>
  <c r="G264" i="33"/>
  <c r="J169" i="33"/>
  <c r="J171" i="33"/>
  <c r="F262" i="33"/>
  <c r="G262" i="33"/>
  <c r="J178" i="29"/>
  <c r="F178" i="29" s="1"/>
  <c r="F181" i="29" s="1"/>
  <c r="G202" i="33"/>
  <c r="F202" i="33"/>
  <c r="J231" i="33"/>
  <c r="J233" i="33"/>
  <c r="F200" i="33"/>
  <c r="G200" i="33"/>
  <c r="F134" i="24"/>
  <c r="G134" i="24"/>
  <c r="F161" i="29"/>
  <c r="G161" i="29"/>
  <c r="J62" i="29"/>
  <c r="U62" i="29"/>
  <c r="R250" i="29"/>
  <c r="Q250" i="29"/>
  <c r="R190" i="29"/>
  <c r="Q190" i="29"/>
  <c r="F132" i="24"/>
  <c r="G132" i="24"/>
  <c r="G163" i="29"/>
  <c r="F163" i="29"/>
  <c r="R279" i="29"/>
  <c r="Q279" i="29"/>
  <c r="F248" i="29"/>
  <c r="G248" i="29"/>
  <c r="R221" i="29"/>
  <c r="Q221" i="29"/>
  <c r="F306" i="29"/>
  <c r="G306" i="29"/>
  <c r="R163" i="29"/>
  <c r="Q163" i="29"/>
  <c r="R207" i="29"/>
  <c r="R210" i="29" s="1"/>
  <c r="R211" i="29" s="1"/>
  <c r="Q207" i="29"/>
  <c r="Q210" i="29" s="1"/>
  <c r="R277" i="29"/>
  <c r="Q277" i="29"/>
  <c r="G250" i="29"/>
  <c r="F250" i="29"/>
  <c r="R219" i="29"/>
  <c r="Q219" i="29"/>
  <c r="R308" i="29"/>
  <c r="Q308" i="29"/>
  <c r="R248" i="29"/>
  <c r="Q248" i="29"/>
  <c r="J236" i="29"/>
  <c r="U236" i="29"/>
  <c r="F207" i="29"/>
  <c r="F210" i="29" s="1"/>
  <c r="G207" i="29"/>
  <c r="G210" i="29" s="1"/>
  <c r="G211" i="29" s="1"/>
  <c r="J294" i="29"/>
  <c r="U294" i="29"/>
  <c r="F277" i="29"/>
  <c r="G277" i="29"/>
  <c r="J91" i="29"/>
  <c r="U91" i="29"/>
  <c r="G221" i="29"/>
  <c r="F221" i="29"/>
  <c r="R178" i="29"/>
  <c r="R181" i="29" s="1"/>
  <c r="R182" i="29" s="1"/>
  <c r="Q178" i="29"/>
  <c r="Q181" i="29" s="1"/>
  <c r="J120" i="29"/>
  <c r="U120" i="29"/>
  <c r="R306" i="29"/>
  <c r="Q306" i="29"/>
  <c r="J265" i="29"/>
  <c r="U265" i="29"/>
  <c r="F279" i="29"/>
  <c r="G279" i="29"/>
  <c r="F219" i="29"/>
  <c r="G219" i="29"/>
  <c r="G192" i="29"/>
  <c r="F192" i="29"/>
  <c r="F308" i="29"/>
  <c r="G308" i="29"/>
  <c r="F166" i="24"/>
  <c r="G166" i="24"/>
  <c r="G102" i="24"/>
  <c r="F102" i="24"/>
  <c r="G150" i="24"/>
  <c r="F150" i="24"/>
  <c r="F118" i="24"/>
  <c r="G118" i="24"/>
  <c r="R192" i="29"/>
  <c r="Q192" i="29"/>
  <c r="F164" i="24"/>
  <c r="G164" i="24"/>
  <c r="Q161" i="29"/>
  <c r="R161" i="29"/>
  <c r="F100" i="24"/>
  <c r="G100" i="24"/>
  <c r="F148" i="24"/>
  <c r="G148" i="24"/>
  <c r="J149" i="29"/>
  <c r="U149" i="29"/>
  <c r="F116" i="24"/>
  <c r="G116" i="24"/>
  <c r="F190" i="29"/>
  <c r="G190" i="29"/>
  <c r="R76" i="29"/>
  <c r="Q76" i="29"/>
  <c r="R74" i="29"/>
  <c r="Q74" i="29"/>
  <c r="F74" i="29"/>
  <c r="G74" i="29"/>
  <c r="G76" i="29"/>
  <c r="F76" i="29"/>
  <c r="F45" i="29"/>
  <c r="G45" i="29"/>
  <c r="Q47" i="29"/>
  <c r="R47" i="29"/>
  <c r="R45" i="29"/>
  <c r="Q45" i="29"/>
  <c r="G47" i="29"/>
  <c r="F47" i="29"/>
  <c r="J129" i="32"/>
  <c r="J111" i="22"/>
  <c r="J290" i="32"/>
  <c r="J156" i="32"/>
  <c r="J263" i="32"/>
  <c r="J237" i="32"/>
  <c r="J236" i="32"/>
  <c r="J210" i="32"/>
  <c r="J209" i="32"/>
  <c r="J75" i="32"/>
  <c r="J74" i="32"/>
  <c r="J48" i="32"/>
  <c r="J47" i="32"/>
  <c r="J183" i="32"/>
  <c r="J182" i="32"/>
  <c r="J102" i="32"/>
  <c r="J101" i="32"/>
  <c r="J35" i="31"/>
  <c r="U35" i="31"/>
  <c r="J217" i="31"/>
  <c r="U217" i="31"/>
  <c r="J269" i="31"/>
  <c r="U269" i="31"/>
  <c r="J165" i="31"/>
  <c r="U165" i="31"/>
  <c r="J243" i="31"/>
  <c r="U243" i="31"/>
  <c r="J113" i="31"/>
  <c r="U113" i="31"/>
  <c r="J191" i="31"/>
  <c r="U191" i="31"/>
  <c r="J139" i="31"/>
  <c r="U139" i="31"/>
  <c r="J61" i="31"/>
  <c r="U61" i="31"/>
  <c r="J87" i="31"/>
  <c r="U87" i="31"/>
  <c r="J76" i="27"/>
  <c r="U76" i="27"/>
  <c r="J272" i="27"/>
  <c r="U272" i="27"/>
  <c r="J104" i="27"/>
  <c r="U104" i="27"/>
  <c r="J244" i="27"/>
  <c r="U244" i="27"/>
  <c r="U48" i="27"/>
  <c r="J132" i="27"/>
  <c r="U132" i="27"/>
  <c r="J160" i="27"/>
  <c r="U160" i="27"/>
  <c r="J188" i="27"/>
  <c r="U188" i="27"/>
  <c r="J300" i="27"/>
  <c r="U300" i="27"/>
  <c r="J216" i="27"/>
  <c r="U216" i="27"/>
  <c r="J151" i="31"/>
  <c r="J282" i="31"/>
  <c r="J124" i="22"/>
  <c r="J125" i="22"/>
  <c r="J73" i="22"/>
  <c r="J72" i="22"/>
  <c r="J255" i="31"/>
  <c r="J256" i="31"/>
  <c r="J138" i="22"/>
  <c r="J137" i="22"/>
  <c r="J98" i="22"/>
  <c r="J99" i="22"/>
  <c r="J229" i="31"/>
  <c r="J230" i="31"/>
  <c r="J203" i="31"/>
  <c r="J204" i="31"/>
  <c r="J177" i="31"/>
  <c r="J178" i="31"/>
  <c r="J85" i="22"/>
  <c r="J86" i="22"/>
  <c r="U16" i="17"/>
  <c r="U9" i="17"/>
  <c r="U28" i="17"/>
  <c r="U36" i="17"/>
  <c r="U8" i="17"/>
  <c r="U92" i="17"/>
  <c r="U4" i="17"/>
  <c r="U100" i="17"/>
  <c r="U13" i="17"/>
  <c r="U17" i="17"/>
  <c r="U44" i="17"/>
  <c r="U93" i="17"/>
  <c r="U68" i="17"/>
  <c r="U76" i="17"/>
  <c r="U52" i="17"/>
  <c r="U99" i="17"/>
  <c r="U84" i="17"/>
  <c r="U60" i="17"/>
  <c r="U53" i="17"/>
  <c r="U45" i="17"/>
  <c r="U69" i="17"/>
  <c r="U23" i="17"/>
  <c r="U30" i="17"/>
  <c r="U54" i="17"/>
  <c r="U70" i="17"/>
  <c r="U86" i="17"/>
  <c r="U102" i="17"/>
  <c r="U14" i="17"/>
  <c r="U39" i="17"/>
  <c r="U71" i="17"/>
  <c r="U95" i="17"/>
  <c r="U5" i="17"/>
  <c r="U40" i="17"/>
  <c r="U64" i="17"/>
  <c r="U88" i="17"/>
  <c r="U20" i="17"/>
  <c r="U12" i="17"/>
  <c r="U25" i="17"/>
  <c r="U33" i="17"/>
  <c r="U41" i="17"/>
  <c r="U49" i="17"/>
  <c r="U57" i="17"/>
  <c r="U65" i="17"/>
  <c r="U73" i="17"/>
  <c r="U81" i="17"/>
  <c r="U89" i="17"/>
  <c r="U97" i="17"/>
  <c r="U29" i="17"/>
  <c r="U77" i="17"/>
  <c r="U101" i="17"/>
  <c r="U15" i="17"/>
  <c r="U38" i="17"/>
  <c r="U62" i="17"/>
  <c r="U94" i="17"/>
  <c r="U22" i="17"/>
  <c r="U6" i="17"/>
  <c r="U55" i="17"/>
  <c r="U79" i="17"/>
  <c r="U24" i="17"/>
  <c r="U48" i="17"/>
  <c r="U72" i="17"/>
  <c r="U96" i="17"/>
  <c r="U19" i="17"/>
  <c r="U11" i="17"/>
  <c r="U26" i="17"/>
  <c r="U34" i="17"/>
  <c r="U42" i="17"/>
  <c r="U50" i="17"/>
  <c r="U58" i="17"/>
  <c r="U66" i="17"/>
  <c r="U74" i="17"/>
  <c r="U82" i="17"/>
  <c r="U90" i="17"/>
  <c r="U98" i="17"/>
  <c r="U37" i="17"/>
  <c r="U61" i="17"/>
  <c r="U85" i="17"/>
  <c r="U7" i="17"/>
  <c r="U46" i="17"/>
  <c r="U78" i="17"/>
  <c r="U31" i="17"/>
  <c r="U47" i="17"/>
  <c r="U63" i="17"/>
  <c r="U87" i="17"/>
  <c r="U103" i="17"/>
  <c r="U21" i="17"/>
  <c r="U32" i="17"/>
  <c r="U56" i="17"/>
  <c r="U80" i="17"/>
  <c r="U18" i="17"/>
  <c r="U10" i="17"/>
  <c r="U27" i="17"/>
  <c r="U35" i="17"/>
  <c r="U43" i="17"/>
  <c r="U51" i="17"/>
  <c r="U59" i="17"/>
  <c r="U67" i="17"/>
  <c r="U75" i="17"/>
  <c r="U83" i="17"/>
  <c r="U91" i="17"/>
  <c r="G7" i="17"/>
  <c r="G8" i="17"/>
  <c r="G9" i="17"/>
  <c r="H9" i="17" s="1"/>
  <c r="X7" i="17" s="1"/>
  <c r="G10" i="17"/>
  <c r="G11" i="17"/>
  <c r="G12" i="17"/>
  <c r="H12" i="17" s="1"/>
  <c r="X10" i="17" s="1"/>
  <c r="G13" i="17"/>
  <c r="G14" i="17"/>
  <c r="G15" i="17"/>
  <c r="G16" i="17"/>
  <c r="G17" i="17"/>
  <c r="H17" i="17" s="1"/>
  <c r="X15" i="17" s="1"/>
  <c r="G18" i="17"/>
  <c r="G19" i="17"/>
  <c r="G20" i="17"/>
  <c r="G6" i="17"/>
  <c r="B10" i="17"/>
  <c r="C10" i="17" s="1"/>
  <c r="B11" i="17"/>
  <c r="B12" i="17"/>
  <c r="C12" i="17" s="1"/>
  <c r="E12" i="17"/>
  <c r="B13" i="17"/>
  <c r="B14" i="17"/>
  <c r="E14" i="17"/>
  <c r="B15" i="17"/>
  <c r="B16" i="17"/>
  <c r="H16" i="17" s="1"/>
  <c r="X14" i="17" s="1"/>
  <c r="B17" i="17"/>
  <c r="B18" i="17"/>
  <c r="B19" i="17"/>
  <c r="C19" i="17" s="1"/>
  <c r="B20" i="17"/>
  <c r="C20" i="17" s="1"/>
  <c r="B21" i="17"/>
  <c r="A59" i="17"/>
  <c r="B59" i="17" s="1"/>
  <c r="A60" i="17"/>
  <c r="Y58" i="17" s="1"/>
  <c r="A61" i="17"/>
  <c r="B61" i="17" s="1"/>
  <c r="A62" i="17"/>
  <c r="A63" i="17"/>
  <c r="A64" i="17"/>
  <c r="A65" i="17"/>
  <c r="B65" i="17" s="1"/>
  <c r="C65" i="17" s="1"/>
  <c r="A66" i="17"/>
  <c r="A67" i="17"/>
  <c r="A68" i="17"/>
  <c r="A69" i="17"/>
  <c r="A70" i="17"/>
  <c r="Y68" i="17" s="1"/>
  <c r="A71" i="17"/>
  <c r="A72" i="17"/>
  <c r="A110" i="17"/>
  <c r="A111" i="17"/>
  <c r="G111" i="17" s="1"/>
  <c r="A112" i="17"/>
  <c r="A113" i="17"/>
  <c r="A119" i="17"/>
  <c r="B119" i="17" s="1"/>
  <c r="A120" i="17"/>
  <c r="A58" i="17"/>
  <c r="A35" i="17"/>
  <c r="A45" i="17"/>
  <c r="A55" i="17" s="1"/>
  <c r="A31" i="17"/>
  <c r="A22" i="17"/>
  <c r="A32" i="17" s="1"/>
  <c r="A23" i="17"/>
  <c r="A75" i="17" s="1"/>
  <c r="A24" i="17"/>
  <c r="A76" i="17" s="1"/>
  <c r="A25" i="17"/>
  <c r="A77" i="17" s="1"/>
  <c r="A129" i="17" s="1"/>
  <c r="A26" i="17"/>
  <c r="A27" i="17"/>
  <c r="A28" i="17"/>
  <c r="A29" i="17"/>
  <c r="A30" i="17"/>
  <c r="A40" i="17" s="1"/>
  <c r="B40" i="17" s="1"/>
  <c r="A21" i="17"/>
  <c r="F9" i="14"/>
  <c r="F10" i="14"/>
  <c r="F11" i="14"/>
  <c r="F12" i="14"/>
  <c r="F17" i="14" s="1"/>
  <c r="F22" i="14" s="1"/>
  <c r="F27" i="14" s="1"/>
  <c r="F13" i="14"/>
  <c r="F18" i="14" s="1"/>
  <c r="F23" i="14" s="1"/>
  <c r="F14" i="14"/>
  <c r="F19" i="14" s="1"/>
  <c r="F24" i="14" s="1"/>
  <c r="F15" i="14"/>
  <c r="F20" i="14" s="1"/>
  <c r="F25" i="14" s="1"/>
  <c r="F16" i="14"/>
  <c r="F21" i="14" s="1"/>
  <c r="F26" i="14" s="1"/>
  <c r="F8" i="14"/>
  <c r="B7" i="17"/>
  <c r="C7" i="17" s="1"/>
  <c r="B8" i="17"/>
  <c r="E8" i="17" s="1"/>
  <c r="B9" i="17"/>
  <c r="B6" i="17"/>
  <c r="E6" i="17" s="1"/>
  <c r="H9" i="14"/>
  <c r="H14" i="14" s="1"/>
  <c r="H19" i="14" s="1"/>
  <c r="H24" i="14" s="1"/>
  <c r="H10" i="14"/>
  <c r="H11" i="14"/>
  <c r="H12" i="14"/>
  <c r="H15" i="14"/>
  <c r="H20" i="14" s="1"/>
  <c r="H25" i="14" s="1"/>
  <c r="H16" i="14"/>
  <c r="H21" i="14" s="1"/>
  <c r="H26" i="14" s="1"/>
  <c r="H17" i="14"/>
  <c r="H22" i="14" s="1"/>
  <c r="H27" i="14" s="1"/>
  <c r="H8" i="14"/>
  <c r="H13" i="14" s="1"/>
  <c r="H18" i="14" s="1"/>
  <c r="H23" i="14" s="1"/>
  <c r="G9" i="14"/>
  <c r="G10" i="14"/>
  <c r="G15" i="14" s="1"/>
  <c r="G20" i="14" s="1"/>
  <c r="G25" i="14" s="1"/>
  <c r="G11" i="14"/>
  <c r="G12" i="14"/>
  <c r="G13" i="14"/>
  <c r="G18" i="14" s="1"/>
  <c r="G23" i="14" s="1"/>
  <c r="G14" i="14"/>
  <c r="G19" i="14" s="1"/>
  <c r="G24" i="14" s="1"/>
  <c r="G16" i="14"/>
  <c r="G21" i="14" s="1"/>
  <c r="G26" i="14" s="1"/>
  <c r="G17" i="14"/>
  <c r="G22" i="14" s="1"/>
  <c r="G27" i="14" s="1"/>
  <c r="G8" i="14"/>
  <c r="F326" i="33" l="1"/>
  <c r="G178" i="29"/>
  <c r="G181" i="29" s="1"/>
  <c r="G182" i="29" s="1"/>
  <c r="F233" i="33"/>
  <c r="G233" i="33"/>
  <c r="F231" i="33"/>
  <c r="G231" i="33"/>
  <c r="G171" i="33"/>
  <c r="F171" i="33"/>
  <c r="F169" i="33"/>
  <c r="G169" i="33"/>
  <c r="F295" i="33"/>
  <c r="G295" i="33"/>
  <c r="F293" i="33"/>
  <c r="G293" i="33"/>
  <c r="Q149" i="29"/>
  <c r="Q152" i="29" s="1"/>
  <c r="R149" i="29"/>
  <c r="R152" i="29" s="1"/>
  <c r="R153" i="29" s="1"/>
  <c r="G149" i="29"/>
  <c r="G152" i="29" s="1"/>
  <c r="G153" i="29" s="1"/>
  <c r="F149" i="29"/>
  <c r="F152" i="29" s="1"/>
  <c r="R236" i="29"/>
  <c r="R239" i="29" s="1"/>
  <c r="R240" i="29" s="1"/>
  <c r="Q236" i="29"/>
  <c r="Q239" i="29" s="1"/>
  <c r="G236" i="29"/>
  <c r="G239" i="29" s="1"/>
  <c r="G240" i="29" s="1"/>
  <c r="F236" i="29"/>
  <c r="F239" i="29" s="1"/>
  <c r="R265" i="29"/>
  <c r="R268" i="29" s="1"/>
  <c r="R269" i="29" s="1"/>
  <c r="Q265" i="29"/>
  <c r="Q268" i="29" s="1"/>
  <c r="F265" i="29"/>
  <c r="F268" i="29" s="1"/>
  <c r="G265" i="29"/>
  <c r="G268" i="29" s="1"/>
  <c r="G269" i="29" s="1"/>
  <c r="Q120" i="29"/>
  <c r="Q123" i="29" s="1"/>
  <c r="R120" i="29"/>
  <c r="R123" i="29" s="1"/>
  <c r="R124" i="29" s="1"/>
  <c r="R91" i="29"/>
  <c r="R94" i="29" s="1"/>
  <c r="R95" i="29" s="1"/>
  <c r="Q91" i="29"/>
  <c r="Q94" i="29" s="1"/>
  <c r="Q294" i="29"/>
  <c r="Q297" i="29" s="1"/>
  <c r="R294" i="29"/>
  <c r="R297" i="29" s="1"/>
  <c r="R298" i="29" s="1"/>
  <c r="Q62" i="29"/>
  <c r="Q65" i="29" s="1"/>
  <c r="R62" i="29"/>
  <c r="R65" i="29" s="1"/>
  <c r="R66" i="29" s="1"/>
  <c r="F120" i="29"/>
  <c r="F123" i="29" s="1"/>
  <c r="G120" i="29"/>
  <c r="G123" i="29" s="1"/>
  <c r="G124" i="29" s="1"/>
  <c r="G91" i="29"/>
  <c r="G94" i="29" s="1"/>
  <c r="G95" i="29" s="1"/>
  <c r="F91" i="29"/>
  <c r="F94" i="29" s="1"/>
  <c r="F294" i="29"/>
  <c r="F297" i="29" s="1"/>
  <c r="G294" i="29"/>
  <c r="G297" i="29" s="1"/>
  <c r="G298" i="29" s="1"/>
  <c r="G62" i="29"/>
  <c r="G65" i="29" s="1"/>
  <c r="G66" i="29" s="1"/>
  <c r="F62" i="29"/>
  <c r="F65" i="29" s="1"/>
  <c r="H13" i="17"/>
  <c r="X11" i="17" s="1"/>
  <c r="H20" i="17"/>
  <c r="X18" i="17" s="1"/>
  <c r="H15" i="17"/>
  <c r="X13" i="17" s="1"/>
  <c r="A33" i="17"/>
  <c r="A85" i="17" s="1"/>
  <c r="H14" i="17"/>
  <c r="X12" i="17" s="1"/>
  <c r="H7" i="17"/>
  <c r="X5" i="17" s="1"/>
  <c r="G70" i="17"/>
  <c r="A122" i="17"/>
  <c r="A174" i="17" s="1"/>
  <c r="A74" i="17"/>
  <c r="B74" i="17" s="1"/>
  <c r="E74" i="17" s="1"/>
  <c r="H19" i="17"/>
  <c r="X17" i="17" s="1"/>
  <c r="H18" i="17"/>
  <c r="H10" i="17"/>
  <c r="X8" i="17" s="1"/>
  <c r="Y27" i="17"/>
  <c r="G29" i="17"/>
  <c r="B29" i="17"/>
  <c r="A39" i="17"/>
  <c r="Y26" i="17"/>
  <c r="A38" i="17"/>
  <c r="G28" i="17"/>
  <c r="A81" i="17"/>
  <c r="B28" i="17"/>
  <c r="Y53" i="17"/>
  <c r="G55" i="17"/>
  <c r="A107" i="17"/>
  <c r="B55" i="17"/>
  <c r="E55" i="17" s="1"/>
  <c r="K40" i="17"/>
  <c r="C40" i="17"/>
  <c r="E40" i="17"/>
  <c r="C61" i="17"/>
  <c r="E61" i="17"/>
  <c r="Y24" i="17"/>
  <c r="B26" i="17"/>
  <c r="G26" i="17"/>
  <c r="A78" i="17"/>
  <c r="E65" i="17"/>
  <c r="H8" i="17"/>
  <c r="X6" i="17" s="1"/>
  <c r="C8" i="17"/>
  <c r="Y29" i="17"/>
  <c r="A41" i="17"/>
  <c r="A83" i="17"/>
  <c r="B31" i="17"/>
  <c r="G31" i="17"/>
  <c r="A165" i="17"/>
  <c r="Y111" i="17"/>
  <c r="G113" i="17"/>
  <c r="Y43" i="17"/>
  <c r="G45" i="17"/>
  <c r="B45" i="17"/>
  <c r="A181" i="17"/>
  <c r="Y127" i="17"/>
  <c r="G129" i="17"/>
  <c r="B129" i="17"/>
  <c r="Y74" i="17"/>
  <c r="B76" i="17"/>
  <c r="G76" i="17"/>
  <c r="Y33" i="17"/>
  <c r="G35" i="17"/>
  <c r="B35" i="17"/>
  <c r="A87" i="17"/>
  <c r="A128" i="17"/>
  <c r="B113" i="17"/>
  <c r="E59" i="17"/>
  <c r="C59" i="17"/>
  <c r="A36" i="17"/>
  <c r="A80" i="17"/>
  <c r="C6" i="17"/>
  <c r="Y73" i="17"/>
  <c r="G75" i="17"/>
  <c r="B75" i="17"/>
  <c r="A127" i="17"/>
  <c r="C119" i="17"/>
  <c r="A164" i="17"/>
  <c r="Y110" i="17"/>
  <c r="G112" i="17"/>
  <c r="B112" i="17"/>
  <c r="Y38" i="17"/>
  <c r="G40" i="17"/>
  <c r="H40" i="17" s="1"/>
  <c r="X38" i="17" s="1"/>
  <c r="A92" i="17"/>
  <c r="A50" i="17"/>
  <c r="Y30" i="17"/>
  <c r="G32" i="17"/>
  <c r="B32" i="17"/>
  <c r="A84" i="17"/>
  <c r="A42" i="17"/>
  <c r="A97" i="17"/>
  <c r="A124" i="17"/>
  <c r="Y70" i="17"/>
  <c r="G72" i="17"/>
  <c r="B72" i="17"/>
  <c r="A116" i="17"/>
  <c r="Y62" i="17"/>
  <c r="G64" i="17"/>
  <c r="B64" i="17"/>
  <c r="E9" i="17"/>
  <c r="Y25" i="17"/>
  <c r="G27" i="17"/>
  <c r="B27" i="17"/>
  <c r="A79" i="17"/>
  <c r="A34" i="17"/>
  <c r="A163" i="17"/>
  <c r="Y109" i="17"/>
  <c r="B111" i="17"/>
  <c r="Y60" i="17"/>
  <c r="B62" i="17"/>
  <c r="B70" i="17"/>
  <c r="B23" i="17"/>
  <c r="E16" i="17"/>
  <c r="B33" i="17"/>
  <c r="Y108" i="17"/>
  <c r="G110" i="17"/>
  <c r="Y67" i="17"/>
  <c r="G69" i="17"/>
  <c r="E7" i="17"/>
  <c r="Y23" i="17"/>
  <c r="G25" i="17"/>
  <c r="B25" i="17"/>
  <c r="A121" i="17"/>
  <c r="Y66" i="17"/>
  <c r="G68" i="17"/>
  <c r="B68" i="17"/>
  <c r="B110" i="17"/>
  <c r="B69" i="17"/>
  <c r="G62" i="17"/>
  <c r="Y75" i="17"/>
  <c r="G77" i="17"/>
  <c r="C11" i="17"/>
  <c r="Y22" i="17"/>
  <c r="G24" i="17"/>
  <c r="B24" i="17"/>
  <c r="A172" i="17"/>
  <c r="Y118" i="17"/>
  <c r="G120" i="17"/>
  <c r="B120" i="17"/>
  <c r="Y65" i="17"/>
  <c r="G67" i="17"/>
  <c r="B67" i="17"/>
  <c r="Y57" i="17"/>
  <c r="G59" i="17"/>
  <c r="G60" i="17"/>
  <c r="Y59" i="17"/>
  <c r="G61" i="17"/>
  <c r="C21" i="17"/>
  <c r="C16" i="17"/>
  <c r="Y19" i="17"/>
  <c r="G21" i="17"/>
  <c r="H21" i="17" s="1"/>
  <c r="K21" i="17" s="1"/>
  <c r="Q23" i="24" s="1"/>
  <c r="A171" i="17"/>
  <c r="Y117" i="17"/>
  <c r="G74" i="17"/>
  <c r="H74" i="17" s="1"/>
  <c r="X72" i="17" s="1"/>
  <c r="A118" i="17"/>
  <c r="Y64" i="17"/>
  <c r="G66" i="17"/>
  <c r="B66" i="17"/>
  <c r="G122" i="17"/>
  <c r="B122" i="17"/>
  <c r="E122" i="17" s="1"/>
  <c r="B77" i="17"/>
  <c r="C9" i="17"/>
  <c r="Y21" i="17"/>
  <c r="G23" i="17"/>
  <c r="Y56" i="17"/>
  <c r="G58" i="17"/>
  <c r="B58" i="17"/>
  <c r="E58" i="17" s="1"/>
  <c r="Y28" i="17"/>
  <c r="B30" i="17"/>
  <c r="G30" i="17"/>
  <c r="Y20" i="17"/>
  <c r="B22" i="17"/>
  <c r="G22" i="17"/>
  <c r="A37" i="17"/>
  <c r="A162" i="17"/>
  <c r="A114" i="17"/>
  <c r="A82" i="17"/>
  <c r="A73" i="17"/>
  <c r="A117" i="17"/>
  <c r="Y63" i="17"/>
  <c r="G65" i="17"/>
  <c r="H65" i="17" s="1"/>
  <c r="X63" i="17" s="1"/>
  <c r="B60" i="17"/>
  <c r="G119" i="17"/>
  <c r="H119" i="17" s="1"/>
  <c r="X117" i="17" s="1"/>
  <c r="H11" i="17"/>
  <c r="X9" i="17" s="1"/>
  <c r="A123" i="17"/>
  <c r="Y69" i="17"/>
  <c r="A115" i="17"/>
  <c r="Y61" i="17"/>
  <c r="G71" i="17"/>
  <c r="H71" i="17" s="1"/>
  <c r="X69" i="17" s="1"/>
  <c r="B63" i="17"/>
  <c r="C18" i="17"/>
  <c r="B71" i="17"/>
  <c r="E71" i="17" s="1"/>
  <c r="C17" i="17"/>
  <c r="E17" i="17"/>
  <c r="G63" i="17"/>
  <c r="H63" i="17" s="1"/>
  <c r="X61" i="17" s="1"/>
  <c r="E20" i="17"/>
  <c r="E19" i="17"/>
  <c r="C15" i="17"/>
  <c r="E10" i="17"/>
  <c r="C14" i="17"/>
  <c r="H6" i="17"/>
  <c r="C13" i="17"/>
  <c r="K16" i="17"/>
  <c r="K9" i="17"/>
  <c r="K12" i="17"/>
  <c r="K17" i="17"/>
  <c r="H61" i="17"/>
  <c r="X59" i="17" s="1"/>
  <c r="H113" i="17"/>
  <c r="X111" i="17" s="1"/>
  <c r="H120" i="17"/>
  <c r="X118" i="17" s="1"/>
  <c r="H72" i="17"/>
  <c r="X70" i="17" s="1"/>
  <c r="H111" i="17"/>
  <c r="X109" i="17" s="1"/>
  <c r="E11" i="17"/>
  <c r="E21" i="17"/>
  <c r="E13" i="17"/>
  <c r="E66" i="17"/>
  <c r="E18" i="17"/>
  <c r="E119" i="17"/>
  <c r="E111" i="17"/>
  <c r="E15" i="17"/>
  <c r="K15" i="17" l="1"/>
  <c r="X19" i="17"/>
  <c r="X16" i="17"/>
  <c r="K18" i="17"/>
  <c r="K13" i="17"/>
  <c r="K20" i="17"/>
  <c r="X4" i="17"/>
  <c r="K6" i="17"/>
  <c r="K14" i="17"/>
  <c r="D16" i="17"/>
  <c r="H76" i="17"/>
  <c r="K7" i="17"/>
  <c r="G33" i="17"/>
  <c r="Y31" i="17"/>
  <c r="H70" i="17"/>
  <c r="X68" i="17" s="1"/>
  <c r="H122" i="17"/>
  <c r="X120" i="17" s="1"/>
  <c r="A43" i="17"/>
  <c r="A95" i="17" s="1"/>
  <c r="K10" i="17"/>
  <c r="H31" i="17"/>
  <c r="X29" i="17" s="1"/>
  <c r="K19" i="17"/>
  <c r="C74" i="17"/>
  <c r="D19" i="17"/>
  <c r="H60" i="17"/>
  <c r="X58" i="17" s="1"/>
  <c r="H58" i="17"/>
  <c r="X56" i="17" s="1"/>
  <c r="Y120" i="17"/>
  <c r="A126" i="17"/>
  <c r="A178" i="17" s="1"/>
  <c r="D21" i="17"/>
  <c r="H24" i="17"/>
  <c r="X22" i="17" s="1"/>
  <c r="H25" i="17"/>
  <c r="X23" i="17" s="1"/>
  <c r="H62" i="17"/>
  <c r="X60" i="17" s="1"/>
  <c r="H27" i="17"/>
  <c r="X25" i="17" s="1"/>
  <c r="H112" i="17"/>
  <c r="X110" i="17" s="1"/>
  <c r="Y72" i="17"/>
  <c r="E70" i="17"/>
  <c r="H59" i="17"/>
  <c r="X57" i="17" s="1"/>
  <c r="H22" i="17"/>
  <c r="X20" i="17" s="1"/>
  <c r="H67" i="17"/>
  <c r="X65" i="17" s="1"/>
  <c r="H23" i="17"/>
  <c r="X21" i="17" s="1"/>
  <c r="E23" i="17"/>
  <c r="H66" i="17"/>
  <c r="X64" i="17" s="1"/>
  <c r="D61" i="17"/>
  <c r="H68" i="17"/>
  <c r="X66" i="17" s="1"/>
  <c r="D119" i="17"/>
  <c r="H30" i="17"/>
  <c r="X28" i="17" s="1"/>
  <c r="H28" i="17"/>
  <c r="X26" i="17" s="1"/>
  <c r="D59" i="17"/>
  <c r="D8" i="17"/>
  <c r="D15" i="17"/>
  <c r="D7" i="17"/>
  <c r="D9" i="17"/>
  <c r="D40" i="17"/>
  <c r="D17" i="17"/>
  <c r="D14" i="17"/>
  <c r="K74" i="17"/>
  <c r="A168" i="17"/>
  <c r="Y114" i="17"/>
  <c r="G116" i="17"/>
  <c r="B116" i="17"/>
  <c r="E68" i="17"/>
  <c r="C68" i="17"/>
  <c r="C111" i="17"/>
  <c r="A216" i="17"/>
  <c r="Y162" i="17"/>
  <c r="G164" i="17"/>
  <c r="B164" i="17"/>
  <c r="C71" i="17"/>
  <c r="A125" i="17"/>
  <c r="Y71" i="17"/>
  <c r="G73" i="17"/>
  <c r="B73" i="17"/>
  <c r="G43" i="17"/>
  <c r="A215" i="17"/>
  <c r="Y161" i="17"/>
  <c r="G163" i="17"/>
  <c r="B163" i="17"/>
  <c r="A176" i="17"/>
  <c r="Y122" i="17"/>
  <c r="G124" i="17"/>
  <c r="B124" i="17"/>
  <c r="Y90" i="17"/>
  <c r="B92" i="17"/>
  <c r="G92" i="17"/>
  <c r="A144" i="17"/>
  <c r="C45" i="17"/>
  <c r="K45" i="17"/>
  <c r="E45" i="17"/>
  <c r="Y81" i="17"/>
  <c r="G83" i="17"/>
  <c r="H83" i="17" s="1"/>
  <c r="A135" i="17"/>
  <c r="B83" i="17"/>
  <c r="D65" i="17"/>
  <c r="Y105" i="17"/>
  <c r="G107" i="17"/>
  <c r="A159" i="17"/>
  <c r="B107" i="17"/>
  <c r="Y37" i="17"/>
  <c r="B39" i="17"/>
  <c r="A91" i="17"/>
  <c r="A49" i="17"/>
  <c r="G39" i="17"/>
  <c r="Y35" i="17"/>
  <c r="G37" i="17"/>
  <c r="A47" i="17"/>
  <c r="B37" i="17"/>
  <c r="A89" i="17"/>
  <c r="E67" i="17"/>
  <c r="C67" i="17"/>
  <c r="C69" i="17"/>
  <c r="E69" i="17"/>
  <c r="D10" i="17"/>
  <c r="A226" i="17"/>
  <c r="Y172" i="17"/>
  <c r="G174" i="17"/>
  <c r="B174" i="17"/>
  <c r="D13" i="17"/>
  <c r="C22" i="17"/>
  <c r="E22" i="17"/>
  <c r="Y34" i="17"/>
  <c r="A46" i="17"/>
  <c r="G36" i="17"/>
  <c r="B36" i="17"/>
  <c r="A88" i="17"/>
  <c r="E35" i="17"/>
  <c r="K35" i="17"/>
  <c r="C35" i="17"/>
  <c r="D12" i="17"/>
  <c r="H35" i="17"/>
  <c r="X33" i="17" s="1"/>
  <c r="C55" i="17"/>
  <c r="K55" i="17"/>
  <c r="H69" i="17"/>
  <c r="X67" i="17" s="1"/>
  <c r="E110" i="17"/>
  <c r="K8" i="17"/>
  <c r="D20" i="17"/>
  <c r="C30" i="17"/>
  <c r="E30" i="17"/>
  <c r="H77" i="17"/>
  <c r="Y32" i="17"/>
  <c r="B34" i="17"/>
  <c r="G34" i="17"/>
  <c r="A86" i="17"/>
  <c r="A44" i="17"/>
  <c r="H45" i="17"/>
  <c r="A51" i="17"/>
  <c r="Y39" i="17"/>
  <c r="G41" i="17"/>
  <c r="B41" i="17"/>
  <c r="A93" i="17"/>
  <c r="H55" i="17"/>
  <c r="C29" i="17"/>
  <c r="E29" i="17"/>
  <c r="C63" i="17"/>
  <c r="A180" i="17"/>
  <c r="Y126" i="17"/>
  <c r="G128" i="17"/>
  <c r="B128" i="17"/>
  <c r="C26" i="17"/>
  <c r="C110" i="17"/>
  <c r="H32" i="17"/>
  <c r="X30" i="17" s="1"/>
  <c r="A179" i="17"/>
  <c r="Y125" i="17"/>
  <c r="G127" i="17"/>
  <c r="B127" i="17"/>
  <c r="A132" i="17"/>
  <c r="Y78" i="17"/>
  <c r="G80" i="17"/>
  <c r="B80" i="17"/>
  <c r="H129" i="17"/>
  <c r="A217" i="17"/>
  <c r="Y163" i="17"/>
  <c r="G165" i="17"/>
  <c r="B165" i="17"/>
  <c r="C66" i="17"/>
  <c r="A223" i="17"/>
  <c r="Y169" i="17"/>
  <c r="G171" i="17"/>
  <c r="B171" i="17"/>
  <c r="H33" i="17"/>
  <c r="X31" i="17" s="1"/>
  <c r="E75" i="17"/>
  <c r="C75" i="17"/>
  <c r="A167" i="17"/>
  <c r="Y113" i="17"/>
  <c r="G115" i="17"/>
  <c r="B115" i="17"/>
  <c r="C120" i="17"/>
  <c r="E120" i="17"/>
  <c r="Y48" i="17"/>
  <c r="G50" i="17"/>
  <c r="A102" i="17"/>
  <c r="B50" i="17"/>
  <c r="H75" i="17"/>
  <c r="X73" i="17" s="1"/>
  <c r="A233" i="17"/>
  <c r="Y179" i="17"/>
  <c r="G181" i="17"/>
  <c r="B181" i="17"/>
  <c r="C31" i="17"/>
  <c r="K31" i="17"/>
  <c r="C77" i="17"/>
  <c r="E77" i="17"/>
  <c r="A170" i="17"/>
  <c r="Y116" i="17"/>
  <c r="B118" i="17"/>
  <c r="G118" i="17"/>
  <c r="H118" i="17" s="1"/>
  <c r="X116" i="17" s="1"/>
  <c r="Y83" i="17"/>
  <c r="G85" i="17"/>
  <c r="B85" i="17"/>
  <c r="A137" i="17"/>
  <c r="A149" i="17"/>
  <c r="Y95" i="17"/>
  <c r="G97" i="17"/>
  <c r="B97" i="17"/>
  <c r="D18" i="17"/>
  <c r="A166" i="17"/>
  <c r="Y112" i="17"/>
  <c r="G114" i="17"/>
  <c r="B114" i="17"/>
  <c r="C122" i="17"/>
  <c r="A224" i="17"/>
  <c r="Y170" i="17"/>
  <c r="G172" i="17"/>
  <c r="B172" i="17"/>
  <c r="A173" i="17"/>
  <c r="Y119" i="17"/>
  <c r="G121" i="17"/>
  <c r="B121" i="17"/>
  <c r="C23" i="17"/>
  <c r="A131" i="17"/>
  <c r="Y77" i="17"/>
  <c r="B79" i="17"/>
  <c r="G79" i="17"/>
  <c r="H79" i="17" s="1"/>
  <c r="X77" i="17" s="1"/>
  <c r="Y40" i="17"/>
  <c r="B42" i="17"/>
  <c r="G42" i="17"/>
  <c r="A94" i="17"/>
  <c r="A52" i="17"/>
  <c r="E76" i="17"/>
  <c r="C76" i="17"/>
  <c r="Y76" i="17"/>
  <c r="A130" i="17"/>
  <c r="B78" i="17"/>
  <c r="G78" i="17"/>
  <c r="H29" i="17"/>
  <c r="E60" i="17"/>
  <c r="C60" i="17"/>
  <c r="G126" i="17"/>
  <c r="C62" i="17"/>
  <c r="K32" i="17"/>
  <c r="E32" i="17"/>
  <c r="C32" i="17"/>
  <c r="C129" i="17"/>
  <c r="E129" i="17"/>
  <c r="A133" i="17"/>
  <c r="Y79" i="17"/>
  <c r="G81" i="17"/>
  <c r="B81" i="17"/>
  <c r="K33" i="17"/>
  <c r="E33" i="17"/>
  <c r="C33" i="17"/>
  <c r="E72" i="17"/>
  <c r="C72" i="17"/>
  <c r="A139" i="17"/>
  <c r="Y85" i="17"/>
  <c r="G87" i="17"/>
  <c r="B87" i="17"/>
  <c r="A48" i="17"/>
  <c r="Y36" i="17"/>
  <c r="B38" i="17"/>
  <c r="A90" i="17"/>
  <c r="G38" i="17"/>
  <c r="E63" i="17"/>
  <c r="E26" i="17"/>
  <c r="A169" i="17"/>
  <c r="Y115" i="17"/>
  <c r="G117" i="17"/>
  <c r="B117" i="17"/>
  <c r="D11" i="17"/>
  <c r="A175" i="17"/>
  <c r="Y121" i="17"/>
  <c r="G123" i="17"/>
  <c r="B123" i="17"/>
  <c r="A134" i="17"/>
  <c r="Y80" i="17"/>
  <c r="G82" i="17"/>
  <c r="B82" i="17"/>
  <c r="C64" i="17"/>
  <c r="E64" i="17"/>
  <c r="E31" i="17"/>
  <c r="E62" i="17"/>
  <c r="H64" i="17"/>
  <c r="X62" i="17" s="1"/>
  <c r="K11" i="17"/>
  <c r="A214" i="17"/>
  <c r="Y160" i="17"/>
  <c r="G162" i="17"/>
  <c r="B162" i="17"/>
  <c r="C58" i="17"/>
  <c r="E24" i="17"/>
  <c r="C24" i="17"/>
  <c r="E25" i="17"/>
  <c r="C25" i="17"/>
  <c r="H110" i="17"/>
  <c r="X108" i="17" s="1"/>
  <c r="C70" i="17"/>
  <c r="E27" i="17"/>
  <c r="C27" i="17"/>
  <c r="Y82" i="17"/>
  <c r="B84" i="17"/>
  <c r="G84" i="17"/>
  <c r="A136" i="17"/>
  <c r="C112" i="17"/>
  <c r="E112" i="17"/>
  <c r="D74" i="17"/>
  <c r="D6" i="17"/>
  <c r="C113" i="17"/>
  <c r="E113" i="17"/>
  <c r="H26" i="17"/>
  <c r="X24" i="17" s="1"/>
  <c r="E28" i="17"/>
  <c r="C28" i="17"/>
  <c r="K61" i="17"/>
  <c r="K63" i="17"/>
  <c r="K113" i="17"/>
  <c r="K119" i="17"/>
  <c r="K111" i="17"/>
  <c r="H33" i="33" s="1"/>
  <c r="K65" i="17"/>
  <c r="K71" i="17"/>
  <c r="K120" i="17"/>
  <c r="H219" i="33" s="1"/>
  <c r="K72" i="17"/>
  <c r="A9" i="14"/>
  <c r="A14" i="14" s="1"/>
  <c r="A19" i="14" s="1"/>
  <c r="A24" i="14" s="1"/>
  <c r="A10" i="14"/>
  <c r="A15" i="14" s="1"/>
  <c r="A20" i="14" s="1"/>
  <c r="A25" i="14" s="1"/>
  <c r="A11" i="14"/>
  <c r="A16" i="14" s="1"/>
  <c r="A21" i="14" s="1"/>
  <c r="A26" i="14" s="1"/>
  <c r="A12" i="14"/>
  <c r="A17" i="14" s="1"/>
  <c r="A22" i="14" s="1"/>
  <c r="A27" i="14" s="1"/>
  <c r="A8" i="14"/>
  <c r="A13" i="14" s="1"/>
  <c r="A18" i="14" s="1"/>
  <c r="A23" i="14" s="1"/>
  <c r="K60" i="17" l="1"/>
  <c r="K24" i="17"/>
  <c r="K70" i="17"/>
  <c r="K27" i="17"/>
  <c r="K67" i="17"/>
  <c r="K122" i="17"/>
  <c r="Y41" i="17"/>
  <c r="A53" i="17"/>
  <c r="X81" i="17"/>
  <c r="H276" i="17"/>
  <c r="H43" i="17"/>
  <c r="H268" i="17" s="1"/>
  <c r="H123" i="17"/>
  <c r="X121" i="17" s="1"/>
  <c r="H121" i="17"/>
  <c r="X119" i="17" s="1"/>
  <c r="B43" i="17"/>
  <c r="X74" i="17"/>
  <c r="K76" i="17"/>
  <c r="K112" i="17"/>
  <c r="H64" i="33" s="1"/>
  <c r="K58" i="17"/>
  <c r="K66" i="17"/>
  <c r="K22" i="17"/>
  <c r="K28" i="17"/>
  <c r="K25" i="17"/>
  <c r="K30" i="17"/>
  <c r="K59" i="17"/>
  <c r="X43" i="17"/>
  <c r="H270" i="17"/>
  <c r="D129" i="17"/>
  <c r="K68" i="17"/>
  <c r="B126" i="17"/>
  <c r="H126" i="17" s="1"/>
  <c r="H163" i="17"/>
  <c r="X161" i="17" s="1"/>
  <c r="H164" i="17"/>
  <c r="Y124" i="17"/>
  <c r="H172" i="17"/>
  <c r="H50" i="17"/>
  <c r="H171" i="17"/>
  <c r="X169" i="17" s="1"/>
  <c r="H165" i="17"/>
  <c r="X163" i="17" s="1"/>
  <c r="H36" i="17"/>
  <c r="X34" i="17" s="1"/>
  <c r="H73" i="17"/>
  <c r="X71" i="17" s="1"/>
  <c r="H115" i="17"/>
  <c r="K69" i="17"/>
  <c r="H42" i="17"/>
  <c r="H37" i="17"/>
  <c r="X35" i="17" s="1"/>
  <c r="K62" i="17"/>
  <c r="H39" i="17"/>
  <c r="X37" i="17" s="1"/>
  <c r="H124" i="17"/>
  <c r="X122" i="17" s="1"/>
  <c r="H116" i="17"/>
  <c r="X114" i="17" s="1"/>
  <c r="H38" i="17"/>
  <c r="X36" i="17" s="1"/>
  <c r="K23" i="17"/>
  <c r="N55" i="17"/>
  <c r="M55" i="17"/>
  <c r="D31" i="17"/>
  <c r="D110" i="17"/>
  <c r="D60" i="17"/>
  <c r="D122" i="17"/>
  <c r="D112" i="17"/>
  <c r="D25" i="17"/>
  <c r="K75" i="17"/>
  <c r="D120" i="17"/>
  <c r="D75" i="17"/>
  <c r="D55" i="17"/>
  <c r="D71" i="17"/>
  <c r="D68" i="17"/>
  <c r="K64" i="17"/>
  <c r="K118" i="17"/>
  <c r="H188" i="33" s="1"/>
  <c r="X53" i="17"/>
  <c r="D69" i="17"/>
  <c r="D24" i="17"/>
  <c r="D64" i="17"/>
  <c r="D58" i="17"/>
  <c r="D30" i="17"/>
  <c r="D35" i="17"/>
  <c r="D22" i="17"/>
  <c r="A221" i="17"/>
  <c r="Y167" i="17"/>
  <c r="G169" i="17"/>
  <c r="B169" i="17"/>
  <c r="C87" i="17"/>
  <c r="E87" i="17"/>
  <c r="A230" i="17"/>
  <c r="Y176" i="17"/>
  <c r="G178" i="17"/>
  <c r="B178" i="17"/>
  <c r="A182" i="17"/>
  <c r="Y128" i="17"/>
  <c r="G130" i="17"/>
  <c r="B130" i="17"/>
  <c r="K41" i="17"/>
  <c r="C41" i="17"/>
  <c r="E41" i="17"/>
  <c r="C34" i="17"/>
  <c r="K34" i="17"/>
  <c r="E34" i="17"/>
  <c r="Y45" i="17"/>
  <c r="B47" i="17"/>
  <c r="A99" i="17"/>
  <c r="A57" i="17"/>
  <c r="G47" i="17"/>
  <c r="H47" i="17" s="1"/>
  <c r="C42" i="17"/>
  <c r="K42" i="17"/>
  <c r="E42" i="17"/>
  <c r="H41" i="17"/>
  <c r="A56" i="17"/>
  <c r="Y44" i="17"/>
  <c r="G46" i="17"/>
  <c r="A98" i="17"/>
  <c r="B46" i="17"/>
  <c r="Y214" i="17"/>
  <c r="G216" i="17"/>
  <c r="B216" i="17"/>
  <c r="A227" i="17"/>
  <c r="Y173" i="17"/>
  <c r="B175" i="17"/>
  <c r="G175" i="17"/>
  <c r="D33" i="17"/>
  <c r="D62" i="17"/>
  <c r="E121" i="17"/>
  <c r="C121" i="17"/>
  <c r="H181" i="17"/>
  <c r="H301" i="17" s="1"/>
  <c r="X299" i="17" s="1"/>
  <c r="Y221" i="17"/>
  <c r="G223" i="17"/>
  <c r="B223" i="17"/>
  <c r="Y215" i="17"/>
  <c r="G217" i="17"/>
  <c r="B217" i="17"/>
  <c r="X75" i="17"/>
  <c r="K77" i="17"/>
  <c r="H107" i="17"/>
  <c r="X105" i="17" s="1"/>
  <c r="E124" i="17"/>
  <c r="C124" i="17"/>
  <c r="A147" i="17"/>
  <c r="Y93" i="17"/>
  <c r="B95" i="17"/>
  <c r="G95" i="17"/>
  <c r="A177" i="17"/>
  <c r="Y123" i="17"/>
  <c r="G125" i="17"/>
  <c r="B125" i="17"/>
  <c r="D111" i="17"/>
  <c r="E116" i="17"/>
  <c r="C116" i="17"/>
  <c r="D77" i="17"/>
  <c r="H127" i="17"/>
  <c r="X125" i="17" s="1"/>
  <c r="A191" i="17"/>
  <c r="Y137" i="17"/>
  <c r="G139" i="17"/>
  <c r="B139" i="17"/>
  <c r="K97" i="17"/>
  <c r="E97" i="17"/>
  <c r="C97" i="17"/>
  <c r="X127" i="17"/>
  <c r="K129" i="17"/>
  <c r="H154" i="33" s="1"/>
  <c r="C128" i="17"/>
  <c r="E128" i="17"/>
  <c r="Y49" i="17"/>
  <c r="G51" i="17"/>
  <c r="B51" i="17"/>
  <c r="A103" i="17"/>
  <c r="C162" i="17"/>
  <c r="E162" i="17"/>
  <c r="C117" i="17"/>
  <c r="E117" i="17"/>
  <c r="C38" i="17"/>
  <c r="K38" i="17"/>
  <c r="E38" i="17"/>
  <c r="C81" i="17"/>
  <c r="E81" i="17"/>
  <c r="X27" i="17"/>
  <c r="K29" i="17"/>
  <c r="A225" i="17"/>
  <c r="Y171" i="17"/>
  <c r="G173" i="17"/>
  <c r="B173" i="17"/>
  <c r="C114" i="17"/>
  <c r="E114" i="17"/>
  <c r="H80" i="17"/>
  <c r="X78" i="17" s="1"/>
  <c r="Y42" i="17"/>
  <c r="B44" i="17"/>
  <c r="G44" i="17"/>
  <c r="H44" i="17" s="1"/>
  <c r="A54" i="17"/>
  <c r="A96" i="17"/>
  <c r="Y89" i="17"/>
  <c r="G91" i="17"/>
  <c r="B91" i="17"/>
  <c r="A143" i="17"/>
  <c r="E83" i="17"/>
  <c r="C83" i="17"/>
  <c r="K83" i="17"/>
  <c r="A228" i="17"/>
  <c r="Y174" i="17"/>
  <c r="G176" i="17"/>
  <c r="B176" i="17"/>
  <c r="A220" i="17"/>
  <c r="Y166" i="17"/>
  <c r="G168" i="17"/>
  <c r="B168" i="17"/>
  <c r="A185" i="17"/>
  <c r="Y131" i="17"/>
  <c r="G133" i="17"/>
  <c r="B133" i="17"/>
  <c r="A218" i="17"/>
  <c r="Y164" i="17"/>
  <c r="B166" i="17"/>
  <c r="G166" i="17"/>
  <c r="C127" i="17"/>
  <c r="E127" i="17"/>
  <c r="C174" i="17"/>
  <c r="E174" i="17"/>
  <c r="E107" i="17"/>
  <c r="C107" i="17"/>
  <c r="D28" i="17"/>
  <c r="H85" i="17"/>
  <c r="A219" i="17"/>
  <c r="Y165" i="17"/>
  <c r="G167" i="17"/>
  <c r="B167" i="17"/>
  <c r="D26" i="17"/>
  <c r="H174" i="17"/>
  <c r="Y213" i="17"/>
  <c r="G215" i="17"/>
  <c r="H215" i="17" s="1"/>
  <c r="X213" i="17" s="1"/>
  <c r="B215" i="17"/>
  <c r="A231" i="17"/>
  <c r="Y177" i="17"/>
  <c r="G179" i="17"/>
  <c r="B179" i="17"/>
  <c r="D27" i="17"/>
  <c r="C79" i="17"/>
  <c r="E79" i="17"/>
  <c r="K79" i="17"/>
  <c r="H97" i="17"/>
  <c r="C118" i="17"/>
  <c r="E118" i="17"/>
  <c r="Y231" i="17"/>
  <c r="G233" i="17"/>
  <c r="B233" i="17"/>
  <c r="D29" i="17"/>
  <c r="D45" i="17"/>
  <c r="E43" i="17"/>
  <c r="K43" i="17"/>
  <c r="C43" i="17"/>
  <c r="D113" i="17"/>
  <c r="A188" i="17"/>
  <c r="Y134" i="17"/>
  <c r="G136" i="17"/>
  <c r="B136" i="17"/>
  <c r="D70" i="17"/>
  <c r="H162" i="17"/>
  <c r="X160" i="17" s="1"/>
  <c r="A186" i="17"/>
  <c r="Y132" i="17"/>
  <c r="B134" i="17"/>
  <c r="G134" i="17"/>
  <c r="H117" i="17"/>
  <c r="D72" i="17"/>
  <c r="H81" i="17"/>
  <c r="X79" i="17" s="1"/>
  <c r="C126" i="17"/>
  <c r="E126" i="17"/>
  <c r="H78" i="17"/>
  <c r="X76" i="17" s="1"/>
  <c r="Y50" i="17"/>
  <c r="G52" i="17"/>
  <c r="B52" i="17"/>
  <c r="A104" i="17"/>
  <c r="A183" i="17"/>
  <c r="Y129" i="17"/>
  <c r="G131" i="17"/>
  <c r="B131" i="17"/>
  <c r="E172" i="17"/>
  <c r="C172" i="17"/>
  <c r="H114" i="17"/>
  <c r="A201" i="17"/>
  <c r="Y147" i="17"/>
  <c r="G149" i="17"/>
  <c r="B149" i="17"/>
  <c r="A222" i="17"/>
  <c r="Y168" i="17"/>
  <c r="G170" i="17"/>
  <c r="B170" i="17"/>
  <c r="C50" i="17"/>
  <c r="K50" i="17"/>
  <c r="E50" i="17"/>
  <c r="E115" i="17"/>
  <c r="C115" i="17"/>
  <c r="A232" i="17"/>
  <c r="Y178" i="17"/>
  <c r="G180" i="17"/>
  <c r="B180" i="17"/>
  <c r="Y84" i="17"/>
  <c r="G86" i="17"/>
  <c r="A138" i="17"/>
  <c r="B86" i="17"/>
  <c r="A140" i="17"/>
  <c r="Y86" i="17"/>
  <c r="G88" i="17"/>
  <c r="B88" i="17"/>
  <c r="A141" i="17"/>
  <c r="Y87" i="17"/>
  <c r="G89" i="17"/>
  <c r="B89" i="17"/>
  <c r="C39" i="17"/>
  <c r="K39" i="17"/>
  <c r="E39" i="17"/>
  <c r="A187" i="17"/>
  <c r="Y133" i="17"/>
  <c r="B135" i="17"/>
  <c r="G135" i="17"/>
  <c r="A196" i="17"/>
  <c r="Y142" i="17"/>
  <c r="G144" i="17"/>
  <c r="B144" i="17"/>
  <c r="E163" i="17"/>
  <c r="C163" i="17"/>
  <c r="Y51" i="17"/>
  <c r="G53" i="17"/>
  <c r="B53" i="17"/>
  <c r="A105" i="17"/>
  <c r="E164" i="17"/>
  <c r="C164" i="17"/>
  <c r="K110" i="17"/>
  <c r="E84" i="17"/>
  <c r="C84" i="17"/>
  <c r="Y212" i="17"/>
  <c r="G214" i="17"/>
  <c r="B214" i="17"/>
  <c r="C85" i="17"/>
  <c r="E85" i="17"/>
  <c r="E92" i="17"/>
  <c r="C92" i="17"/>
  <c r="H87" i="17"/>
  <c r="Y222" i="17"/>
  <c r="G224" i="17"/>
  <c r="B224" i="17"/>
  <c r="C181" i="17"/>
  <c r="K181" i="17"/>
  <c r="H167" i="33" s="1"/>
  <c r="E181" i="17"/>
  <c r="A211" i="17"/>
  <c r="Y157" i="17"/>
  <c r="G159" i="17"/>
  <c r="B159" i="17"/>
  <c r="C82" i="17"/>
  <c r="E82" i="17"/>
  <c r="Y224" i="17"/>
  <c r="G226" i="17"/>
  <c r="B226" i="17"/>
  <c r="H82" i="17"/>
  <c r="X80" i="17" s="1"/>
  <c r="A142" i="17"/>
  <c r="Y88" i="17"/>
  <c r="G90" i="17"/>
  <c r="B90" i="17"/>
  <c r="D76" i="17"/>
  <c r="D66" i="17"/>
  <c r="C80" i="17"/>
  <c r="E80" i="17"/>
  <c r="H128" i="17"/>
  <c r="X126" i="17" s="1"/>
  <c r="D67" i="17"/>
  <c r="Y47" i="17"/>
  <c r="G49" i="17"/>
  <c r="B49" i="17"/>
  <c r="A101" i="17"/>
  <c r="H84" i="17"/>
  <c r="E123" i="17"/>
  <c r="C123" i="17"/>
  <c r="Y46" i="17"/>
  <c r="G48" i="17"/>
  <c r="B48" i="17"/>
  <c r="A100" i="17"/>
  <c r="D32" i="17"/>
  <c r="C78" i="17"/>
  <c r="E78" i="17"/>
  <c r="Y92" i="17"/>
  <c r="G94" i="17"/>
  <c r="B94" i="17"/>
  <c r="A146" i="17"/>
  <c r="D23" i="17"/>
  <c r="A189" i="17"/>
  <c r="Y135" i="17"/>
  <c r="G137" i="17"/>
  <c r="H137" i="17" s="1"/>
  <c r="B137" i="17"/>
  <c r="Y100" i="17"/>
  <c r="B102" i="17"/>
  <c r="G102" i="17"/>
  <c r="A154" i="17"/>
  <c r="E171" i="17"/>
  <c r="C171" i="17"/>
  <c r="C165" i="17"/>
  <c r="E165" i="17"/>
  <c r="A184" i="17"/>
  <c r="Y130" i="17"/>
  <c r="G132" i="17"/>
  <c r="H132" i="17" s="1"/>
  <c r="X130" i="17" s="1"/>
  <c r="B132" i="17"/>
  <c r="D63" i="17"/>
  <c r="Y91" i="17"/>
  <c r="G93" i="17"/>
  <c r="B93" i="17"/>
  <c r="A145" i="17"/>
  <c r="H34" i="17"/>
  <c r="X32" i="17" s="1"/>
  <c r="E36" i="17"/>
  <c r="K36" i="17"/>
  <c r="C36" i="17"/>
  <c r="C37" i="17"/>
  <c r="K37" i="17"/>
  <c r="E37" i="17"/>
  <c r="H92" i="17"/>
  <c r="C73" i="17"/>
  <c r="E73" i="17"/>
  <c r="K26" i="17"/>
  <c r="H82" i="24" l="1"/>
  <c r="H159" i="29"/>
  <c r="S159" i="29"/>
  <c r="X172" i="17"/>
  <c r="K174" i="17"/>
  <c r="X179" i="17"/>
  <c r="O268" i="17"/>
  <c r="X266" i="17"/>
  <c r="O270" i="17"/>
  <c r="X268" i="17"/>
  <c r="X274" i="17"/>
  <c r="O276" i="17"/>
  <c r="P276" i="17"/>
  <c r="K123" i="17"/>
  <c r="H281" i="33" s="1"/>
  <c r="K121" i="17"/>
  <c r="H250" i="33" s="1"/>
  <c r="X41" i="17"/>
  <c r="X82" i="17"/>
  <c r="H277" i="17"/>
  <c r="X275" i="17" s="1"/>
  <c r="X90" i="17"/>
  <c r="H285" i="17"/>
  <c r="X283" i="17" s="1"/>
  <c r="H95" i="17"/>
  <c r="H175" i="17"/>
  <c r="X173" i="17" s="1"/>
  <c r="X83" i="17"/>
  <c r="H278" i="17"/>
  <c r="X276" i="17" s="1"/>
  <c r="H130" i="17"/>
  <c r="X128" i="17" s="1"/>
  <c r="X85" i="17"/>
  <c r="H280" i="17"/>
  <c r="X278" i="17" s="1"/>
  <c r="H149" i="17"/>
  <c r="X147" i="17" s="1"/>
  <c r="H136" i="17"/>
  <c r="H287" i="17" s="1"/>
  <c r="M287" i="17" s="1"/>
  <c r="H65" i="33" s="1"/>
  <c r="H216" i="17"/>
  <c r="X214" i="17" s="1"/>
  <c r="K73" i="17"/>
  <c r="K107" i="17"/>
  <c r="K165" i="17"/>
  <c r="D39" i="17"/>
  <c r="K116" i="17"/>
  <c r="D79" i="17"/>
  <c r="K171" i="17"/>
  <c r="D43" i="17"/>
  <c r="X48" i="17"/>
  <c r="H275" i="17"/>
  <c r="K127" i="17"/>
  <c r="H92" i="33" s="1"/>
  <c r="X42" i="17"/>
  <c r="H269" i="17"/>
  <c r="X40" i="17"/>
  <c r="H267" i="17"/>
  <c r="K124" i="17"/>
  <c r="H312" i="33" s="1"/>
  <c r="X39" i="17"/>
  <c r="H266" i="17"/>
  <c r="O266" i="17" s="1"/>
  <c r="X45" i="17"/>
  <c r="H272" i="17"/>
  <c r="X124" i="17"/>
  <c r="K126" i="17"/>
  <c r="H61" i="33" s="1"/>
  <c r="X170" i="17"/>
  <c r="K172" i="17"/>
  <c r="H233" i="33" s="1"/>
  <c r="H48" i="17"/>
  <c r="D80" i="17"/>
  <c r="H86" i="17"/>
  <c r="H224" i="17"/>
  <c r="X222" i="17" s="1"/>
  <c r="H52" i="17"/>
  <c r="X113" i="17"/>
  <c r="K115" i="17"/>
  <c r="H126" i="33" s="1"/>
  <c r="X162" i="17"/>
  <c r="K164" i="17"/>
  <c r="H78" i="33" s="1"/>
  <c r="H144" i="17"/>
  <c r="H295" i="17" s="1"/>
  <c r="M295" i="17" s="1"/>
  <c r="H313" i="33" s="1"/>
  <c r="D118" i="17"/>
  <c r="H166" i="17"/>
  <c r="X164" i="17" s="1"/>
  <c r="H135" i="17"/>
  <c r="H286" i="17" s="1"/>
  <c r="M286" i="17" s="1"/>
  <c r="H34" i="33" s="1"/>
  <c r="H89" i="17"/>
  <c r="H179" i="17"/>
  <c r="H299" i="17" s="1"/>
  <c r="X297" i="17" s="1"/>
  <c r="K163" i="17"/>
  <c r="D34" i="17"/>
  <c r="D81" i="17"/>
  <c r="D164" i="17"/>
  <c r="D78" i="17"/>
  <c r="K84" i="17"/>
  <c r="D127" i="17"/>
  <c r="D121" i="17"/>
  <c r="D124" i="17"/>
  <c r="K80" i="17"/>
  <c r="D85" i="17"/>
  <c r="D172" i="17"/>
  <c r="D84" i="17"/>
  <c r="D50" i="17"/>
  <c r="D174" i="17"/>
  <c r="D38" i="17"/>
  <c r="K162" i="17"/>
  <c r="K81" i="17"/>
  <c r="X135" i="17"/>
  <c r="H288" i="17"/>
  <c r="M288" i="17" s="1"/>
  <c r="H96" i="33" s="1"/>
  <c r="D115" i="17"/>
  <c r="D126" i="17"/>
  <c r="X95" i="17"/>
  <c r="D83" i="17"/>
  <c r="D128" i="17"/>
  <c r="D41" i="17"/>
  <c r="D37" i="17"/>
  <c r="D165" i="17"/>
  <c r="A248" i="17"/>
  <c r="Y194" i="17"/>
  <c r="G196" i="17"/>
  <c r="B196" i="17"/>
  <c r="E168" i="17"/>
  <c r="C168" i="17"/>
  <c r="D92" i="17"/>
  <c r="H214" i="17"/>
  <c r="X212" i="17" s="1"/>
  <c r="A192" i="17"/>
  <c r="Y138" i="17"/>
  <c r="G140" i="17"/>
  <c r="B140" i="17"/>
  <c r="Y230" i="17"/>
  <c r="G232" i="17"/>
  <c r="H232" i="17" s="1"/>
  <c r="B232" i="17"/>
  <c r="H131" i="17"/>
  <c r="X129" i="17" s="1"/>
  <c r="H134" i="17"/>
  <c r="X132" i="17" s="1"/>
  <c r="C166" i="17"/>
  <c r="E166" i="17"/>
  <c r="H168" i="17"/>
  <c r="X166" i="17" s="1"/>
  <c r="A148" i="17"/>
  <c r="Y94" i="17"/>
  <c r="G96" i="17"/>
  <c r="H96" i="17" s="1"/>
  <c r="B96" i="17"/>
  <c r="D114" i="17"/>
  <c r="K128" i="17"/>
  <c r="H123" i="33" s="1"/>
  <c r="C125" i="17"/>
  <c r="E125" i="17"/>
  <c r="H217" i="17"/>
  <c r="Y54" i="17"/>
  <c r="G56" i="17"/>
  <c r="B56" i="17"/>
  <c r="A108" i="17"/>
  <c r="Y55" i="17"/>
  <c r="G57" i="17"/>
  <c r="A109" i="17"/>
  <c r="B57" i="17"/>
  <c r="D87" i="17"/>
  <c r="A197" i="17"/>
  <c r="Y143" i="17"/>
  <c r="G145" i="17"/>
  <c r="B145" i="17"/>
  <c r="A236" i="17"/>
  <c r="Y182" i="17"/>
  <c r="G184" i="17"/>
  <c r="H184" i="17" s="1"/>
  <c r="H304" i="17" s="1"/>
  <c r="X302" i="17" s="1"/>
  <c r="B184" i="17"/>
  <c r="A241" i="17"/>
  <c r="Y187" i="17"/>
  <c r="G189" i="17"/>
  <c r="B189" i="17"/>
  <c r="C93" i="17"/>
  <c r="K93" i="17"/>
  <c r="E93" i="17"/>
  <c r="A206" i="17"/>
  <c r="Y152" i="17"/>
  <c r="G154" i="17"/>
  <c r="B154" i="17"/>
  <c r="H49" i="17"/>
  <c r="E226" i="17"/>
  <c r="C226" i="17"/>
  <c r="C159" i="17"/>
  <c r="E159" i="17"/>
  <c r="D73" i="17"/>
  <c r="H93" i="17"/>
  <c r="H102" i="17"/>
  <c r="A198" i="17"/>
  <c r="Y144" i="17"/>
  <c r="G146" i="17"/>
  <c r="H146" i="17" s="1"/>
  <c r="X144" i="17" s="1"/>
  <c r="B146" i="17"/>
  <c r="D123" i="17"/>
  <c r="H226" i="17"/>
  <c r="X224" i="17" s="1"/>
  <c r="H159" i="17"/>
  <c r="X157" i="17" s="1"/>
  <c r="C224" i="17"/>
  <c r="E224" i="17"/>
  <c r="D163" i="17"/>
  <c r="C135" i="17"/>
  <c r="K135" i="17"/>
  <c r="E135" i="17"/>
  <c r="C89" i="17"/>
  <c r="E89" i="17"/>
  <c r="C86" i="17"/>
  <c r="E86" i="17"/>
  <c r="A253" i="17"/>
  <c r="Y199" i="17"/>
  <c r="G201" i="17"/>
  <c r="H201" i="17" s="1"/>
  <c r="X199" i="17" s="1"/>
  <c r="B201" i="17"/>
  <c r="C134" i="17"/>
  <c r="E134" i="17"/>
  <c r="A240" i="17"/>
  <c r="Y186" i="17"/>
  <c r="G188" i="17"/>
  <c r="H188" i="17" s="1"/>
  <c r="H308" i="17" s="1"/>
  <c r="X306" i="17" s="1"/>
  <c r="B188" i="17"/>
  <c r="E179" i="17"/>
  <c r="K179" i="17"/>
  <c r="H105" i="33" s="1"/>
  <c r="C179" i="17"/>
  <c r="Y52" i="17"/>
  <c r="B54" i="17"/>
  <c r="G54" i="17"/>
  <c r="A106" i="17"/>
  <c r="D162" i="17"/>
  <c r="D97" i="17"/>
  <c r="H125" i="17"/>
  <c r="X123" i="17" s="1"/>
  <c r="C216" i="17"/>
  <c r="E216" i="17"/>
  <c r="Y97" i="17"/>
  <c r="G99" i="17"/>
  <c r="A151" i="17"/>
  <c r="B99" i="17"/>
  <c r="A234" i="17"/>
  <c r="Y180" i="17"/>
  <c r="B182" i="17"/>
  <c r="G182" i="17"/>
  <c r="H182" i="17" s="1"/>
  <c r="H302" i="17" s="1"/>
  <c r="X300" i="17" s="1"/>
  <c r="K49" i="17"/>
  <c r="C49" i="17"/>
  <c r="E49" i="17"/>
  <c r="C214" i="17"/>
  <c r="E214" i="17"/>
  <c r="A243" i="17"/>
  <c r="Y189" i="17"/>
  <c r="G191" i="17"/>
  <c r="H191" i="17" s="1"/>
  <c r="H311" i="17" s="1"/>
  <c r="X309" i="17" s="1"/>
  <c r="B191" i="17"/>
  <c r="A199" i="17"/>
  <c r="Y145" i="17"/>
  <c r="G147" i="17"/>
  <c r="B147" i="17"/>
  <c r="Y225" i="17"/>
  <c r="G227" i="17"/>
  <c r="B227" i="17"/>
  <c r="C94" i="17"/>
  <c r="K94" i="17"/>
  <c r="E94" i="17"/>
  <c r="K85" i="17"/>
  <c r="C223" i="17"/>
  <c r="E223" i="17"/>
  <c r="C47" i="17"/>
  <c r="K47" i="17"/>
  <c r="E47" i="17"/>
  <c r="C90" i="17"/>
  <c r="E90" i="17"/>
  <c r="A238" i="17"/>
  <c r="Y184" i="17"/>
  <c r="G186" i="17"/>
  <c r="B186" i="17"/>
  <c r="C233" i="17"/>
  <c r="E233" i="17"/>
  <c r="C167" i="17"/>
  <c r="E167" i="17"/>
  <c r="C133" i="17"/>
  <c r="E133" i="17"/>
  <c r="A229" i="17"/>
  <c r="Y175" i="17"/>
  <c r="G177" i="17"/>
  <c r="B177" i="17"/>
  <c r="H223" i="17"/>
  <c r="X221" i="17" s="1"/>
  <c r="H178" i="17"/>
  <c r="H298" i="17" s="1"/>
  <c r="X296" i="17" s="1"/>
  <c r="C169" i="17"/>
  <c r="E169" i="17"/>
  <c r="E132" i="17"/>
  <c r="C132" i="17"/>
  <c r="K132" i="17"/>
  <c r="H247" i="33" s="1"/>
  <c r="K137" i="17"/>
  <c r="E137" i="17"/>
  <c r="C137" i="17"/>
  <c r="K48" i="17"/>
  <c r="E48" i="17"/>
  <c r="C48" i="17"/>
  <c r="H90" i="17"/>
  <c r="A157" i="17"/>
  <c r="Y103" i="17"/>
  <c r="G105" i="17"/>
  <c r="B105" i="17"/>
  <c r="K144" i="17"/>
  <c r="C144" i="17"/>
  <c r="E144" i="17"/>
  <c r="A193" i="17"/>
  <c r="Y139" i="17"/>
  <c r="G141" i="17"/>
  <c r="B141" i="17"/>
  <c r="E52" i="17"/>
  <c r="K52" i="17"/>
  <c r="C52" i="17"/>
  <c r="H233" i="17"/>
  <c r="X231" i="17" s="1"/>
  <c r="Y229" i="17"/>
  <c r="G231" i="17"/>
  <c r="B231" i="17"/>
  <c r="H167" i="17"/>
  <c r="X165" i="17" s="1"/>
  <c r="D107" i="17"/>
  <c r="H133" i="17"/>
  <c r="X131" i="17" s="1"/>
  <c r="H176" i="17"/>
  <c r="K176" i="17" s="1"/>
  <c r="H326" i="33" s="1"/>
  <c r="A195" i="17"/>
  <c r="Y141" i="17"/>
  <c r="B143" i="17"/>
  <c r="G143" i="17"/>
  <c r="D117" i="17"/>
  <c r="A155" i="17"/>
  <c r="Y101" i="17"/>
  <c r="B103" i="17"/>
  <c r="G103" i="17"/>
  <c r="E139" i="17"/>
  <c r="K139" i="17"/>
  <c r="C139" i="17"/>
  <c r="C46" i="17"/>
  <c r="K46" i="17"/>
  <c r="E46" i="17"/>
  <c r="H169" i="17"/>
  <c r="X167" i="17" s="1"/>
  <c r="X115" i="17"/>
  <c r="K117" i="17"/>
  <c r="H157" i="33" s="1"/>
  <c r="A190" i="17"/>
  <c r="Y136" i="17"/>
  <c r="G138" i="17"/>
  <c r="H138" i="17" s="1"/>
  <c r="B138" i="17"/>
  <c r="C170" i="17"/>
  <c r="E170" i="17"/>
  <c r="A235" i="17"/>
  <c r="Y181" i="17"/>
  <c r="B183" i="17"/>
  <c r="G183" i="17"/>
  <c r="Y216" i="17"/>
  <c r="G218" i="17"/>
  <c r="B218" i="17"/>
  <c r="Y218" i="17"/>
  <c r="B220" i="17"/>
  <c r="G220" i="17"/>
  <c r="H220" i="17" s="1"/>
  <c r="X218" i="17" s="1"/>
  <c r="A263" i="17"/>
  <c r="Y209" i="17"/>
  <c r="G211" i="17"/>
  <c r="B211" i="17"/>
  <c r="H170" i="17"/>
  <c r="X168" i="17" s="1"/>
  <c r="A156" i="17"/>
  <c r="Y102" i="17"/>
  <c r="G104" i="17"/>
  <c r="B104" i="17"/>
  <c r="E44" i="17"/>
  <c r="K44" i="17"/>
  <c r="C44" i="17"/>
  <c r="H173" i="17"/>
  <c r="X171" i="17" s="1"/>
  <c r="C53" i="17"/>
  <c r="K53" i="17"/>
  <c r="E53" i="17"/>
  <c r="C88" i="17"/>
  <c r="E88" i="17"/>
  <c r="E180" i="17"/>
  <c r="K180" i="17"/>
  <c r="H136" i="33" s="1"/>
  <c r="C180" i="17"/>
  <c r="Y220" i="17"/>
  <c r="G222" i="17"/>
  <c r="B222" i="17"/>
  <c r="E91" i="17"/>
  <c r="C91" i="17"/>
  <c r="Y223" i="17"/>
  <c r="G225" i="17"/>
  <c r="H225" i="17" s="1"/>
  <c r="X223" i="17" s="1"/>
  <c r="B225" i="17"/>
  <c r="E51" i="17"/>
  <c r="K51" i="17"/>
  <c r="C51" i="17"/>
  <c r="H139" i="17"/>
  <c r="D116" i="17"/>
  <c r="C95" i="17"/>
  <c r="K95" i="17"/>
  <c r="E95" i="17"/>
  <c r="C175" i="17"/>
  <c r="E175" i="17"/>
  <c r="A150" i="17"/>
  <c r="Y96" i="17"/>
  <c r="G98" i="17"/>
  <c r="B98" i="17"/>
  <c r="D42" i="17"/>
  <c r="Y228" i="17"/>
  <c r="G230" i="17"/>
  <c r="B230" i="17"/>
  <c r="E131" i="17"/>
  <c r="C131" i="17"/>
  <c r="C217" i="17"/>
  <c r="E217" i="17"/>
  <c r="C102" i="17"/>
  <c r="K102" i="17"/>
  <c r="E102" i="17"/>
  <c r="X112" i="17"/>
  <c r="K114" i="17"/>
  <c r="H95" i="33" s="1"/>
  <c r="C173" i="17"/>
  <c r="E173" i="17"/>
  <c r="C178" i="17"/>
  <c r="K178" i="17"/>
  <c r="H74" i="33" s="1"/>
  <c r="E178" i="17"/>
  <c r="D36" i="17"/>
  <c r="H94" i="17"/>
  <c r="Y98" i="17"/>
  <c r="B100" i="17"/>
  <c r="A152" i="17"/>
  <c r="G100" i="17"/>
  <c r="K82" i="17"/>
  <c r="A239" i="17"/>
  <c r="Y185" i="17"/>
  <c r="G187" i="17"/>
  <c r="B187" i="17"/>
  <c r="C176" i="17"/>
  <c r="E176" i="17"/>
  <c r="K92" i="17"/>
  <c r="D171" i="17"/>
  <c r="K78" i="17"/>
  <c r="Y99" i="17"/>
  <c r="G101" i="17"/>
  <c r="B101" i="17"/>
  <c r="A153" i="17"/>
  <c r="A194" i="17"/>
  <c r="Y140" i="17"/>
  <c r="B142" i="17"/>
  <c r="G142" i="17"/>
  <c r="D82" i="17"/>
  <c r="D181" i="17"/>
  <c r="H53" i="17"/>
  <c r="M53" i="17" s="1"/>
  <c r="H88" i="17"/>
  <c r="H180" i="17"/>
  <c r="H300" i="17" s="1"/>
  <c r="X298" i="17" s="1"/>
  <c r="C149" i="17"/>
  <c r="E149" i="17"/>
  <c r="K136" i="17"/>
  <c r="E136" i="17"/>
  <c r="C136" i="17"/>
  <c r="C215" i="17"/>
  <c r="E215" i="17"/>
  <c r="K215" i="17"/>
  <c r="S32" i="29" s="1"/>
  <c r="Y217" i="17"/>
  <c r="G219" i="17"/>
  <c r="B219" i="17"/>
  <c r="A237" i="17"/>
  <c r="Y183" i="17"/>
  <c r="G185" i="17"/>
  <c r="B185" i="17"/>
  <c r="Y226" i="17"/>
  <c r="B228" i="17"/>
  <c r="G228" i="17"/>
  <c r="H91" i="17"/>
  <c r="H51" i="17"/>
  <c r="H46" i="17"/>
  <c r="C130" i="17"/>
  <c r="K130" i="17"/>
  <c r="H185" i="33" s="1"/>
  <c r="E130" i="17"/>
  <c r="K87" i="17"/>
  <c r="Y219" i="17"/>
  <c r="G221" i="17"/>
  <c r="B221" i="17"/>
  <c r="H72" i="29" l="1"/>
  <c r="H34" i="24"/>
  <c r="S72" i="29"/>
  <c r="H66" i="24"/>
  <c r="H130" i="29"/>
  <c r="S130" i="29"/>
  <c r="H101" i="29"/>
  <c r="H50" i="24"/>
  <c r="S101" i="29"/>
  <c r="H38" i="24"/>
  <c r="H76" i="29"/>
  <c r="S76" i="29"/>
  <c r="H166" i="24"/>
  <c r="S308" i="29"/>
  <c r="H308" i="29"/>
  <c r="H22" i="24"/>
  <c r="H47" i="33"/>
  <c r="S47" i="29"/>
  <c r="H47" i="29"/>
  <c r="H221" i="29"/>
  <c r="H118" i="24"/>
  <c r="S221" i="29"/>
  <c r="M52" i="17"/>
  <c r="N52" i="17"/>
  <c r="N51" i="17"/>
  <c r="M51" i="17"/>
  <c r="X177" i="17"/>
  <c r="X178" i="17"/>
  <c r="X176" i="17"/>
  <c r="X189" i="17"/>
  <c r="X180" i="17"/>
  <c r="X186" i="17"/>
  <c r="X182" i="17"/>
  <c r="X284" i="17"/>
  <c r="O269" i="17"/>
  <c r="X267" i="17"/>
  <c r="X285" i="17"/>
  <c r="X286" i="17"/>
  <c r="O272" i="17"/>
  <c r="X270" i="17"/>
  <c r="O267" i="17"/>
  <c r="X265" i="17"/>
  <c r="X293" i="17"/>
  <c r="O275" i="17"/>
  <c r="X273" i="17"/>
  <c r="K175" i="17"/>
  <c r="H295" i="33" s="1"/>
  <c r="X93" i="17"/>
  <c r="X215" i="17"/>
  <c r="K217" i="17"/>
  <c r="X134" i="17"/>
  <c r="X230" i="17"/>
  <c r="K232" i="17"/>
  <c r="K131" i="17"/>
  <c r="H216" i="33" s="1"/>
  <c r="K214" i="17"/>
  <c r="K216" i="17"/>
  <c r="X87" i="17"/>
  <c r="H282" i="17"/>
  <c r="X280" i="17" s="1"/>
  <c r="X86" i="17"/>
  <c r="H281" i="17"/>
  <c r="X279" i="17" s="1"/>
  <c r="H100" i="17"/>
  <c r="X88" i="17"/>
  <c r="H283" i="17"/>
  <c r="X281" i="17" s="1"/>
  <c r="P285" i="17"/>
  <c r="O285" i="17"/>
  <c r="K149" i="17"/>
  <c r="H155" i="33" s="1"/>
  <c r="H101" i="17"/>
  <c r="H147" i="17"/>
  <c r="X145" i="17" s="1"/>
  <c r="X84" i="17"/>
  <c r="H279" i="17"/>
  <c r="X277" i="17" s="1"/>
  <c r="P280" i="17"/>
  <c r="O280" i="17"/>
  <c r="H185" i="17"/>
  <c r="H305" i="17" s="1"/>
  <c r="X303" i="17" s="1"/>
  <c r="P277" i="17"/>
  <c r="O277" i="17"/>
  <c r="X89" i="17"/>
  <c r="H284" i="17"/>
  <c r="X282" i="17" s="1"/>
  <c r="O278" i="17"/>
  <c r="P278" i="17"/>
  <c r="K89" i="17"/>
  <c r="X133" i="17"/>
  <c r="D216" i="17"/>
  <c r="X50" i="17"/>
  <c r="X142" i="17"/>
  <c r="X44" i="17"/>
  <c r="H271" i="17"/>
  <c r="X47" i="17"/>
  <c r="H274" i="17"/>
  <c r="K224" i="17"/>
  <c r="X46" i="17"/>
  <c r="H273" i="17"/>
  <c r="K166" i="17"/>
  <c r="H109" i="33" s="1"/>
  <c r="K86" i="17"/>
  <c r="H211" i="17"/>
  <c r="H231" i="17"/>
  <c r="X229" i="17" s="1"/>
  <c r="H183" i="17"/>
  <c r="H303" i="17" s="1"/>
  <c r="X301" i="17" s="1"/>
  <c r="H104" i="17"/>
  <c r="X102" i="17" s="1"/>
  <c r="H222" i="17"/>
  <c r="X220" i="17" s="1"/>
  <c r="H186" i="17"/>
  <c r="H306" i="17" s="1"/>
  <c r="X304" i="17" s="1"/>
  <c r="H57" i="17"/>
  <c r="M57" i="17" s="1"/>
  <c r="N53" i="17"/>
  <c r="D215" i="17"/>
  <c r="K173" i="17"/>
  <c r="H264" i="33" s="1"/>
  <c r="X174" i="17"/>
  <c r="D233" i="17"/>
  <c r="D91" i="17"/>
  <c r="D93" i="17"/>
  <c r="D133" i="17"/>
  <c r="D137" i="17"/>
  <c r="K90" i="17"/>
  <c r="D214" i="17"/>
  <c r="D51" i="17"/>
  <c r="D178" i="17"/>
  <c r="D175" i="17"/>
  <c r="D179" i="17"/>
  <c r="D136" i="17"/>
  <c r="D94" i="17"/>
  <c r="D86" i="17"/>
  <c r="X49" i="17"/>
  <c r="D176" i="17"/>
  <c r="D134" i="17"/>
  <c r="X136" i="17"/>
  <c r="H289" i="17"/>
  <c r="M289" i="17" s="1"/>
  <c r="H127" i="33" s="1"/>
  <c r="D149" i="17"/>
  <c r="D132" i="17"/>
  <c r="K223" i="17"/>
  <c r="X92" i="17"/>
  <c r="X137" i="17"/>
  <c r="H290" i="17"/>
  <c r="M290" i="17" s="1"/>
  <c r="H158" i="33" s="1"/>
  <c r="D88" i="17"/>
  <c r="K170" i="17"/>
  <c r="H202" i="33" s="1"/>
  <c r="K167" i="17"/>
  <c r="H140" i="33" s="1"/>
  <c r="X100" i="17"/>
  <c r="K91" i="17"/>
  <c r="K169" i="17"/>
  <c r="H171" i="33" s="1"/>
  <c r="X91" i="17"/>
  <c r="D166" i="17"/>
  <c r="X51" i="17"/>
  <c r="D170" i="17"/>
  <c r="D139" i="17"/>
  <c r="D47" i="17"/>
  <c r="K125" i="17"/>
  <c r="H30" i="33" s="1"/>
  <c r="X94" i="17"/>
  <c r="D48" i="17"/>
  <c r="D169" i="17"/>
  <c r="D159" i="17"/>
  <c r="C154" i="17"/>
  <c r="E154" i="17"/>
  <c r="Y234" i="17"/>
  <c r="G236" i="17"/>
  <c r="B236" i="17"/>
  <c r="A244" i="17"/>
  <c r="Y190" i="17"/>
  <c r="G192" i="17"/>
  <c r="B192" i="17"/>
  <c r="D130" i="17"/>
  <c r="K185" i="17"/>
  <c r="H291" i="33" s="1"/>
  <c r="E185" i="17"/>
  <c r="C185" i="17"/>
  <c r="C101" i="17"/>
  <c r="K101" i="17"/>
  <c r="E101" i="17"/>
  <c r="D131" i="17"/>
  <c r="D95" i="17"/>
  <c r="D180" i="17"/>
  <c r="E211" i="17"/>
  <c r="K211" i="17"/>
  <c r="C211" i="17"/>
  <c r="H218" i="17"/>
  <c r="X216" i="17" s="1"/>
  <c r="D52" i="17"/>
  <c r="D144" i="17"/>
  <c r="D90" i="17"/>
  <c r="A251" i="17"/>
  <c r="Y197" i="17"/>
  <c r="G199" i="17"/>
  <c r="B199" i="17"/>
  <c r="C182" i="17"/>
  <c r="K182" i="17"/>
  <c r="H198" i="33" s="1"/>
  <c r="E182" i="17"/>
  <c r="H54" i="17"/>
  <c r="M54" i="17" s="1"/>
  <c r="E188" i="17"/>
  <c r="K188" i="17"/>
  <c r="H75" i="33" s="1"/>
  <c r="C188" i="17"/>
  <c r="D135" i="17"/>
  <c r="D224" i="17"/>
  <c r="A250" i="17"/>
  <c r="Y196" i="17"/>
  <c r="B198" i="17"/>
  <c r="G198" i="17"/>
  <c r="H198" i="17" s="1"/>
  <c r="X196" i="17" s="1"/>
  <c r="H154" i="17"/>
  <c r="X152" i="17" s="1"/>
  <c r="C189" i="17"/>
  <c r="K189" i="17"/>
  <c r="H106" i="33" s="1"/>
  <c r="E189" i="17"/>
  <c r="C145" i="17"/>
  <c r="E145" i="17"/>
  <c r="A200" i="17"/>
  <c r="Y146" i="17"/>
  <c r="B148" i="17"/>
  <c r="G148" i="17"/>
  <c r="H148" i="17" s="1"/>
  <c r="X146" i="17" s="1"/>
  <c r="C98" i="17"/>
  <c r="K98" i="17"/>
  <c r="E98" i="17"/>
  <c r="A208" i="17"/>
  <c r="Y154" i="17"/>
  <c r="B156" i="17"/>
  <c r="G156" i="17"/>
  <c r="H156" i="17" s="1"/>
  <c r="X154" i="17" s="1"/>
  <c r="A205" i="17"/>
  <c r="Y151" i="17"/>
  <c r="G153" i="17"/>
  <c r="B153" i="17"/>
  <c r="Y237" i="17"/>
  <c r="G239" i="17"/>
  <c r="B239" i="17"/>
  <c r="H98" i="17"/>
  <c r="C221" i="17"/>
  <c r="E221" i="17"/>
  <c r="D44" i="17"/>
  <c r="H143" i="17"/>
  <c r="C231" i="17"/>
  <c r="E231" i="17"/>
  <c r="Y227" i="17"/>
  <c r="G229" i="17"/>
  <c r="B229" i="17"/>
  <c r="D167" i="17"/>
  <c r="C186" i="17"/>
  <c r="K186" i="17"/>
  <c r="H322" i="33" s="1"/>
  <c r="E186" i="17"/>
  <c r="D223" i="17"/>
  <c r="C191" i="17"/>
  <c r="K191" i="17"/>
  <c r="H168" i="33" s="1"/>
  <c r="E191" i="17"/>
  <c r="C54" i="17"/>
  <c r="K54" i="17"/>
  <c r="E54" i="17"/>
  <c r="C201" i="17"/>
  <c r="E201" i="17"/>
  <c r="K201" i="17"/>
  <c r="H169" i="33" s="1"/>
  <c r="K226" i="17"/>
  <c r="H189" i="17"/>
  <c r="H309" i="17" s="1"/>
  <c r="X307" i="17" s="1"/>
  <c r="H145" i="17"/>
  <c r="X143" i="17" s="1"/>
  <c r="Y106" i="17"/>
  <c r="G108" i="17"/>
  <c r="B108" i="17"/>
  <c r="A160" i="17"/>
  <c r="D125" i="17"/>
  <c r="C232" i="17"/>
  <c r="E232" i="17"/>
  <c r="A209" i="17"/>
  <c r="Y155" i="17"/>
  <c r="G157" i="17"/>
  <c r="H157" i="17" s="1"/>
  <c r="X155" i="17" s="1"/>
  <c r="B157" i="17"/>
  <c r="H221" i="17"/>
  <c r="X219" i="17" s="1"/>
  <c r="A204" i="17"/>
  <c r="Y150" i="17"/>
  <c r="G152" i="17"/>
  <c r="B152" i="17"/>
  <c r="C230" i="17"/>
  <c r="E230" i="17"/>
  <c r="K133" i="17"/>
  <c r="H278" i="33" s="1"/>
  <c r="E227" i="17"/>
  <c r="C227" i="17"/>
  <c r="Y232" i="17"/>
  <c r="G234" i="17"/>
  <c r="B234" i="17"/>
  <c r="A258" i="17"/>
  <c r="Y204" i="17"/>
  <c r="G206" i="17"/>
  <c r="B206" i="17"/>
  <c r="K56" i="17"/>
  <c r="E56" i="17"/>
  <c r="C56" i="17"/>
  <c r="K168" i="17"/>
  <c r="E196" i="17"/>
  <c r="K196" i="17"/>
  <c r="H323" i="33" s="1"/>
  <c r="C196" i="17"/>
  <c r="A242" i="17"/>
  <c r="Y188" i="17"/>
  <c r="G190" i="17"/>
  <c r="B190" i="17"/>
  <c r="K177" i="17"/>
  <c r="C177" i="17"/>
  <c r="E177" i="17"/>
  <c r="Y107" i="17"/>
  <c r="G109" i="17"/>
  <c r="B109" i="17"/>
  <c r="A161" i="17"/>
  <c r="A207" i="17"/>
  <c r="Y153" i="17"/>
  <c r="G155" i="17"/>
  <c r="B155" i="17"/>
  <c r="A158" i="17"/>
  <c r="Y104" i="17"/>
  <c r="G106" i="17"/>
  <c r="B106" i="17"/>
  <c r="C143" i="17"/>
  <c r="K143" i="17"/>
  <c r="E143" i="17"/>
  <c r="C141" i="17"/>
  <c r="K141" i="17"/>
  <c r="E141" i="17"/>
  <c r="Y235" i="17"/>
  <c r="G237" i="17"/>
  <c r="B237" i="17"/>
  <c r="H142" i="17"/>
  <c r="E100" i="17"/>
  <c r="K100" i="17"/>
  <c r="C100" i="17"/>
  <c r="D217" i="17"/>
  <c r="H230" i="17"/>
  <c r="X228" i="17" s="1"/>
  <c r="C225" i="17"/>
  <c r="E225" i="17"/>
  <c r="K225" i="17"/>
  <c r="C222" i="17"/>
  <c r="E222" i="17"/>
  <c r="K88" i="17"/>
  <c r="D53" i="17"/>
  <c r="C104" i="17"/>
  <c r="E104" i="17"/>
  <c r="G263" i="17"/>
  <c r="Y261" i="17"/>
  <c r="B263" i="17"/>
  <c r="C183" i="17"/>
  <c r="K183" i="17"/>
  <c r="H229" i="33" s="1"/>
  <c r="E183" i="17"/>
  <c r="C138" i="17"/>
  <c r="K138" i="17"/>
  <c r="E138" i="17"/>
  <c r="H141" i="17"/>
  <c r="C105" i="17"/>
  <c r="E105" i="17"/>
  <c r="H227" i="17"/>
  <c r="X225" i="17" s="1"/>
  <c r="E99" i="17"/>
  <c r="K99" i="17"/>
  <c r="C99" i="17"/>
  <c r="Y238" i="17"/>
  <c r="G240" i="17"/>
  <c r="B240" i="17"/>
  <c r="Y239" i="17"/>
  <c r="G241" i="17"/>
  <c r="B241" i="17"/>
  <c r="A249" i="17"/>
  <c r="Y195" i="17"/>
  <c r="G197" i="17"/>
  <c r="B197" i="17"/>
  <c r="H56" i="17"/>
  <c r="H196" i="17"/>
  <c r="H316" i="17" s="1"/>
  <c r="X314" i="17" s="1"/>
  <c r="D173" i="17"/>
  <c r="E218" i="17"/>
  <c r="C218" i="17"/>
  <c r="H177" i="17"/>
  <c r="H297" i="17" s="1"/>
  <c r="X295" i="17" s="1"/>
  <c r="A202" i="17"/>
  <c r="Y148" i="17"/>
  <c r="G150" i="17"/>
  <c r="B150" i="17"/>
  <c r="C142" i="17"/>
  <c r="K142" i="17"/>
  <c r="E142" i="17"/>
  <c r="E187" i="17"/>
  <c r="K187" i="17"/>
  <c r="C187" i="17"/>
  <c r="D102" i="17"/>
  <c r="D46" i="17"/>
  <c r="H103" i="17"/>
  <c r="A247" i="17"/>
  <c r="Y193" i="17"/>
  <c r="G195" i="17"/>
  <c r="B195" i="17"/>
  <c r="H105" i="17"/>
  <c r="K233" i="17"/>
  <c r="Y236" i="17"/>
  <c r="G238" i="17"/>
  <c r="B238" i="17"/>
  <c r="Y241" i="17"/>
  <c r="G243" i="17"/>
  <c r="B243" i="17"/>
  <c r="D49" i="17"/>
  <c r="A203" i="17"/>
  <c r="Y149" i="17"/>
  <c r="G151" i="17"/>
  <c r="B151" i="17"/>
  <c r="K134" i="17"/>
  <c r="H309" i="33" s="1"/>
  <c r="Y251" i="17"/>
  <c r="G253" i="17"/>
  <c r="B253" i="17"/>
  <c r="K159" i="17"/>
  <c r="D226" i="17"/>
  <c r="K184" i="17"/>
  <c r="H260" i="33" s="1"/>
  <c r="E184" i="17"/>
  <c r="C184" i="17"/>
  <c r="E140" i="17"/>
  <c r="K140" i="17"/>
  <c r="C140" i="17"/>
  <c r="E228" i="17"/>
  <c r="C228" i="17"/>
  <c r="A246" i="17"/>
  <c r="Y192" i="17"/>
  <c r="G194" i="17"/>
  <c r="H194" i="17" s="1"/>
  <c r="H314" i="17" s="1"/>
  <c r="X312" i="17" s="1"/>
  <c r="B194" i="17"/>
  <c r="E219" i="17"/>
  <c r="C219" i="17"/>
  <c r="H228" i="17"/>
  <c r="X226" i="17" s="1"/>
  <c r="H219" i="17"/>
  <c r="X217" i="17" s="1"/>
  <c r="H187" i="17"/>
  <c r="H307" i="17" s="1"/>
  <c r="X305" i="17" s="1"/>
  <c r="E220" i="17"/>
  <c r="C220" i="17"/>
  <c r="K220" i="17"/>
  <c r="Y233" i="17"/>
  <c r="G235" i="17"/>
  <c r="B235" i="17"/>
  <c r="C103" i="17"/>
  <c r="E103" i="17"/>
  <c r="A245" i="17"/>
  <c r="Y191" i="17"/>
  <c r="G193" i="17"/>
  <c r="B193" i="17"/>
  <c r="E147" i="17"/>
  <c r="C147" i="17"/>
  <c r="H99" i="17"/>
  <c r="D89" i="17"/>
  <c r="C146" i="17"/>
  <c r="E146" i="17"/>
  <c r="K146" i="17"/>
  <c r="H62" i="33" s="1"/>
  <c r="K57" i="17"/>
  <c r="E57" i="17"/>
  <c r="C57" i="17"/>
  <c r="K96" i="17"/>
  <c r="E96" i="17"/>
  <c r="C96" i="17"/>
  <c r="H140" i="17"/>
  <c r="D168" i="17"/>
  <c r="Y246" i="17"/>
  <c r="G248" i="17"/>
  <c r="B248" i="17"/>
  <c r="H218" i="33" l="1"/>
  <c r="H249" i="33"/>
  <c r="H102" i="24"/>
  <c r="H192" i="29"/>
  <c r="S192" i="29"/>
  <c r="S105" i="29"/>
  <c r="H54" i="24"/>
  <c r="H105" i="29"/>
  <c r="H130" i="24"/>
  <c r="H246" i="29"/>
  <c r="S246" i="29"/>
  <c r="H163" i="24"/>
  <c r="S305" i="29"/>
  <c r="H305" i="29"/>
  <c r="H162" i="24"/>
  <c r="S304" i="29"/>
  <c r="H304" i="29"/>
  <c r="H98" i="24"/>
  <c r="H188" i="29"/>
  <c r="S188" i="29"/>
  <c r="H114" i="24"/>
  <c r="H217" i="29"/>
  <c r="S217" i="29"/>
  <c r="H146" i="29"/>
  <c r="S146" i="29"/>
  <c r="H206" i="29"/>
  <c r="S206" i="29"/>
  <c r="S207" i="29"/>
  <c r="H207" i="29"/>
  <c r="H70" i="24"/>
  <c r="S134" i="29"/>
  <c r="H134" i="29"/>
  <c r="H43" i="29"/>
  <c r="H43" i="33"/>
  <c r="H18" i="24"/>
  <c r="S43" i="29"/>
  <c r="S102" i="29"/>
  <c r="H51" i="24"/>
  <c r="H102" i="29"/>
  <c r="H61" i="29"/>
  <c r="S61" i="29"/>
  <c r="H62" i="29"/>
  <c r="S62" i="29"/>
  <c r="H235" i="29"/>
  <c r="S235" i="29"/>
  <c r="H236" i="29"/>
  <c r="S236" i="29"/>
  <c r="S44" i="29"/>
  <c r="H19" i="24"/>
  <c r="H44" i="29"/>
  <c r="H44" i="33"/>
  <c r="H86" i="24"/>
  <c r="S163" i="29"/>
  <c r="H163" i="29"/>
  <c r="S250" i="29"/>
  <c r="H134" i="24"/>
  <c r="H250" i="29"/>
  <c r="H279" i="29"/>
  <c r="H150" i="24"/>
  <c r="S279" i="29"/>
  <c r="H83" i="24"/>
  <c r="H160" i="29"/>
  <c r="S160" i="29"/>
  <c r="H35" i="24"/>
  <c r="S73" i="29"/>
  <c r="H73" i="29"/>
  <c r="H84" i="24"/>
  <c r="S161" i="29"/>
  <c r="H161" i="29"/>
  <c r="H275" i="29"/>
  <c r="H146" i="24"/>
  <c r="S275" i="29"/>
  <c r="H117" i="29"/>
  <c r="S117" i="29"/>
  <c r="X103" i="17"/>
  <c r="K105" i="17"/>
  <c r="X101" i="17"/>
  <c r="K103" i="17"/>
  <c r="N56" i="17"/>
  <c r="M56" i="17"/>
  <c r="X55" i="17"/>
  <c r="X209" i="17"/>
  <c r="M211" i="17"/>
  <c r="X175" i="17"/>
  <c r="X184" i="17"/>
  <c r="X181" i="17"/>
  <c r="X183" i="17"/>
  <c r="X187" i="17"/>
  <c r="X192" i="17"/>
  <c r="X185" i="17"/>
  <c r="K231" i="17"/>
  <c r="X194" i="17"/>
  <c r="X287" i="17"/>
  <c r="O271" i="17"/>
  <c r="X269" i="17"/>
  <c r="X288" i="17"/>
  <c r="O274" i="17"/>
  <c r="X272" i="17"/>
  <c r="O273" i="17"/>
  <c r="X271" i="17"/>
  <c r="K147" i="17"/>
  <c r="H93" i="33" s="1"/>
  <c r="X99" i="17"/>
  <c r="O283" i="17"/>
  <c r="P283" i="17"/>
  <c r="P279" i="17"/>
  <c r="O279" i="17"/>
  <c r="H263" i="17"/>
  <c r="X261" i="17" s="1"/>
  <c r="X98" i="17"/>
  <c r="O281" i="17"/>
  <c r="P281" i="17"/>
  <c r="K218" i="17"/>
  <c r="P284" i="17"/>
  <c r="O284" i="17"/>
  <c r="P282" i="17"/>
  <c r="O282" i="17"/>
  <c r="K222" i="17"/>
  <c r="K104" i="17"/>
  <c r="H108" i="17"/>
  <c r="X106" i="17" s="1"/>
  <c r="H253" i="17"/>
  <c r="X251" i="17" s="1"/>
  <c r="H152" i="17"/>
  <c r="X150" i="17" s="1"/>
  <c r="H237" i="17"/>
  <c r="X235" i="17" s="1"/>
  <c r="N57" i="17"/>
  <c r="H241" i="17"/>
  <c r="X239" i="17" s="1"/>
  <c r="H193" i="17"/>
  <c r="H313" i="17" s="1"/>
  <c r="X311" i="17" s="1"/>
  <c r="N54" i="17"/>
  <c r="D105" i="17"/>
  <c r="D191" i="17"/>
  <c r="D182" i="17"/>
  <c r="D57" i="17"/>
  <c r="D142" i="17"/>
  <c r="D96" i="17"/>
  <c r="D188" i="17"/>
  <c r="D221" i="17"/>
  <c r="D104" i="17"/>
  <c r="D232" i="17"/>
  <c r="D145" i="17"/>
  <c r="K219" i="17"/>
  <c r="D100" i="17"/>
  <c r="D98" i="17"/>
  <c r="D154" i="17"/>
  <c r="D220" i="17"/>
  <c r="D146" i="17"/>
  <c r="X141" i="17"/>
  <c r="H294" i="17"/>
  <c r="M294" i="17" s="1"/>
  <c r="H282" i="33" s="1"/>
  <c r="D185" i="17"/>
  <c r="X54" i="17"/>
  <c r="K228" i="17"/>
  <c r="D141" i="17"/>
  <c r="X52" i="17"/>
  <c r="D101" i="17"/>
  <c r="K154" i="17"/>
  <c r="H310" i="33" s="1"/>
  <c r="D225" i="17"/>
  <c r="D211" i="17"/>
  <c r="X140" i="17"/>
  <c r="H293" i="17"/>
  <c r="M293" i="17" s="1"/>
  <c r="H251" i="33" s="1"/>
  <c r="D201" i="17"/>
  <c r="D231" i="17"/>
  <c r="X138" i="17"/>
  <c r="H291" i="17"/>
  <c r="M291" i="17" s="1"/>
  <c r="H189" i="33" s="1"/>
  <c r="X96" i="17"/>
  <c r="X264" i="17"/>
  <c r="X97" i="17"/>
  <c r="D184" i="17"/>
  <c r="X139" i="17"/>
  <c r="H292" i="17"/>
  <c r="M292" i="17" s="1"/>
  <c r="H220" i="33" s="1"/>
  <c r="D143" i="17"/>
  <c r="K230" i="17"/>
  <c r="Y256" i="17"/>
  <c r="G258" i="17"/>
  <c r="B258" i="17"/>
  <c r="H248" i="17"/>
  <c r="X246" i="17" s="1"/>
  <c r="D147" i="17"/>
  <c r="D103" i="17"/>
  <c r="Y244" i="17"/>
  <c r="B246" i="17"/>
  <c r="G246" i="17"/>
  <c r="D140" i="17"/>
  <c r="K240" i="17"/>
  <c r="C240" i="17"/>
  <c r="E240" i="17"/>
  <c r="H155" i="17"/>
  <c r="X153" i="17" s="1"/>
  <c r="D56" i="17"/>
  <c r="H234" i="17"/>
  <c r="A256" i="17"/>
  <c r="Y202" i="17"/>
  <c r="G204" i="17"/>
  <c r="B204" i="17"/>
  <c r="K145" i="17"/>
  <c r="H31" i="33" s="1"/>
  <c r="H192" i="17"/>
  <c r="H312" i="17" s="1"/>
  <c r="X310" i="17" s="1"/>
  <c r="A210" i="17"/>
  <c r="Y156" i="17"/>
  <c r="G158" i="17"/>
  <c r="B158" i="17"/>
  <c r="K248" i="17"/>
  <c r="C248" i="17"/>
  <c r="E248" i="17"/>
  <c r="E155" i="17"/>
  <c r="C155" i="17"/>
  <c r="Y240" i="17"/>
  <c r="G242" i="17"/>
  <c r="B242" i="17"/>
  <c r="A257" i="17"/>
  <c r="Y203" i="17"/>
  <c r="G205" i="17"/>
  <c r="B205" i="17"/>
  <c r="D189" i="17"/>
  <c r="Y249" i="17"/>
  <c r="G251" i="17"/>
  <c r="B251" i="17"/>
  <c r="K192" i="17"/>
  <c r="H199" i="33" s="1"/>
  <c r="C192" i="17"/>
  <c r="E192" i="17"/>
  <c r="A255" i="17"/>
  <c r="Y201" i="17"/>
  <c r="G203" i="17"/>
  <c r="B203" i="17"/>
  <c r="C197" i="17"/>
  <c r="E197" i="17"/>
  <c r="H240" i="17"/>
  <c r="X238" i="17" s="1"/>
  <c r="D138" i="17"/>
  <c r="C263" i="17"/>
  <c r="K263" i="17"/>
  <c r="E263" i="17"/>
  <c r="C229" i="17"/>
  <c r="E229" i="17"/>
  <c r="C239" i="17"/>
  <c r="K239" i="17"/>
  <c r="E239" i="17"/>
  <c r="E156" i="17"/>
  <c r="C156" i="17"/>
  <c r="K156" i="17"/>
  <c r="H94" i="33" s="1"/>
  <c r="C151" i="17"/>
  <c r="E151" i="17"/>
  <c r="C238" i="17"/>
  <c r="E238" i="17"/>
  <c r="Y245" i="17"/>
  <c r="B247" i="17"/>
  <c r="G247" i="17"/>
  <c r="H247" i="17" s="1"/>
  <c r="X245" i="17" s="1"/>
  <c r="H151" i="17"/>
  <c r="X149" i="17" s="1"/>
  <c r="H238" i="17"/>
  <c r="A254" i="17"/>
  <c r="Y200" i="17"/>
  <c r="G202" i="17"/>
  <c r="B202" i="17"/>
  <c r="E234" i="17"/>
  <c r="C234" i="17"/>
  <c r="A252" i="17"/>
  <c r="Y198" i="17"/>
  <c r="G200" i="17"/>
  <c r="B200" i="17"/>
  <c r="K193" i="17"/>
  <c r="H230" i="33" s="1"/>
  <c r="C193" i="17"/>
  <c r="E193" i="17"/>
  <c r="D219" i="17"/>
  <c r="C253" i="17"/>
  <c r="E253" i="17"/>
  <c r="H197" i="17"/>
  <c r="X195" i="17" s="1"/>
  <c r="A259" i="17"/>
  <c r="Y205" i="17"/>
  <c r="B207" i="17"/>
  <c r="G207" i="17"/>
  <c r="D177" i="17"/>
  <c r="D196" i="17"/>
  <c r="K227" i="17"/>
  <c r="D230" i="17"/>
  <c r="C157" i="17"/>
  <c r="E157" i="17"/>
  <c r="K157" i="17"/>
  <c r="D54" i="17"/>
  <c r="H229" i="17"/>
  <c r="H239" i="17"/>
  <c r="X237" i="17" s="1"/>
  <c r="Y242" i="17"/>
  <c r="G244" i="17"/>
  <c r="B244" i="17"/>
  <c r="K221" i="17"/>
  <c r="A260" i="17"/>
  <c r="Y206" i="17"/>
  <c r="G208" i="17"/>
  <c r="H208" i="17" s="1"/>
  <c r="B208" i="17"/>
  <c r="E236" i="17"/>
  <c r="C236" i="17"/>
  <c r="Y248" i="17"/>
  <c r="G250" i="17"/>
  <c r="B250" i="17"/>
  <c r="E195" i="17"/>
  <c r="K195" i="17"/>
  <c r="H292" i="33" s="1"/>
  <c r="C195" i="17"/>
  <c r="C206" i="17"/>
  <c r="E206" i="17"/>
  <c r="D228" i="17"/>
  <c r="H243" i="17"/>
  <c r="X241" i="17" s="1"/>
  <c r="H195" i="17"/>
  <c r="H315" i="17" s="1"/>
  <c r="X313" i="17" s="1"/>
  <c r="D187" i="17"/>
  <c r="C150" i="17"/>
  <c r="E150" i="17"/>
  <c r="D218" i="17"/>
  <c r="Y247" i="17"/>
  <c r="G249" i="17"/>
  <c r="B249" i="17"/>
  <c r="H106" i="17"/>
  <c r="X104" i="17" s="1"/>
  <c r="C109" i="17"/>
  <c r="E109" i="17"/>
  <c r="C190" i="17"/>
  <c r="K190" i="17"/>
  <c r="H137" i="33" s="1"/>
  <c r="E190" i="17"/>
  <c r="H206" i="17"/>
  <c r="X204" i="17" s="1"/>
  <c r="A212" i="17"/>
  <c r="Y158" i="17"/>
  <c r="G160" i="17"/>
  <c r="B160" i="17"/>
  <c r="C153" i="17"/>
  <c r="E153" i="17"/>
  <c r="C198" i="17"/>
  <c r="E198" i="17"/>
  <c r="K198" i="17"/>
  <c r="H76" i="33" s="1"/>
  <c r="C199" i="17"/>
  <c r="E199" i="17"/>
  <c r="H236" i="17"/>
  <c r="X234" i="17" s="1"/>
  <c r="E235" i="17"/>
  <c r="C235" i="17"/>
  <c r="E243" i="17"/>
  <c r="K243" i="17"/>
  <c r="C243" i="17"/>
  <c r="C106" i="17"/>
  <c r="E106" i="17"/>
  <c r="A213" i="17"/>
  <c r="Y159" i="17"/>
  <c r="G161" i="17"/>
  <c r="B161" i="17"/>
  <c r="H235" i="17"/>
  <c r="X233" i="17" s="1"/>
  <c r="Y243" i="17"/>
  <c r="G245" i="17"/>
  <c r="B245" i="17"/>
  <c r="E194" i="17"/>
  <c r="K194" i="17"/>
  <c r="H261" i="33" s="1"/>
  <c r="C194" i="17"/>
  <c r="H150" i="17"/>
  <c r="X148" i="17" s="1"/>
  <c r="K241" i="17"/>
  <c r="E241" i="17"/>
  <c r="C241" i="17"/>
  <c r="D99" i="17"/>
  <c r="D183" i="17"/>
  <c r="D222" i="17"/>
  <c r="C237" i="17"/>
  <c r="E237" i="17"/>
  <c r="H109" i="17"/>
  <c r="H190" i="17"/>
  <c r="H310" i="17" s="1"/>
  <c r="X308" i="17" s="1"/>
  <c r="D227" i="17"/>
  <c r="C152" i="17"/>
  <c r="E152" i="17"/>
  <c r="A261" i="17"/>
  <c r="Y207" i="17"/>
  <c r="G209" i="17"/>
  <c r="B209" i="17"/>
  <c r="E108" i="17"/>
  <c r="C108" i="17"/>
  <c r="D186" i="17"/>
  <c r="H153" i="17"/>
  <c r="X151" i="17" s="1"/>
  <c r="E148" i="17"/>
  <c r="C148" i="17"/>
  <c r="K148" i="17"/>
  <c r="H124" i="33" s="1"/>
  <c r="H199" i="17"/>
  <c r="X197" i="17" s="1"/>
  <c r="H97" i="33" l="1"/>
  <c r="H98" i="33" s="1"/>
  <c r="J98" i="33" s="1"/>
  <c r="H156" i="33"/>
  <c r="H159" i="33" s="1"/>
  <c r="H160" i="33" s="1"/>
  <c r="J160" i="33" s="1"/>
  <c r="H125" i="33"/>
  <c r="H128" i="33" s="1"/>
  <c r="H129" i="33" s="1"/>
  <c r="J129" i="33" s="1"/>
  <c r="I232" i="33"/>
  <c r="I263" i="33"/>
  <c r="H189" i="29"/>
  <c r="H99" i="24"/>
  <c r="S189" i="29"/>
  <c r="H115" i="24"/>
  <c r="S218" i="29"/>
  <c r="H218" i="29"/>
  <c r="H119" i="29"/>
  <c r="S119" i="29"/>
  <c r="S120" i="29"/>
  <c r="H120" i="29"/>
  <c r="H36" i="24"/>
  <c r="S74" i="29"/>
  <c r="H74" i="29"/>
  <c r="S88" i="29"/>
  <c r="H88" i="29"/>
  <c r="H264" i="29"/>
  <c r="S264" i="29"/>
  <c r="S265" i="29"/>
  <c r="H265" i="29"/>
  <c r="H148" i="29"/>
  <c r="S148" i="29"/>
  <c r="S149" i="29"/>
  <c r="H149" i="29"/>
  <c r="H131" i="24"/>
  <c r="H247" i="29"/>
  <c r="S247" i="29"/>
  <c r="S90" i="29"/>
  <c r="H90" i="29"/>
  <c r="S91" i="29"/>
  <c r="H91" i="29"/>
  <c r="H67" i="24"/>
  <c r="S131" i="29"/>
  <c r="H131" i="29"/>
  <c r="S59" i="29"/>
  <c r="H59" i="29"/>
  <c r="H147" i="24"/>
  <c r="H276" i="29"/>
  <c r="S276" i="29"/>
  <c r="H237" i="29"/>
  <c r="H208" i="29"/>
  <c r="S208" i="29"/>
  <c r="S237" i="29"/>
  <c r="H293" i="29"/>
  <c r="S293" i="29"/>
  <c r="H294" i="29"/>
  <c r="S294" i="29"/>
  <c r="I133" i="24"/>
  <c r="I117" i="24"/>
  <c r="T220" i="29"/>
  <c r="I249" i="29"/>
  <c r="T249" i="29"/>
  <c r="I220" i="29"/>
  <c r="S177" i="29"/>
  <c r="H177" i="29"/>
  <c r="H178" i="29"/>
  <c r="S178" i="29"/>
  <c r="P254" i="28"/>
  <c r="P88" i="28"/>
  <c r="E30" i="25"/>
  <c r="P198" i="28"/>
  <c r="P256" i="28"/>
  <c r="P89" i="28"/>
  <c r="E256" i="28"/>
  <c r="P285" i="28"/>
  <c r="E254" i="28"/>
  <c r="P200" i="28"/>
  <c r="E33" i="25"/>
  <c r="E43" i="25"/>
  <c r="P257" i="28"/>
  <c r="E255" i="28"/>
  <c r="P86" i="28"/>
  <c r="E242" i="25"/>
  <c r="E257" i="28"/>
  <c r="E243" i="25"/>
  <c r="E62" i="25"/>
  <c r="P229" i="28"/>
  <c r="P172" i="28"/>
  <c r="E144" i="28"/>
  <c r="E126" i="28"/>
  <c r="E99" i="28"/>
  <c r="E60" i="28"/>
  <c r="E186" i="28"/>
  <c r="P158" i="28"/>
  <c r="P87" i="28"/>
  <c r="P59" i="28"/>
  <c r="E33" i="29"/>
  <c r="E133" i="25"/>
  <c r="E61" i="25"/>
  <c r="E182" i="28"/>
  <c r="E142" i="28"/>
  <c r="E158" i="28"/>
  <c r="P70" i="28"/>
  <c r="P61" i="28"/>
  <c r="E61" i="28"/>
  <c r="P60" i="28"/>
  <c r="P114" i="28"/>
  <c r="E74" i="28"/>
  <c r="P227" i="28"/>
  <c r="P58" i="28"/>
  <c r="E287" i="25"/>
  <c r="E223" i="25"/>
  <c r="E60" i="25"/>
  <c r="P226" i="28"/>
  <c r="E183" i="28"/>
  <c r="H183" i="28" s="1"/>
  <c r="P142" i="28"/>
  <c r="E154" i="28"/>
  <c r="P154" i="28"/>
  <c r="P173" i="28"/>
  <c r="E145" i="28"/>
  <c r="P199" i="28"/>
  <c r="E283" i="25"/>
  <c r="E227" i="25"/>
  <c r="E150" i="25"/>
  <c r="H150" i="25" s="1"/>
  <c r="E214" i="28"/>
  <c r="P143" i="28"/>
  <c r="E98" i="28"/>
  <c r="E100" i="28"/>
  <c r="E70" i="28"/>
  <c r="E59" i="28"/>
  <c r="E58" i="28"/>
  <c r="P144" i="28"/>
  <c r="E153" i="25"/>
  <c r="P116" i="28"/>
  <c r="P255" i="28"/>
  <c r="P283" i="28"/>
  <c r="E63" i="25"/>
  <c r="E241" i="25"/>
  <c r="E73" i="25"/>
  <c r="E32" i="25"/>
  <c r="P282" i="28"/>
  <c r="E270" i="28"/>
  <c r="P145" i="28"/>
  <c r="P115" i="28"/>
  <c r="E72" i="28"/>
  <c r="P284" i="28"/>
  <c r="P228" i="28"/>
  <c r="P201" i="28"/>
  <c r="E31" i="25"/>
  <c r="E151" i="25"/>
  <c r="E266" i="28"/>
  <c r="E152" i="25"/>
  <c r="E163" i="25"/>
  <c r="E210" i="28"/>
  <c r="P171" i="28"/>
  <c r="E143" i="28"/>
  <c r="P117" i="28"/>
  <c r="E167" i="25"/>
  <c r="P170" i="28"/>
  <c r="E317" i="25"/>
  <c r="P298" i="28"/>
  <c r="E228" i="28"/>
  <c r="E238" i="28"/>
  <c r="E198" i="28"/>
  <c r="E117" i="28"/>
  <c r="E87" i="28"/>
  <c r="P102" i="28"/>
  <c r="E116" i="28"/>
  <c r="P126" i="28"/>
  <c r="E271" i="25"/>
  <c r="P294" i="28"/>
  <c r="E212" i="25"/>
  <c r="E183" i="25"/>
  <c r="E103" i="25"/>
  <c r="E283" i="28"/>
  <c r="E226" i="28"/>
  <c r="E89" i="28"/>
  <c r="E91" i="25"/>
  <c r="E115" i="28"/>
  <c r="E302" i="25"/>
  <c r="E213" i="25"/>
  <c r="E181" i="25"/>
  <c r="E122" i="25"/>
  <c r="E285" i="28"/>
  <c r="P266" i="28"/>
  <c r="E227" i="28"/>
  <c r="E171" i="28"/>
  <c r="P182" i="28"/>
  <c r="E114" i="28"/>
  <c r="E86" i="28"/>
  <c r="E88" i="28"/>
  <c r="E303" i="25"/>
  <c r="E253" i="25"/>
  <c r="E210" i="25"/>
  <c r="E123" i="25"/>
  <c r="E282" i="28"/>
  <c r="P270" i="28"/>
  <c r="P238" i="28"/>
  <c r="E173" i="28"/>
  <c r="P186" i="28"/>
  <c r="E229" i="28"/>
  <c r="E272" i="25"/>
  <c r="E257" i="25"/>
  <c r="E211" i="25"/>
  <c r="E193" i="25"/>
  <c r="E92" i="25"/>
  <c r="E284" i="28"/>
  <c r="P242" i="28"/>
  <c r="P210" i="28"/>
  <c r="E170" i="28"/>
  <c r="E294" i="28"/>
  <c r="P183" i="28"/>
  <c r="E301" i="25"/>
  <c r="E273" i="25"/>
  <c r="E197" i="25"/>
  <c r="E121" i="25"/>
  <c r="E93" i="25"/>
  <c r="E298" i="28"/>
  <c r="E199" i="28"/>
  <c r="P214" i="28"/>
  <c r="E172" i="28"/>
  <c r="E270" i="25"/>
  <c r="E90" i="25"/>
  <c r="E242" i="28"/>
  <c r="E201" i="28"/>
  <c r="P98" i="28"/>
  <c r="E313" i="25"/>
  <c r="E182" i="25"/>
  <c r="E200" i="28"/>
  <c r="H30" i="25"/>
  <c r="H60" i="25"/>
  <c r="H90" i="25"/>
  <c r="P42" i="28"/>
  <c r="P33" i="28"/>
  <c r="P30" i="28"/>
  <c r="P32" i="28"/>
  <c r="P31" i="28"/>
  <c r="E143" i="32"/>
  <c r="E251" i="32"/>
  <c r="E116" i="32"/>
  <c r="E224" i="32"/>
  <c r="E86" i="32"/>
  <c r="E197" i="32"/>
  <c r="E140" i="32"/>
  <c r="E113" i="32"/>
  <c r="E170" i="32"/>
  <c r="E89" i="32"/>
  <c r="E235" i="32"/>
  <c r="E73" i="32"/>
  <c r="E155" i="32"/>
  <c r="E74" i="32"/>
  <c r="E237" i="32"/>
  <c r="E156" i="32"/>
  <c r="E60" i="32"/>
  <c r="E32" i="32"/>
  <c r="E45" i="32"/>
  <c r="E47" i="32"/>
  <c r="E248" i="32"/>
  <c r="E236" i="32"/>
  <c r="E194" i="32"/>
  <c r="E59" i="32"/>
  <c r="E72" i="32"/>
  <c r="E167" i="32"/>
  <c r="E33" i="32"/>
  <c r="E46" i="32"/>
  <c r="E141" i="32"/>
  <c r="E221" i="32"/>
  <c r="E168" i="32"/>
  <c r="E114" i="32"/>
  <c r="E154" i="32"/>
  <c r="E75" i="32"/>
  <c r="E48" i="32"/>
  <c r="E87" i="32"/>
  <c r="E291" i="32"/>
  <c r="E210" i="32"/>
  <c r="E129" i="32"/>
  <c r="E208" i="32"/>
  <c r="E181" i="32"/>
  <c r="E127" i="32"/>
  <c r="E100" i="32"/>
  <c r="E209" i="32"/>
  <c r="E182" i="32"/>
  <c r="E128" i="32"/>
  <c r="E101" i="32"/>
  <c r="E278" i="32"/>
  <c r="E183" i="32"/>
  <c r="E102" i="32"/>
  <c r="E275" i="32"/>
  <c r="E262" i="32"/>
  <c r="E99" i="32"/>
  <c r="E289" i="32"/>
  <c r="E263" i="32"/>
  <c r="E290" i="32"/>
  <c r="E264" i="32"/>
  <c r="X107" i="17"/>
  <c r="E62" i="32" s="1"/>
  <c r="K109" i="17"/>
  <c r="P303" i="27"/>
  <c r="P163" i="27"/>
  <c r="P79" i="27"/>
  <c r="P135" i="27"/>
  <c r="P247" i="27"/>
  <c r="P219" i="27"/>
  <c r="P191" i="27"/>
  <c r="P51" i="27"/>
  <c r="P107" i="27"/>
  <c r="P275" i="27"/>
  <c r="E249" i="30"/>
  <c r="E200" i="30"/>
  <c r="E129" i="30"/>
  <c r="E81" i="30"/>
  <c r="E177" i="30"/>
  <c r="E248" i="30"/>
  <c r="E128" i="30"/>
  <c r="E176" i="30"/>
  <c r="E80" i="30"/>
  <c r="E97" i="31"/>
  <c r="E153" i="30"/>
  <c r="E105" i="30"/>
  <c r="E201" i="30"/>
  <c r="E152" i="30"/>
  <c r="E104" i="30"/>
  <c r="E228" i="31"/>
  <c r="E73" i="31"/>
  <c r="E46" i="31"/>
  <c r="E48" i="31"/>
  <c r="E227" i="30"/>
  <c r="E155" i="30"/>
  <c r="E35" i="30"/>
  <c r="E47" i="31"/>
  <c r="E100" i="31"/>
  <c r="E225" i="30"/>
  <c r="E213" i="30"/>
  <c r="E83" i="30"/>
  <c r="E47" i="30"/>
  <c r="E32" i="30"/>
  <c r="E58" i="30"/>
  <c r="E82" i="30"/>
  <c r="E226" i="30"/>
  <c r="E203" i="30"/>
  <c r="E178" i="30"/>
  <c r="E106" i="30"/>
  <c r="E99" i="31"/>
  <c r="E71" i="31"/>
  <c r="E45" i="31"/>
  <c r="E224" i="30"/>
  <c r="E214" i="30"/>
  <c r="E46" i="30"/>
  <c r="E33" i="30"/>
  <c r="E237" i="30"/>
  <c r="E34" i="30"/>
  <c r="E154" i="30"/>
  <c r="E72" i="31"/>
  <c r="E239" i="30"/>
  <c r="E215" i="30"/>
  <c r="E131" i="30"/>
  <c r="E107" i="30"/>
  <c r="E93" i="30"/>
  <c r="E92" i="30"/>
  <c r="E280" i="31"/>
  <c r="E74" i="31"/>
  <c r="E98" i="31"/>
  <c r="E45" i="30"/>
  <c r="E202" i="30"/>
  <c r="E202" i="31"/>
  <c r="E282" i="31"/>
  <c r="E126" i="31"/>
  <c r="E251" i="30"/>
  <c r="E238" i="30"/>
  <c r="E94" i="30"/>
  <c r="E56" i="30"/>
  <c r="E229" i="31"/>
  <c r="E179" i="30"/>
  <c r="E124" i="31"/>
  <c r="E57" i="30"/>
  <c r="E281" i="31"/>
  <c r="E230" i="31"/>
  <c r="E204" i="31"/>
  <c r="E125" i="31"/>
  <c r="E95" i="30"/>
  <c r="E59" i="30"/>
  <c r="E44" i="30"/>
  <c r="E130" i="30"/>
  <c r="E250" i="30"/>
  <c r="E203" i="31"/>
  <c r="E255" i="31"/>
  <c r="E262" i="30"/>
  <c r="E117" i="30"/>
  <c r="E256" i="31"/>
  <c r="E141" i="30"/>
  <c r="E118" i="30"/>
  <c r="E69" i="30"/>
  <c r="E119" i="30"/>
  <c r="E152" i="31"/>
  <c r="E263" i="30"/>
  <c r="E142" i="30"/>
  <c r="E68" i="30"/>
  <c r="E70" i="30"/>
  <c r="E254" i="31"/>
  <c r="E189" i="30"/>
  <c r="E165" i="30"/>
  <c r="E190" i="30"/>
  <c r="E166" i="30"/>
  <c r="E143" i="30"/>
  <c r="E71" i="30"/>
  <c r="E176" i="31"/>
  <c r="E150" i="31"/>
  <c r="E177" i="31"/>
  <c r="E151" i="31"/>
  <c r="E191" i="30"/>
  <c r="E167" i="30"/>
  <c r="E178" i="31"/>
  <c r="E261" i="30"/>
  <c r="E31" i="22"/>
  <c r="E34" i="22"/>
  <c r="E33" i="22"/>
  <c r="E32" i="22"/>
  <c r="E123" i="22"/>
  <c r="E45" i="22"/>
  <c r="E44" i="22"/>
  <c r="E124" i="22"/>
  <c r="E98" i="22"/>
  <c r="E71" i="22"/>
  <c r="E47" i="22"/>
  <c r="E111" i="22"/>
  <c r="E110" i="22"/>
  <c r="E73" i="22"/>
  <c r="E136" i="22"/>
  <c r="E125" i="22"/>
  <c r="E97" i="22"/>
  <c r="E72" i="22"/>
  <c r="E46" i="22"/>
  <c r="E84" i="22"/>
  <c r="E59" i="22"/>
  <c r="E85" i="22"/>
  <c r="E137" i="22"/>
  <c r="E112" i="22"/>
  <c r="E86" i="22"/>
  <c r="E60" i="22"/>
  <c r="E138" i="22"/>
  <c r="E58" i="22"/>
  <c r="E99" i="22"/>
  <c r="E51" i="23"/>
  <c r="E54" i="23"/>
  <c r="E49" i="23"/>
  <c r="E48" i="23"/>
  <c r="E141" i="23"/>
  <c r="E123" i="23"/>
  <c r="E114" i="23"/>
  <c r="E63" i="23"/>
  <c r="E81" i="23"/>
  <c r="E111" i="23"/>
  <c r="E64" i="23"/>
  <c r="H64" i="23" s="1"/>
  <c r="E79" i="23"/>
  <c r="E156" i="23"/>
  <c r="E138" i="23"/>
  <c r="E129" i="23"/>
  <c r="E94" i="23"/>
  <c r="E66" i="23"/>
  <c r="E96" i="23"/>
  <c r="E126" i="23"/>
  <c r="E153" i="23"/>
  <c r="E144" i="23"/>
  <c r="E84" i="23"/>
  <c r="E93" i="23"/>
  <c r="E108" i="23"/>
  <c r="E159" i="23"/>
  <c r="E78" i="23"/>
  <c r="E69" i="23"/>
  <c r="E99" i="23"/>
  <c r="E71" i="26"/>
  <c r="E61" i="26"/>
  <c r="E79" i="27"/>
  <c r="E231" i="27"/>
  <c r="E217" i="26"/>
  <c r="E144" i="27"/>
  <c r="E116" i="27"/>
  <c r="E88" i="27"/>
  <c r="E215" i="26"/>
  <c r="E164" i="26"/>
  <c r="H164" i="26" s="1"/>
  <c r="E60" i="26"/>
  <c r="E147" i="27"/>
  <c r="E243" i="26"/>
  <c r="E60" i="27"/>
  <c r="E189" i="26"/>
  <c r="E138" i="26"/>
  <c r="H138" i="26" s="1"/>
  <c r="E85" i="26"/>
  <c r="E72" i="26"/>
  <c r="E89" i="27"/>
  <c r="H89" i="27" s="1"/>
  <c r="E165" i="26"/>
  <c r="E267" i="26"/>
  <c r="E228" i="27"/>
  <c r="E172" i="27"/>
  <c r="E240" i="26"/>
  <c r="H240" i="26" s="1"/>
  <c r="E163" i="26"/>
  <c r="E110" i="26"/>
  <c r="E117" i="27"/>
  <c r="H117" i="27" s="1"/>
  <c r="E191" i="26"/>
  <c r="E111" i="26"/>
  <c r="E84" i="26"/>
  <c r="E59" i="26"/>
  <c r="E259" i="27"/>
  <c r="E287" i="27"/>
  <c r="E113" i="26"/>
  <c r="E269" i="26"/>
  <c r="E137" i="26"/>
  <c r="E112" i="26"/>
  <c r="E216" i="26"/>
  <c r="H216" i="26" s="1"/>
  <c r="E241" i="26"/>
  <c r="E162" i="26"/>
  <c r="H162" i="26" s="1"/>
  <c r="E58" i="26"/>
  <c r="E139" i="26"/>
  <c r="E256" i="27"/>
  <c r="E266" i="26"/>
  <c r="H266" i="26" s="1"/>
  <c r="E242" i="26"/>
  <c r="H242" i="26" s="1"/>
  <c r="E214" i="26"/>
  <c r="H214" i="26" s="1"/>
  <c r="E145" i="27"/>
  <c r="E268" i="26"/>
  <c r="H268" i="26" s="1"/>
  <c r="E175" i="27"/>
  <c r="E119" i="27"/>
  <c r="E188" i="26"/>
  <c r="H188" i="26" s="1"/>
  <c r="E87" i="26"/>
  <c r="E91" i="27"/>
  <c r="E284" i="27"/>
  <c r="E173" i="27"/>
  <c r="E190" i="26"/>
  <c r="H190" i="26" s="1"/>
  <c r="E136" i="26"/>
  <c r="H136" i="26" s="1"/>
  <c r="E86" i="26"/>
  <c r="E219" i="27"/>
  <c r="E152" i="26"/>
  <c r="E124" i="26"/>
  <c r="H124" i="26" s="1"/>
  <c r="E203" i="27"/>
  <c r="E282" i="26"/>
  <c r="E178" i="26"/>
  <c r="E149" i="26"/>
  <c r="E200" i="27"/>
  <c r="E279" i="26"/>
  <c r="E256" i="26"/>
  <c r="E204" i="26"/>
  <c r="E175" i="26"/>
  <c r="E100" i="26"/>
  <c r="E303" i="27"/>
  <c r="E191" i="27"/>
  <c r="E253" i="26"/>
  <c r="E230" i="26"/>
  <c r="E201" i="26"/>
  <c r="E176" i="26"/>
  <c r="E150" i="26"/>
  <c r="E126" i="26"/>
  <c r="E97" i="26"/>
  <c r="E123" i="26"/>
  <c r="E247" i="27"/>
  <c r="E227" i="26"/>
  <c r="E275" i="27"/>
  <c r="E107" i="27"/>
  <c r="E61" i="27"/>
  <c r="E163" i="27"/>
  <c r="E98" i="26"/>
  <c r="E135" i="27"/>
  <c r="E251" i="20"/>
  <c r="E226" i="20"/>
  <c r="E248" i="20"/>
  <c r="E202" i="20"/>
  <c r="E249" i="20"/>
  <c r="E179" i="20"/>
  <c r="E200" i="20"/>
  <c r="E201" i="20"/>
  <c r="E176" i="20"/>
  <c r="E178" i="20"/>
  <c r="E227" i="20"/>
  <c r="E250" i="20"/>
  <c r="E203" i="20"/>
  <c r="E225" i="20"/>
  <c r="E177" i="20"/>
  <c r="E224" i="20"/>
  <c r="E84" i="19"/>
  <c r="E118" i="19"/>
  <c r="E94" i="19"/>
  <c r="E61" i="19"/>
  <c r="G61" i="19" s="1"/>
  <c r="E37" i="19"/>
  <c r="G37" i="19" s="1"/>
  <c r="E132" i="19"/>
  <c r="E109" i="19"/>
  <c r="E85" i="19"/>
  <c r="F85" i="19" s="1"/>
  <c r="E60" i="19"/>
  <c r="F60" i="19" s="1"/>
  <c r="E36" i="19"/>
  <c r="H36" i="19" s="1"/>
  <c r="E133" i="19"/>
  <c r="E108" i="19"/>
  <c r="E83" i="19"/>
  <c r="H83" i="19" s="1"/>
  <c r="E59" i="19"/>
  <c r="E35" i="19"/>
  <c r="F35" i="19" s="1"/>
  <c r="E70" i="19"/>
  <c r="E131" i="19"/>
  <c r="E107" i="19"/>
  <c r="E82" i="19"/>
  <c r="E58" i="19"/>
  <c r="E34" i="19"/>
  <c r="E46" i="19"/>
  <c r="F46" i="19" s="1"/>
  <c r="E130" i="19"/>
  <c r="E106" i="19"/>
  <c r="E73" i="19"/>
  <c r="G73" i="19" s="1"/>
  <c r="E49" i="19"/>
  <c r="H49" i="19" s="1"/>
  <c r="E25" i="19"/>
  <c r="F25" i="19" s="1"/>
  <c r="E121" i="19"/>
  <c r="E97" i="19"/>
  <c r="E72" i="19"/>
  <c r="G72" i="19" s="1"/>
  <c r="E48" i="19"/>
  <c r="F48" i="19" s="1"/>
  <c r="E24" i="19"/>
  <c r="F24" i="19" s="1"/>
  <c r="E95" i="19"/>
  <c r="E120" i="19"/>
  <c r="E96" i="19"/>
  <c r="E71" i="19"/>
  <c r="F71" i="19" s="1"/>
  <c r="E47" i="19"/>
  <c r="F47" i="19" s="1"/>
  <c r="E23" i="19"/>
  <c r="G23" i="19" s="1"/>
  <c r="E119" i="19"/>
  <c r="H22" i="19"/>
  <c r="Q20" i="19"/>
  <c r="R20" i="19" s="1"/>
  <c r="Q28" i="19"/>
  <c r="R28" i="19" s="1"/>
  <c r="Q21" i="19"/>
  <c r="R21" i="19" s="1"/>
  <c r="Q29" i="19"/>
  <c r="R29" i="19" s="1"/>
  <c r="Q27" i="19"/>
  <c r="R27" i="19" s="1"/>
  <c r="Q22" i="19"/>
  <c r="R22" i="19" s="1"/>
  <c r="Q19" i="19"/>
  <c r="R19" i="19" s="1"/>
  <c r="Q23" i="19"/>
  <c r="R23" i="19" s="1"/>
  <c r="Q24" i="19"/>
  <c r="R24" i="19" s="1"/>
  <c r="Q26" i="19"/>
  <c r="R26" i="19" s="1"/>
  <c r="Q25" i="19"/>
  <c r="R25" i="19" s="1"/>
  <c r="D11" i="18"/>
  <c r="N11" i="18" s="1"/>
  <c r="D19" i="18"/>
  <c r="N19" i="18" s="1"/>
  <c r="D4" i="18"/>
  <c r="D12" i="18"/>
  <c r="Y12" i="18" s="1"/>
  <c r="Y61" i="18" s="1"/>
  <c r="D20" i="18"/>
  <c r="Y20" i="18" s="1"/>
  <c r="Y65" i="18" s="1"/>
  <c r="D13" i="18"/>
  <c r="N13" i="18" s="1"/>
  <c r="D22" i="18"/>
  <c r="D5" i="18"/>
  <c r="D21" i="18"/>
  <c r="N21" i="18" s="1"/>
  <c r="D18" i="18"/>
  <c r="Y18" i="18" s="1"/>
  <c r="Y64" i="18" s="1"/>
  <c r="D6" i="18"/>
  <c r="D14" i="18"/>
  <c r="Y14" i="18" s="1"/>
  <c r="Y62" i="18" s="1"/>
  <c r="D10" i="18"/>
  <c r="D7" i="18"/>
  <c r="D15" i="18"/>
  <c r="D3" i="18"/>
  <c r="D17" i="18"/>
  <c r="D8" i="18"/>
  <c r="D16" i="18"/>
  <c r="D9" i="18"/>
  <c r="X206" i="17"/>
  <c r="M208" i="17"/>
  <c r="I108" i="33" s="1"/>
  <c r="E42" i="28"/>
  <c r="E30" i="28"/>
  <c r="E33" i="28"/>
  <c r="E32" i="28"/>
  <c r="E31" i="28"/>
  <c r="X193" i="17"/>
  <c r="P239" i="28" s="1"/>
  <c r="X190" i="17"/>
  <c r="X188" i="17"/>
  <c r="X191" i="17"/>
  <c r="Q25" i="24"/>
  <c r="R30" i="24"/>
  <c r="O30" i="24" s="1"/>
  <c r="R23" i="24"/>
  <c r="O23" i="24" s="1"/>
  <c r="Q32" i="24"/>
  <c r="Q27" i="24"/>
  <c r="R32" i="24"/>
  <c r="R27" i="24"/>
  <c r="O27" i="24" s="1"/>
  <c r="R25" i="24"/>
  <c r="O25" i="24" s="1"/>
  <c r="Q28" i="24"/>
  <c r="R28" i="24"/>
  <c r="O28" i="24" s="1"/>
  <c r="Q31" i="24"/>
  <c r="Q26" i="24"/>
  <c r="R31" i="24"/>
  <c r="O31" i="24" s="1"/>
  <c r="R26" i="24"/>
  <c r="O26" i="24" s="1"/>
  <c r="Q29" i="24"/>
  <c r="Q24" i="24"/>
  <c r="R29" i="24"/>
  <c r="O29" i="24" s="1"/>
  <c r="R24" i="24"/>
  <c r="O24" i="24" s="1"/>
  <c r="E35" i="26"/>
  <c r="E20" i="22"/>
  <c r="E18" i="22"/>
  <c r="H18" i="22" s="1"/>
  <c r="E21" i="22"/>
  <c r="H21" i="22" s="1"/>
  <c r="E19" i="22"/>
  <c r="E51" i="27"/>
  <c r="E32" i="27"/>
  <c r="E33" i="27"/>
  <c r="H33" i="27" s="1"/>
  <c r="E46" i="26"/>
  <c r="H46" i="26" s="1"/>
  <c r="E33" i="26"/>
  <c r="E34" i="26"/>
  <c r="E32" i="26"/>
  <c r="H32" i="26" s="1"/>
  <c r="E45" i="26"/>
  <c r="E35" i="20"/>
  <c r="E82" i="20"/>
  <c r="E106" i="20"/>
  <c r="H106" i="20" s="1"/>
  <c r="E83" i="20"/>
  <c r="H83" i="20" s="1"/>
  <c r="E34" i="20"/>
  <c r="E104" i="20"/>
  <c r="E154" i="20"/>
  <c r="E153" i="20"/>
  <c r="E56" i="20"/>
  <c r="E128" i="20"/>
  <c r="E59" i="20"/>
  <c r="E32" i="20"/>
  <c r="X289" i="17"/>
  <c r="E80" i="20"/>
  <c r="E57" i="20"/>
  <c r="E131" i="20"/>
  <c r="H131" i="20" s="1"/>
  <c r="X292" i="17"/>
  <c r="X290" i="17"/>
  <c r="X291" i="17"/>
  <c r="E130" i="20"/>
  <c r="H130" i="20" s="1"/>
  <c r="E58" i="20"/>
  <c r="E39" i="23"/>
  <c r="E34" i="23"/>
  <c r="E19" i="23"/>
  <c r="E33" i="23"/>
  <c r="E18" i="23"/>
  <c r="E24" i="23"/>
  <c r="E107" i="20"/>
  <c r="E152" i="20"/>
  <c r="H152" i="20" s="1"/>
  <c r="E129" i="20"/>
  <c r="H129" i="20" s="1"/>
  <c r="E155" i="20"/>
  <c r="E33" i="20"/>
  <c r="E81" i="20"/>
  <c r="E105" i="20"/>
  <c r="H105" i="20" s="1"/>
  <c r="X236" i="17"/>
  <c r="K238" i="17"/>
  <c r="X227" i="17"/>
  <c r="K229" i="17"/>
  <c r="S30" i="29" s="1"/>
  <c r="X232" i="17"/>
  <c r="K234" i="17"/>
  <c r="K152" i="17"/>
  <c r="H248" i="33" s="1"/>
  <c r="H252" i="33" s="1"/>
  <c r="H253" i="33" s="1"/>
  <c r="J253" i="33" s="1"/>
  <c r="K108" i="17"/>
  <c r="K253" i="17"/>
  <c r="H250" i="17"/>
  <c r="X248" i="17" s="1"/>
  <c r="H207" i="17"/>
  <c r="K237" i="17"/>
  <c r="H161" i="17"/>
  <c r="X159" i="17" s="1"/>
  <c r="D239" i="17"/>
  <c r="K106" i="17"/>
  <c r="D194" i="17"/>
  <c r="D248" i="17"/>
  <c r="D235" i="17"/>
  <c r="D152" i="17"/>
  <c r="D199" i="17"/>
  <c r="K235" i="17"/>
  <c r="D108" i="17"/>
  <c r="D241" i="17"/>
  <c r="D198" i="17"/>
  <c r="D197" i="17"/>
  <c r="D192" i="17"/>
  <c r="D240" i="17"/>
  <c r="K199" i="17"/>
  <c r="H107" i="33" s="1"/>
  <c r="D109" i="17"/>
  <c r="D193" i="17"/>
  <c r="D151" i="17"/>
  <c r="D155" i="17"/>
  <c r="E204" i="17"/>
  <c r="C204" i="17"/>
  <c r="C246" i="17"/>
  <c r="K246" i="17"/>
  <c r="E246" i="17"/>
  <c r="D243" i="17"/>
  <c r="D156" i="17"/>
  <c r="K153" i="17"/>
  <c r="H279" i="33" s="1"/>
  <c r="A264" i="17"/>
  <c r="Y210" i="17"/>
  <c r="B212" i="17"/>
  <c r="G212" i="17"/>
  <c r="D253" i="17"/>
  <c r="C200" i="17"/>
  <c r="E200" i="17"/>
  <c r="C247" i="17"/>
  <c r="K247" i="17"/>
  <c r="E247" i="17"/>
  <c r="E203" i="17"/>
  <c r="C203" i="17"/>
  <c r="Y255" i="17"/>
  <c r="G257" i="17"/>
  <c r="B257" i="17"/>
  <c r="H204" i="17"/>
  <c r="X202" i="17" s="1"/>
  <c r="A265" i="17"/>
  <c r="Y211" i="17"/>
  <c r="G213" i="17"/>
  <c r="B213" i="17"/>
  <c r="K236" i="17"/>
  <c r="K151" i="17"/>
  <c r="H217" i="33" s="1"/>
  <c r="H221" i="33" s="1"/>
  <c r="H222" i="33" s="1"/>
  <c r="J222" i="33" s="1"/>
  <c r="D106" i="17"/>
  <c r="K150" i="17"/>
  <c r="H186" i="33" s="1"/>
  <c r="D195" i="17"/>
  <c r="E244" i="17"/>
  <c r="K244" i="17"/>
  <c r="C244" i="17"/>
  <c r="C207" i="17"/>
  <c r="K207" i="17"/>
  <c r="E207" i="17"/>
  <c r="H200" i="17"/>
  <c r="X198" i="17" s="1"/>
  <c r="E202" i="17"/>
  <c r="C202" i="17"/>
  <c r="D229" i="17"/>
  <c r="H203" i="17"/>
  <c r="X201" i="17" s="1"/>
  <c r="E251" i="17"/>
  <c r="C251" i="17"/>
  <c r="E242" i="17"/>
  <c r="K242" i="17"/>
  <c r="C242" i="17"/>
  <c r="C158" i="17"/>
  <c r="E158" i="17"/>
  <c r="C249" i="17"/>
  <c r="E249" i="17"/>
  <c r="K209" i="17"/>
  <c r="E209" i="17"/>
  <c r="C209" i="17"/>
  <c r="H245" i="17"/>
  <c r="X243" i="17" s="1"/>
  <c r="Y258" i="17"/>
  <c r="G260" i="17"/>
  <c r="B260" i="17"/>
  <c r="Y259" i="17"/>
  <c r="G261" i="17"/>
  <c r="B261" i="17"/>
  <c r="E161" i="17"/>
  <c r="C161" i="17"/>
  <c r="D236" i="17"/>
  <c r="H244" i="17"/>
  <c r="X242" i="17" s="1"/>
  <c r="D157" i="17"/>
  <c r="H202" i="17"/>
  <c r="X200" i="17" s="1"/>
  <c r="K197" i="17"/>
  <c r="H251" i="17"/>
  <c r="X249" i="17" s="1"/>
  <c r="H242" i="17"/>
  <c r="X240" i="17" s="1"/>
  <c r="H158" i="17"/>
  <c r="X156" i="17" s="1"/>
  <c r="Y254" i="17"/>
  <c r="G256" i="17"/>
  <c r="B256" i="17"/>
  <c r="E258" i="17"/>
  <c r="C258" i="17"/>
  <c r="C205" i="17"/>
  <c r="E205" i="17"/>
  <c r="D237" i="17"/>
  <c r="D234" i="17"/>
  <c r="D153" i="17"/>
  <c r="D190" i="17"/>
  <c r="D150" i="17"/>
  <c r="K206" i="17"/>
  <c r="H324" i="33" s="1"/>
  <c r="Y257" i="17"/>
  <c r="G259" i="17"/>
  <c r="B259" i="17"/>
  <c r="Y250" i="17"/>
  <c r="B252" i="17"/>
  <c r="G252" i="17"/>
  <c r="Y253" i="17"/>
  <c r="G255" i="17"/>
  <c r="B255" i="17"/>
  <c r="H258" i="17"/>
  <c r="E160" i="17"/>
  <c r="C160" i="17"/>
  <c r="D148" i="17"/>
  <c r="C245" i="17"/>
  <c r="K245" i="17"/>
  <c r="E245" i="17"/>
  <c r="H160" i="17"/>
  <c r="X158" i="17" s="1"/>
  <c r="P46" i="28" s="1"/>
  <c r="H249" i="17"/>
  <c r="X247" i="17" s="1"/>
  <c r="H205" i="17"/>
  <c r="X203" i="17" s="1"/>
  <c r="E60" i="21" s="1"/>
  <c r="H209" i="17"/>
  <c r="D206" i="17"/>
  <c r="E250" i="17"/>
  <c r="C250" i="17"/>
  <c r="K208" i="17"/>
  <c r="C208" i="17"/>
  <c r="E208" i="17"/>
  <c r="Y252" i="17"/>
  <c r="G254" i="17"/>
  <c r="B254" i="17"/>
  <c r="D238" i="17"/>
  <c r="D263" i="17"/>
  <c r="K155" i="17"/>
  <c r="A262" i="17"/>
  <c r="Y208" i="17"/>
  <c r="G210" i="17"/>
  <c r="B210" i="17"/>
  <c r="H246" i="17"/>
  <c r="X244" i="17" s="1"/>
  <c r="H32" i="33" l="1"/>
  <c r="H35" i="33" s="1"/>
  <c r="H36" i="33" s="1"/>
  <c r="J36" i="33" s="1"/>
  <c r="H63" i="33"/>
  <c r="H66" i="33" s="1"/>
  <c r="H67" i="33" s="1"/>
  <c r="J67" i="33" s="1"/>
  <c r="H108" i="33"/>
  <c r="H114" i="33" s="1"/>
  <c r="F108" i="33"/>
  <c r="F114" i="33" s="1"/>
  <c r="F115" i="33" s="1"/>
  <c r="G108" i="33"/>
  <c r="G114" i="33" s="1"/>
  <c r="G115" i="33" s="1"/>
  <c r="G263" i="33"/>
  <c r="G269" i="33" s="1"/>
  <c r="G270" i="33" s="1"/>
  <c r="F263" i="33"/>
  <c r="F269" i="33" s="1"/>
  <c r="F270" i="33" s="1"/>
  <c r="H263" i="33"/>
  <c r="H232" i="33"/>
  <c r="G232" i="33"/>
  <c r="G238" i="33" s="1"/>
  <c r="G239" i="33" s="1"/>
  <c r="F232" i="33"/>
  <c r="F238" i="33" s="1"/>
  <c r="F239" i="33" s="1"/>
  <c r="H133" i="24"/>
  <c r="G133" i="24"/>
  <c r="G137" i="24" s="1"/>
  <c r="G138" i="24" s="1"/>
  <c r="F133" i="24"/>
  <c r="F137" i="24" s="1"/>
  <c r="F138" i="24" s="1"/>
  <c r="I138" i="24"/>
  <c r="H306" i="29"/>
  <c r="H164" i="24"/>
  <c r="S306" i="29"/>
  <c r="H45" i="33"/>
  <c r="S45" i="29"/>
  <c r="H45" i="29"/>
  <c r="H175" i="29"/>
  <c r="S175" i="29"/>
  <c r="H233" i="29"/>
  <c r="S233" i="29"/>
  <c r="U25" i="24"/>
  <c r="X25" i="24" s="1"/>
  <c r="I104" i="29"/>
  <c r="T104" i="29"/>
  <c r="I53" i="24"/>
  <c r="S103" i="29"/>
  <c r="H52" i="24"/>
  <c r="H103" i="29"/>
  <c r="G220" i="29"/>
  <c r="G224" i="29" s="1"/>
  <c r="G225" i="29" s="1"/>
  <c r="F220" i="29"/>
  <c r="F224" i="29" s="1"/>
  <c r="F225" i="29" s="1"/>
  <c r="H220" i="29"/>
  <c r="I211" i="29"/>
  <c r="R249" i="29"/>
  <c r="R253" i="29" s="1"/>
  <c r="R254" i="29" s="1"/>
  <c r="Q249" i="29"/>
  <c r="Q253" i="29" s="1"/>
  <c r="Q254" i="29" s="1"/>
  <c r="S249" i="29"/>
  <c r="T240" i="29"/>
  <c r="H204" i="29"/>
  <c r="S204" i="29"/>
  <c r="S262" i="29"/>
  <c r="H262" i="29"/>
  <c r="H291" i="29"/>
  <c r="S291" i="29"/>
  <c r="F249" i="29"/>
  <c r="F253" i="29" s="1"/>
  <c r="F254" i="29" s="1"/>
  <c r="I240" i="29"/>
  <c r="G249" i="29"/>
  <c r="G253" i="29" s="1"/>
  <c r="G254" i="29" s="1"/>
  <c r="H249" i="29"/>
  <c r="H147" i="29"/>
  <c r="H152" i="29" s="1"/>
  <c r="S147" i="29"/>
  <c r="S152" i="29" s="1"/>
  <c r="Q220" i="29"/>
  <c r="Q224" i="29" s="1"/>
  <c r="Q225" i="29" s="1"/>
  <c r="R220" i="29"/>
  <c r="R224" i="29" s="1"/>
  <c r="R225" i="29" s="1"/>
  <c r="S220" i="29"/>
  <c r="T211" i="29"/>
  <c r="H117" i="24"/>
  <c r="G117" i="24"/>
  <c r="G121" i="24" s="1"/>
  <c r="G122" i="24" s="1"/>
  <c r="F117" i="24"/>
  <c r="F121" i="24" s="1"/>
  <c r="F122" i="24" s="1"/>
  <c r="I122" i="24"/>
  <c r="L244" i="28"/>
  <c r="Q239" i="28"/>
  <c r="R239" i="28"/>
  <c r="S239" i="28"/>
  <c r="F103" i="25"/>
  <c r="G103" i="25"/>
  <c r="I108" i="25"/>
  <c r="A108" i="25"/>
  <c r="H103" i="25"/>
  <c r="F72" i="28"/>
  <c r="D72" i="28"/>
  <c r="G72" i="28" s="1"/>
  <c r="F201" i="28"/>
  <c r="G201" i="28"/>
  <c r="H201" i="28"/>
  <c r="F270" i="25"/>
  <c r="G270" i="25"/>
  <c r="P240" i="28"/>
  <c r="G301" i="25"/>
  <c r="F301" i="25"/>
  <c r="H301" i="25"/>
  <c r="Q242" i="28"/>
  <c r="R242" i="28"/>
  <c r="S242" i="28"/>
  <c r="G211" i="25"/>
  <c r="F211" i="25"/>
  <c r="H211" i="25"/>
  <c r="F285" i="28"/>
  <c r="G285" i="28"/>
  <c r="H285" i="28"/>
  <c r="G115" i="28"/>
  <c r="F115" i="28"/>
  <c r="H115" i="28"/>
  <c r="R126" i="28"/>
  <c r="Q126" i="28"/>
  <c r="L131" i="28"/>
  <c r="S126" i="28"/>
  <c r="E75" i="25"/>
  <c r="E77" i="25"/>
  <c r="G59" i="28"/>
  <c r="F59" i="28"/>
  <c r="H59" i="28"/>
  <c r="E74" i="25"/>
  <c r="T159" i="28"/>
  <c r="I159" i="28"/>
  <c r="F154" i="28"/>
  <c r="G154" i="28"/>
  <c r="A159" i="28"/>
  <c r="H154" i="28"/>
  <c r="R227" i="28"/>
  <c r="Q227" i="28"/>
  <c r="S227" i="28"/>
  <c r="E284" i="25"/>
  <c r="R229" i="28"/>
  <c r="Q229" i="28"/>
  <c r="S229" i="28"/>
  <c r="E44" i="25"/>
  <c r="R89" i="28"/>
  <c r="Q89" i="28"/>
  <c r="S89" i="28"/>
  <c r="G210" i="25"/>
  <c r="F210" i="25"/>
  <c r="H210" i="25"/>
  <c r="Q298" i="28"/>
  <c r="R298" i="28"/>
  <c r="S298" i="28"/>
  <c r="D100" i="28"/>
  <c r="H100" i="28" s="1"/>
  <c r="F100" i="28"/>
  <c r="A187" i="28"/>
  <c r="F182" i="28"/>
  <c r="T187" i="28"/>
  <c r="G182" i="28"/>
  <c r="I187" i="28"/>
  <c r="H182" i="28"/>
  <c r="P128" i="28"/>
  <c r="P295" i="28"/>
  <c r="P268" i="28"/>
  <c r="R186" i="28"/>
  <c r="Q186" i="28"/>
  <c r="S186" i="28"/>
  <c r="E107" i="25"/>
  <c r="F91" i="25"/>
  <c r="G91" i="25"/>
  <c r="H91" i="25"/>
  <c r="G283" i="28"/>
  <c r="F283" i="28"/>
  <c r="H283" i="28"/>
  <c r="P267" i="28"/>
  <c r="F163" i="25"/>
  <c r="I168" i="25"/>
  <c r="A168" i="25"/>
  <c r="G163" i="25"/>
  <c r="H163" i="25"/>
  <c r="G151" i="25"/>
  <c r="F151" i="25"/>
  <c r="H151" i="25"/>
  <c r="R283" i="28"/>
  <c r="Q283" i="28"/>
  <c r="S283" i="28"/>
  <c r="T75" i="28"/>
  <c r="I75" i="28"/>
  <c r="F70" i="28"/>
  <c r="G70" i="28"/>
  <c r="A75" i="28"/>
  <c r="H70" i="28"/>
  <c r="E135" i="25"/>
  <c r="Q199" i="28"/>
  <c r="R199" i="28"/>
  <c r="S199" i="28"/>
  <c r="E240" i="25"/>
  <c r="P72" i="28"/>
  <c r="G89" i="28"/>
  <c r="F89" i="28"/>
  <c r="H89" i="28"/>
  <c r="F183" i="28"/>
  <c r="T188" i="28"/>
  <c r="A188" i="28"/>
  <c r="I188" i="28"/>
  <c r="G183" i="28"/>
  <c r="G99" i="28"/>
  <c r="I104" i="28"/>
  <c r="F99" i="28"/>
  <c r="T104" i="28"/>
  <c r="A104" i="28"/>
  <c r="H99" i="28"/>
  <c r="E240" i="28"/>
  <c r="A299" i="28"/>
  <c r="T299" i="28"/>
  <c r="G294" i="28"/>
  <c r="I299" i="28"/>
  <c r="F294" i="28"/>
  <c r="H294" i="28"/>
  <c r="E300" i="25"/>
  <c r="G253" i="25"/>
  <c r="F253" i="25"/>
  <c r="I258" i="25"/>
  <c r="A258" i="25"/>
  <c r="H253" i="25"/>
  <c r="G171" i="28"/>
  <c r="F171" i="28"/>
  <c r="H171" i="28"/>
  <c r="G181" i="25"/>
  <c r="F181" i="25"/>
  <c r="H181" i="25"/>
  <c r="G87" i="28"/>
  <c r="F87" i="28"/>
  <c r="H87" i="28"/>
  <c r="E295" i="28"/>
  <c r="E71" i="28"/>
  <c r="E224" i="25"/>
  <c r="E128" i="28"/>
  <c r="I78" i="25"/>
  <c r="G73" i="25"/>
  <c r="A78" i="25"/>
  <c r="F73" i="25"/>
  <c r="H73" i="25"/>
  <c r="R116" i="28"/>
  <c r="Q116" i="28"/>
  <c r="S116" i="28"/>
  <c r="T103" i="28"/>
  <c r="I103" i="28"/>
  <c r="F98" i="28"/>
  <c r="G98" i="28"/>
  <c r="A103" i="28"/>
  <c r="H98" i="28"/>
  <c r="E130" i="28"/>
  <c r="E212" i="28"/>
  <c r="R114" i="28"/>
  <c r="Q114" i="28"/>
  <c r="S114" i="28"/>
  <c r="E267" i="28"/>
  <c r="A131" i="28"/>
  <c r="T131" i="28"/>
  <c r="I131" i="28"/>
  <c r="G126" i="28"/>
  <c r="F126" i="28"/>
  <c r="H126" i="28"/>
  <c r="E164" i="25"/>
  <c r="F255" i="28"/>
  <c r="G255" i="28"/>
  <c r="H255" i="28"/>
  <c r="F30" i="25"/>
  <c r="G30" i="25"/>
  <c r="G173" i="28"/>
  <c r="F173" i="28"/>
  <c r="H173" i="28"/>
  <c r="R255" i="28"/>
  <c r="Q255" i="28"/>
  <c r="S255" i="28"/>
  <c r="G313" i="25"/>
  <c r="A318" i="25"/>
  <c r="F313" i="25"/>
  <c r="H313" i="25"/>
  <c r="G121" i="25"/>
  <c r="F121" i="25"/>
  <c r="H121" i="25"/>
  <c r="P99" i="28"/>
  <c r="E104" i="25"/>
  <c r="Q238" i="28"/>
  <c r="L243" i="28"/>
  <c r="R238" i="28"/>
  <c r="S238" i="28"/>
  <c r="P212" i="28"/>
  <c r="P211" i="28"/>
  <c r="F117" i="28"/>
  <c r="G117" i="28"/>
  <c r="H117" i="28"/>
  <c r="Q117" i="28"/>
  <c r="R117" i="28"/>
  <c r="S117" i="28"/>
  <c r="P74" i="28"/>
  <c r="R115" i="28"/>
  <c r="Q115" i="28"/>
  <c r="S115" i="28"/>
  <c r="E134" i="25"/>
  <c r="I288" i="25"/>
  <c r="F283" i="25"/>
  <c r="G283" i="25"/>
  <c r="A288" i="25"/>
  <c r="H283" i="25"/>
  <c r="R173" i="28"/>
  <c r="Q173" i="28"/>
  <c r="S173" i="28"/>
  <c r="P155" i="28"/>
  <c r="Q60" i="28"/>
  <c r="R60" i="28"/>
  <c r="S60" i="28"/>
  <c r="G61" i="25"/>
  <c r="F61" i="25"/>
  <c r="H61" i="25"/>
  <c r="Q59" i="28"/>
  <c r="R59" i="28"/>
  <c r="S59" i="28"/>
  <c r="E156" i="28"/>
  <c r="Q257" i="28"/>
  <c r="R257" i="28"/>
  <c r="S257" i="28"/>
  <c r="Q183" i="28"/>
  <c r="L188" i="28"/>
  <c r="R183" i="28"/>
  <c r="G145" i="28"/>
  <c r="F145" i="28"/>
  <c r="H145" i="28"/>
  <c r="G90" i="25"/>
  <c r="F90" i="25"/>
  <c r="Q214" i="28"/>
  <c r="R214" i="28"/>
  <c r="S214" i="28"/>
  <c r="P100" i="28"/>
  <c r="S100" i="28" s="1"/>
  <c r="Q270" i="28"/>
  <c r="R270" i="28"/>
  <c r="S270" i="28"/>
  <c r="G227" i="28"/>
  <c r="F227" i="28"/>
  <c r="H227" i="28"/>
  <c r="P184" i="28"/>
  <c r="E180" i="25"/>
  <c r="G143" i="28"/>
  <c r="F143" i="28"/>
  <c r="H143" i="28"/>
  <c r="E155" i="28"/>
  <c r="E225" i="25"/>
  <c r="R143" i="28"/>
  <c r="Q143" i="28"/>
  <c r="S143" i="28"/>
  <c r="P71" i="28"/>
  <c r="G60" i="25"/>
  <c r="F60" i="25"/>
  <c r="F61" i="28"/>
  <c r="G61" i="28"/>
  <c r="H61" i="28"/>
  <c r="I138" i="25"/>
  <c r="A138" i="25"/>
  <c r="F133" i="25"/>
  <c r="G133" i="25"/>
  <c r="H133" i="25"/>
  <c r="R87" i="28"/>
  <c r="Q87" i="28"/>
  <c r="S87" i="28"/>
  <c r="G43" i="25"/>
  <c r="F43" i="25"/>
  <c r="A48" i="25"/>
  <c r="I48" i="25"/>
  <c r="H43" i="25"/>
  <c r="R285" i="28"/>
  <c r="Q285" i="28"/>
  <c r="S285" i="28"/>
  <c r="R88" i="28"/>
  <c r="Q88" i="28"/>
  <c r="S88" i="28"/>
  <c r="R182" i="28"/>
  <c r="Q182" i="28"/>
  <c r="L187" i="28"/>
  <c r="S182" i="28"/>
  <c r="R86" i="28"/>
  <c r="Q86" i="28"/>
  <c r="S86" i="28"/>
  <c r="R98" i="28"/>
  <c r="Q98" i="28"/>
  <c r="L103" i="28"/>
  <c r="S98" i="28"/>
  <c r="E195" i="25"/>
  <c r="F199" i="28"/>
  <c r="G199" i="28"/>
  <c r="H199" i="28"/>
  <c r="E255" i="25"/>
  <c r="E120" i="25"/>
  <c r="G229" i="28"/>
  <c r="F229" i="28"/>
  <c r="H229" i="28"/>
  <c r="E314" i="25"/>
  <c r="R294" i="28"/>
  <c r="Q294" i="28"/>
  <c r="L299" i="28"/>
  <c r="S294" i="28"/>
  <c r="R171" i="28"/>
  <c r="Q171" i="28"/>
  <c r="S171" i="28"/>
  <c r="T271" i="28"/>
  <c r="I271" i="28"/>
  <c r="G266" i="28"/>
  <c r="F266" i="28"/>
  <c r="A271" i="28"/>
  <c r="H266" i="28"/>
  <c r="F31" i="25"/>
  <c r="G31" i="25"/>
  <c r="H31" i="25"/>
  <c r="R145" i="28"/>
  <c r="Q145" i="28"/>
  <c r="S145" i="28"/>
  <c r="G241" i="25"/>
  <c r="F241" i="25"/>
  <c r="H241" i="25"/>
  <c r="E32" i="29"/>
  <c r="E127" i="28"/>
  <c r="E137" i="25"/>
  <c r="R61" i="28"/>
  <c r="Q61" i="28"/>
  <c r="S61" i="28"/>
  <c r="E165" i="25"/>
  <c r="R158" i="28"/>
  <c r="Q158" i="28"/>
  <c r="S158" i="28"/>
  <c r="P156" i="28"/>
  <c r="E45" i="25"/>
  <c r="R102" i="28"/>
  <c r="Q102" i="28"/>
  <c r="S102" i="28"/>
  <c r="G150" i="25"/>
  <c r="F150" i="25"/>
  <c r="S183" i="28"/>
  <c r="P130" i="28"/>
  <c r="E254" i="25"/>
  <c r="E239" i="28"/>
  <c r="L215" i="28"/>
  <c r="R210" i="28"/>
  <c r="Q210" i="28"/>
  <c r="S210" i="28"/>
  <c r="A198" i="25"/>
  <c r="G193" i="25"/>
  <c r="I198" i="25"/>
  <c r="F193" i="25"/>
  <c r="H193" i="25"/>
  <c r="E194" i="25"/>
  <c r="E105" i="25"/>
  <c r="P127" i="28"/>
  <c r="R266" i="28"/>
  <c r="L271" i="28"/>
  <c r="Q266" i="28"/>
  <c r="S266" i="28"/>
  <c r="G271" i="25"/>
  <c r="F271" i="25"/>
  <c r="H271" i="25"/>
  <c r="A243" i="28"/>
  <c r="I243" i="28"/>
  <c r="F238" i="28"/>
  <c r="G238" i="28"/>
  <c r="T243" i="28"/>
  <c r="H238" i="28"/>
  <c r="G210" i="28"/>
  <c r="A215" i="28"/>
  <c r="I215" i="28"/>
  <c r="T215" i="28"/>
  <c r="F210" i="28"/>
  <c r="H210" i="28"/>
  <c r="Q201" i="28"/>
  <c r="R201" i="28"/>
  <c r="S201" i="28"/>
  <c r="E184" i="28"/>
  <c r="E102" i="28"/>
  <c r="E76" i="25"/>
  <c r="R154" i="28"/>
  <c r="Q154" i="28"/>
  <c r="L159" i="28"/>
  <c r="S154" i="28"/>
  <c r="I228" i="25"/>
  <c r="G223" i="25"/>
  <c r="A228" i="25"/>
  <c r="F223" i="25"/>
  <c r="H223" i="25"/>
  <c r="Q58" i="28"/>
  <c r="R58" i="28"/>
  <c r="S58" i="28"/>
  <c r="Q70" i="28"/>
  <c r="L75" i="28"/>
  <c r="R70" i="28"/>
  <c r="S70" i="28"/>
  <c r="E211" i="28"/>
  <c r="F257" i="28"/>
  <c r="G257" i="28"/>
  <c r="H257" i="28"/>
  <c r="E47" i="25"/>
  <c r="H270" i="25"/>
  <c r="H180" i="25"/>
  <c r="E21" i="23"/>
  <c r="H21" i="23" s="1"/>
  <c r="Q32" i="28"/>
  <c r="R32" i="28"/>
  <c r="S32" i="28"/>
  <c r="Q30" i="28"/>
  <c r="S30" i="28"/>
  <c r="R30" i="28"/>
  <c r="P44" i="28"/>
  <c r="S33" i="28"/>
  <c r="Q33" i="28"/>
  <c r="R33" i="28"/>
  <c r="P43" i="28"/>
  <c r="R31" i="28"/>
  <c r="Q31" i="28"/>
  <c r="S31" i="28"/>
  <c r="S42" i="28"/>
  <c r="R42" i="28"/>
  <c r="Q42" i="28"/>
  <c r="L47" i="28"/>
  <c r="T47" i="28"/>
  <c r="E83" i="22"/>
  <c r="G83" i="22" s="1"/>
  <c r="E19" i="30"/>
  <c r="I19" i="30" s="1"/>
  <c r="J215" i="30" s="1"/>
  <c r="F215" i="30" s="1"/>
  <c r="E19" i="28"/>
  <c r="I19" i="28" s="1"/>
  <c r="E20" i="30"/>
  <c r="I20" i="30" s="1"/>
  <c r="J238" i="30" s="1"/>
  <c r="H238" i="30" s="1"/>
  <c r="E20" i="28"/>
  <c r="I20" i="28" s="1"/>
  <c r="E17" i="30"/>
  <c r="I17" i="30" s="1"/>
  <c r="J167" i="30" s="1"/>
  <c r="H167" i="30" s="1"/>
  <c r="E17" i="28"/>
  <c r="I17" i="28" s="1"/>
  <c r="E16" i="30"/>
  <c r="I16" i="30" s="1"/>
  <c r="J143" i="30" s="1"/>
  <c r="F143" i="30" s="1"/>
  <c r="E16" i="28"/>
  <c r="I16" i="28" s="1"/>
  <c r="E36" i="23"/>
  <c r="H36" i="23" s="1"/>
  <c r="E236" i="30"/>
  <c r="H236" i="30" s="1"/>
  <c r="E207" i="32"/>
  <c r="G207" i="32" s="1"/>
  <c r="P87" i="31"/>
  <c r="E153" i="32"/>
  <c r="F153" i="32" s="1"/>
  <c r="E164" i="30"/>
  <c r="H164" i="30" s="1"/>
  <c r="P35" i="31"/>
  <c r="E109" i="22"/>
  <c r="G109" i="22" s="1"/>
  <c r="E63" i="27"/>
  <c r="F63" i="27" s="1"/>
  <c r="E70" i="22"/>
  <c r="G70" i="22" s="1"/>
  <c r="E149" i="31"/>
  <c r="F149" i="31" s="1"/>
  <c r="E175" i="31"/>
  <c r="G175" i="31" s="1"/>
  <c r="E279" i="31"/>
  <c r="F279" i="31" s="1"/>
  <c r="E123" i="31"/>
  <c r="F123" i="31" s="1"/>
  <c r="E57" i="22"/>
  <c r="H57" i="22" s="1"/>
  <c r="E277" i="32"/>
  <c r="G277" i="32" s="1"/>
  <c r="E35" i="27"/>
  <c r="G35" i="27" s="1"/>
  <c r="E96" i="22"/>
  <c r="F96" i="22" s="1"/>
  <c r="E253" i="31"/>
  <c r="G253" i="31" s="1"/>
  <c r="E122" i="22"/>
  <c r="H122" i="22" s="1"/>
  <c r="E140" i="30"/>
  <c r="G140" i="30" s="1"/>
  <c r="E201" i="31"/>
  <c r="H201" i="31" s="1"/>
  <c r="E126" i="32"/>
  <c r="H126" i="32" s="1"/>
  <c r="E88" i="32"/>
  <c r="G88" i="32" s="1"/>
  <c r="E249" i="32"/>
  <c r="G249" i="32" s="1"/>
  <c r="E288" i="32"/>
  <c r="H288" i="32" s="1"/>
  <c r="E196" i="32"/>
  <c r="F196" i="32" s="1"/>
  <c r="E35" i="32"/>
  <c r="H35" i="32" s="1"/>
  <c r="E48" i="26"/>
  <c r="E135" i="22"/>
  <c r="H135" i="22" s="1"/>
  <c r="E188" i="30"/>
  <c r="F188" i="30" s="1"/>
  <c r="E227" i="31"/>
  <c r="H227" i="31" s="1"/>
  <c r="E222" i="32"/>
  <c r="G222" i="32" s="1"/>
  <c r="E142" i="32"/>
  <c r="H142" i="32" s="1"/>
  <c r="E74" i="26"/>
  <c r="E116" i="30"/>
  <c r="F116" i="30" s="1"/>
  <c r="E260" i="30"/>
  <c r="G260" i="30" s="1"/>
  <c r="E212" i="30"/>
  <c r="G212" i="30" s="1"/>
  <c r="E34" i="32"/>
  <c r="G34" i="32" s="1"/>
  <c r="H62" i="32"/>
  <c r="F62" i="32"/>
  <c r="G62" i="32"/>
  <c r="G127" i="32"/>
  <c r="H127" i="32"/>
  <c r="F127" i="32"/>
  <c r="H59" i="32"/>
  <c r="F59" i="32"/>
  <c r="G59" i="32"/>
  <c r="F89" i="32"/>
  <c r="H89" i="32"/>
  <c r="G89" i="32"/>
  <c r="F99" i="32"/>
  <c r="H99" i="32"/>
  <c r="G99" i="32"/>
  <c r="G278" i="32"/>
  <c r="F278" i="32"/>
  <c r="H278" i="32"/>
  <c r="G181" i="32"/>
  <c r="H181" i="32"/>
  <c r="F181" i="32"/>
  <c r="H154" i="32"/>
  <c r="G154" i="32"/>
  <c r="F154" i="32"/>
  <c r="G114" i="32"/>
  <c r="H114" i="32"/>
  <c r="F114" i="32"/>
  <c r="F33" i="32"/>
  <c r="H33" i="32"/>
  <c r="G33" i="32"/>
  <c r="F32" i="32"/>
  <c r="G32" i="32"/>
  <c r="H32" i="32"/>
  <c r="H74" i="32"/>
  <c r="G74" i="32"/>
  <c r="F74" i="32"/>
  <c r="F224" i="32"/>
  <c r="G224" i="32"/>
  <c r="H224" i="32"/>
  <c r="H101" i="32"/>
  <c r="G101" i="32"/>
  <c r="F101" i="32"/>
  <c r="G208" i="32"/>
  <c r="H208" i="32"/>
  <c r="F208" i="32"/>
  <c r="G168" i="32"/>
  <c r="F168" i="32"/>
  <c r="H168" i="32"/>
  <c r="G194" i="32"/>
  <c r="F194" i="32"/>
  <c r="H194" i="32"/>
  <c r="H47" i="32"/>
  <c r="F47" i="32"/>
  <c r="G47" i="32"/>
  <c r="F60" i="32"/>
  <c r="G60" i="32"/>
  <c r="H60" i="32"/>
  <c r="G155" i="32"/>
  <c r="F155" i="32"/>
  <c r="H155" i="32"/>
  <c r="F170" i="32"/>
  <c r="H170" i="32"/>
  <c r="G170" i="32"/>
  <c r="P165" i="31"/>
  <c r="G75" i="32"/>
  <c r="F75" i="32"/>
  <c r="H75" i="32"/>
  <c r="E180" i="32"/>
  <c r="H128" i="32"/>
  <c r="G128" i="32"/>
  <c r="F128" i="32"/>
  <c r="P86" i="31"/>
  <c r="E234" i="32"/>
  <c r="P60" i="31"/>
  <c r="E195" i="32"/>
  <c r="E61" i="32"/>
  <c r="E250" i="32"/>
  <c r="F236" i="32"/>
  <c r="G236" i="32"/>
  <c r="H236" i="32"/>
  <c r="E115" i="32"/>
  <c r="E223" i="32"/>
  <c r="H113" i="32"/>
  <c r="G113" i="32"/>
  <c r="F113" i="32"/>
  <c r="H116" i="32"/>
  <c r="G116" i="32"/>
  <c r="F116" i="32"/>
  <c r="F45" i="32"/>
  <c r="H45" i="32"/>
  <c r="G45" i="32"/>
  <c r="F264" i="32"/>
  <c r="H264" i="32"/>
  <c r="G264" i="32"/>
  <c r="H182" i="32"/>
  <c r="G182" i="32"/>
  <c r="F182" i="32"/>
  <c r="E261" i="32"/>
  <c r="P138" i="31"/>
  <c r="P112" i="31"/>
  <c r="F221" i="32"/>
  <c r="H221" i="32"/>
  <c r="G221" i="32"/>
  <c r="H248" i="32"/>
  <c r="G248" i="32"/>
  <c r="F248" i="32"/>
  <c r="F156" i="32"/>
  <c r="G156" i="32"/>
  <c r="H156" i="32"/>
  <c r="E169" i="32"/>
  <c r="P113" i="31"/>
  <c r="H290" i="32"/>
  <c r="F290" i="32"/>
  <c r="G290" i="32"/>
  <c r="G262" i="32"/>
  <c r="F262" i="32"/>
  <c r="H262" i="32"/>
  <c r="F209" i="32"/>
  <c r="H209" i="32"/>
  <c r="G209" i="32"/>
  <c r="H129" i="32"/>
  <c r="F129" i="32"/>
  <c r="G129" i="32"/>
  <c r="H291" i="32"/>
  <c r="F291" i="32"/>
  <c r="G291" i="32"/>
  <c r="H141" i="32"/>
  <c r="G141" i="32"/>
  <c r="F141" i="32"/>
  <c r="P164" i="31"/>
  <c r="P61" i="31"/>
  <c r="G237" i="32"/>
  <c r="F237" i="32"/>
  <c r="H237" i="32"/>
  <c r="F73" i="32"/>
  <c r="G73" i="32"/>
  <c r="H73" i="32"/>
  <c r="F140" i="32"/>
  <c r="G140" i="32"/>
  <c r="H140" i="32"/>
  <c r="H183" i="32"/>
  <c r="F183" i="32"/>
  <c r="G183" i="32"/>
  <c r="F167" i="32"/>
  <c r="G167" i="32"/>
  <c r="H167" i="32"/>
  <c r="F86" i="32"/>
  <c r="G86" i="32"/>
  <c r="H86" i="32"/>
  <c r="G263" i="32"/>
  <c r="F263" i="32"/>
  <c r="H263" i="32"/>
  <c r="F275" i="32"/>
  <c r="H275" i="32"/>
  <c r="G275" i="32"/>
  <c r="E276" i="32"/>
  <c r="G210" i="32"/>
  <c r="H210" i="32"/>
  <c r="F210" i="32"/>
  <c r="F87" i="32"/>
  <c r="G87" i="32"/>
  <c r="H87" i="32"/>
  <c r="F46" i="32"/>
  <c r="G46" i="32"/>
  <c r="H46" i="32"/>
  <c r="G235" i="32"/>
  <c r="F235" i="32"/>
  <c r="H235" i="32"/>
  <c r="H197" i="32"/>
  <c r="F197" i="32"/>
  <c r="G197" i="32"/>
  <c r="H251" i="32"/>
  <c r="F251" i="32"/>
  <c r="G251" i="32"/>
  <c r="H289" i="32"/>
  <c r="G289" i="32"/>
  <c r="F289" i="32"/>
  <c r="H102" i="32"/>
  <c r="G102" i="32"/>
  <c r="F102" i="32"/>
  <c r="H100" i="32"/>
  <c r="G100" i="32"/>
  <c r="F100" i="32"/>
  <c r="P139" i="31"/>
  <c r="F48" i="32"/>
  <c r="G48" i="32"/>
  <c r="H48" i="32"/>
  <c r="P34" i="31"/>
  <c r="G72" i="32"/>
  <c r="F72" i="32"/>
  <c r="H72" i="32"/>
  <c r="F143" i="32"/>
  <c r="H143" i="32"/>
  <c r="G143" i="32"/>
  <c r="P160" i="27"/>
  <c r="P132" i="27"/>
  <c r="P159" i="27"/>
  <c r="R159" i="27" s="1"/>
  <c r="G51" i="27"/>
  <c r="F51" i="27"/>
  <c r="H51" i="27"/>
  <c r="P187" i="27"/>
  <c r="Q219" i="27"/>
  <c r="S219" i="27"/>
  <c r="R219" i="27"/>
  <c r="P48" i="27"/>
  <c r="E87" i="31"/>
  <c r="P47" i="27"/>
  <c r="R79" i="27"/>
  <c r="Q79" i="27"/>
  <c r="S79" i="27"/>
  <c r="S107" i="27"/>
  <c r="Q107" i="27"/>
  <c r="R107" i="27"/>
  <c r="Q135" i="27"/>
  <c r="R135" i="27"/>
  <c r="S135" i="27"/>
  <c r="S191" i="27"/>
  <c r="R191" i="27"/>
  <c r="Q191" i="27"/>
  <c r="S163" i="27"/>
  <c r="Q163" i="27"/>
  <c r="R163" i="27"/>
  <c r="Q51" i="27"/>
  <c r="S51" i="27"/>
  <c r="R51" i="27"/>
  <c r="S247" i="27"/>
  <c r="Q247" i="27"/>
  <c r="R247" i="27"/>
  <c r="P76" i="27"/>
  <c r="P104" i="27"/>
  <c r="P103" i="27"/>
  <c r="P131" i="27"/>
  <c r="Q303" i="27"/>
  <c r="R303" i="27"/>
  <c r="S303" i="27"/>
  <c r="E165" i="31"/>
  <c r="S275" i="27"/>
  <c r="R275" i="27"/>
  <c r="Q275" i="27"/>
  <c r="P75" i="27"/>
  <c r="P188" i="27"/>
  <c r="H175" i="31"/>
  <c r="F175" i="31"/>
  <c r="H152" i="31"/>
  <c r="F152" i="31"/>
  <c r="G152" i="31"/>
  <c r="F44" i="30"/>
  <c r="G44" i="30"/>
  <c r="H44" i="30"/>
  <c r="H229" i="31"/>
  <c r="G229" i="31"/>
  <c r="F229" i="31"/>
  <c r="F107" i="30"/>
  <c r="H107" i="30"/>
  <c r="G107" i="30"/>
  <c r="G254" i="31"/>
  <c r="H254" i="31"/>
  <c r="F254" i="31"/>
  <c r="G255" i="31"/>
  <c r="F255" i="31"/>
  <c r="H255" i="31"/>
  <c r="F131" i="30"/>
  <c r="H131" i="30"/>
  <c r="G131" i="30"/>
  <c r="H45" i="31"/>
  <c r="G45" i="31"/>
  <c r="F45" i="31"/>
  <c r="G213" i="30"/>
  <c r="F213" i="30"/>
  <c r="H213" i="30"/>
  <c r="G48" i="31"/>
  <c r="H48" i="31"/>
  <c r="F48" i="31"/>
  <c r="F153" i="30"/>
  <c r="H153" i="30"/>
  <c r="G153" i="30"/>
  <c r="F177" i="30"/>
  <c r="G177" i="30"/>
  <c r="H177" i="30"/>
  <c r="H203" i="31"/>
  <c r="G203" i="31"/>
  <c r="F203" i="31"/>
  <c r="H57" i="30"/>
  <c r="G57" i="30"/>
  <c r="F57" i="30"/>
  <c r="F71" i="31"/>
  <c r="H71" i="31"/>
  <c r="G71" i="31"/>
  <c r="H80" i="30"/>
  <c r="F80" i="30"/>
  <c r="G80" i="30"/>
  <c r="G280" i="31"/>
  <c r="F280" i="31"/>
  <c r="H280" i="31"/>
  <c r="F82" i="30"/>
  <c r="H82" i="30"/>
  <c r="G82" i="30"/>
  <c r="E60" i="31"/>
  <c r="H176" i="30"/>
  <c r="H151" i="31"/>
  <c r="G151" i="31"/>
  <c r="F151" i="31"/>
  <c r="G68" i="30"/>
  <c r="H68" i="30"/>
  <c r="F68" i="30"/>
  <c r="G204" i="31"/>
  <c r="F204" i="31"/>
  <c r="H204" i="31"/>
  <c r="F251" i="30"/>
  <c r="H251" i="30"/>
  <c r="G251" i="30"/>
  <c r="H202" i="30"/>
  <c r="F72" i="31"/>
  <c r="H72" i="31"/>
  <c r="G72" i="31"/>
  <c r="H128" i="30"/>
  <c r="G261" i="30"/>
  <c r="H261" i="30"/>
  <c r="F261" i="30"/>
  <c r="H177" i="31"/>
  <c r="G177" i="31"/>
  <c r="F177" i="31"/>
  <c r="H130" i="30"/>
  <c r="G230" i="31"/>
  <c r="F230" i="31"/>
  <c r="H230" i="31"/>
  <c r="E61" i="31"/>
  <c r="E164" i="31"/>
  <c r="E112" i="31"/>
  <c r="F32" i="30"/>
  <c r="G32" i="30"/>
  <c r="H32" i="30"/>
  <c r="E138" i="31"/>
  <c r="H155" i="30"/>
  <c r="G155" i="30"/>
  <c r="F155" i="30"/>
  <c r="E35" i="31"/>
  <c r="H248" i="30"/>
  <c r="H249" i="30"/>
  <c r="G249" i="30"/>
  <c r="F249" i="30"/>
  <c r="H178" i="31"/>
  <c r="G178" i="31"/>
  <c r="F178" i="31"/>
  <c r="H189" i="30"/>
  <c r="G189" i="30"/>
  <c r="F189" i="30"/>
  <c r="H281" i="31"/>
  <c r="G281" i="31"/>
  <c r="F281" i="31"/>
  <c r="F98" i="31"/>
  <c r="H98" i="31"/>
  <c r="G98" i="31"/>
  <c r="H224" i="30"/>
  <c r="F83" i="30"/>
  <c r="H83" i="30"/>
  <c r="G83" i="30"/>
  <c r="G227" i="30"/>
  <c r="H227" i="30"/>
  <c r="F227" i="30"/>
  <c r="F228" i="31"/>
  <c r="H228" i="31"/>
  <c r="G228" i="31"/>
  <c r="F105" i="30"/>
  <c r="H105" i="30"/>
  <c r="G105" i="30"/>
  <c r="G150" i="31"/>
  <c r="F150" i="31"/>
  <c r="H150" i="31"/>
  <c r="F59" i="30"/>
  <c r="H59" i="30"/>
  <c r="G59" i="30"/>
  <c r="H154" i="30"/>
  <c r="H178" i="30"/>
  <c r="F176" i="31"/>
  <c r="G176" i="31"/>
  <c r="H176" i="31"/>
  <c r="H69" i="30"/>
  <c r="G69" i="30"/>
  <c r="F69" i="30"/>
  <c r="F56" i="30"/>
  <c r="H56" i="30"/>
  <c r="G56" i="30"/>
  <c r="H74" i="31"/>
  <c r="G74" i="31"/>
  <c r="F74" i="31"/>
  <c r="H34" i="30"/>
  <c r="G34" i="30"/>
  <c r="F34" i="30"/>
  <c r="H203" i="30"/>
  <c r="G203" i="30"/>
  <c r="F203" i="30"/>
  <c r="F225" i="30"/>
  <c r="H225" i="30"/>
  <c r="G225" i="30"/>
  <c r="F47" i="31"/>
  <c r="H47" i="31"/>
  <c r="G47" i="31"/>
  <c r="H46" i="31"/>
  <c r="G46" i="31"/>
  <c r="F46" i="31"/>
  <c r="H104" i="30"/>
  <c r="F104" i="30"/>
  <c r="G104" i="30"/>
  <c r="H97" i="31"/>
  <c r="G97" i="31"/>
  <c r="F97" i="31"/>
  <c r="F124" i="31"/>
  <c r="G124" i="31"/>
  <c r="H124" i="31"/>
  <c r="H282" i="31"/>
  <c r="G282" i="31"/>
  <c r="F282" i="31"/>
  <c r="H226" i="30"/>
  <c r="E34" i="31"/>
  <c r="H152" i="30"/>
  <c r="F81" i="30"/>
  <c r="H81" i="30"/>
  <c r="G81" i="30"/>
  <c r="F141" i="30"/>
  <c r="H141" i="30"/>
  <c r="G141" i="30"/>
  <c r="F125" i="31"/>
  <c r="H125" i="31"/>
  <c r="G125" i="31"/>
  <c r="F202" i="31"/>
  <c r="H202" i="31"/>
  <c r="G202" i="31"/>
  <c r="F237" i="30"/>
  <c r="H237" i="30"/>
  <c r="G237" i="30"/>
  <c r="F99" i="31"/>
  <c r="H99" i="31"/>
  <c r="G99" i="31"/>
  <c r="E86" i="31"/>
  <c r="H201" i="30"/>
  <c r="G201" i="30"/>
  <c r="F201" i="30"/>
  <c r="H129" i="30"/>
  <c r="F129" i="30"/>
  <c r="G129" i="30"/>
  <c r="F256" i="31"/>
  <c r="G256" i="31"/>
  <c r="H256" i="31"/>
  <c r="H250" i="30"/>
  <c r="G179" i="30"/>
  <c r="F179" i="30"/>
  <c r="H179" i="30"/>
  <c r="G92" i="30"/>
  <c r="H92" i="30"/>
  <c r="F92" i="30"/>
  <c r="G33" i="30"/>
  <c r="F33" i="30"/>
  <c r="H33" i="30"/>
  <c r="H58" i="30"/>
  <c r="G58" i="30"/>
  <c r="F58" i="30"/>
  <c r="G100" i="31"/>
  <c r="F100" i="31"/>
  <c r="H100" i="31"/>
  <c r="H35" i="30"/>
  <c r="G35" i="30"/>
  <c r="F35" i="30"/>
  <c r="H200" i="30"/>
  <c r="G165" i="30"/>
  <c r="F165" i="30"/>
  <c r="H165" i="30"/>
  <c r="G117" i="30"/>
  <c r="H117" i="30"/>
  <c r="F117" i="30"/>
  <c r="E113" i="31"/>
  <c r="H126" i="31"/>
  <c r="G126" i="31"/>
  <c r="F126" i="31"/>
  <c r="H45" i="30"/>
  <c r="F45" i="30"/>
  <c r="G45" i="30"/>
  <c r="F93" i="30"/>
  <c r="G93" i="30"/>
  <c r="H93" i="30"/>
  <c r="H106" i="30"/>
  <c r="F106" i="30"/>
  <c r="G106" i="30"/>
  <c r="F73" i="31"/>
  <c r="G73" i="31"/>
  <c r="H73" i="31"/>
  <c r="E139" i="31"/>
  <c r="H47" i="22"/>
  <c r="F47" i="22"/>
  <c r="G47" i="22"/>
  <c r="H71" i="22"/>
  <c r="G71" i="22"/>
  <c r="F71" i="22"/>
  <c r="E229" i="26"/>
  <c r="F229" i="26" s="1"/>
  <c r="H136" i="22"/>
  <c r="G136" i="22"/>
  <c r="F136" i="22"/>
  <c r="G124" i="22"/>
  <c r="F124" i="22"/>
  <c r="H124" i="22"/>
  <c r="F123" i="22"/>
  <c r="H123" i="22"/>
  <c r="G123" i="22"/>
  <c r="G99" i="22"/>
  <c r="F99" i="22"/>
  <c r="H99" i="22"/>
  <c r="F85" i="22"/>
  <c r="H85" i="22"/>
  <c r="G85" i="22"/>
  <c r="H73" i="22"/>
  <c r="F73" i="22"/>
  <c r="G73" i="22"/>
  <c r="G32" i="22"/>
  <c r="H32" i="22"/>
  <c r="F32" i="22"/>
  <c r="H112" i="22"/>
  <c r="F112" i="22"/>
  <c r="G112" i="22"/>
  <c r="F137" i="22"/>
  <c r="H137" i="22"/>
  <c r="G137" i="22"/>
  <c r="H58" i="22"/>
  <c r="G58" i="22"/>
  <c r="F58" i="22"/>
  <c r="H59" i="22"/>
  <c r="G59" i="22"/>
  <c r="F59" i="22"/>
  <c r="H110" i="22"/>
  <c r="G110" i="22"/>
  <c r="F110" i="22"/>
  <c r="F44" i="22"/>
  <c r="H44" i="22"/>
  <c r="G44" i="22"/>
  <c r="G33" i="22"/>
  <c r="F33" i="22"/>
  <c r="H33" i="22"/>
  <c r="H86" i="22"/>
  <c r="G86" i="22"/>
  <c r="F86" i="22"/>
  <c r="H45" i="22"/>
  <c r="G45" i="22"/>
  <c r="F45" i="22"/>
  <c r="G125" i="22"/>
  <c r="F125" i="22"/>
  <c r="H125" i="22"/>
  <c r="G98" i="22"/>
  <c r="F98" i="22"/>
  <c r="H98" i="22"/>
  <c r="G138" i="22"/>
  <c r="H138" i="22"/>
  <c r="F138" i="22"/>
  <c r="F84" i="22"/>
  <c r="H84" i="22"/>
  <c r="G84" i="22"/>
  <c r="F34" i="22"/>
  <c r="H34" i="22"/>
  <c r="G34" i="22"/>
  <c r="G72" i="22"/>
  <c r="F72" i="22"/>
  <c r="H72" i="22"/>
  <c r="G97" i="22"/>
  <c r="F97" i="22"/>
  <c r="H97" i="22"/>
  <c r="F13" i="18"/>
  <c r="K13" i="18" s="1"/>
  <c r="P62" i="18" s="1"/>
  <c r="H60" i="22"/>
  <c r="G60" i="22"/>
  <c r="F60" i="22"/>
  <c r="G46" i="22"/>
  <c r="F46" i="22"/>
  <c r="H46" i="22"/>
  <c r="F111" i="22"/>
  <c r="H111" i="22"/>
  <c r="G111" i="22"/>
  <c r="F31" i="22"/>
  <c r="H31" i="22"/>
  <c r="G31" i="22"/>
  <c r="E187" i="27"/>
  <c r="F187" i="27" s="1"/>
  <c r="E74" i="21"/>
  <c r="H74" i="21" s="1"/>
  <c r="E104" i="27"/>
  <c r="E86" i="21"/>
  <c r="G86" i="21" s="1"/>
  <c r="E61" i="21"/>
  <c r="H61" i="21" s="1"/>
  <c r="E48" i="21"/>
  <c r="H48" i="21" s="1"/>
  <c r="E160" i="27"/>
  <c r="E188" i="27"/>
  <c r="F60" i="21"/>
  <c r="G60" i="21"/>
  <c r="H60" i="21"/>
  <c r="H135" i="27"/>
  <c r="G135" i="27"/>
  <c r="F135" i="27"/>
  <c r="E109" i="23"/>
  <c r="H109" i="23" s="1"/>
  <c r="E90" i="27"/>
  <c r="E229" i="27"/>
  <c r="H229" i="27" s="1"/>
  <c r="E228" i="26"/>
  <c r="H228" i="26" s="1"/>
  <c r="E151" i="26"/>
  <c r="E125" i="26"/>
  <c r="E203" i="26"/>
  <c r="E257" i="27"/>
  <c r="H257" i="27" s="1"/>
  <c r="E50" i="23"/>
  <c r="E125" i="23"/>
  <c r="E73" i="26"/>
  <c r="E285" i="27"/>
  <c r="E202" i="27"/>
  <c r="E65" i="23"/>
  <c r="E140" i="23"/>
  <c r="E110" i="23"/>
  <c r="E154" i="23"/>
  <c r="E280" i="26"/>
  <c r="E254" i="26"/>
  <c r="H254" i="26" s="1"/>
  <c r="E255" i="26"/>
  <c r="E155" i="23"/>
  <c r="E139" i="23"/>
  <c r="E286" i="27"/>
  <c r="E177" i="26"/>
  <c r="E281" i="26"/>
  <c r="E124" i="23"/>
  <c r="H124" i="23" s="1"/>
  <c r="E201" i="27"/>
  <c r="H201" i="27" s="1"/>
  <c r="E80" i="23"/>
  <c r="E95" i="23"/>
  <c r="E230" i="27"/>
  <c r="E146" i="27"/>
  <c r="E202" i="26"/>
  <c r="H202" i="26" s="1"/>
  <c r="E174" i="27"/>
  <c r="E258" i="27"/>
  <c r="E118" i="27"/>
  <c r="E62" i="27"/>
  <c r="H62" i="27" s="1"/>
  <c r="E99" i="26"/>
  <c r="G97" i="26"/>
  <c r="F97" i="26"/>
  <c r="H97" i="26"/>
  <c r="E132" i="27"/>
  <c r="F284" i="27"/>
  <c r="G284" i="27"/>
  <c r="H284" i="27"/>
  <c r="G84" i="26"/>
  <c r="F84" i="26"/>
  <c r="H84" i="26"/>
  <c r="F85" i="26"/>
  <c r="G85" i="26"/>
  <c r="H85" i="26"/>
  <c r="F147" i="27"/>
  <c r="G147" i="27"/>
  <c r="H147" i="27"/>
  <c r="G78" i="23"/>
  <c r="F78" i="23"/>
  <c r="H78" i="23"/>
  <c r="H159" i="23"/>
  <c r="G159" i="23"/>
  <c r="F159" i="23"/>
  <c r="F94" i="23"/>
  <c r="G94" i="23"/>
  <c r="H114" i="23"/>
  <c r="G114" i="23"/>
  <c r="F114" i="23"/>
  <c r="G49" i="23"/>
  <c r="F49" i="23"/>
  <c r="F61" i="27"/>
  <c r="G61" i="27"/>
  <c r="H61" i="27"/>
  <c r="G91" i="27"/>
  <c r="F91" i="27"/>
  <c r="H91" i="27"/>
  <c r="F241" i="26"/>
  <c r="G241" i="26"/>
  <c r="H241" i="26"/>
  <c r="H246" i="26" s="1"/>
  <c r="F111" i="26"/>
  <c r="G111" i="26"/>
  <c r="H111" i="26"/>
  <c r="G172" i="27"/>
  <c r="F172" i="27"/>
  <c r="H172" i="27"/>
  <c r="G60" i="26"/>
  <c r="F60" i="26"/>
  <c r="H60" i="26"/>
  <c r="F217" i="26"/>
  <c r="G217" i="26"/>
  <c r="H217" i="26"/>
  <c r="F108" i="23"/>
  <c r="G108" i="23"/>
  <c r="H108" i="23"/>
  <c r="H144" i="23"/>
  <c r="G144" i="23"/>
  <c r="F144" i="23"/>
  <c r="G123" i="23"/>
  <c r="F123" i="23"/>
  <c r="H123" i="23"/>
  <c r="H54" i="23"/>
  <c r="G54" i="23"/>
  <c r="F54" i="23"/>
  <c r="F98" i="26"/>
  <c r="G98" i="26"/>
  <c r="F107" i="27"/>
  <c r="G107" i="27"/>
  <c r="H107" i="27"/>
  <c r="F227" i="26"/>
  <c r="G227" i="26"/>
  <c r="H227" i="26"/>
  <c r="G150" i="26"/>
  <c r="F150" i="26"/>
  <c r="H150" i="26"/>
  <c r="H191" i="27"/>
  <c r="G191" i="27"/>
  <c r="F191" i="27"/>
  <c r="F175" i="26"/>
  <c r="G175" i="26"/>
  <c r="H175" i="26"/>
  <c r="F200" i="27"/>
  <c r="G200" i="27"/>
  <c r="H200" i="27"/>
  <c r="G203" i="27"/>
  <c r="F203" i="27"/>
  <c r="H203" i="27"/>
  <c r="E73" i="21"/>
  <c r="H219" i="27"/>
  <c r="G219" i="27"/>
  <c r="F219" i="27"/>
  <c r="G87" i="26"/>
  <c r="F87" i="26"/>
  <c r="H87" i="26"/>
  <c r="F191" i="26"/>
  <c r="G191" i="26"/>
  <c r="H191" i="26"/>
  <c r="G228" i="27"/>
  <c r="F228" i="27"/>
  <c r="H228" i="27"/>
  <c r="F189" i="26"/>
  <c r="G189" i="26"/>
  <c r="H189" i="26"/>
  <c r="H194" i="26" s="1"/>
  <c r="G231" i="27"/>
  <c r="F231" i="27"/>
  <c r="H231" i="27"/>
  <c r="F71" i="26"/>
  <c r="G71" i="26"/>
  <c r="H71" i="26"/>
  <c r="G93" i="23"/>
  <c r="F93" i="23"/>
  <c r="H93" i="23"/>
  <c r="F153" i="23"/>
  <c r="G153" i="23"/>
  <c r="H153" i="23"/>
  <c r="G129" i="23"/>
  <c r="H129" i="23"/>
  <c r="F129" i="23"/>
  <c r="G141" i="23"/>
  <c r="F141" i="23"/>
  <c r="H141" i="23"/>
  <c r="G51" i="23"/>
  <c r="F51" i="23"/>
  <c r="H51" i="23"/>
  <c r="H247" i="27"/>
  <c r="G247" i="27"/>
  <c r="F247" i="27"/>
  <c r="F176" i="26"/>
  <c r="G176" i="26"/>
  <c r="G149" i="26"/>
  <c r="F149" i="26"/>
  <c r="H149" i="26"/>
  <c r="E75" i="27"/>
  <c r="G112" i="26"/>
  <c r="F112" i="26"/>
  <c r="H112" i="26"/>
  <c r="G117" i="27"/>
  <c r="F117" i="27"/>
  <c r="F60" i="27"/>
  <c r="G60" i="27"/>
  <c r="H60" i="27"/>
  <c r="F79" i="27"/>
  <c r="H79" i="27"/>
  <c r="G79" i="27"/>
  <c r="G99" i="23"/>
  <c r="F99" i="23"/>
  <c r="H99" i="23"/>
  <c r="F84" i="23"/>
  <c r="G84" i="23"/>
  <c r="H84" i="23"/>
  <c r="F126" i="23"/>
  <c r="G126" i="23"/>
  <c r="H126" i="23"/>
  <c r="G138" i="23"/>
  <c r="F138" i="23"/>
  <c r="H138" i="23"/>
  <c r="H98" i="26"/>
  <c r="H163" i="27"/>
  <c r="G163" i="27"/>
  <c r="F163" i="27"/>
  <c r="F123" i="26"/>
  <c r="G123" i="26"/>
  <c r="H123" i="26"/>
  <c r="G201" i="26"/>
  <c r="F201" i="26"/>
  <c r="H201" i="26"/>
  <c r="E131" i="27"/>
  <c r="F119" i="27"/>
  <c r="G119" i="27"/>
  <c r="H119" i="27"/>
  <c r="F256" i="27"/>
  <c r="G256" i="27"/>
  <c r="H256" i="27"/>
  <c r="G137" i="26"/>
  <c r="F137" i="26"/>
  <c r="H137" i="26"/>
  <c r="H142" i="26" s="1"/>
  <c r="F113" i="26"/>
  <c r="G113" i="26"/>
  <c r="H113" i="26"/>
  <c r="G110" i="26"/>
  <c r="F110" i="26"/>
  <c r="H110" i="26"/>
  <c r="G267" i="26"/>
  <c r="F267" i="26"/>
  <c r="H267" i="26"/>
  <c r="H272" i="26" s="1"/>
  <c r="G215" i="26"/>
  <c r="F215" i="26"/>
  <c r="H215" i="26"/>
  <c r="H220" i="26" s="1"/>
  <c r="F61" i="26"/>
  <c r="G61" i="26"/>
  <c r="H61" i="26"/>
  <c r="G156" i="23"/>
  <c r="F156" i="23"/>
  <c r="H156" i="23"/>
  <c r="G81" i="23"/>
  <c r="F81" i="23"/>
  <c r="H81" i="23"/>
  <c r="G116" i="27"/>
  <c r="F116" i="27"/>
  <c r="H116" i="27"/>
  <c r="E76" i="27"/>
  <c r="F66" i="23"/>
  <c r="G66" i="23"/>
  <c r="H66" i="23"/>
  <c r="F64" i="23"/>
  <c r="G64" i="23"/>
  <c r="H49" i="23"/>
  <c r="F279" i="26"/>
  <c r="G279" i="26"/>
  <c r="H279" i="26"/>
  <c r="G175" i="27"/>
  <c r="F175" i="27"/>
  <c r="H175" i="27"/>
  <c r="F269" i="26"/>
  <c r="G269" i="26"/>
  <c r="H269" i="26"/>
  <c r="F287" i="27"/>
  <c r="G287" i="27"/>
  <c r="H287" i="27"/>
  <c r="G163" i="26"/>
  <c r="F163" i="26"/>
  <c r="H163" i="26"/>
  <c r="H168" i="26" s="1"/>
  <c r="F165" i="26"/>
  <c r="G165" i="26"/>
  <c r="H165" i="26"/>
  <c r="F88" i="27"/>
  <c r="G88" i="27"/>
  <c r="H88" i="27"/>
  <c r="G96" i="23"/>
  <c r="F96" i="23"/>
  <c r="H96" i="23"/>
  <c r="G79" i="23"/>
  <c r="F79" i="23"/>
  <c r="H79" i="23"/>
  <c r="G63" i="23"/>
  <c r="F63" i="23"/>
  <c r="H63" i="23"/>
  <c r="E103" i="27"/>
  <c r="F253" i="26"/>
  <c r="G253" i="26"/>
  <c r="H253" i="26"/>
  <c r="E87" i="21"/>
  <c r="E47" i="21"/>
  <c r="G173" i="27"/>
  <c r="F173" i="27"/>
  <c r="G139" i="26"/>
  <c r="F139" i="26"/>
  <c r="H139" i="26"/>
  <c r="G259" i="27"/>
  <c r="F259" i="27"/>
  <c r="H259" i="27"/>
  <c r="F89" i="27"/>
  <c r="G89" i="27"/>
  <c r="H94" i="23"/>
  <c r="H275" i="27"/>
  <c r="G275" i="27"/>
  <c r="F275" i="27"/>
  <c r="F303" i="27"/>
  <c r="H303" i="27"/>
  <c r="G303" i="27"/>
  <c r="E159" i="27"/>
  <c r="F124" i="26"/>
  <c r="G124" i="26"/>
  <c r="G86" i="26"/>
  <c r="F86" i="26"/>
  <c r="H86" i="26"/>
  <c r="G145" i="27"/>
  <c r="F145" i="27"/>
  <c r="H145" i="27"/>
  <c r="G58" i="26"/>
  <c r="F58" i="26"/>
  <c r="H58" i="26"/>
  <c r="G59" i="26"/>
  <c r="F59" i="26"/>
  <c r="H59" i="26"/>
  <c r="F72" i="26"/>
  <c r="G72" i="26"/>
  <c r="H72" i="26"/>
  <c r="F243" i="26"/>
  <c r="G243" i="26"/>
  <c r="H243" i="26"/>
  <c r="F144" i="27"/>
  <c r="G144" i="27"/>
  <c r="H144" i="27"/>
  <c r="F69" i="23"/>
  <c r="H69" i="23"/>
  <c r="G69" i="23"/>
  <c r="F111" i="23"/>
  <c r="G111" i="23"/>
  <c r="H111" i="23"/>
  <c r="G48" i="23"/>
  <c r="F48" i="23"/>
  <c r="H48" i="23"/>
  <c r="H173" i="27"/>
  <c r="H176" i="26"/>
  <c r="E16" i="20"/>
  <c r="I16" i="20" s="1"/>
  <c r="J143" i="20" s="1"/>
  <c r="E16" i="26"/>
  <c r="I16" i="26" s="1"/>
  <c r="J152" i="26" s="1"/>
  <c r="E19" i="20"/>
  <c r="I19" i="20" s="1"/>
  <c r="J215" i="20" s="1"/>
  <c r="E19" i="26"/>
  <c r="I19" i="26" s="1"/>
  <c r="J230" i="26" s="1"/>
  <c r="E17" i="20"/>
  <c r="I17" i="20" s="1"/>
  <c r="J167" i="20" s="1"/>
  <c r="E17" i="26"/>
  <c r="I17" i="26" s="1"/>
  <c r="J178" i="26" s="1"/>
  <c r="E20" i="20"/>
  <c r="I20" i="20" s="1"/>
  <c r="J239" i="20" s="1"/>
  <c r="E20" i="26"/>
  <c r="I20" i="26" s="1"/>
  <c r="J256" i="26" s="1"/>
  <c r="H225" i="20"/>
  <c r="G225" i="20"/>
  <c r="F225" i="20"/>
  <c r="H203" i="20"/>
  <c r="F203" i="20"/>
  <c r="G203" i="20"/>
  <c r="G104" i="20"/>
  <c r="H104" i="20"/>
  <c r="F58" i="20"/>
  <c r="H58" i="20"/>
  <c r="G80" i="20"/>
  <c r="H80" i="20"/>
  <c r="H179" i="20"/>
  <c r="G179" i="20"/>
  <c r="F179" i="20"/>
  <c r="F128" i="20"/>
  <c r="H128" i="20"/>
  <c r="H133" i="20" s="1"/>
  <c r="H201" i="20"/>
  <c r="G201" i="20"/>
  <c r="F201" i="20"/>
  <c r="G56" i="20"/>
  <c r="H56" i="20"/>
  <c r="F34" i="20"/>
  <c r="H34" i="20"/>
  <c r="F81" i="20"/>
  <c r="H81" i="20"/>
  <c r="F57" i="20"/>
  <c r="H57" i="20"/>
  <c r="F153" i="20"/>
  <c r="H153" i="20"/>
  <c r="G107" i="20"/>
  <c r="H107" i="20"/>
  <c r="G82" i="20"/>
  <c r="H82" i="20"/>
  <c r="F33" i="20"/>
  <c r="H33" i="20"/>
  <c r="F32" i="20"/>
  <c r="H32" i="20"/>
  <c r="G154" i="20"/>
  <c r="H154" i="20"/>
  <c r="F35" i="20"/>
  <c r="H35" i="20"/>
  <c r="H177" i="20"/>
  <c r="F177" i="20"/>
  <c r="G177" i="20"/>
  <c r="F155" i="20"/>
  <c r="H155" i="20"/>
  <c r="F59" i="20"/>
  <c r="H59" i="20"/>
  <c r="H227" i="20"/>
  <c r="G227" i="20"/>
  <c r="F227" i="20"/>
  <c r="H249" i="20"/>
  <c r="G249" i="20"/>
  <c r="F249" i="20"/>
  <c r="H251" i="20"/>
  <c r="F251" i="20"/>
  <c r="G251" i="20"/>
  <c r="F21" i="18"/>
  <c r="K21" i="18" s="1"/>
  <c r="P66" i="18" s="1"/>
  <c r="F11" i="18"/>
  <c r="J11" i="18" s="1"/>
  <c r="O61" i="18" s="1"/>
  <c r="Q12" i="18"/>
  <c r="Q61" i="18" s="1"/>
  <c r="Q18" i="18"/>
  <c r="Q64" i="18" s="1"/>
  <c r="N9" i="18"/>
  <c r="F9" i="18"/>
  <c r="Y10" i="18"/>
  <c r="Y60" i="18" s="1"/>
  <c r="Q10" i="18"/>
  <c r="Q60" i="18" s="1"/>
  <c r="F19" i="18"/>
  <c r="I19" i="18" s="1"/>
  <c r="N65" i="18" s="1"/>
  <c r="H121" i="19"/>
  <c r="G121" i="19"/>
  <c r="F121" i="19"/>
  <c r="G107" i="19"/>
  <c r="H107" i="19"/>
  <c r="F107" i="19"/>
  <c r="Y16" i="18"/>
  <c r="Y63" i="18" s="1"/>
  <c r="Q16" i="18"/>
  <c r="Q63" i="18" s="1"/>
  <c r="F17" i="18"/>
  <c r="N17" i="18"/>
  <c r="F131" i="19"/>
  <c r="G131" i="19"/>
  <c r="H131" i="19"/>
  <c r="Y6" i="18"/>
  <c r="Y58" i="18" s="1"/>
  <c r="Q6" i="18"/>
  <c r="Q58" i="18" s="1"/>
  <c r="H119" i="19"/>
  <c r="F119" i="19"/>
  <c r="G119" i="19"/>
  <c r="Y8" i="18"/>
  <c r="Y59" i="18" s="1"/>
  <c r="Q8" i="18"/>
  <c r="Q59" i="18" s="1"/>
  <c r="F109" i="19"/>
  <c r="G109" i="19"/>
  <c r="H109" i="19"/>
  <c r="Q20" i="18"/>
  <c r="Q65" i="18" s="1"/>
  <c r="F3" i="18"/>
  <c r="N3" i="18"/>
  <c r="F5" i="18"/>
  <c r="N5" i="18"/>
  <c r="H95" i="19"/>
  <c r="F95" i="19"/>
  <c r="G95" i="19"/>
  <c r="Y4" i="18"/>
  <c r="Y57" i="18" s="1"/>
  <c r="Q4" i="18"/>
  <c r="Q57" i="18" s="1"/>
  <c r="F15" i="18"/>
  <c r="N15" i="18"/>
  <c r="Y22" i="18"/>
  <c r="Y66" i="18" s="1"/>
  <c r="Q22" i="18"/>
  <c r="Q66" i="18" s="1"/>
  <c r="H97" i="19"/>
  <c r="G97" i="19"/>
  <c r="F97" i="19"/>
  <c r="H133" i="19"/>
  <c r="F133" i="19"/>
  <c r="G133" i="19"/>
  <c r="Q14" i="18"/>
  <c r="Q62" i="18" s="1"/>
  <c r="F7" i="18"/>
  <c r="N7" i="18"/>
  <c r="G106" i="20"/>
  <c r="G35" i="20"/>
  <c r="E43" i="28"/>
  <c r="AG10" i="24"/>
  <c r="G234" i="33" s="1"/>
  <c r="G240" i="33" s="1"/>
  <c r="F33" i="28"/>
  <c r="G33" i="28"/>
  <c r="H33" i="28"/>
  <c r="E46" i="28"/>
  <c r="G31" i="28"/>
  <c r="F31" i="28"/>
  <c r="H31" i="28"/>
  <c r="X207" i="17"/>
  <c r="M209" i="17"/>
  <c r="E44" i="28"/>
  <c r="AG5" i="24"/>
  <c r="G79" i="33" s="1"/>
  <c r="G85" i="33" s="1"/>
  <c r="AG7" i="24"/>
  <c r="G141" i="33" s="1"/>
  <c r="G147" i="33" s="1"/>
  <c r="O32" i="24"/>
  <c r="A47" i="28"/>
  <c r="I47" i="28"/>
  <c r="G42" i="28"/>
  <c r="H42" i="28"/>
  <c r="F42" i="28"/>
  <c r="X205" i="17"/>
  <c r="M207" i="17"/>
  <c r="I77" i="33" s="1"/>
  <c r="AG9" i="24"/>
  <c r="G203" i="33" s="1"/>
  <c r="G209" i="33" s="1"/>
  <c r="AG4" i="24"/>
  <c r="AG6" i="24"/>
  <c r="G110" i="33" s="1"/>
  <c r="G116" i="33" s="1"/>
  <c r="H24" i="19"/>
  <c r="H60" i="19"/>
  <c r="G60" i="19"/>
  <c r="F104" i="20"/>
  <c r="H25" i="19"/>
  <c r="G25" i="19"/>
  <c r="G47" i="19"/>
  <c r="F56" i="20"/>
  <c r="H47" i="19"/>
  <c r="F106" i="20"/>
  <c r="H48" i="19"/>
  <c r="G48" i="19"/>
  <c r="G59" i="20"/>
  <c r="G153" i="20"/>
  <c r="G33" i="26"/>
  <c r="F33" i="26"/>
  <c r="H33" i="26"/>
  <c r="F45" i="26"/>
  <c r="G45" i="26"/>
  <c r="H45" i="26"/>
  <c r="F82" i="20"/>
  <c r="E47" i="27"/>
  <c r="E34" i="27"/>
  <c r="H34" i="27" s="1"/>
  <c r="S26" i="24"/>
  <c r="G46" i="26"/>
  <c r="F46" i="26"/>
  <c r="H23" i="19"/>
  <c r="E48" i="27"/>
  <c r="S24" i="24"/>
  <c r="F23" i="19"/>
  <c r="F80" i="20"/>
  <c r="H85" i="19"/>
  <c r="F34" i="19"/>
  <c r="H34" i="19"/>
  <c r="F32" i="26"/>
  <c r="G32" i="26"/>
  <c r="S29" i="24"/>
  <c r="S25" i="24"/>
  <c r="G33" i="27"/>
  <c r="F33" i="27"/>
  <c r="F35" i="26"/>
  <c r="G35" i="26"/>
  <c r="H35" i="26"/>
  <c r="G85" i="19"/>
  <c r="G129" i="20"/>
  <c r="G58" i="19"/>
  <c r="H58" i="19"/>
  <c r="G70" i="19"/>
  <c r="H70" i="19"/>
  <c r="E47" i="26"/>
  <c r="H47" i="26" s="1"/>
  <c r="F32" i="27"/>
  <c r="G32" i="27"/>
  <c r="H32" i="27"/>
  <c r="F129" i="20"/>
  <c r="G18" i="22"/>
  <c r="F18" i="22"/>
  <c r="S23" i="24"/>
  <c r="F21" i="22"/>
  <c r="G21" i="22"/>
  <c r="G20" i="22"/>
  <c r="F20" i="22"/>
  <c r="H20" i="22"/>
  <c r="F49" i="19"/>
  <c r="G46" i="19"/>
  <c r="H46" i="19"/>
  <c r="G34" i="26"/>
  <c r="F34" i="26"/>
  <c r="H34" i="26"/>
  <c r="G19" i="22"/>
  <c r="F19" i="22"/>
  <c r="H19" i="22"/>
  <c r="S30" i="24"/>
  <c r="S27" i="24"/>
  <c r="F131" i="20"/>
  <c r="H73" i="19"/>
  <c r="G33" i="20"/>
  <c r="F73" i="19"/>
  <c r="H72" i="19"/>
  <c r="G22" i="19"/>
  <c r="G58" i="20"/>
  <c r="G71" i="19"/>
  <c r="F22" i="19"/>
  <c r="G128" i="20"/>
  <c r="G131" i="20"/>
  <c r="H35" i="19"/>
  <c r="G35" i="19"/>
  <c r="G57" i="20"/>
  <c r="G152" i="20"/>
  <c r="F83" i="20"/>
  <c r="G81" i="20"/>
  <c r="F61" i="19"/>
  <c r="G155" i="20"/>
  <c r="F107" i="20"/>
  <c r="F70" i="19"/>
  <c r="G83" i="20"/>
  <c r="H71" i="19"/>
  <c r="F154" i="20"/>
  <c r="G49" i="19"/>
  <c r="F72" i="19"/>
  <c r="G34" i="20"/>
  <c r="G32" i="20"/>
  <c r="E35" i="23"/>
  <c r="G35" i="23" s="1"/>
  <c r="F83" i="19"/>
  <c r="F152" i="20"/>
  <c r="F18" i="23"/>
  <c r="G18" i="23"/>
  <c r="H18" i="23"/>
  <c r="F36" i="19"/>
  <c r="H37" i="19"/>
  <c r="F58" i="19"/>
  <c r="G34" i="19"/>
  <c r="E20" i="23"/>
  <c r="G33" i="23"/>
  <c r="F33" i="23"/>
  <c r="H33" i="23"/>
  <c r="G83" i="19"/>
  <c r="G36" i="19"/>
  <c r="F37" i="19"/>
  <c r="H61" i="19"/>
  <c r="F130" i="20"/>
  <c r="F24" i="23"/>
  <c r="H24" i="23"/>
  <c r="G24" i="23"/>
  <c r="H34" i="23"/>
  <c r="G34" i="23"/>
  <c r="F34" i="23"/>
  <c r="H39" i="23"/>
  <c r="F39" i="23"/>
  <c r="G39" i="23"/>
  <c r="G130" i="20"/>
  <c r="H19" i="23"/>
  <c r="F19" i="23"/>
  <c r="G19" i="23"/>
  <c r="G24" i="19"/>
  <c r="X256" i="17"/>
  <c r="K258" i="17"/>
  <c r="E95" i="20"/>
  <c r="E94" i="20"/>
  <c r="H94" i="20" s="1"/>
  <c r="G59" i="19"/>
  <c r="F59" i="19"/>
  <c r="H59" i="19"/>
  <c r="F105" i="20"/>
  <c r="G105" i="20"/>
  <c r="F50" i="19"/>
  <c r="K250" i="17"/>
  <c r="K161" i="17"/>
  <c r="H311" i="33" s="1"/>
  <c r="H314" i="33" s="1"/>
  <c r="H315" i="33" s="1"/>
  <c r="J315" i="33" s="1"/>
  <c r="H256" i="17"/>
  <c r="X254" i="17" s="1"/>
  <c r="H257" i="17"/>
  <c r="X255" i="17" s="1"/>
  <c r="H212" i="17"/>
  <c r="H210" i="17"/>
  <c r="D202" i="17"/>
  <c r="D160" i="17"/>
  <c r="D207" i="17"/>
  <c r="D249" i="17"/>
  <c r="K160" i="17"/>
  <c r="H280" i="33" s="1"/>
  <c r="H283" i="33" s="1"/>
  <c r="H284" i="33" s="1"/>
  <c r="J284" i="33" s="1"/>
  <c r="D158" i="17"/>
  <c r="D161" i="17"/>
  <c r="K200" i="17"/>
  <c r="H138" i="33" s="1"/>
  <c r="D205" i="17"/>
  <c r="D242" i="17"/>
  <c r="K202" i="17"/>
  <c r="H200" i="33" s="1"/>
  <c r="Y260" i="17"/>
  <c r="B262" i="17"/>
  <c r="G262" i="17"/>
  <c r="H262" i="17" s="1"/>
  <c r="D245" i="17"/>
  <c r="E259" i="17"/>
  <c r="K259" i="17"/>
  <c r="C259" i="17"/>
  <c r="H260" i="17"/>
  <c r="K251" i="17"/>
  <c r="K204" i="17"/>
  <c r="H262" i="33" s="1"/>
  <c r="E252" i="17"/>
  <c r="C252" i="17"/>
  <c r="K158" i="17"/>
  <c r="H187" i="33" s="1"/>
  <c r="H190" i="33" s="1"/>
  <c r="H191" i="33" s="1"/>
  <c r="J191" i="33" s="1"/>
  <c r="E260" i="17"/>
  <c r="K260" i="17"/>
  <c r="C260" i="17"/>
  <c r="Y262" i="17"/>
  <c r="G264" i="17"/>
  <c r="B264" i="17"/>
  <c r="D208" i="17"/>
  <c r="H259" i="17"/>
  <c r="K205" i="17"/>
  <c r="H293" i="33" s="1"/>
  <c r="D258" i="17"/>
  <c r="K249" i="17"/>
  <c r="S31" i="29" s="1"/>
  <c r="C257" i="17"/>
  <c r="E257" i="17"/>
  <c r="D200" i="17"/>
  <c r="C255" i="17"/>
  <c r="E255" i="17"/>
  <c r="D247" i="17"/>
  <c r="D203" i="17"/>
  <c r="H255" i="17"/>
  <c r="X253" i="17" s="1"/>
  <c r="C256" i="17"/>
  <c r="E256" i="17"/>
  <c r="D251" i="17"/>
  <c r="D204" i="17"/>
  <c r="D250" i="17"/>
  <c r="Y263" i="17"/>
  <c r="G265" i="17"/>
  <c r="B265" i="17"/>
  <c r="C261" i="17"/>
  <c r="K261" i="17"/>
  <c r="E261" i="17"/>
  <c r="C213" i="17"/>
  <c r="K213" i="17"/>
  <c r="E213" i="17"/>
  <c r="K203" i="17"/>
  <c r="H231" i="33" s="1"/>
  <c r="D246" i="17"/>
  <c r="C254" i="17"/>
  <c r="E254" i="17"/>
  <c r="E210" i="17"/>
  <c r="K210" i="17"/>
  <c r="C210" i="17"/>
  <c r="H254" i="17"/>
  <c r="X252" i="17" s="1"/>
  <c r="H252" i="17"/>
  <c r="X250" i="17" s="1"/>
  <c r="H261" i="17"/>
  <c r="D209" i="17"/>
  <c r="D244" i="17"/>
  <c r="H213" i="17"/>
  <c r="E212" i="17"/>
  <c r="K212" i="17"/>
  <c r="C212" i="17"/>
  <c r="H238" i="33" l="1"/>
  <c r="H239" i="33" s="1"/>
  <c r="H269" i="33"/>
  <c r="H270" i="33" s="1"/>
  <c r="F77" i="33"/>
  <c r="F83" i="33" s="1"/>
  <c r="F84" i="33" s="1"/>
  <c r="H77" i="33"/>
  <c r="H83" i="33" s="1"/>
  <c r="G77" i="33"/>
  <c r="G83" i="33" s="1"/>
  <c r="G84" i="33" s="1"/>
  <c r="H115" i="33"/>
  <c r="I170" i="33"/>
  <c r="I139" i="33"/>
  <c r="W25" i="24"/>
  <c r="U96" i="28" s="1"/>
  <c r="J101" i="25"/>
  <c r="T95" i="29"/>
  <c r="R104" i="29"/>
  <c r="R108" i="29" s="1"/>
  <c r="R109" i="29" s="1"/>
  <c r="Q104" i="29"/>
  <c r="Q108" i="29" s="1"/>
  <c r="Q109" i="29" s="1"/>
  <c r="S104" i="29"/>
  <c r="S108" i="29" s="1"/>
  <c r="H219" i="29"/>
  <c r="H224" i="29" s="1"/>
  <c r="H225" i="29" s="1"/>
  <c r="H116" i="24"/>
  <c r="H121" i="24" s="1"/>
  <c r="H122" i="24" s="1"/>
  <c r="S219" i="29"/>
  <c r="S224" i="29" s="1"/>
  <c r="S225" i="29" s="1"/>
  <c r="I95" i="29"/>
  <c r="G104" i="29"/>
  <c r="G108" i="29" s="1"/>
  <c r="G109" i="29" s="1"/>
  <c r="F104" i="29"/>
  <c r="F108" i="29" s="1"/>
  <c r="F109" i="29" s="1"/>
  <c r="H104" i="29"/>
  <c r="H108" i="29" s="1"/>
  <c r="S277" i="29"/>
  <c r="H148" i="24"/>
  <c r="H277" i="29"/>
  <c r="S63" i="29"/>
  <c r="H63" i="29"/>
  <c r="R106" i="29"/>
  <c r="G106" i="29"/>
  <c r="G55" i="24"/>
  <c r="I85" i="24"/>
  <c r="I69" i="24"/>
  <c r="I133" i="29"/>
  <c r="T133" i="29"/>
  <c r="I162" i="29"/>
  <c r="T162" i="29"/>
  <c r="H132" i="29"/>
  <c r="S132" i="29"/>
  <c r="H68" i="24"/>
  <c r="G48" i="33"/>
  <c r="G48" i="29"/>
  <c r="R48" i="29"/>
  <c r="G23" i="24"/>
  <c r="R222" i="29"/>
  <c r="G222" i="29"/>
  <c r="G119" i="24"/>
  <c r="H60" i="29"/>
  <c r="H65" i="29" s="1"/>
  <c r="S60" i="29"/>
  <c r="S65" i="29" s="1"/>
  <c r="I46" i="33"/>
  <c r="I46" i="29"/>
  <c r="T46" i="29"/>
  <c r="I37" i="24"/>
  <c r="I21" i="24"/>
  <c r="I75" i="29"/>
  <c r="T75" i="29"/>
  <c r="H100" i="24"/>
  <c r="S190" i="29"/>
  <c r="H190" i="29"/>
  <c r="G77" i="29"/>
  <c r="R77" i="29"/>
  <c r="G39" i="24"/>
  <c r="H92" i="29"/>
  <c r="S92" i="29"/>
  <c r="G193" i="29"/>
  <c r="R193" i="29"/>
  <c r="G103" i="24"/>
  <c r="S150" i="29"/>
  <c r="S121" i="29"/>
  <c r="H150" i="29"/>
  <c r="H121" i="29"/>
  <c r="S248" i="29"/>
  <c r="S253" i="29" s="1"/>
  <c r="S254" i="29" s="1"/>
  <c r="H248" i="29"/>
  <c r="H253" i="29" s="1"/>
  <c r="H254" i="29" s="1"/>
  <c r="H132" i="24"/>
  <c r="H137" i="24" s="1"/>
  <c r="H138" i="24" s="1"/>
  <c r="G135" i="29"/>
  <c r="R135" i="29"/>
  <c r="G71" i="24"/>
  <c r="H292" i="29"/>
  <c r="H297" i="29" s="1"/>
  <c r="S292" i="29"/>
  <c r="S297" i="29" s="1"/>
  <c r="S89" i="29"/>
  <c r="S94" i="29" s="1"/>
  <c r="H89" i="29"/>
  <c r="H94" i="29" s="1"/>
  <c r="H53" i="24"/>
  <c r="H57" i="24" s="1"/>
  <c r="F53" i="24"/>
  <c r="F57" i="24" s="1"/>
  <c r="F58" i="24" s="1"/>
  <c r="G53" i="24"/>
  <c r="G57" i="24" s="1"/>
  <c r="G58" i="24" s="1"/>
  <c r="I58" i="24"/>
  <c r="G32" i="29"/>
  <c r="H32" i="29"/>
  <c r="F32" i="29"/>
  <c r="H72" i="28"/>
  <c r="Q90" i="28"/>
  <c r="S118" i="28"/>
  <c r="Q62" i="28"/>
  <c r="R90" i="28"/>
  <c r="Q118" i="28"/>
  <c r="Q156" i="28"/>
  <c r="R156" i="28"/>
  <c r="S156" i="28"/>
  <c r="D156" i="28"/>
  <c r="G156" i="28" s="1"/>
  <c r="F156" i="28"/>
  <c r="D135" i="25"/>
  <c r="H135" i="25" s="1"/>
  <c r="F135" i="25"/>
  <c r="P73" i="28"/>
  <c r="E101" i="28"/>
  <c r="G211" i="28"/>
  <c r="I216" i="28"/>
  <c r="F211" i="28"/>
  <c r="T216" i="28"/>
  <c r="A216" i="28"/>
  <c r="H211" i="28"/>
  <c r="I160" i="28"/>
  <c r="G155" i="28"/>
  <c r="F155" i="28"/>
  <c r="T160" i="28"/>
  <c r="A160" i="28"/>
  <c r="H155" i="28"/>
  <c r="E315" i="25"/>
  <c r="R211" i="28"/>
  <c r="L216" i="28"/>
  <c r="Q211" i="28"/>
  <c r="S211" i="28"/>
  <c r="F128" i="28"/>
  <c r="D128" i="28"/>
  <c r="H128" i="28" s="1"/>
  <c r="L300" i="28"/>
  <c r="R295" i="28"/>
  <c r="Q295" i="28"/>
  <c r="S295" i="28"/>
  <c r="D45" i="25"/>
  <c r="G45" i="25" s="1"/>
  <c r="F45" i="25"/>
  <c r="F134" i="25"/>
  <c r="I139" i="25"/>
  <c r="G134" i="25"/>
  <c r="A139" i="25"/>
  <c r="H134" i="25"/>
  <c r="E106" i="25"/>
  <c r="I106" i="25" s="1"/>
  <c r="E296" i="28"/>
  <c r="R118" i="28"/>
  <c r="I229" i="25"/>
  <c r="F224" i="25"/>
  <c r="A229" i="25"/>
  <c r="G224" i="25"/>
  <c r="H224" i="25"/>
  <c r="E285" i="25"/>
  <c r="R268" i="28"/>
  <c r="Q268" i="28"/>
  <c r="E268" i="28"/>
  <c r="A244" i="28"/>
  <c r="G239" i="28"/>
  <c r="I244" i="28"/>
  <c r="F239" i="28"/>
  <c r="T244" i="28"/>
  <c r="H239" i="28"/>
  <c r="C35" i="29"/>
  <c r="C33" i="29" s="1"/>
  <c r="S62" i="28"/>
  <c r="Q212" i="28"/>
  <c r="R212" i="28"/>
  <c r="G240" i="25"/>
  <c r="F240" i="25"/>
  <c r="H240" i="25"/>
  <c r="D195" i="25"/>
  <c r="H195" i="25" s="1"/>
  <c r="F195" i="25"/>
  <c r="A49" i="25"/>
  <c r="I49" i="25"/>
  <c r="G44" i="25"/>
  <c r="F44" i="25"/>
  <c r="H44" i="25"/>
  <c r="P269" i="28"/>
  <c r="R127" i="28"/>
  <c r="L132" i="28"/>
  <c r="Q127" i="28"/>
  <c r="S127" i="28"/>
  <c r="A259" i="25"/>
  <c r="I259" i="25"/>
  <c r="G254" i="25"/>
  <c r="F254" i="25"/>
  <c r="H254" i="25"/>
  <c r="G127" i="28"/>
  <c r="I132" i="28"/>
  <c r="F127" i="28"/>
  <c r="T132" i="28"/>
  <c r="A132" i="28"/>
  <c r="H127" i="28"/>
  <c r="S90" i="28"/>
  <c r="L160" i="28"/>
  <c r="Q155" i="28"/>
  <c r="R155" i="28"/>
  <c r="S155" i="28"/>
  <c r="F104" i="25"/>
  <c r="A109" i="25"/>
  <c r="I109" i="25"/>
  <c r="G104" i="25"/>
  <c r="H104" i="25"/>
  <c r="E185" i="28"/>
  <c r="A289" i="25"/>
  <c r="G284" i="25"/>
  <c r="F284" i="25"/>
  <c r="I289" i="25"/>
  <c r="H284" i="25"/>
  <c r="P101" i="28"/>
  <c r="F300" i="25"/>
  <c r="G300" i="25"/>
  <c r="F21" i="23"/>
  <c r="E73" i="28"/>
  <c r="F105" i="25"/>
  <c r="D105" i="25"/>
  <c r="G105" i="25" s="1"/>
  <c r="Q130" i="28"/>
  <c r="R130" i="28"/>
  <c r="S130" i="28"/>
  <c r="A319" i="25"/>
  <c r="G314" i="25"/>
  <c r="F314" i="25"/>
  <c r="I319" i="25"/>
  <c r="H314" i="25"/>
  <c r="G120" i="25"/>
  <c r="F120" i="25"/>
  <c r="H120" i="25"/>
  <c r="R74" i="28"/>
  <c r="Q74" i="28"/>
  <c r="S74" i="28"/>
  <c r="Q99" i="28"/>
  <c r="L104" i="28"/>
  <c r="R99" i="28"/>
  <c r="S99" i="28"/>
  <c r="E46" i="25"/>
  <c r="D212" i="28"/>
  <c r="G212" i="28" s="1"/>
  <c r="F212" i="28"/>
  <c r="A76" i="28"/>
  <c r="T76" i="28"/>
  <c r="F71" i="28"/>
  <c r="I76" i="28"/>
  <c r="G71" i="28"/>
  <c r="H71" i="28"/>
  <c r="D240" i="28"/>
  <c r="G240" i="28" s="1"/>
  <c r="F240" i="28"/>
  <c r="L272" i="28"/>
  <c r="Q267" i="28"/>
  <c r="R267" i="28"/>
  <c r="S267" i="28"/>
  <c r="Q128" i="28"/>
  <c r="R128" i="28"/>
  <c r="G100" i="28"/>
  <c r="C102" i="28"/>
  <c r="F102" i="28" s="1"/>
  <c r="C90" i="28"/>
  <c r="F74" i="25"/>
  <c r="I79" i="25"/>
  <c r="G74" i="25"/>
  <c r="A79" i="25"/>
  <c r="H74" i="25"/>
  <c r="C62" i="28"/>
  <c r="C74" i="28"/>
  <c r="G21" i="23"/>
  <c r="J239" i="30"/>
  <c r="F239" i="30" s="1"/>
  <c r="H300" i="25"/>
  <c r="D184" i="28"/>
  <c r="G184" i="28" s="1"/>
  <c r="F184" i="28"/>
  <c r="A199" i="25"/>
  <c r="G194" i="25"/>
  <c r="I199" i="25"/>
  <c r="F194" i="25"/>
  <c r="H194" i="25"/>
  <c r="F165" i="25"/>
  <c r="D165" i="25"/>
  <c r="D255" i="25"/>
  <c r="G255" i="25" s="1"/>
  <c r="F255" i="25"/>
  <c r="G180" i="25"/>
  <c r="F180" i="25"/>
  <c r="A169" i="25"/>
  <c r="G164" i="25"/>
  <c r="F164" i="25"/>
  <c r="I169" i="25"/>
  <c r="H164" i="25"/>
  <c r="T272" i="28"/>
  <c r="A272" i="28"/>
  <c r="F267" i="28"/>
  <c r="G267" i="28"/>
  <c r="I272" i="28"/>
  <c r="H267" i="28"/>
  <c r="I300" i="28"/>
  <c r="F295" i="28"/>
  <c r="T300" i="28"/>
  <c r="A300" i="28"/>
  <c r="G295" i="28"/>
  <c r="H295" i="28"/>
  <c r="Q240" i="28"/>
  <c r="R240" i="28"/>
  <c r="L76" i="28"/>
  <c r="R71" i="28"/>
  <c r="Q71" i="28"/>
  <c r="S71" i="28"/>
  <c r="R100" i="28"/>
  <c r="Q100" i="28"/>
  <c r="Q72" i="28"/>
  <c r="R72" i="28"/>
  <c r="S72" i="28"/>
  <c r="R62" i="28"/>
  <c r="F225" i="25"/>
  <c r="D225" i="25"/>
  <c r="G225" i="25" s="1"/>
  <c r="R184" i="28"/>
  <c r="Q184" i="28"/>
  <c r="F75" i="25"/>
  <c r="D75" i="25"/>
  <c r="H75" i="25" s="1"/>
  <c r="P296" i="28"/>
  <c r="G138" i="25"/>
  <c r="S240" i="28"/>
  <c r="U244" i="28"/>
  <c r="J244" i="28"/>
  <c r="S184" i="28"/>
  <c r="S212" i="28"/>
  <c r="G78" i="25"/>
  <c r="U160" i="28"/>
  <c r="J160" i="28"/>
  <c r="S128" i="28"/>
  <c r="G108" i="25"/>
  <c r="U188" i="28"/>
  <c r="J188" i="28"/>
  <c r="G48" i="25"/>
  <c r="G228" i="25"/>
  <c r="S268" i="28"/>
  <c r="G198" i="25"/>
  <c r="U272" i="28"/>
  <c r="J272" i="28"/>
  <c r="I46" i="25"/>
  <c r="I36" i="25" s="1"/>
  <c r="I76" i="25"/>
  <c r="I66" i="25" s="1"/>
  <c r="I73" i="28"/>
  <c r="T73" i="28"/>
  <c r="I241" i="30"/>
  <c r="T274" i="28"/>
  <c r="I274" i="28"/>
  <c r="R103" i="28"/>
  <c r="G103" i="28"/>
  <c r="R215" i="28"/>
  <c r="G215" i="28"/>
  <c r="R187" i="28"/>
  <c r="G187" i="28"/>
  <c r="G131" i="28"/>
  <c r="R131" i="28"/>
  <c r="G75" i="28"/>
  <c r="R75" i="28"/>
  <c r="J142" i="30"/>
  <c r="F142" i="30" s="1"/>
  <c r="F222" i="32"/>
  <c r="G36" i="23"/>
  <c r="P45" i="28"/>
  <c r="F227" i="31"/>
  <c r="F232" i="31" s="1"/>
  <c r="F233" i="31" s="1"/>
  <c r="F288" i="32"/>
  <c r="F294" i="32" s="1"/>
  <c r="F295" i="32" s="1"/>
  <c r="G288" i="32"/>
  <c r="G294" i="32" s="1"/>
  <c r="G295" i="32" s="1"/>
  <c r="F36" i="23"/>
  <c r="F35" i="27"/>
  <c r="F142" i="32"/>
  <c r="G63" i="27"/>
  <c r="G57" i="22"/>
  <c r="G62" i="22" s="1"/>
  <c r="G63" i="22" s="1"/>
  <c r="J214" i="30"/>
  <c r="G214" i="30" s="1"/>
  <c r="F249" i="32"/>
  <c r="G142" i="32"/>
  <c r="H35" i="27"/>
  <c r="H96" i="22"/>
  <c r="H101" i="22" s="1"/>
  <c r="F57" i="22"/>
  <c r="F62" i="22" s="1"/>
  <c r="F63" i="22" s="1"/>
  <c r="F70" i="22"/>
  <c r="F75" i="22" s="1"/>
  <c r="F76" i="22" s="1"/>
  <c r="L48" i="28"/>
  <c r="R43" i="28"/>
  <c r="S43" i="28"/>
  <c r="Q43" i="28"/>
  <c r="H83" i="22"/>
  <c r="H88" i="22" s="1"/>
  <c r="F83" i="22"/>
  <c r="F88" i="22" s="1"/>
  <c r="F89" i="22" s="1"/>
  <c r="Q44" i="28"/>
  <c r="R44" i="28"/>
  <c r="S44" i="28"/>
  <c r="S34" i="28"/>
  <c r="R34" i="28"/>
  <c r="Q34" i="28"/>
  <c r="N46" i="28"/>
  <c r="I48" i="28"/>
  <c r="T48" i="28"/>
  <c r="R47" i="28"/>
  <c r="H116" i="30"/>
  <c r="H222" i="32"/>
  <c r="H63" i="27"/>
  <c r="F122" i="22"/>
  <c r="F127" i="22" s="1"/>
  <c r="F128" i="22" s="1"/>
  <c r="H249" i="32"/>
  <c r="H140" i="30"/>
  <c r="G122" i="22"/>
  <c r="G127" i="22" s="1"/>
  <c r="G128" i="22" s="1"/>
  <c r="H253" i="31"/>
  <c r="H258" i="31" s="1"/>
  <c r="H70" i="22"/>
  <c r="H75" i="22" s="1"/>
  <c r="G96" i="22"/>
  <c r="G101" i="22" s="1"/>
  <c r="G102" i="22" s="1"/>
  <c r="G236" i="30"/>
  <c r="H279" i="31"/>
  <c r="H284" i="31" s="1"/>
  <c r="F35" i="32"/>
  <c r="H207" i="32"/>
  <c r="H213" i="32" s="1"/>
  <c r="G153" i="32"/>
  <c r="G159" i="32" s="1"/>
  <c r="G160" i="32" s="1"/>
  <c r="F207" i="32"/>
  <c r="F213" i="32" s="1"/>
  <c r="F214" i="32" s="1"/>
  <c r="F236" i="30"/>
  <c r="H149" i="31"/>
  <c r="H154" i="31" s="1"/>
  <c r="G35" i="32"/>
  <c r="F140" i="30"/>
  <c r="G279" i="31"/>
  <c r="G284" i="31" s="1"/>
  <c r="G285" i="31" s="1"/>
  <c r="G149" i="31"/>
  <c r="G154" i="31" s="1"/>
  <c r="G155" i="31" s="1"/>
  <c r="H153" i="32"/>
  <c r="H159" i="32" s="1"/>
  <c r="H123" i="31"/>
  <c r="H128" i="31" s="1"/>
  <c r="F201" i="31"/>
  <c r="F206" i="31" s="1"/>
  <c r="F207" i="31" s="1"/>
  <c r="H260" i="30"/>
  <c r="H196" i="32"/>
  <c r="F260" i="30"/>
  <c r="G196" i="32"/>
  <c r="J166" i="30"/>
  <c r="H166" i="30" s="1"/>
  <c r="H168" i="30" s="1"/>
  <c r="E12" i="30"/>
  <c r="I12" i="30" s="1"/>
  <c r="J46" i="30" s="1"/>
  <c r="E12" i="28"/>
  <c r="I12" i="28" s="1"/>
  <c r="E18" i="30"/>
  <c r="I18" i="30" s="1"/>
  <c r="J191" i="30" s="1"/>
  <c r="E18" i="28"/>
  <c r="I18" i="28" s="1"/>
  <c r="E13" i="30"/>
  <c r="I13" i="30" s="1"/>
  <c r="J70" i="30" s="1"/>
  <c r="E13" i="28"/>
  <c r="I13" i="28" s="1"/>
  <c r="E14" i="30"/>
  <c r="I14" i="30" s="1"/>
  <c r="J95" i="30" s="1"/>
  <c r="E14" i="28"/>
  <c r="I14" i="28" s="1"/>
  <c r="E15" i="30"/>
  <c r="I15" i="30" s="1"/>
  <c r="J119" i="30" s="1"/>
  <c r="E15" i="28"/>
  <c r="I15" i="28" s="1"/>
  <c r="E21" i="30"/>
  <c r="I21" i="30" s="1"/>
  <c r="J263" i="30" s="1"/>
  <c r="E21" i="28"/>
  <c r="I21" i="28" s="1"/>
  <c r="G227" i="31"/>
  <c r="G232" i="31" s="1"/>
  <c r="G233" i="31" s="1"/>
  <c r="F109" i="22"/>
  <c r="F114" i="22" s="1"/>
  <c r="F115" i="22" s="1"/>
  <c r="H34" i="32"/>
  <c r="H109" i="22"/>
  <c r="H114" i="22" s="1"/>
  <c r="G126" i="32"/>
  <c r="G132" i="32" s="1"/>
  <c r="G133" i="32" s="1"/>
  <c r="F88" i="32"/>
  <c r="F135" i="22"/>
  <c r="F140" i="22" s="1"/>
  <c r="F141" i="22" s="1"/>
  <c r="G164" i="30"/>
  <c r="G78" i="32"/>
  <c r="G79" i="32" s="1"/>
  <c r="F126" i="32"/>
  <c r="F132" i="32" s="1"/>
  <c r="F133" i="32" s="1"/>
  <c r="H88" i="32"/>
  <c r="F51" i="32"/>
  <c r="F52" i="32" s="1"/>
  <c r="F277" i="32"/>
  <c r="H277" i="32"/>
  <c r="F164" i="30"/>
  <c r="G123" i="31"/>
  <c r="G128" i="31" s="1"/>
  <c r="G129" i="31" s="1"/>
  <c r="G201" i="31"/>
  <c r="G206" i="31" s="1"/>
  <c r="G207" i="31" s="1"/>
  <c r="F253" i="31"/>
  <c r="F258" i="31" s="1"/>
  <c r="F259" i="31" s="1"/>
  <c r="G135" i="22"/>
  <c r="G140" i="22" s="1"/>
  <c r="G141" i="22" s="1"/>
  <c r="G116" i="30"/>
  <c r="H212" i="30"/>
  <c r="H188" i="30"/>
  <c r="F212" i="30"/>
  <c r="G188" i="30"/>
  <c r="H78" i="32"/>
  <c r="F34" i="32"/>
  <c r="F78" i="32"/>
  <c r="F79" i="32" s="1"/>
  <c r="F34" i="31"/>
  <c r="G34" i="31"/>
  <c r="H34" i="31"/>
  <c r="H51" i="32"/>
  <c r="H223" i="32"/>
  <c r="F223" i="32"/>
  <c r="G223" i="32"/>
  <c r="Q60" i="31"/>
  <c r="S60" i="31"/>
  <c r="R60" i="31"/>
  <c r="H294" i="32"/>
  <c r="G169" i="32"/>
  <c r="F169" i="32"/>
  <c r="H169" i="32"/>
  <c r="G115" i="32"/>
  <c r="F115" i="32"/>
  <c r="H115" i="32"/>
  <c r="F234" i="32"/>
  <c r="F240" i="32" s="1"/>
  <c r="F241" i="32" s="1"/>
  <c r="H234" i="32"/>
  <c r="H240" i="32" s="1"/>
  <c r="G234" i="32"/>
  <c r="G240" i="32" s="1"/>
  <c r="G241" i="32" s="1"/>
  <c r="Q34" i="31"/>
  <c r="R34" i="31"/>
  <c r="S34" i="31"/>
  <c r="F276" i="32"/>
  <c r="H276" i="32"/>
  <c r="G276" i="32"/>
  <c r="S86" i="31"/>
  <c r="R86" i="31"/>
  <c r="Q86" i="31"/>
  <c r="H132" i="32"/>
  <c r="F159" i="32"/>
  <c r="F160" i="32" s="1"/>
  <c r="R112" i="31"/>
  <c r="Q112" i="31"/>
  <c r="S112" i="31"/>
  <c r="G213" i="32"/>
  <c r="G214" i="32" s="1"/>
  <c r="R138" i="31"/>
  <c r="S138" i="31"/>
  <c r="Q138" i="31"/>
  <c r="F105" i="32"/>
  <c r="F106" i="32" s="1"/>
  <c r="H105" i="32"/>
  <c r="Q164" i="31"/>
  <c r="S164" i="31"/>
  <c r="R164" i="31"/>
  <c r="H261" i="32"/>
  <c r="H267" i="32" s="1"/>
  <c r="G261" i="32"/>
  <c r="G267" i="32" s="1"/>
  <c r="G268" i="32" s="1"/>
  <c r="F261" i="32"/>
  <c r="F267" i="32" s="1"/>
  <c r="F268" i="32" s="1"/>
  <c r="F250" i="32"/>
  <c r="H250" i="32"/>
  <c r="G250" i="32"/>
  <c r="G105" i="32"/>
  <c r="G106" i="32" s="1"/>
  <c r="G61" i="32"/>
  <c r="F61" i="32"/>
  <c r="H61" i="32"/>
  <c r="G180" i="32"/>
  <c r="G186" i="32" s="1"/>
  <c r="G187" i="32" s="1"/>
  <c r="F180" i="32"/>
  <c r="F186" i="32" s="1"/>
  <c r="F187" i="32" s="1"/>
  <c r="H180" i="32"/>
  <c r="H186" i="32" s="1"/>
  <c r="G51" i="32"/>
  <c r="G52" i="32" s="1"/>
  <c r="F195" i="32"/>
  <c r="H195" i="32"/>
  <c r="G195" i="32"/>
  <c r="S159" i="27"/>
  <c r="Q159" i="27"/>
  <c r="H229" i="26"/>
  <c r="Q187" i="27"/>
  <c r="R187" i="27"/>
  <c r="S187" i="27"/>
  <c r="Q47" i="27"/>
  <c r="R47" i="27"/>
  <c r="S47" i="27"/>
  <c r="R75" i="27"/>
  <c r="Q75" i="27"/>
  <c r="S75" i="27"/>
  <c r="R131" i="27"/>
  <c r="S131" i="27"/>
  <c r="Q131" i="27"/>
  <c r="H47" i="27"/>
  <c r="G47" i="27"/>
  <c r="F47" i="27"/>
  <c r="Q103" i="27"/>
  <c r="S103" i="27"/>
  <c r="R103" i="27"/>
  <c r="H140" i="23"/>
  <c r="H86" i="21"/>
  <c r="H143" i="30"/>
  <c r="G143" i="30"/>
  <c r="G238" i="30"/>
  <c r="F238" i="30"/>
  <c r="H133" i="30"/>
  <c r="H85" i="30"/>
  <c r="G215" i="30"/>
  <c r="H102" i="31"/>
  <c r="H37" i="30"/>
  <c r="G37" i="30"/>
  <c r="F37" i="30"/>
  <c r="F167" i="30"/>
  <c r="G167" i="30"/>
  <c r="H205" i="30"/>
  <c r="G60" i="31"/>
  <c r="H60" i="31"/>
  <c r="F60" i="31"/>
  <c r="G61" i="30"/>
  <c r="G85" i="30"/>
  <c r="F50" i="31"/>
  <c r="F51" i="31" s="1"/>
  <c r="H112" i="31"/>
  <c r="G112" i="31"/>
  <c r="F112" i="31"/>
  <c r="G50" i="31"/>
  <c r="G51" i="31" s="1"/>
  <c r="F102" i="31"/>
  <c r="F103" i="31" s="1"/>
  <c r="H229" i="30"/>
  <c r="F284" i="31"/>
  <c r="F285" i="31" s="1"/>
  <c r="H164" i="31"/>
  <c r="G164" i="31"/>
  <c r="F164" i="31"/>
  <c r="F85" i="30"/>
  <c r="G76" i="31"/>
  <c r="G77" i="31" s="1"/>
  <c r="H50" i="31"/>
  <c r="F61" i="30"/>
  <c r="H86" i="31"/>
  <c r="G86" i="31"/>
  <c r="F86" i="31"/>
  <c r="H138" i="31"/>
  <c r="G138" i="31"/>
  <c r="F138" i="31"/>
  <c r="G102" i="31"/>
  <c r="G103" i="31" s="1"/>
  <c r="F86" i="21"/>
  <c r="F128" i="31"/>
  <c r="F129" i="31" s="1"/>
  <c r="H76" i="31"/>
  <c r="F180" i="31"/>
  <c r="F181" i="31" s="1"/>
  <c r="G109" i="30"/>
  <c r="H181" i="30"/>
  <c r="H206" i="31"/>
  <c r="F76" i="31"/>
  <c r="F77" i="31" s="1"/>
  <c r="H215" i="30"/>
  <c r="H180" i="31"/>
  <c r="H157" i="30"/>
  <c r="H109" i="30"/>
  <c r="H61" i="30"/>
  <c r="F154" i="31"/>
  <c r="F155" i="31" s="1"/>
  <c r="H253" i="30"/>
  <c r="H232" i="31"/>
  <c r="F109" i="30"/>
  <c r="G258" i="31"/>
  <c r="G259" i="31" s="1"/>
  <c r="G180" i="31"/>
  <c r="G181" i="31" s="1"/>
  <c r="F36" i="22"/>
  <c r="F37" i="22" s="1"/>
  <c r="G36" i="22"/>
  <c r="G37" i="22" s="1"/>
  <c r="H36" i="22"/>
  <c r="G49" i="22"/>
  <c r="G50" i="22" s="1"/>
  <c r="H140" i="22"/>
  <c r="H127" i="22"/>
  <c r="G229" i="26"/>
  <c r="F49" i="22"/>
  <c r="F50" i="22" s="1"/>
  <c r="H49" i="22"/>
  <c r="I13" i="18"/>
  <c r="N62" i="18" s="1"/>
  <c r="H187" i="27"/>
  <c r="G187" i="27"/>
  <c r="G88" i="22"/>
  <c r="G89" i="22" s="1"/>
  <c r="G114" i="22"/>
  <c r="G115" i="22" s="1"/>
  <c r="J13" i="18"/>
  <c r="O62" i="18" s="1"/>
  <c r="K62" i="18"/>
  <c r="C7" i="19" s="1"/>
  <c r="H62" i="22"/>
  <c r="G75" i="22"/>
  <c r="G76" i="22" s="1"/>
  <c r="F101" i="22"/>
  <c r="F102" i="22" s="1"/>
  <c r="F64" i="26"/>
  <c r="G116" i="26"/>
  <c r="G64" i="26"/>
  <c r="H90" i="26"/>
  <c r="F159" i="27"/>
  <c r="G159" i="27"/>
  <c r="H159" i="27"/>
  <c r="G103" i="27"/>
  <c r="F103" i="27"/>
  <c r="H103" i="27"/>
  <c r="H116" i="26"/>
  <c r="G62" i="27"/>
  <c r="F62" i="27"/>
  <c r="G80" i="23"/>
  <c r="F80" i="23"/>
  <c r="H80" i="23"/>
  <c r="G255" i="26"/>
  <c r="F255" i="26"/>
  <c r="F285" i="27"/>
  <c r="G285" i="27"/>
  <c r="H285" i="27"/>
  <c r="G228" i="26"/>
  <c r="F228" i="26"/>
  <c r="H95" i="23"/>
  <c r="G118" i="27"/>
  <c r="F118" i="27"/>
  <c r="H118" i="27"/>
  <c r="G201" i="27"/>
  <c r="F201" i="27"/>
  <c r="F254" i="26"/>
  <c r="G254" i="26"/>
  <c r="F73" i="26"/>
  <c r="G73" i="26"/>
  <c r="F229" i="27"/>
  <c r="G229" i="27"/>
  <c r="H73" i="26"/>
  <c r="H64" i="26"/>
  <c r="F90" i="26"/>
  <c r="G258" i="27"/>
  <c r="F258" i="27"/>
  <c r="F124" i="23"/>
  <c r="G124" i="23"/>
  <c r="F280" i="26"/>
  <c r="G280" i="26"/>
  <c r="H280" i="26"/>
  <c r="F125" i="23"/>
  <c r="G125" i="23"/>
  <c r="H125" i="23"/>
  <c r="G90" i="27"/>
  <c r="F90" i="27"/>
  <c r="H90" i="27"/>
  <c r="G230" i="27"/>
  <c r="F230" i="27"/>
  <c r="H230" i="27"/>
  <c r="F65" i="23"/>
  <c r="G65" i="23"/>
  <c r="H65" i="23"/>
  <c r="G125" i="26"/>
  <c r="F125" i="26"/>
  <c r="H125" i="26"/>
  <c r="G155" i="23"/>
  <c r="F155" i="23"/>
  <c r="G202" i="27"/>
  <c r="F202" i="27"/>
  <c r="H202" i="27"/>
  <c r="G151" i="26"/>
  <c r="F151" i="26"/>
  <c r="H151" i="26"/>
  <c r="G139" i="23"/>
  <c r="F139" i="23"/>
  <c r="H139" i="23"/>
  <c r="G95" i="23"/>
  <c r="F95" i="23"/>
  <c r="G47" i="21"/>
  <c r="F47" i="21"/>
  <c r="H47" i="21"/>
  <c r="F131" i="27"/>
  <c r="G131" i="27"/>
  <c r="H131" i="27"/>
  <c r="G73" i="21"/>
  <c r="F73" i="21"/>
  <c r="H73" i="21"/>
  <c r="G90" i="26"/>
  <c r="F174" i="27"/>
  <c r="G174" i="27"/>
  <c r="G281" i="26"/>
  <c r="F281" i="26"/>
  <c r="G154" i="23"/>
  <c r="F154" i="23"/>
  <c r="H154" i="23"/>
  <c r="G50" i="23"/>
  <c r="F50" i="23"/>
  <c r="H50" i="23"/>
  <c r="F109" i="23"/>
  <c r="G109" i="23"/>
  <c r="H87" i="21"/>
  <c r="G99" i="26"/>
  <c r="F99" i="26"/>
  <c r="H99" i="26"/>
  <c r="G202" i="26"/>
  <c r="F202" i="26"/>
  <c r="G177" i="26"/>
  <c r="F177" i="26"/>
  <c r="F110" i="23"/>
  <c r="G110" i="23"/>
  <c r="H110" i="23"/>
  <c r="F257" i="27"/>
  <c r="G257" i="27"/>
  <c r="H155" i="23"/>
  <c r="F116" i="26"/>
  <c r="F75" i="27"/>
  <c r="G75" i="27"/>
  <c r="H75" i="27"/>
  <c r="G146" i="27"/>
  <c r="F146" i="27"/>
  <c r="H146" i="27"/>
  <c r="F286" i="27"/>
  <c r="G286" i="27"/>
  <c r="G140" i="23"/>
  <c r="F140" i="23"/>
  <c r="G203" i="26"/>
  <c r="F203" i="26"/>
  <c r="H203" i="26"/>
  <c r="G85" i="20"/>
  <c r="S32" i="24"/>
  <c r="H286" i="27"/>
  <c r="H281" i="26"/>
  <c r="S31" i="24"/>
  <c r="H258" i="27"/>
  <c r="H255" i="26"/>
  <c r="S28" i="24"/>
  <c r="H174" i="27"/>
  <c r="H177" i="26"/>
  <c r="E12" i="20"/>
  <c r="I12" i="20" s="1"/>
  <c r="J47" i="20" s="1"/>
  <c r="E12" i="26"/>
  <c r="I12" i="26" s="1"/>
  <c r="J48" i="26" s="1"/>
  <c r="F178" i="26"/>
  <c r="H178" i="26"/>
  <c r="G178" i="26"/>
  <c r="E21" i="20"/>
  <c r="I21" i="20" s="1"/>
  <c r="J263" i="20" s="1"/>
  <c r="E21" i="26"/>
  <c r="I21" i="26" s="1"/>
  <c r="J282" i="26" s="1"/>
  <c r="E13" i="20"/>
  <c r="I13" i="20" s="1"/>
  <c r="J71" i="20" s="1"/>
  <c r="E13" i="26"/>
  <c r="I13" i="26" s="1"/>
  <c r="J74" i="26" s="1"/>
  <c r="E18" i="20"/>
  <c r="I18" i="20" s="1"/>
  <c r="J191" i="20" s="1"/>
  <c r="E18" i="26"/>
  <c r="I18" i="26" s="1"/>
  <c r="J204" i="26" s="1"/>
  <c r="F230" i="26"/>
  <c r="H230" i="26"/>
  <c r="G230" i="26"/>
  <c r="F256" i="26"/>
  <c r="H256" i="26"/>
  <c r="G256" i="26"/>
  <c r="I259" i="26"/>
  <c r="H152" i="26"/>
  <c r="G152" i="26"/>
  <c r="F152" i="26"/>
  <c r="E14" i="20"/>
  <c r="I14" i="20" s="1"/>
  <c r="J95" i="20" s="1"/>
  <c r="E14" i="26"/>
  <c r="I14" i="26" s="1"/>
  <c r="J100" i="26" s="1"/>
  <c r="E15" i="20"/>
  <c r="I15" i="20" s="1"/>
  <c r="J119" i="20" s="1"/>
  <c r="E15" i="26"/>
  <c r="I15" i="26" s="1"/>
  <c r="J126" i="26" s="1"/>
  <c r="F61" i="20"/>
  <c r="F37" i="20"/>
  <c r="K66" i="18"/>
  <c r="J21" i="18"/>
  <c r="O66" i="18" s="1"/>
  <c r="I21" i="18"/>
  <c r="N66" i="18" s="1"/>
  <c r="I123" i="19"/>
  <c r="I242" i="20"/>
  <c r="H43" i="28"/>
  <c r="G109" i="20"/>
  <c r="K11" i="18"/>
  <c r="P61" i="18" s="1"/>
  <c r="K61" i="18"/>
  <c r="I11" i="18"/>
  <c r="N61" i="18" s="1"/>
  <c r="K65" i="18"/>
  <c r="K19" i="18"/>
  <c r="P65" i="18" s="1"/>
  <c r="J19" i="18"/>
  <c r="O65" i="18" s="1"/>
  <c r="J17" i="18"/>
  <c r="O64" i="18" s="1"/>
  <c r="K64" i="18"/>
  <c r="I17" i="18"/>
  <c r="N64" i="18" s="1"/>
  <c r="K17" i="18"/>
  <c r="K57" i="18"/>
  <c r="J3" i="18"/>
  <c r="O57" i="18" s="1"/>
  <c r="I3" i="18"/>
  <c r="N57" i="18" s="1"/>
  <c r="K3" i="18"/>
  <c r="P57" i="18" s="1"/>
  <c r="A48" i="28"/>
  <c r="F43" i="28"/>
  <c r="J7" i="18"/>
  <c r="O59" i="18" s="1"/>
  <c r="K7" i="18"/>
  <c r="P59" i="18" s="1"/>
  <c r="I7" i="18"/>
  <c r="N59" i="18" s="1"/>
  <c r="K59" i="18"/>
  <c r="G43" i="28"/>
  <c r="K9" i="18"/>
  <c r="P60" i="18" s="1"/>
  <c r="J9" i="18"/>
  <c r="O60" i="18" s="1"/>
  <c r="I9" i="18"/>
  <c r="N60" i="18" s="1"/>
  <c r="K60" i="18"/>
  <c r="K63" i="18"/>
  <c r="K15" i="18"/>
  <c r="P63" i="18" s="1"/>
  <c r="J15" i="18"/>
  <c r="O63" i="18" s="1"/>
  <c r="I15" i="18"/>
  <c r="N63" i="18" s="1"/>
  <c r="J5" i="18"/>
  <c r="O58" i="18" s="1"/>
  <c r="K5" i="18"/>
  <c r="P58" i="18" s="1"/>
  <c r="I5" i="18"/>
  <c r="N58" i="18" s="1"/>
  <c r="K58" i="18"/>
  <c r="AG12" i="24"/>
  <c r="G296" i="33" s="1"/>
  <c r="G302" i="33" s="1"/>
  <c r="AG8" i="24"/>
  <c r="G172" i="33" s="1"/>
  <c r="G178" i="33" s="1"/>
  <c r="AF23" i="24"/>
  <c r="F266" i="33" s="1"/>
  <c r="F271" i="33" s="1"/>
  <c r="U24" i="24"/>
  <c r="AF17" i="24"/>
  <c r="F80" i="33" s="1"/>
  <c r="F85" i="33" s="1"/>
  <c r="AG11" i="24"/>
  <c r="G265" i="33" s="1"/>
  <c r="G271" i="33" s="1"/>
  <c r="H38" i="19"/>
  <c r="G50" i="19"/>
  <c r="AF21" i="24"/>
  <c r="F204" i="33" s="1"/>
  <c r="F209" i="33" s="1"/>
  <c r="E45" i="28"/>
  <c r="I45" i="28" s="1"/>
  <c r="I36" i="28" s="1"/>
  <c r="AF19" i="24"/>
  <c r="F142" i="33" s="1"/>
  <c r="F147" i="33" s="1"/>
  <c r="X211" i="17"/>
  <c r="M213" i="17"/>
  <c r="I325" i="33" s="1"/>
  <c r="AF24" i="24"/>
  <c r="F297" i="33" s="1"/>
  <c r="F302" i="33" s="1"/>
  <c r="X208" i="17"/>
  <c r="E157" i="28" s="1"/>
  <c r="I157" i="28" s="1"/>
  <c r="M210" i="17"/>
  <c r="I201" i="33" s="1"/>
  <c r="X210" i="17"/>
  <c r="E256" i="25" s="1"/>
  <c r="M212" i="17"/>
  <c r="I294" i="33" s="1"/>
  <c r="U23" i="24"/>
  <c r="D44" i="28"/>
  <c r="C34" i="28" s="1"/>
  <c r="F44" i="28"/>
  <c r="G47" i="28"/>
  <c r="H37" i="20"/>
  <c r="H109" i="20"/>
  <c r="H26" i="19"/>
  <c r="AF18" i="24"/>
  <c r="F111" i="33" s="1"/>
  <c r="F116" i="33" s="1"/>
  <c r="AF22" i="24"/>
  <c r="F235" i="33" s="1"/>
  <c r="F240" i="33" s="1"/>
  <c r="AF20" i="24"/>
  <c r="F173" i="33" s="1"/>
  <c r="F178" i="33" s="1"/>
  <c r="AF16" i="24"/>
  <c r="H157" i="20"/>
  <c r="F85" i="20"/>
  <c r="F109" i="20"/>
  <c r="G74" i="19"/>
  <c r="F133" i="20"/>
  <c r="F134" i="20" s="1"/>
  <c r="G62" i="19"/>
  <c r="H50" i="19"/>
  <c r="H23" i="22"/>
  <c r="H38" i="26"/>
  <c r="F26" i="19"/>
  <c r="F23" i="22"/>
  <c r="F24" i="22" s="1"/>
  <c r="G157" i="20"/>
  <c r="G158" i="20" s="1"/>
  <c r="F35" i="23"/>
  <c r="H35" i="23"/>
  <c r="G38" i="26"/>
  <c r="H61" i="20"/>
  <c r="F38" i="26"/>
  <c r="F34" i="27"/>
  <c r="G34" i="27"/>
  <c r="F38" i="19"/>
  <c r="G23" i="22"/>
  <c r="H85" i="20"/>
  <c r="F47" i="26"/>
  <c r="G47" i="26"/>
  <c r="G61" i="20"/>
  <c r="F74" i="19"/>
  <c r="F75" i="19" s="1"/>
  <c r="G133" i="20"/>
  <c r="F62" i="19"/>
  <c r="G37" i="20"/>
  <c r="H62" i="19"/>
  <c r="F157" i="20"/>
  <c r="G26" i="19"/>
  <c r="H74" i="19"/>
  <c r="G38" i="19"/>
  <c r="H20" i="23"/>
  <c r="G20" i="23"/>
  <c r="F20" i="23"/>
  <c r="E21" i="21"/>
  <c r="F21" i="21" s="1"/>
  <c r="E35" i="21"/>
  <c r="H35" i="21" s="1"/>
  <c r="E46" i="20"/>
  <c r="H46" i="20" s="1"/>
  <c r="E70" i="20"/>
  <c r="H70" i="20" s="1"/>
  <c r="E47" i="20"/>
  <c r="E34" i="21"/>
  <c r="E22" i="21"/>
  <c r="H22" i="21" s="1"/>
  <c r="F94" i="20"/>
  <c r="G94" i="20"/>
  <c r="K257" i="17"/>
  <c r="K256" i="17"/>
  <c r="D256" i="17"/>
  <c r="X257" i="17"/>
  <c r="X260" i="17"/>
  <c r="X258" i="17"/>
  <c r="X259" i="17"/>
  <c r="D254" i="17"/>
  <c r="D255" i="17"/>
  <c r="D210" i="17"/>
  <c r="D261" i="17"/>
  <c r="D252" i="17"/>
  <c r="D259" i="17"/>
  <c r="K254" i="17"/>
  <c r="D213" i="17"/>
  <c r="E265" i="17"/>
  <c r="K265" i="17"/>
  <c r="C265" i="17"/>
  <c r="D260" i="17"/>
  <c r="H265" i="17"/>
  <c r="K264" i="17"/>
  <c r="C264" i="17"/>
  <c r="E264" i="17"/>
  <c r="C262" i="17"/>
  <c r="K262" i="17"/>
  <c r="E262" i="17"/>
  <c r="D212" i="17"/>
  <c r="K255" i="17"/>
  <c r="D257" i="17"/>
  <c r="H264" i="17"/>
  <c r="K252" i="17"/>
  <c r="F214" i="30" l="1"/>
  <c r="H184" i="28"/>
  <c r="H240" i="33"/>
  <c r="J239" i="33" s="1"/>
  <c r="H226" i="33" s="1"/>
  <c r="J226" i="33" s="1"/>
  <c r="H116" i="33"/>
  <c r="J115" i="33" s="1"/>
  <c r="H102" i="33" s="1"/>
  <c r="J102" i="33" s="1"/>
  <c r="H271" i="33"/>
  <c r="J270" i="33" s="1"/>
  <c r="H257" i="33" s="1"/>
  <c r="J257" i="33" s="1"/>
  <c r="H84" i="33"/>
  <c r="H85" i="33" s="1"/>
  <c r="J84" i="33" s="1"/>
  <c r="H71" i="33" s="1"/>
  <c r="J71" i="33" s="1"/>
  <c r="H212" i="28"/>
  <c r="H156" i="28"/>
  <c r="H58" i="24"/>
  <c r="H139" i="33"/>
  <c r="H145" i="33" s="1"/>
  <c r="G139" i="33"/>
  <c r="G145" i="33" s="1"/>
  <c r="G146" i="33" s="1"/>
  <c r="F139" i="33"/>
  <c r="F145" i="33" s="1"/>
  <c r="F146" i="33" s="1"/>
  <c r="H294" i="33"/>
  <c r="H300" i="33" s="1"/>
  <c r="F294" i="33"/>
  <c r="F300" i="33" s="1"/>
  <c r="F301" i="33" s="1"/>
  <c r="G294" i="33"/>
  <c r="G300" i="33" s="1"/>
  <c r="G301" i="33" s="1"/>
  <c r="H170" i="33"/>
  <c r="H176" i="33" s="1"/>
  <c r="F170" i="33"/>
  <c r="F176" i="33" s="1"/>
  <c r="F177" i="33" s="1"/>
  <c r="G170" i="33"/>
  <c r="G176" i="33" s="1"/>
  <c r="G177" i="33" s="1"/>
  <c r="J48" i="24"/>
  <c r="C56" i="24" s="1"/>
  <c r="G201" i="33"/>
  <c r="G207" i="33" s="1"/>
  <c r="G208" i="33" s="1"/>
  <c r="F201" i="33"/>
  <c r="F207" i="33" s="1"/>
  <c r="F208" i="33" s="1"/>
  <c r="H201" i="33"/>
  <c r="H207" i="33" s="1"/>
  <c r="H214" i="30"/>
  <c r="H216" i="30" s="1"/>
  <c r="J96" i="28"/>
  <c r="C104" i="28" s="1"/>
  <c r="H109" i="29"/>
  <c r="H325" i="33"/>
  <c r="H331" i="33" s="1"/>
  <c r="G325" i="33"/>
  <c r="G331" i="33" s="1"/>
  <c r="G332" i="33" s="1"/>
  <c r="F325" i="33"/>
  <c r="F331" i="33" s="1"/>
  <c r="F332" i="33" s="1"/>
  <c r="S109" i="29"/>
  <c r="H37" i="24"/>
  <c r="H41" i="24" s="1"/>
  <c r="F37" i="24"/>
  <c r="F41" i="24" s="1"/>
  <c r="F42" i="24" s="1"/>
  <c r="G37" i="24"/>
  <c r="G41" i="24" s="1"/>
  <c r="G42" i="24" s="1"/>
  <c r="I42" i="24"/>
  <c r="H133" i="29"/>
  <c r="H137" i="29" s="1"/>
  <c r="F133" i="29"/>
  <c r="F137" i="29" s="1"/>
  <c r="F138" i="29" s="1"/>
  <c r="I124" i="29"/>
  <c r="G133" i="29"/>
  <c r="G137" i="29" s="1"/>
  <c r="G138" i="29" s="1"/>
  <c r="H179" i="29"/>
  <c r="S179" i="29"/>
  <c r="S295" i="29"/>
  <c r="H295" i="29"/>
  <c r="H263" i="29"/>
  <c r="H268" i="29" s="1"/>
  <c r="S263" i="29"/>
  <c r="S268" i="29" s="1"/>
  <c r="F104" i="24"/>
  <c r="F194" i="29"/>
  <c r="Q194" i="29"/>
  <c r="F136" i="24"/>
  <c r="Q252" i="29"/>
  <c r="F252" i="29"/>
  <c r="G110" i="29"/>
  <c r="T37" i="29"/>
  <c r="Q46" i="29"/>
  <c r="Q50" i="29" s="1"/>
  <c r="Q51" i="29" s="1"/>
  <c r="S46" i="29"/>
  <c r="S50" i="29" s="1"/>
  <c r="R46" i="29"/>
  <c r="R50" i="29" s="1"/>
  <c r="R51" i="29" s="1"/>
  <c r="H69" i="24"/>
  <c r="H73" i="24" s="1"/>
  <c r="G69" i="24"/>
  <c r="G73" i="24" s="1"/>
  <c r="G74" i="24" s="1"/>
  <c r="I74" i="24"/>
  <c r="F69" i="24"/>
  <c r="F73" i="24" s="1"/>
  <c r="F74" i="24" s="1"/>
  <c r="I191" i="29"/>
  <c r="T191" i="29"/>
  <c r="I101" i="24"/>
  <c r="F165" i="29"/>
  <c r="Q165" i="29"/>
  <c r="F88" i="24"/>
  <c r="F152" i="24"/>
  <c r="Q281" i="29"/>
  <c r="F281" i="29"/>
  <c r="F46" i="29"/>
  <c r="F50" i="29" s="1"/>
  <c r="F51" i="29" s="1"/>
  <c r="I37" i="29"/>
  <c r="G46" i="29"/>
  <c r="G50" i="29" s="1"/>
  <c r="G51" i="29" s="1"/>
  <c r="H46" i="29"/>
  <c r="H50" i="29" s="1"/>
  <c r="H85" i="24"/>
  <c r="H89" i="24" s="1"/>
  <c r="G85" i="24"/>
  <c r="G89" i="24" s="1"/>
  <c r="G90" i="24" s="1"/>
  <c r="F85" i="24"/>
  <c r="F89" i="24" s="1"/>
  <c r="F90" i="24" s="1"/>
  <c r="I90" i="24"/>
  <c r="G46" i="33"/>
  <c r="G52" i="33" s="1"/>
  <c r="G53" i="33" s="1"/>
  <c r="F46" i="33"/>
  <c r="F52" i="33" s="1"/>
  <c r="F53" i="33" s="1"/>
  <c r="H46" i="33"/>
  <c r="H52" i="33" s="1"/>
  <c r="H234" i="29"/>
  <c r="H239" i="29" s="1"/>
  <c r="S234" i="29"/>
  <c r="S239" i="29" s="1"/>
  <c r="H118" i="29"/>
  <c r="H123" i="29" s="1"/>
  <c r="S118" i="29"/>
  <c r="S123" i="29" s="1"/>
  <c r="H176" i="29"/>
  <c r="H181" i="29" s="1"/>
  <c r="S176" i="29"/>
  <c r="S181" i="29" s="1"/>
  <c r="F120" i="24"/>
  <c r="F223" i="29"/>
  <c r="Q223" i="29"/>
  <c r="R251" i="29"/>
  <c r="G251" i="29"/>
  <c r="G135" i="24"/>
  <c r="G280" i="29"/>
  <c r="R280" i="29"/>
  <c r="G151" i="24"/>
  <c r="N103" i="28"/>
  <c r="N104" i="28"/>
  <c r="I165" i="24"/>
  <c r="I307" i="29"/>
  <c r="T307" i="29"/>
  <c r="X23" i="24"/>
  <c r="W23" i="24"/>
  <c r="F136" i="29"/>
  <c r="Q136" i="29"/>
  <c r="F72" i="24"/>
  <c r="F40" i="24"/>
  <c r="Q78" i="29"/>
  <c r="F78" i="29"/>
  <c r="T66" i="29"/>
  <c r="S75" i="29"/>
  <c r="S79" i="29" s="1"/>
  <c r="Q75" i="29"/>
  <c r="Q79" i="29" s="1"/>
  <c r="Q80" i="29" s="1"/>
  <c r="R75" i="29"/>
  <c r="R79" i="29" s="1"/>
  <c r="R80" i="29" s="1"/>
  <c r="R162" i="29"/>
  <c r="R166" i="29" s="1"/>
  <c r="R167" i="29" s="1"/>
  <c r="Q162" i="29"/>
  <c r="Q166" i="29" s="1"/>
  <c r="Q167" i="29" s="1"/>
  <c r="T153" i="29"/>
  <c r="S162" i="29"/>
  <c r="S166" i="29" s="1"/>
  <c r="F49" i="33"/>
  <c r="F54" i="33" s="1"/>
  <c r="F24" i="24"/>
  <c r="Q49" i="29"/>
  <c r="F49" i="29"/>
  <c r="R164" i="29"/>
  <c r="G164" i="29"/>
  <c r="G87" i="24"/>
  <c r="S266" i="29"/>
  <c r="H266" i="29"/>
  <c r="H205" i="29"/>
  <c r="H210" i="29" s="1"/>
  <c r="S205" i="29"/>
  <c r="S210" i="29" s="1"/>
  <c r="F107" i="29"/>
  <c r="F110" i="29" s="1"/>
  <c r="Q107" i="29"/>
  <c r="Q110" i="29" s="1"/>
  <c r="F56" i="24"/>
  <c r="I278" i="29"/>
  <c r="T278" i="29"/>
  <c r="I149" i="24"/>
  <c r="F75" i="29"/>
  <c r="F79" i="29" s="1"/>
  <c r="F80" i="29" s="1"/>
  <c r="G75" i="29"/>
  <c r="G79" i="29" s="1"/>
  <c r="G80" i="29" s="1"/>
  <c r="H75" i="29"/>
  <c r="H79" i="29" s="1"/>
  <c r="I66" i="29"/>
  <c r="H162" i="29"/>
  <c r="H166" i="29" s="1"/>
  <c r="I153" i="29"/>
  <c r="G162" i="29"/>
  <c r="G166" i="29" s="1"/>
  <c r="G167" i="29" s="1"/>
  <c r="F162" i="29"/>
  <c r="F166" i="29" s="1"/>
  <c r="F167" i="29" s="1"/>
  <c r="R110" i="29"/>
  <c r="C109" i="25"/>
  <c r="C108" i="25"/>
  <c r="G21" i="24"/>
  <c r="I26" i="24"/>
  <c r="H21" i="24"/>
  <c r="F21" i="24"/>
  <c r="R133" i="29"/>
  <c r="R137" i="29" s="1"/>
  <c r="R138" i="29" s="1"/>
  <c r="Q133" i="29"/>
  <c r="Q137" i="29" s="1"/>
  <c r="Q138" i="29" s="1"/>
  <c r="S133" i="29"/>
  <c r="S137" i="29" s="1"/>
  <c r="T124" i="29"/>
  <c r="H106" i="25"/>
  <c r="I96" i="25"/>
  <c r="H239" i="30"/>
  <c r="H240" i="30" s="1"/>
  <c r="H255" i="25"/>
  <c r="G239" i="30"/>
  <c r="G240" i="30" s="1"/>
  <c r="G241" i="30" s="1"/>
  <c r="F106" i="25"/>
  <c r="G106" i="25"/>
  <c r="G75" i="25"/>
  <c r="H225" i="25"/>
  <c r="G142" i="30"/>
  <c r="G144" i="30" s="1"/>
  <c r="G145" i="30" s="1"/>
  <c r="E34" i="29"/>
  <c r="E30" i="29"/>
  <c r="E31" i="29"/>
  <c r="T157" i="28"/>
  <c r="R157" i="28" s="1"/>
  <c r="R161" i="28" s="1"/>
  <c r="R162" i="28" s="1"/>
  <c r="H240" i="28"/>
  <c r="P241" i="28"/>
  <c r="C60" i="28"/>
  <c r="C58" i="28"/>
  <c r="E297" i="28"/>
  <c r="C130" i="28"/>
  <c r="C118" i="28"/>
  <c r="G165" i="25"/>
  <c r="C154" i="25"/>
  <c r="C152" i="25" s="1"/>
  <c r="C167" i="25"/>
  <c r="E286" i="25"/>
  <c r="P129" i="28"/>
  <c r="H165" i="25"/>
  <c r="G195" i="25"/>
  <c r="C184" i="25"/>
  <c r="C182" i="25" s="1"/>
  <c r="C197" i="25"/>
  <c r="E316" i="25"/>
  <c r="E166" i="25"/>
  <c r="I166" i="25" s="1"/>
  <c r="C124" i="25"/>
  <c r="C122" i="25" s="1"/>
  <c r="C137" i="25"/>
  <c r="Q296" i="28"/>
  <c r="R296" i="28"/>
  <c r="S296" i="28"/>
  <c r="P297" i="28"/>
  <c r="P185" i="28"/>
  <c r="E269" i="28"/>
  <c r="H102" i="28"/>
  <c r="D315" i="25"/>
  <c r="H315" i="25" s="1"/>
  <c r="F315" i="25"/>
  <c r="E136" i="25"/>
  <c r="I136" i="25" s="1"/>
  <c r="I101" i="28"/>
  <c r="I92" i="28" s="1"/>
  <c r="T101" i="28"/>
  <c r="T91" i="28" s="1"/>
  <c r="C186" i="28"/>
  <c r="C174" i="28"/>
  <c r="C202" i="28"/>
  <c r="C214" i="28"/>
  <c r="G102" i="28"/>
  <c r="E226" i="25"/>
  <c r="C94" i="25"/>
  <c r="C92" i="25" s="1"/>
  <c r="C107" i="25"/>
  <c r="H105" i="25"/>
  <c r="D285" i="25"/>
  <c r="G285" i="25" s="1"/>
  <c r="F285" i="25"/>
  <c r="I256" i="25"/>
  <c r="P157" i="28"/>
  <c r="D268" i="28"/>
  <c r="F268" i="28"/>
  <c r="D296" i="28"/>
  <c r="G296" i="28" s="1"/>
  <c r="F296" i="28"/>
  <c r="E241" i="28"/>
  <c r="E213" i="28"/>
  <c r="C146" i="28"/>
  <c r="C158" i="28"/>
  <c r="C230" i="28"/>
  <c r="C242" i="28"/>
  <c r="C47" i="25"/>
  <c r="C34" i="25"/>
  <c r="C32" i="25" s="1"/>
  <c r="C33" i="25" s="1"/>
  <c r="H45" i="25"/>
  <c r="C64" i="25"/>
  <c r="C62" i="25" s="1"/>
  <c r="C77" i="25"/>
  <c r="P213" i="28"/>
  <c r="E129" i="28"/>
  <c r="H101" i="28"/>
  <c r="H105" i="28" s="1"/>
  <c r="C227" i="25"/>
  <c r="C214" i="25"/>
  <c r="C212" i="25" s="1"/>
  <c r="C244" i="25"/>
  <c r="C242" i="25" s="1"/>
  <c r="C257" i="25"/>
  <c r="H74" i="28"/>
  <c r="G74" i="28"/>
  <c r="F74" i="28"/>
  <c r="C86" i="28"/>
  <c r="C88" i="28"/>
  <c r="E196" i="25"/>
  <c r="G128" i="28"/>
  <c r="G135" i="25"/>
  <c r="F169" i="25"/>
  <c r="I73" i="30"/>
  <c r="I78" i="28"/>
  <c r="T78" i="28"/>
  <c r="I121" i="30"/>
  <c r="T134" i="28"/>
  <c r="I134" i="28"/>
  <c r="I217" i="30"/>
  <c r="T246" i="28"/>
  <c r="I246" i="28"/>
  <c r="R63" i="28"/>
  <c r="Q119" i="28"/>
  <c r="U300" i="28"/>
  <c r="J300" i="28"/>
  <c r="U216" i="28"/>
  <c r="Q216" i="28" s="1"/>
  <c r="J216" i="28"/>
  <c r="F216" i="28" s="1"/>
  <c r="Q73" i="28"/>
  <c r="Q77" i="28" s="1"/>
  <c r="Q78" i="28" s="1"/>
  <c r="S73" i="28"/>
  <c r="S77" i="28" s="1"/>
  <c r="T63" i="28"/>
  <c r="R73" i="28"/>
  <c r="R77" i="28" s="1"/>
  <c r="R78" i="28" s="1"/>
  <c r="Q63" i="28"/>
  <c r="R119" i="28"/>
  <c r="F73" i="28"/>
  <c r="H73" i="28"/>
  <c r="H77" i="28" s="1"/>
  <c r="I64" i="28"/>
  <c r="G73" i="28"/>
  <c r="F199" i="25"/>
  <c r="F259" i="25"/>
  <c r="I193" i="30"/>
  <c r="T218" i="28"/>
  <c r="I218" i="28"/>
  <c r="U132" i="28"/>
  <c r="Q132" i="28" s="1"/>
  <c r="J132" i="28"/>
  <c r="F132" i="28" s="1"/>
  <c r="H76" i="25"/>
  <c r="H81" i="25" s="1"/>
  <c r="G76" i="25"/>
  <c r="F76" i="25"/>
  <c r="F229" i="25"/>
  <c r="F109" i="25"/>
  <c r="F289" i="25"/>
  <c r="F46" i="25"/>
  <c r="G46" i="25"/>
  <c r="H46" i="25"/>
  <c r="I297" i="28"/>
  <c r="T297" i="28"/>
  <c r="I316" i="25"/>
  <c r="I306" i="25" s="1"/>
  <c r="G168" i="25"/>
  <c r="I97" i="30"/>
  <c r="I106" i="28"/>
  <c r="T106" i="28"/>
  <c r="I265" i="30"/>
  <c r="I302" i="28"/>
  <c r="T302" i="28"/>
  <c r="I190" i="28"/>
  <c r="T190" i="28"/>
  <c r="U104" i="28"/>
  <c r="Q104" i="28" s="1"/>
  <c r="J104" i="28"/>
  <c r="F104" i="28" s="1"/>
  <c r="I148" i="28"/>
  <c r="G157" i="28"/>
  <c r="F157" i="28"/>
  <c r="H157" i="28"/>
  <c r="F49" i="25"/>
  <c r="G258" i="25"/>
  <c r="G288" i="25"/>
  <c r="R91" i="28"/>
  <c r="I145" i="30"/>
  <c r="T162" i="28"/>
  <c r="I162" i="28"/>
  <c r="I185" i="28"/>
  <c r="T185" i="28"/>
  <c r="I196" i="25"/>
  <c r="I186" i="25" s="1"/>
  <c r="I269" i="28"/>
  <c r="I286" i="25"/>
  <c r="I276" i="25" s="1"/>
  <c r="T269" i="28"/>
  <c r="F139" i="25"/>
  <c r="F79" i="25"/>
  <c r="Q91" i="28"/>
  <c r="J76" i="28"/>
  <c r="F76" i="28" s="1"/>
  <c r="U76" i="28"/>
  <c r="Q76" i="28" s="1"/>
  <c r="G216" i="30"/>
  <c r="G217" i="30" s="1"/>
  <c r="F188" i="28"/>
  <c r="Q188" i="28"/>
  <c r="F244" i="28"/>
  <c r="Q244" i="28"/>
  <c r="Q160" i="28"/>
  <c r="F160" i="28"/>
  <c r="G159" i="28"/>
  <c r="R159" i="28"/>
  <c r="R243" i="28"/>
  <c r="G243" i="28"/>
  <c r="F272" i="28"/>
  <c r="Q272" i="28"/>
  <c r="G271" i="28"/>
  <c r="R271" i="28"/>
  <c r="F144" i="30"/>
  <c r="F145" i="30" s="1"/>
  <c r="H142" i="30"/>
  <c r="H144" i="30" s="1"/>
  <c r="F240" i="30"/>
  <c r="F241" i="30" s="1"/>
  <c r="J47" i="30"/>
  <c r="F47" i="30" s="1"/>
  <c r="R35" i="28"/>
  <c r="J118" i="30"/>
  <c r="F118" i="30" s="1"/>
  <c r="Q35" i="28"/>
  <c r="F166" i="30"/>
  <c r="F168" i="30" s="1"/>
  <c r="F169" i="30" s="1"/>
  <c r="S46" i="28"/>
  <c r="Q46" i="28"/>
  <c r="R46" i="28"/>
  <c r="C30" i="28"/>
  <c r="C32" i="28"/>
  <c r="T45" i="28"/>
  <c r="T35" i="28" s="1"/>
  <c r="U48" i="28"/>
  <c r="Q48" i="28" s="1"/>
  <c r="J48" i="28"/>
  <c r="F48" i="28" s="1"/>
  <c r="H44" i="28"/>
  <c r="I49" i="30"/>
  <c r="T50" i="28"/>
  <c r="J94" i="30"/>
  <c r="G94" i="30" s="1"/>
  <c r="G166" i="30"/>
  <c r="G168" i="30" s="1"/>
  <c r="G169" i="30" s="1"/>
  <c r="J262" i="30"/>
  <c r="F262" i="30" s="1"/>
  <c r="J71" i="30"/>
  <c r="H71" i="30" s="1"/>
  <c r="C5" i="28"/>
  <c r="E5" i="28"/>
  <c r="E10" i="28"/>
  <c r="C10" i="28"/>
  <c r="G10" i="28" s="1"/>
  <c r="F216" i="30"/>
  <c r="F217" i="30" s="1"/>
  <c r="H133" i="32"/>
  <c r="J133" i="32" s="1"/>
  <c r="E6" i="28"/>
  <c r="C6" i="28"/>
  <c r="G6" i="28" s="1"/>
  <c r="C11" i="28"/>
  <c r="G11" i="28" s="1"/>
  <c r="E11" i="28"/>
  <c r="C9" i="28"/>
  <c r="G9" i="28" s="1"/>
  <c r="E9" i="28"/>
  <c r="E4" i="28"/>
  <c r="C4" i="28"/>
  <c r="J190" i="30"/>
  <c r="G190" i="30" s="1"/>
  <c r="E3" i="28"/>
  <c r="C3" i="28"/>
  <c r="C2" i="28"/>
  <c r="E2" i="28"/>
  <c r="C7" i="28"/>
  <c r="G7" i="28" s="1"/>
  <c r="E7" i="28"/>
  <c r="E8" i="28"/>
  <c r="C8" i="28"/>
  <c r="G8" i="28" s="1"/>
  <c r="H79" i="32"/>
  <c r="J79" i="32" s="1"/>
  <c r="H160" i="32"/>
  <c r="J160" i="32" s="1"/>
  <c r="H268" i="32"/>
  <c r="J268" i="32" s="1"/>
  <c r="P241" i="31"/>
  <c r="P269" i="31"/>
  <c r="E117" i="32"/>
  <c r="P216" i="31"/>
  <c r="P110" i="31"/>
  <c r="P242" i="31"/>
  <c r="E90" i="32"/>
  <c r="E36" i="32"/>
  <c r="P267" i="31"/>
  <c r="P266" i="31"/>
  <c r="P214" i="31"/>
  <c r="P240" i="31"/>
  <c r="P136" i="31"/>
  <c r="E225" i="32"/>
  <c r="P268" i="31"/>
  <c r="P189" i="31"/>
  <c r="E198" i="32"/>
  <c r="P243" i="31"/>
  <c r="P215" i="31"/>
  <c r="P58" i="31"/>
  <c r="P62" i="31"/>
  <c r="P217" i="31"/>
  <c r="P162" i="31"/>
  <c r="P191" i="31"/>
  <c r="P33" i="31"/>
  <c r="E252" i="32"/>
  <c r="P85" i="31"/>
  <c r="E63" i="32"/>
  <c r="P190" i="31"/>
  <c r="P111" i="31"/>
  <c r="E279" i="32"/>
  <c r="E171" i="32"/>
  <c r="P84" i="31"/>
  <c r="P163" i="31"/>
  <c r="P32" i="31"/>
  <c r="P59" i="31"/>
  <c r="E144" i="32"/>
  <c r="P36" i="31"/>
  <c r="P188" i="31"/>
  <c r="P137" i="31"/>
  <c r="H241" i="32"/>
  <c r="J241" i="32" s="1"/>
  <c r="H106" i="32"/>
  <c r="J106" i="32" s="1"/>
  <c r="H187" i="32"/>
  <c r="J187" i="32" s="1"/>
  <c r="H295" i="32"/>
  <c r="J295" i="32" s="1"/>
  <c r="H214" i="32"/>
  <c r="J214" i="32" s="1"/>
  <c r="H52" i="32"/>
  <c r="J52" i="32" s="1"/>
  <c r="P162" i="27"/>
  <c r="P246" i="27"/>
  <c r="P134" i="27"/>
  <c r="P218" i="27"/>
  <c r="P213" i="27"/>
  <c r="P241" i="27"/>
  <c r="P300" i="27"/>
  <c r="P190" i="27"/>
  <c r="P101" i="27"/>
  <c r="P49" i="27"/>
  <c r="P157" i="27"/>
  <c r="P298" i="27"/>
  <c r="P270" i="27"/>
  <c r="P216" i="27"/>
  <c r="P73" i="27"/>
  <c r="P185" i="27"/>
  <c r="P243" i="27"/>
  <c r="P50" i="27"/>
  <c r="P46" i="27"/>
  <c r="P302" i="27"/>
  <c r="P215" i="27"/>
  <c r="P274" i="27"/>
  <c r="P244" i="27"/>
  <c r="P272" i="27"/>
  <c r="P214" i="27"/>
  <c r="P45" i="27"/>
  <c r="P130" i="27"/>
  <c r="P242" i="27"/>
  <c r="P74" i="27"/>
  <c r="P269" i="27"/>
  <c r="P77" i="27"/>
  <c r="P186" i="27"/>
  <c r="P158" i="27"/>
  <c r="P106" i="27"/>
  <c r="P297" i="27"/>
  <c r="P271" i="27"/>
  <c r="P129" i="27"/>
  <c r="P102" i="27"/>
  <c r="P299" i="27"/>
  <c r="P78" i="27"/>
  <c r="H285" i="31"/>
  <c r="H51" i="31"/>
  <c r="F38" i="30"/>
  <c r="G38" i="30"/>
  <c r="H103" i="31"/>
  <c r="H129" i="31"/>
  <c r="G62" i="30"/>
  <c r="E6" i="30"/>
  <c r="C6" i="30"/>
  <c r="F70" i="30"/>
  <c r="H70" i="30"/>
  <c r="G70" i="30"/>
  <c r="G95" i="30"/>
  <c r="F95" i="30"/>
  <c r="H95" i="30"/>
  <c r="E5" i="30"/>
  <c r="C5" i="30"/>
  <c r="F46" i="30"/>
  <c r="G46" i="30"/>
  <c r="H46" i="30"/>
  <c r="E85" i="31"/>
  <c r="E269" i="31"/>
  <c r="E188" i="31"/>
  <c r="E243" i="31"/>
  <c r="E242" i="31"/>
  <c r="E191" i="31"/>
  <c r="E110" i="31"/>
  <c r="E214" i="31"/>
  <c r="E59" i="31"/>
  <c r="E189" i="31"/>
  <c r="E111" i="31"/>
  <c r="E215" i="31"/>
  <c r="E163" i="31"/>
  <c r="E217" i="31"/>
  <c r="E36" i="31"/>
  <c r="E267" i="31"/>
  <c r="E266" i="31"/>
  <c r="E240" i="31"/>
  <c r="E136" i="31"/>
  <c r="E62" i="31"/>
  <c r="E137" i="31"/>
  <c r="E32" i="31"/>
  <c r="E33" i="31"/>
  <c r="E58" i="31"/>
  <c r="E241" i="31"/>
  <c r="E162" i="31"/>
  <c r="E216" i="31"/>
  <c r="E190" i="31"/>
  <c r="E84" i="31"/>
  <c r="E268" i="31"/>
  <c r="H233" i="31"/>
  <c r="H207" i="31"/>
  <c r="H77" i="31"/>
  <c r="E9" i="30"/>
  <c r="C9" i="30"/>
  <c r="F263" i="30"/>
  <c r="H263" i="30"/>
  <c r="G263" i="30"/>
  <c r="E2" i="30"/>
  <c r="C2" i="30"/>
  <c r="I169" i="30"/>
  <c r="H181" i="31"/>
  <c r="C11" i="30"/>
  <c r="E11" i="30"/>
  <c r="C3" i="30"/>
  <c r="E3" i="30"/>
  <c r="E10" i="30"/>
  <c r="C10" i="30"/>
  <c r="G110" i="30"/>
  <c r="E4" i="30"/>
  <c r="C4" i="30"/>
  <c r="C7" i="20"/>
  <c r="E7" i="30"/>
  <c r="C7" i="30"/>
  <c r="H259" i="31"/>
  <c r="H155" i="31"/>
  <c r="G119" i="30"/>
  <c r="H119" i="30"/>
  <c r="F119" i="30"/>
  <c r="F62" i="30"/>
  <c r="F86" i="30"/>
  <c r="G86" i="30"/>
  <c r="E8" i="30"/>
  <c r="C8" i="30"/>
  <c r="F110" i="30"/>
  <c r="F191" i="30"/>
  <c r="G191" i="30"/>
  <c r="H191" i="30"/>
  <c r="E7" i="20"/>
  <c r="H115" i="22"/>
  <c r="J115" i="22" s="1"/>
  <c r="H50" i="22"/>
  <c r="J50" i="22" s="1"/>
  <c r="F158" i="20"/>
  <c r="H158" i="20" s="1"/>
  <c r="H37" i="22"/>
  <c r="J37" i="22" s="1"/>
  <c r="H141" i="22"/>
  <c r="J141" i="22" s="1"/>
  <c r="H128" i="22"/>
  <c r="J128" i="22" s="1"/>
  <c r="I170" i="20"/>
  <c r="I87" i="19"/>
  <c r="E7" i="26"/>
  <c r="G117" i="26"/>
  <c r="C7" i="26"/>
  <c r="I181" i="26"/>
  <c r="H102" i="22"/>
  <c r="J102" i="22" s="1"/>
  <c r="H76" i="22"/>
  <c r="J76" i="22" s="1"/>
  <c r="H89" i="22"/>
  <c r="J89" i="22" s="1"/>
  <c r="E7" i="19"/>
  <c r="G7" i="19" s="1"/>
  <c r="J84" i="19" s="1"/>
  <c r="H84" i="19" s="1"/>
  <c r="H63" i="22"/>
  <c r="J63" i="22" s="1"/>
  <c r="G65" i="26"/>
  <c r="F117" i="26"/>
  <c r="E97" i="23"/>
  <c r="H97" i="23" s="1"/>
  <c r="E142" i="23"/>
  <c r="H142" i="23" s="1"/>
  <c r="E67" i="23"/>
  <c r="H67" i="23" s="1"/>
  <c r="E73" i="27"/>
  <c r="E134" i="27"/>
  <c r="E130" i="27"/>
  <c r="H130" i="27" s="1"/>
  <c r="E58" i="21"/>
  <c r="E139" i="21"/>
  <c r="E283" i="26"/>
  <c r="H283" i="26" s="1"/>
  <c r="E136" i="21"/>
  <c r="E242" i="27"/>
  <c r="H242" i="27" s="1"/>
  <c r="E157" i="27"/>
  <c r="E113" i="21"/>
  <c r="E74" i="27"/>
  <c r="E288" i="27"/>
  <c r="E101" i="26"/>
  <c r="H101" i="26" s="1"/>
  <c r="E45" i="21"/>
  <c r="E102" i="27"/>
  <c r="E106" i="27"/>
  <c r="E124" i="21"/>
  <c r="H124" i="21" s="1"/>
  <c r="E274" i="27"/>
  <c r="E125" i="21"/>
  <c r="E129" i="27"/>
  <c r="E71" i="21"/>
  <c r="E213" i="27"/>
  <c r="E126" i="21"/>
  <c r="E59" i="21"/>
  <c r="H59" i="21" s="1"/>
  <c r="E113" i="23"/>
  <c r="E68" i="23"/>
  <c r="E232" i="27"/>
  <c r="E148" i="27"/>
  <c r="E300" i="27"/>
  <c r="E272" i="27"/>
  <c r="E297" i="27"/>
  <c r="E97" i="21"/>
  <c r="E302" i="27"/>
  <c r="E98" i="21"/>
  <c r="H98" i="21" s="1"/>
  <c r="E243" i="27"/>
  <c r="E138" i="21"/>
  <c r="E53" i="23"/>
  <c r="E83" i="23"/>
  <c r="E52" i="23"/>
  <c r="H52" i="23" s="1"/>
  <c r="E158" i="23"/>
  <c r="E157" i="23"/>
  <c r="H157" i="23" s="1"/>
  <c r="E82" i="23"/>
  <c r="H82" i="23" s="1"/>
  <c r="E176" i="27"/>
  <c r="E120" i="27"/>
  <c r="E123" i="21"/>
  <c r="E271" i="27"/>
  <c r="E270" i="27"/>
  <c r="H270" i="27" s="1"/>
  <c r="E186" i="27"/>
  <c r="H186" i="27" s="1"/>
  <c r="E204" i="27"/>
  <c r="E158" i="27"/>
  <c r="E84" i="21"/>
  <c r="E127" i="26"/>
  <c r="H127" i="26" s="1"/>
  <c r="E32" i="21"/>
  <c r="E98" i="23"/>
  <c r="E75" i="26"/>
  <c r="H75" i="26" s="1"/>
  <c r="E92" i="27"/>
  <c r="E244" i="27"/>
  <c r="E112" i="21"/>
  <c r="E231" i="26"/>
  <c r="H231" i="26" s="1"/>
  <c r="E241" i="27"/>
  <c r="E246" i="27"/>
  <c r="E218" i="27"/>
  <c r="E298" i="27"/>
  <c r="E257" i="26"/>
  <c r="H257" i="26" s="1"/>
  <c r="E137" i="21"/>
  <c r="E72" i="21"/>
  <c r="E128" i="23"/>
  <c r="E260" i="27"/>
  <c r="E77" i="27"/>
  <c r="R77" i="27" s="1"/>
  <c r="E101" i="27"/>
  <c r="E99" i="21"/>
  <c r="E64" i="27"/>
  <c r="E269" i="27"/>
  <c r="E112" i="23"/>
  <c r="H112" i="23" s="1"/>
  <c r="E216" i="27"/>
  <c r="E100" i="21"/>
  <c r="E214" i="27"/>
  <c r="H214" i="27" s="1"/>
  <c r="E153" i="26"/>
  <c r="H153" i="26" s="1"/>
  <c r="E215" i="27"/>
  <c r="E205" i="26"/>
  <c r="H205" i="26" s="1"/>
  <c r="E299" i="27"/>
  <c r="E143" i="23"/>
  <c r="E127" i="23"/>
  <c r="H127" i="23" s="1"/>
  <c r="E78" i="27"/>
  <c r="E162" i="27"/>
  <c r="E46" i="21"/>
  <c r="E185" i="27"/>
  <c r="E85" i="21"/>
  <c r="H85" i="21" s="1"/>
  <c r="E110" i="21"/>
  <c r="E190" i="27"/>
  <c r="E179" i="26"/>
  <c r="H179" i="26" s="1"/>
  <c r="E111" i="21"/>
  <c r="H111" i="21" s="1"/>
  <c r="F62" i="20"/>
  <c r="F65" i="26"/>
  <c r="F100" i="26"/>
  <c r="H100" i="26"/>
  <c r="G100" i="26"/>
  <c r="I207" i="26"/>
  <c r="E6" i="26"/>
  <c r="C6" i="26"/>
  <c r="I285" i="26"/>
  <c r="C2" i="26"/>
  <c r="E2" i="26"/>
  <c r="G74" i="26"/>
  <c r="H74" i="26"/>
  <c r="F74" i="26"/>
  <c r="E4" i="26"/>
  <c r="C4" i="26"/>
  <c r="C11" i="20"/>
  <c r="G11" i="20" s="1"/>
  <c r="J250" i="20" s="1"/>
  <c r="C11" i="26"/>
  <c r="E11" i="26"/>
  <c r="C8" i="26"/>
  <c r="E8" i="26"/>
  <c r="I103" i="26"/>
  <c r="C10" i="26"/>
  <c r="E10" i="26"/>
  <c r="F282" i="26"/>
  <c r="G282" i="26"/>
  <c r="H282" i="26"/>
  <c r="E3" i="26"/>
  <c r="C3" i="26"/>
  <c r="C5" i="26"/>
  <c r="E5" i="26"/>
  <c r="G86" i="20"/>
  <c r="G91" i="26"/>
  <c r="I233" i="26"/>
  <c r="H48" i="26"/>
  <c r="G48" i="26"/>
  <c r="F48" i="26"/>
  <c r="I155" i="26"/>
  <c r="G204" i="26"/>
  <c r="F204" i="26"/>
  <c r="H204" i="26"/>
  <c r="I77" i="26"/>
  <c r="I129" i="26"/>
  <c r="F51" i="19"/>
  <c r="F91" i="26"/>
  <c r="C9" i="26"/>
  <c r="E9" i="26"/>
  <c r="F126" i="26"/>
  <c r="H126" i="26"/>
  <c r="G126" i="26"/>
  <c r="C11" i="19"/>
  <c r="H11" i="19" s="1"/>
  <c r="J130" i="19" s="1"/>
  <c r="E11" i="19"/>
  <c r="E11" i="20"/>
  <c r="F38" i="20"/>
  <c r="G75" i="19"/>
  <c r="H75" i="19" s="1"/>
  <c r="E239" i="20"/>
  <c r="E213" i="20"/>
  <c r="E215" i="20"/>
  <c r="E238" i="20"/>
  <c r="E190" i="20"/>
  <c r="E189" i="20"/>
  <c r="E188" i="20"/>
  <c r="E260" i="20"/>
  <c r="E214" i="20"/>
  <c r="E212" i="20"/>
  <c r="E237" i="20"/>
  <c r="E191" i="20"/>
  <c r="E263" i="20"/>
  <c r="E261" i="20"/>
  <c r="E236" i="20"/>
  <c r="E262" i="20"/>
  <c r="G110" i="20"/>
  <c r="E5" i="20"/>
  <c r="C5" i="20"/>
  <c r="E2" i="20"/>
  <c r="C2" i="20"/>
  <c r="C6" i="20"/>
  <c r="E6" i="20"/>
  <c r="G134" i="20"/>
  <c r="H134" i="20" s="1"/>
  <c r="I99" i="19"/>
  <c r="I194" i="20"/>
  <c r="I111" i="19"/>
  <c r="I218" i="20"/>
  <c r="C10" i="19"/>
  <c r="H10" i="19" s="1"/>
  <c r="J118" i="19" s="1"/>
  <c r="C10" i="20"/>
  <c r="E10" i="20"/>
  <c r="C3" i="20"/>
  <c r="E3" i="20"/>
  <c r="E9" i="20"/>
  <c r="C9" i="20"/>
  <c r="I135" i="19"/>
  <c r="I266" i="20"/>
  <c r="C8" i="20"/>
  <c r="E8" i="20"/>
  <c r="E4" i="20"/>
  <c r="C4" i="20"/>
  <c r="E10" i="19"/>
  <c r="F27" i="19"/>
  <c r="H7" i="19"/>
  <c r="J82" i="19" s="1"/>
  <c r="H82" i="19" s="1"/>
  <c r="F39" i="19"/>
  <c r="I146" i="20"/>
  <c r="I75" i="19"/>
  <c r="C6" i="19"/>
  <c r="E6" i="19"/>
  <c r="G27" i="19"/>
  <c r="F39" i="26"/>
  <c r="F86" i="20"/>
  <c r="C9" i="19"/>
  <c r="E9" i="19"/>
  <c r="I50" i="28"/>
  <c r="I50" i="20"/>
  <c r="I27" i="19"/>
  <c r="I51" i="26"/>
  <c r="F110" i="20"/>
  <c r="G51" i="19"/>
  <c r="G38" i="20"/>
  <c r="G39" i="26"/>
  <c r="G63" i="19"/>
  <c r="F63" i="19"/>
  <c r="G62" i="20"/>
  <c r="I122" i="20"/>
  <c r="I63" i="19"/>
  <c r="E8" i="19"/>
  <c r="C8" i="19"/>
  <c r="C3" i="19"/>
  <c r="E3" i="19"/>
  <c r="C5" i="19"/>
  <c r="E5" i="19"/>
  <c r="C4" i="19"/>
  <c r="E4" i="19"/>
  <c r="C2" i="19"/>
  <c r="E2" i="19"/>
  <c r="G39" i="19"/>
  <c r="I39" i="19"/>
  <c r="I74" i="20"/>
  <c r="I51" i="19"/>
  <c r="I98" i="20"/>
  <c r="W24" i="24"/>
  <c r="X24" i="24"/>
  <c r="U28" i="24"/>
  <c r="X28" i="24" s="1"/>
  <c r="Y24" i="24"/>
  <c r="J72" i="33" s="1"/>
  <c r="F45" i="28"/>
  <c r="H45" i="28"/>
  <c r="G45" i="28"/>
  <c r="Y25" i="24"/>
  <c r="J103" i="33" s="1"/>
  <c r="U32" i="24"/>
  <c r="U31" i="24"/>
  <c r="U29" i="24"/>
  <c r="U30" i="24"/>
  <c r="AG13" i="24"/>
  <c r="G327" i="33" s="1"/>
  <c r="G333" i="33" s="1"/>
  <c r="Y23" i="24"/>
  <c r="J41" i="33" s="1"/>
  <c r="E71" i="20"/>
  <c r="U27" i="24"/>
  <c r="U26" i="24"/>
  <c r="G44" i="28"/>
  <c r="C46" i="28"/>
  <c r="E49" i="27"/>
  <c r="E49" i="26"/>
  <c r="H49" i="26" s="1"/>
  <c r="E50" i="27"/>
  <c r="E45" i="27"/>
  <c r="E36" i="27"/>
  <c r="E46" i="27"/>
  <c r="E37" i="23"/>
  <c r="H37" i="23" s="1"/>
  <c r="E23" i="23"/>
  <c r="E38" i="23"/>
  <c r="E22" i="23"/>
  <c r="H22" i="23" s="1"/>
  <c r="E166" i="20"/>
  <c r="H166" i="20" s="1"/>
  <c r="E20" i="21"/>
  <c r="E167" i="20"/>
  <c r="E119" i="20"/>
  <c r="E19" i="21"/>
  <c r="E33" i="21"/>
  <c r="E92" i="20"/>
  <c r="H92" i="20" s="1"/>
  <c r="E44" i="20"/>
  <c r="H44" i="20" s="1"/>
  <c r="E164" i="20"/>
  <c r="H164" i="20" s="1"/>
  <c r="E45" i="20"/>
  <c r="H45" i="20" s="1"/>
  <c r="E140" i="20"/>
  <c r="H140" i="20" s="1"/>
  <c r="E142" i="20"/>
  <c r="H142" i="20" s="1"/>
  <c r="E69" i="20"/>
  <c r="H69" i="20" s="1"/>
  <c r="E68" i="20"/>
  <c r="H68" i="20" s="1"/>
  <c r="E143" i="20"/>
  <c r="E116" i="20"/>
  <c r="H116" i="20" s="1"/>
  <c r="E118" i="20"/>
  <c r="H118" i="20" s="1"/>
  <c r="H21" i="21"/>
  <c r="G21" i="21"/>
  <c r="F34" i="21"/>
  <c r="G34" i="21"/>
  <c r="H34" i="21"/>
  <c r="E72" i="20"/>
  <c r="H72" i="20" s="1"/>
  <c r="E93" i="20"/>
  <c r="H93" i="20" s="1"/>
  <c r="E48" i="20"/>
  <c r="H48" i="20" s="1"/>
  <c r="E23" i="21"/>
  <c r="E141" i="20"/>
  <c r="H141" i="20" s="1"/>
  <c r="E165" i="20"/>
  <c r="H165" i="20" s="1"/>
  <c r="E117" i="20"/>
  <c r="H117" i="20" s="1"/>
  <c r="E36" i="21"/>
  <c r="G70" i="20"/>
  <c r="F70" i="20"/>
  <c r="F46" i="20"/>
  <c r="G46" i="20"/>
  <c r="D265" i="17"/>
  <c r="X263" i="17"/>
  <c r="X262" i="17"/>
  <c r="E62" i="21" s="1"/>
  <c r="D264" i="17"/>
  <c r="D262" i="17"/>
  <c r="H161" i="28" l="1"/>
  <c r="C103" i="28"/>
  <c r="G47" i="30"/>
  <c r="H49" i="28"/>
  <c r="H42" i="24"/>
  <c r="H332" i="33"/>
  <c r="C55" i="24"/>
  <c r="G59" i="24" s="1"/>
  <c r="H208" i="33"/>
  <c r="H209" i="33" s="1"/>
  <c r="J208" i="33" s="1"/>
  <c r="H195" i="33" s="1"/>
  <c r="J195" i="33" s="1"/>
  <c r="H111" i="25"/>
  <c r="H301" i="33"/>
  <c r="H302" i="33" s="1"/>
  <c r="J301" i="33" s="1"/>
  <c r="H288" i="33" s="1"/>
  <c r="J288" i="33" s="1"/>
  <c r="G101" i="28"/>
  <c r="G105" i="28" s="1"/>
  <c r="G106" i="28" s="1"/>
  <c r="H177" i="33"/>
  <c r="H178" i="33" s="1"/>
  <c r="J177" i="33" s="1"/>
  <c r="H164" i="33" s="1"/>
  <c r="J164" i="33" s="1"/>
  <c r="H146" i="33"/>
  <c r="H147" i="33" s="1"/>
  <c r="J146" i="33" s="1"/>
  <c r="H133" i="33" s="1"/>
  <c r="J133" i="33" s="1"/>
  <c r="F59" i="24"/>
  <c r="H167" i="29"/>
  <c r="H138" i="29"/>
  <c r="S51" i="29"/>
  <c r="H110" i="29"/>
  <c r="S110" i="29"/>
  <c r="J41" i="25"/>
  <c r="G191" i="29"/>
  <c r="G195" i="29" s="1"/>
  <c r="G196" i="29" s="1"/>
  <c r="F191" i="29"/>
  <c r="F195" i="29" s="1"/>
  <c r="F196" i="29" s="1"/>
  <c r="H191" i="29"/>
  <c r="H195" i="29" s="1"/>
  <c r="I182" i="29"/>
  <c r="S138" i="29"/>
  <c r="S167" i="29"/>
  <c r="J71" i="25"/>
  <c r="H149" i="24"/>
  <c r="H153" i="24" s="1"/>
  <c r="F149" i="24"/>
  <c r="F153" i="24" s="1"/>
  <c r="F154" i="24" s="1"/>
  <c r="G149" i="24"/>
  <c r="G153" i="24" s="1"/>
  <c r="G154" i="24" s="1"/>
  <c r="I154" i="24"/>
  <c r="S307" i="29"/>
  <c r="S311" i="29" s="1"/>
  <c r="R307" i="29"/>
  <c r="R311" i="29" s="1"/>
  <c r="R312" i="29" s="1"/>
  <c r="Q307" i="29"/>
  <c r="Q311" i="29" s="1"/>
  <c r="Q312" i="29" s="1"/>
  <c r="T298" i="29"/>
  <c r="H53" i="33"/>
  <c r="G309" i="29"/>
  <c r="R309" i="29"/>
  <c r="G167" i="24"/>
  <c r="G318" i="25"/>
  <c r="U68" i="28"/>
  <c r="J68" i="28"/>
  <c r="J32" i="24"/>
  <c r="H80" i="29"/>
  <c r="T269" i="29"/>
  <c r="S278" i="29"/>
  <c r="S282" i="29" s="1"/>
  <c r="Q278" i="29"/>
  <c r="Q282" i="29" s="1"/>
  <c r="Q283" i="29" s="1"/>
  <c r="R278" i="29"/>
  <c r="R282" i="29" s="1"/>
  <c r="R283" i="29" s="1"/>
  <c r="F307" i="29"/>
  <c r="F311" i="29" s="1"/>
  <c r="F312" i="29" s="1"/>
  <c r="H307" i="29"/>
  <c r="H311" i="29" s="1"/>
  <c r="G307" i="29"/>
  <c r="G311" i="29" s="1"/>
  <c r="G312" i="29" s="1"/>
  <c r="I298" i="29"/>
  <c r="G278" i="29"/>
  <c r="G282" i="29" s="1"/>
  <c r="G283" i="29" s="1"/>
  <c r="F278" i="29"/>
  <c r="F282" i="29" s="1"/>
  <c r="F283" i="29" s="1"/>
  <c r="I269" i="29"/>
  <c r="H278" i="29"/>
  <c r="H282" i="29" s="1"/>
  <c r="H165" i="24"/>
  <c r="H169" i="24" s="1"/>
  <c r="F165" i="24"/>
  <c r="F169" i="24" s="1"/>
  <c r="F170" i="24" s="1"/>
  <c r="I170" i="24"/>
  <c r="G165" i="24"/>
  <c r="G169" i="24" s="1"/>
  <c r="G170" i="24" s="1"/>
  <c r="H74" i="24"/>
  <c r="H51" i="29"/>
  <c r="J16" i="24"/>
  <c r="J40" i="28"/>
  <c r="U40" i="28"/>
  <c r="H101" i="24"/>
  <c r="H105" i="24" s="1"/>
  <c r="G101" i="24"/>
  <c r="G105" i="24" s="1"/>
  <c r="G106" i="24" s="1"/>
  <c r="F101" i="24"/>
  <c r="F105" i="24" s="1"/>
  <c r="F106" i="24" s="1"/>
  <c r="I106" i="24"/>
  <c r="J191" i="25"/>
  <c r="S80" i="29"/>
  <c r="H90" i="24"/>
  <c r="T182" i="29"/>
  <c r="S191" i="29"/>
  <c r="S195" i="29" s="1"/>
  <c r="Q191" i="29"/>
  <c r="Q195" i="29" s="1"/>
  <c r="Q196" i="29" s="1"/>
  <c r="R191" i="29"/>
  <c r="R195" i="29" s="1"/>
  <c r="R196" i="29" s="1"/>
  <c r="G30" i="29"/>
  <c r="F30" i="29"/>
  <c r="H30" i="29"/>
  <c r="S34" i="29"/>
  <c r="R34" i="29"/>
  <c r="Q34" i="29"/>
  <c r="T33" i="29" s="1"/>
  <c r="F31" i="29"/>
  <c r="G31" i="29"/>
  <c r="H31" i="29"/>
  <c r="H47" i="30"/>
  <c r="G166" i="25"/>
  <c r="I156" i="25"/>
  <c r="G256" i="25"/>
  <c r="I246" i="25"/>
  <c r="H136" i="25"/>
  <c r="H141" i="25" s="1"/>
  <c r="I126" i="25"/>
  <c r="H256" i="25"/>
  <c r="H261" i="25" s="1"/>
  <c r="T147" i="28"/>
  <c r="F256" i="25"/>
  <c r="H262" i="30"/>
  <c r="H264" i="30" s="1"/>
  <c r="G262" i="30"/>
  <c r="G136" i="25"/>
  <c r="H118" i="30"/>
  <c r="H120" i="30" s="1"/>
  <c r="F136" i="25"/>
  <c r="F77" i="28"/>
  <c r="F78" i="28" s="1"/>
  <c r="H51" i="25"/>
  <c r="S157" i="28"/>
  <c r="S161" i="28" s="1"/>
  <c r="Q157" i="28"/>
  <c r="Q161" i="28" s="1"/>
  <c r="Q162" i="28" s="1"/>
  <c r="H296" i="28"/>
  <c r="G86" i="28"/>
  <c r="H86" i="28"/>
  <c r="F86" i="28"/>
  <c r="H227" i="25"/>
  <c r="F227" i="25"/>
  <c r="G227" i="25"/>
  <c r="C226" i="28"/>
  <c r="C228" i="28"/>
  <c r="C258" i="28"/>
  <c r="C270" i="28"/>
  <c r="H268" i="28"/>
  <c r="C170" i="28"/>
  <c r="C172" i="28"/>
  <c r="Q101" i="28"/>
  <c r="Q105" i="28" s="1"/>
  <c r="Q106" i="28" s="1"/>
  <c r="C153" i="25"/>
  <c r="H152" i="25"/>
  <c r="F152" i="25"/>
  <c r="G152" i="25"/>
  <c r="G60" i="28"/>
  <c r="H60" i="28"/>
  <c r="F60" i="28"/>
  <c r="S91" i="28"/>
  <c r="U91" i="28" s="1"/>
  <c r="G77" i="28"/>
  <c r="G78" i="28" s="1"/>
  <c r="I129" i="28"/>
  <c r="T129" i="28"/>
  <c r="F77" i="25"/>
  <c r="F81" i="25" s="1"/>
  <c r="F82" i="25" s="1"/>
  <c r="G77" i="25"/>
  <c r="G81" i="25" s="1"/>
  <c r="G82" i="25" s="1"/>
  <c r="H77" i="25"/>
  <c r="G158" i="28"/>
  <c r="G161" i="28" s="1"/>
  <c r="G162" i="28" s="1"/>
  <c r="F158" i="28"/>
  <c r="F161" i="28" s="1"/>
  <c r="F162" i="28" s="1"/>
  <c r="H158" i="28"/>
  <c r="G186" i="28"/>
  <c r="F186" i="28"/>
  <c r="H186" i="28"/>
  <c r="F101" i="28"/>
  <c r="F105" i="28" s="1"/>
  <c r="F106" i="28" s="1"/>
  <c r="C304" i="25"/>
  <c r="C302" i="25" s="1"/>
  <c r="C317" i="25"/>
  <c r="G137" i="25"/>
  <c r="F137" i="25"/>
  <c r="H137" i="25"/>
  <c r="T213" i="28"/>
  <c r="T203" i="28" s="1"/>
  <c r="I213" i="28"/>
  <c r="I204" i="28" s="1"/>
  <c r="C286" i="28"/>
  <c r="C298" i="28"/>
  <c r="I226" i="25"/>
  <c r="C123" i="25"/>
  <c r="G122" i="25"/>
  <c r="H122" i="25"/>
  <c r="F122" i="25"/>
  <c r="H130" i="28"/>
  <c r="F130" i="28"/>
  <c r="G130" i="28"/>
  <c r="G34" i="29"/>
  <c r="F34" i="29"/>
  <c r="I33" i="29" s="1"/>
  <c r="H34" i="29"/>
  <c r="H257" i="25"/>
  <c r="G257" i="25"/>
  <c r="G261" i="25" s="1"/>
  <c r="G262" i="25" s="1"/>
  <c r="F257" i="25"/>
  <c r="R101" i="28"/>
  <c r="R105" i="28" s="1"/>
  <c r="R106" i="28" s="1"/>
  <c r="C274" i="25"/>
  <c r="C272" i="25" s="1"/>
  <c r="C287" i="25"/>
  <c r="C114" i="28"/>
  <c r="C116" i="28"/>
  <c r="S78" i="28"/>
  <c r="C243" i="25"/>
  <c r="F242" i="25"/>
  <c r="G242" i="25"/>
  <c r="H242" i="25"/>
  <c r="G118" i="30"/>
  <c r="H166" i="25"/>
  <c r="H171" i="25" s="1"/>
  <c r="G47" i="25"/>
  <c r="G51" i="25" s="1"/>
  <c r="G52" i="25" s="1"/>
  <c r="H47" i="25"/>
  <c r="F47" i="25"/>
  <c r="F51" i="25" s="1"/>
  <c r="F52" i="25" s="1"/>
  <c r="F107" i="25"/>
  <c r="F111" i="25" s="1"/>
  <c r="F112" i="25" s="1"/>
  <c r="G107" i="25"/>
  <c r="G111" i="25" s="1"/>
  <c r="G112" i="25" s="1"/>
  <c r="H107" i="25"/>
  <c r="G214" i="28"/>
  <c r="H214" i="28"/>
  <c r="F214" i="28"/>
  <c r="H197" i="25"/>
  <c r="G197" i="25"/>
  <c r="F197" i="25"/>
  <c r="S101" i="28"/>
  <c r="S105" i="28" s="1"/>
  <c r="C63" i="25"/>
  <c r="F62" i="25"/>
  <c r="G62" i="25"/>
  <c r="H62" i="25"/>
  <c r="C142" i="28"/>
  <c r="C144" i="28"/>
  <c r="F166" i="25"/>
  <c r="H88" i="28"/>
  <c r="F88" i="28"/>
  <c r="G88" i="28"/>
  <c r="C213" i="25"/>
  <c r="G212" i="25"/>
  <c r="F212" i="25"/>
  <c r="H212" i="25"/>
  <c r="H242" i="28"/>
  <c r="F242" i="28"/>
  <c r="G242" i="28"/>
  <c r="T241" i="28"/>
  <c r="T231" i="28" s="1"/>
  <c r="I241" i="28"/>
  <c r="I232" i="28" s="1"/>
  <c r="G268" i="28"/>
  <c r="C93" i="25"/>
  <c r="F92" i="25"/>
  <c r="G92" i="25"/>
  <c r="H92" i="25"/>
  <c r="C198" i="28"/>
  <c r="C200" i="28"/>
  <c r="G315" i="25"/>
  <c r="C183" i="25"/>
  <c r="H182" i="25"/>
  <c r="G182" i="25"/>
  <c r="F182" i="25"/>
  <c r="G167" i="25"/>
  <c r="F167" i="25"/>
  <c r="H167" i="25"/>
  <c r="F58" i="28"/>
  <c r="G58" i="28"/>
  <c r="G63" i="28" s="1"/>
  <c r="G64" i="28" s="1"/>
  <c r="H58" i="28"/>
  <c r="H285" i="25"/>
  <c r="T175" i="28"/>
  <c r="Q185" i="28"/>
  <c r="Q189" i="28" s="1"/>
  <c r="Q190" i="28" s="1"/>
  <c r="S185" i="28"/>
  <c r="S189" i="28" s="1"/>
  <c r="R185" i="28"/>
  <c r="R189" i="28" s="1"/>
  <c r="R190" i="28" s="1"/>
  <c r="J284" i="28"/>
  <c r="U282" i="28"/>
  <c r="J282" i="28"/>
  <c r="U284" i="28"/>
  <c r="F185" i="28"/>
  <c r="I176" i="28"/>
  <c r="G185" i="28"/>
  <c r="H185" i="28"/>
  <c r="H189" i="28" s="1"/>
  <c r="U198" i="28"/>
  <c r="J198" i="28"/>
  <c r="U200" i="28"/>
  <c r="J200" i="28"/>
  <c r="J142" i="28"/>
  <c r="J144" i="28"/>
  <c r="U142" i="28"/>
  <c r="U144" i="28"/>
  <c r="S35" i="28"/>
  <c r="T259" i="28"/>
  <c r="S269" i="28"/>
  <c r="S273" i="28" s="1"/>
  <c r="R269" i="28"/>
  <c r="R273" i="28" s="1"/>
  <c r="R274" i="28" s="1"/>
  <c r="Q269" i="28"/>
  <c r="Q273" i="28" s="1"/>
  <c r="Q274" i="28" s="1"/>
  <c r="G286" i="25"/>
  <c r="F286" i="25"/>
  <c r="H286" i="25"/>
  <c r="H316" i="25"/>
  <c r="H321" i="25" s="1"/>
  <c r="G316" i="25"/>
  <c r="F316" i="25"/>
  <c r="S119" i="28"/>
  <c r="J170" i="28"/>
  <c r="U172" i="28"/>
  <c r="U170" i="28"/>
  <c r="J172" i="28"/>
  <c r="I260" i="28"/>
  <c r="F269" i="28"/>
  <c r="G269" i="28"/>
  <c r="H269" i="28"/>
  <c r="H273" i="28" s="1"/>
  <c r="T287" i="28"/>
  <c r="Q297" i="28"/>
  <c r="Q301" i="28" s="1"/>
  <c r="Q302" i="28" s="1"/>
  <c r="R297" i="28"/>
  <c r="R301" i="28" s="1"/>
  <c r="R302" i="28" s="1"/>
  <c r="S297" i="28"/>
  <c r="S301" i="28" s="1"/>
  <c r="U254" i="28"/>
  <c r="J254" i="28"/>
  <c r="U256" i="28"/>
  <c r="J256" i="28"/>
  <c r="I288" i="28"/>
  <c r="H297" i="28"/>
  <c r="G297" i="28"/>
  <c r="F297" i="28"/>
  <c r="J226" i="28"/>
  <c r="U226" i="28"/>
  <c r="J228" i="28"/>
  <c r="U228" i="28"/>
  <c r="G196" i="25"/>
  <c r="H196" i="25"/>
  <c r="H201" i="25" s="1"/>
  <c r="F196" i="25"/>
  <c r="S63" i="28"/>
  <c r="U63" i="28" s="1"/>
  <c r="R299" i="28"/>
  <c r="G299" i="28"/>
  <c r="H241" i="30"/>
  <c r="J241" i="30" s="1"/>
  <c r="R45" i="28"/>
  <c r="R49" i="28" s="1"/>
  <c r="R50" i="28" s="1"/>
  <c r="Q45" i="28"/>
  <c r="Q49" i="28" s="1"/>
  <c r="Q50" i="28" s="1"/>
  <c r="S45" i="28"/>
  <c r="S49" i="28" s="1"/>
  <c r="H32" i="28"/>
  <c r="F32" i="28"/>
  <c r="G32" i="28"/>
  <c r="G30" i="28"/>
  <c r="F30" i="28"/>
  <c r="H30" i="28"/>
  <c r="H94" i="30"/>
  <c r="H96" i="30" s="1"/>
  <c r="G71" i="30"/>
  <c r="G72" i="30" s="1"/>
  <c r="G73" i="30" s="1"/>
  <c r="F94" i="30"/>
  <c r="F96" i="30" s="1"/>
  <c r="F97" i="30" s="1"/>
  <c r="F71" i="30"/>
  <c r="F72" i="30" s="1"/>
  <c r="F73" i="30" s="1"/>
  <c r="H217" i="30"/>
  <c r="J217" i="30" s="1"/>
  <c r="F190" i="30"/>
  <c r="F192" i="30" s="1"/>
  <c r="F193" i="30" s="1"/>
  <c r="H190" i="30"/>
  <c r="H192" i="30" s="1"/>
  <c r="P270" i="31"/>
  <c r="S270" i="31" s="1"/>
  <c r="F279" i="32"/>
  <c r="F281" i="32" s="1"/>
  <c r="F282" i="32" s="1"/>
  <c r="H279" i="32"/>
  <c r="H281" i="32" s="1"/>
  <c r="G279" i="32"/>
  <c r="G281" i="32" s="1"/>
  <c r="G282" i="32" s="1"/>
  <c r="G144" i="32"/>
  <c r="G146" i="32" s="1"/>
  <c r="G147" i="32" s="1"/>
  <c r="H144" i="32"/>
  <c r="H146" i="32" s="1"/>
  <c r="F144" i="32"/>
  <c r="F146" i="32" s="1"/>
  <c r="F147" i="32" s="1"/>
  <c r="S111" i="31"/>
  <c r="R111" i="31"/>
  <c r="Q111" i="31"/>
  <c r="R59" i="31"/>
  <c r="S59" i="31"/>
  <c r="Q59" i="31"/>
  <c r="Q190" i="31"/>
  <c r="S190" i="31"/>
  <c r="R190" i="31"/>
  <c r="S62" i="31"/>
  <c r="R62" i="31"/>
  <c r="Q62" i="31"/>
  <c r="T61" i="31" s="1"/>
  <c r="R189" i="31"/>
  <c r="Q189" i="31"/>
  <c r="S189" i="31"/>
  <c r="S267" i="31"/>
  <c r="R267" i="31"/>
  <c r="Q267" i="31"/>
  <c r="F117" i="32"/>
  <c r="F119" i="32" s="1"/>
  <c r="F120" i="32" s="1"/>
  <c r="G117" i="32"/>
  <c r="G119" i="32" s="1"/>
  <c r="G120" i="32" s="1"/>
  <c r="H117" i="32"/>
  <c r="H119" i="32" s="1"/>
  <c r="R162" i="31"/>
  <c r="S162" i="31"/>
  <c r="Q162" i="31"/>
  <c r="R266" i="31"/>
  <c r="Q266" i="31"/>
  <c r="S266" i="31"/>
  <c r="Q32" i="31"/>
  <c r="R32" i="31"/>
  <c r="S32" i="31"/>
  <c r="F63" i="32"/>
  <c r="F65" i="32" s="1"/>
  <c r="F66" i="32" s="1"/>
  <c r="H63" i="32"/>
  <c r="H65" i="32" s="1"/>
  <c r="G63" i="32"/>
  <c r="G65" i="32" s="1"/>
  <c r="G66" i="32" s="1"/>
  <c r="P192" i="31"/>
  <c r="P218" i="31"/>
  <c r="H36" i="32"/>
  <c r="H38" i="32" s="1"/>
  <c r="F36" i="32"/>
  <c r="F38" i="32" s="1"/>
  <c r="F39" i="32" s="1"/>
  <c r="G36" i="32"/>
  <c r="G38" i="32" s="1"/>
  <c r="G39" i="32" s="1"/>
  <c r="P140" i="31"/>
  <c r="S36" i="31"/>
  <c r="R36" i="31"/>
  <c r="Q36" i="31"/>
  <c r="T35" i="31" s="1"/>
  <c r="S35" i="31" s="1"/>
  <c r="R110" i="31"/>
  <c r="Q110" i="31"/>
  <c r="S110" i="31"/>
  <c r="G198" i="32"/>
  <c r="G200" i="32" s="1"/>
  <c r="G201" i="32" s="1"/>
  <c r="H198" i="32"/>
  <c r="H200" i="32" s="1"/>
  <c r="F198" i="32"/>
  <c r="F200" i="32" s="1"/>
  <c r="F201" i="32" s="1"/>
  <c r="S163" i="31"/>
  <c r="R163" i="31"/>
  <c r="Q163" i="31"/>
  <c r="R85" i="31"/>
  <c r="Q85" i="31"/>
  <c r="S85" i="31"/>
  <c r="R58" i="31"/>
  <c r="S58" i="31"/>
  <c r="Q58" i="31"/>
  <c r="Q268" i="31"/>
  <c r="S268" i="31"/>
  <c r="R268" i="31"/>
  <c r="P88" i="31"/>
  <c r="S214" i="31"/>
  <c r="Q214" i="31"/>
  <c r="R214" i="31"/>
  <c r="R84" i="31"/>
  <c r="Q84" i="31"/>
  <c r="S84" i="31"/>
  <c r="H252" i="32"/>
  <c r="H254" i="32" s="1"/>
  <c r="F252" i="32"/>
  <c r="F254" i="32" s="1"/>
  <c r="F255" i="32" s="1"/>
  <c r="G252" i="32"/>
  <c r="G254" i="32" s="1"/>
  <c r="G255" i="32" s="1"/>
  <c r="P166" i="31"/>
  <c r="H225" i="32"/>
  <c r="H227" i="32" s="1"/>
  <c r="F225" i="32"/>
  <c r="F227" i="32" s="1"/>
  <c r="F228" i="32" s="1"/>
  <c r="G225" i="32"/>
  <c r="G227" i="32" s="1"/>
  <c r="G228" i="32" s="1"/>
  <c r="P244" i="31"/>
  <c r="R241" i="31"/>
  <c r="S241" i="31"/>
  <c r="Q241" i="31"/>
  <c r="F32" i="31"/>
  <c r="G32" i="31"/>
  <c r="H32" i="31"/>
  <c r="Q270" i="31"/>
  <c r="T269" i="31" s="1"/>
  <c r="S269" i="31" s="1"/>
  <c r="S216" i="31"/>
  <c r="Q216" i="31"/>
  <c r="R216" i="31"/>
  <c r="R137" i="31"/>
  <c r="Q137" i="31"/>
  <c r="S137" i="31"/>
  <c r="P114" i="31"/>
  <c r="S33" i="31"/>
  <c r="R33" i="31"/>
  <c r="Q33" i="31"/>
  <c r="R215" i="31"/>
  <c r="Q215" i="31"/>
  <c r="S215" i="31"/>
  <c r="Q136" i="31"/>
  <c r="R136" i="31"/>
  <c r="S136" i="31"/>
  <c r="G90" i="32"/>
  <c r="G92" i="32" s="1"/>
  <c r="G93" i="32" s="1"/>
  <c r="H90" i="32"/>
  <c r="H92" i="32" s="1"/>
  <c r="F90" i="32"/>
  <c r="F92" i="32" s="1"/>
  <c r="F93" i="32" s="1"/>
  <c r="F33" i="31"/>
  <c r="G33" i="31"/>
  <c r="H33" i="31"/>
  <c r="F36" i="31"/>
  <c r="I35" i="31" s="1"/>
  <c r="H36" i="31"/>
  <c r="G36" i="31"/>
  <c r="S188" i="31"/>
  <c r="Q188" i="31"/>
  <c r="R188" i="31"/>
  <c r="H171" i="32"/>
  <c r="H173" i="32" s="1"/>
  <c r="G171" i="32"/>
  <c r="G173" i="32" s="1"/>
  <c r="G174" i="32" s="1"/>
  <c r="F171" i="32"/>
  <c r="F173" i="32" s="1"/>
  <c r="F174" i="32" s="1"/>
  <c r="S240" i="31"/>
  <c r="Q240" i="31"/>
  <c r="R240" i="31"/>
  <c r="S242" i="31"/>
  <c r="Q242" i="31"/>
  <c r="R242" i="31"/>
  <c r="P133" i="27"/>
  <c r="S133" i="27" s="1"/>
  <c r="P301" i="27"/>
  <c r="S301" i="27" s="1"/>
  <c r="P217" i="27"/>
  <c r="S217" i="27" s="1"/>
  <c r="P189" i="27"/>
  <c r="S189" i="27" s="1"/>
  <c r="P105" i="27"/>
  <c r="S105" i="27" s="1"/>
  <c r="S274" i="27"/>
  <c r="R274" i="27"/>
  <c r="Q274" i="27"/>
  <c r="Q190" i="27"/>
  <c r="S190" i="27"/>
  <c r="R190" i="27"/>
  <c r="G50" i="27"/>
  <c r="F50" i="27"/>
  <c r="H50" i="27"/>
  <c r="S299" i="27"/>
  <c r="R299" i="27"/>
  <c r="Q299" i="27"/>
  <c r="Q158" i="27"/>
  <c r="S158" i="27"/>
  <c r="R158" i="27"/>
  <c r="S242" i="27"/>
  <c r="Q242" i="27"/>
  <c r="R242" i="27"/>
  <c r="S215" i="27"/>
  <c r="R215" i="27"/>
  <c r="Q215" i="27"/>
  <c r="Q73" i="27"/>
  <c r="R73" i="27"/>
  <c r="S73" i="27"/>
  <c r="Q78" i="27"/>
  <c r="R78" i="27"/>
  <c r="S78" i="27"/>
  <c r="R102" i="27"/>
  <c r="Q102" i="27"/>
  <c r="S102" i="27"/>
  <c r="R186" i="27"/>
  <c r="S186" i="27"/>
  <c r="Q186" i="27"/>
  <c r="S130" i="27"/>
  <c r="R130" i="27"/>
  <c r="Q130" i="27"/>
  <c r="Q302" i="27"/>
  <c r="S302" i="27"/>
  <c r="R302" i="27"/>
  <c r="S241" i="27"/>
  <c r="Q241" i="27"/>
  <c r="R241" i="27"/>
  <c r="H45" i="27"/>
  <c r="F45" i="27"/>
  <c r="G45" i="27"/>
  <c r="G49" i="27"/>
  <c r="R49" i="27"/>
  <c r="H49" i="27"/>
  <c r="F49" i="27"/>
  <c r="I48" i="27" s="1"/>
  <c r="P245" i="27"/>
  <c r="S77" i="27"/>
  <c r="Q77" i="27"/>
  <c r="T76" i="27" s="1"/>
  <c r="Q45" i="27"/>
  <c r="R45" i="27"/>
  <c r="S45" i="27"/>
  <c r="S46" i="27"/>
  <c r="Q46" i="27"/>
  <c r="R46" i="27"/>
  <c r="R270" i="27"/>
  <c r="S270" i="27"/>
  <c r="Q270" i="27"/>
  <c r="R213" i="27"/>
  <c r="S213" i="27"/>
  <c r="Q213" i="27"/>
  <c r="R129" i="27"/>
  <c r="S129" i="27"/>
  <c r="Q129" i="27"/>
  <c r="S298" i="27"/>
  <c r="R298" i="27"/>
  <c r="Q298" i="27"/>
  <c r="S271" i="27"/>
  <c r="R271" i="27"/>
  <c r="Q271" i="27"/>
  <c r="S269" i="27"/>
  <c r="Q269" i="27"/>
  <c r="R269" i="27"/>
  <c r="R214" i="27"/>
  <c r="Q214" i="27"/>
  <c r="S214" i="27"/>
  <c r="P273" i="27"/>
  <c r="R157" i="27"/>
  <c r="S157" i="27"/>
  <c r="Q157" i="27"/>
  <c r="Q134" i="27"/>
  <c r="S134" i="27"/>
  <c r="R134" i="27"/>
  <c r="Q50" i="27"/>
  <c r="S50" i="27"/>
  <c r="R50" i="27"/>
  <c r="R218" i="27"/>
  <c r="Q218" i="27"/>
  <c r="S218" i="27"/>
  <c r="H46" i="27"/>
  <c r="G46" i="27"/>
  <c r="F46" i="27"/>
  <c r="S297" i="27"/>
  <c r="R297" i="27"/>
  <c r="Q297" i="27"/>
  <c r="R74" i="27"/>
  <c r="Q74" i="27"/>
  <c r="S74" i="27"/>
  <c r="Q243" i="27"/>
  <c r="S243" i="27"/>
  <c r="R243" i="27"/>
  <c r="Q49" i="27"/>
  <c r="T48" i="27" s="1"/>
  <c r="S49" i="27"/>
  <c r="Q246" i="27"/>
  <c r="S246" i="27"/>
  <c r="R246" i="27"/>
  <c r="R106" i="27"/>
  <c r="S106" i="27"/>
  <c r="Q106" i="27"/>
  <c r="P161" i="27"/>
  <c r="Q185" i="27"/>
  <c r="R185" i="27"/>
  <c r="S185" i="27"/>
  <c r="Q101" i="27"/>
  <c r="R101" i="27"/>
  <c r="S101" i="27"/>
  <c r="R162" i="27"/>
  <c r="Q162" i="27"/>
  <c r="S162" i="27"/>
  <c r="H169" i="30"/>
  <c r="J169" i="30" s="1"/>
  <c r="H145" i="30"/>
  <c r="J145" i="30" s="1"/>
  <c r="F120" i="30"/>
  <c r="F121" i="30" s="1"/>
  <c r="H38" i="30"/>
  <c r="J38" i="30" s="1"/>
  <c r="H62" i="30"/>
  <c r="J62" i="30" s="1"/>
  <c r="H48" i="30"/>
  <c r="H110" i="30"/>
  <c r="J110" i="30" s="1"/>
  <c r="G192" i="30"/>
  <c r="G193" i="30" s="1"/>
  <c r="G96" i="30"/>
  <c r="G97" i="30" s="1"/>
  <c r="H162" i="31"/>
  <c r="F162" i="31"/>
  <c r="G162" i="31"/>
  <c r="E270" i="31"/>
  <c r="F214" i="31"/>
  <c r="H214" i="31"/>
  <c r="G214" i="31"/>
  <c r="F85" i="31"/>
  <c r="G85" i="31"/>
  <c r="H85" i="31"/>
  <c r="H11" i="30"/>
  <c r="J248" i="30" s="1"/>
  <c r="G11" i="30"/>
  <c r="J250" i="30" s="1"/>
  <c r="F241" i="31"/>
  <c r="G241" i="31"/>
  <c r="H241" i="31"/>
  <c r="H136" i="31"/>
  <c r="F136" i="31"/>
  <c r="G136" i="31"/>
  <c r="H86" i="30"/>
  <c r="J86" i="30" s="1"/>
  <c r="H58" i="31"/>
  <c r="G58" i="31"/>
  <c r="F58" i="31"/>
  <c r="H240" i="31"/>
  <c r="F240" i="31"/>
  <c r="G240" i="31"/>
  <c r="F163" i="31"/>
  <c r="G163" i="31"/>
  <c r="H163" i="31"/>
  <c r="G48" i="30"/>
  <c r="G49" i="30" s="1"/>
  <c r="G120" i="30"/>
  <c r="G121" i="30" s="1"/>
  <c r="G10" i="30"/>
  <c r="J226" i="30" s="1"/>
  <c r="H10" i="30"/>
  <c r="J224" i="30" s="1"/>
  <c r="G264" i="30"/>
  <c r="G265" i="30" s="1"/>
  <c r="H268" i="31"/>
  <c r="G268" i="31"/>
  <c r="F268" i="31"/>
  <c r="E140" i="31"/>
  <c r="E88" i="31"/>
  <c r="E166" i="31"/>
  <c r="F48" i="30"/>
  <c r="F49" i="30" s="1"/>
  <c r="H72" i="30"/>
  <c r="H110" i="31"/>
  <c r="G110" i="31"/>
  <c r="F110" i="31"/>
  <c r="H7" i="30"/>
  <c r="J152" i="30" s="1"/>
  <c r="G7" i="30"/>
  <c r="J154" i="30" s="1"/>
  <c r="F264" i="30"/>
  <c r="F265" i="30" s="1"/>
  <c r="G84" i="31"/>
  <c r="F84" i="31"/>
  <c r="H84" i="31"/>
  <c r="E192" i="31"/>
  <c r="H266" i="31"/>
  <c r="F266" i="31"/>
  <c r="G266" i="31"/>
  <c r="G215" i="31"/>
  <c r="F215" i="31"/>
  <c r="H215" i="31"/>
  <c r="G242" i="31"/>
  <c r="H242" i="31"/>
  <c r="F242" i="31"/>
  <c r="G9" i="30"/>
  <c r="J202" i="30" s="1"/>
  <c r="H9" i="30"/>
  <c r="J200" i="30" s="1"/>
  <c r="E218" i="31"/>
  <c r="G267" i="31"/>
  <c r="F267" i="31"/>
  <c r="H267" i="31"/>
  <c r="F111" i="31"/>
  <c r="G111" i="31"/>
  <c r="H111" i="31"/>
  <c r="G6" i="30"/>
  <c r="J130" i="30" s="1"/>
  <c r="H6" i="30"/>
  <c r="J128" i="30" s="1"/>
  <c r="H8" i="30"/>
  <c r="J176" i="30" s="1"/>
  <c r="G8" i="30"/>
  <c r="J178" i="30" s="1"/>
  <c r="F190" i="31"/>
  <c r="H190" i="31"/>
  <c r="G190" i="31"/>
  <c r="F137" i="31"/>
  <c r="H137" i="31"/>
  <c r="G137" i="31"/>
  <c r="E244" i="31"/>
  <c r="F189" i="31"/>
  <c r="H189" i="31"/>
  <c r="G189" i="31"/>
  <c r="G188" i="31"/>
  <c r="F188" i="31"/>
  <c r="H188" i="31"/>
  <c r="G216" i="31"/>
  <c r="H216" i="31"/>
  <c r="F216" i="31"/>
  <c r="H62" i="31"/>
  <c r="G62" i="31"/>
  <c r="F62" i="31"/>
  <c r="I61" i="31" s="1"/>
  <c r="E114" i="31"/>
  <c r="H59" i="31"/>
  <c r="G59" i="31"/>
  <c r="F59" i="31"/>
  <c r="H65" i="26"/>
  <c r="J65" i="26" s="1"/>
  <c r="G7" i="26"/>
  <c r="J164" i="26" s="1"/>
  <c r="F164" i="26" s="1"/>
  <c r="H7" i="26"/>
  <c r="J162" i="26" s="1"/>
  <c r="F162" i="26" s="1"/>
  <c r="H117" i="26"/>
  <c r="J117" i="26" s="1"/>
  <c r="E301" i="27"/>
  <c r="E245" i="27"/>
  <c r="R245" i="27" s="1"/>
  <c r="E114" i="21"/>
  <c r="H114" i="21" s="1"/>
  <c r="E217" i="27"/>
  <c r="E273" i="27"/>
  <c r="E133" i="27"/>
  <c r="F62" i="21"/>
  <c r="I61" i="21" s="1"/>
  <c r="G62" i="21"/>
  <c r="H62" i="21"/>
  <c r="E189" i="27"/>
  <c r="R189" i="27" s="1"/>
  <c r="H162" i="27"/>
  <c r="G162" i="27"/>
  <c r="F162" i="27"/>
  <c r="G153" i="26"/>
  <c r="G154" i="26" s="1"/>
  <c r="G155" i="26" s="1"/>
  <c r="F153" i="26"/>
  <c r="F154" i="26" s="1"/>
  <c r="F155" i="26" s="1"/>
  <c r="F64" i="27"/>
  <c r="F66" i="27" s="1"/>
  <c r="F67" i="27" s="1"/>
  <c r="G64" i="27"/>
  <c r="G66" i="27" s="1"/>
  <c r="G67" i="27" s="1"/>
  <c r="G72" i="21"/>
  <c r="F72" i="21"/>
  <c r="H72" i="21"/>
  <c r="G241" i="27"/>
  <c r="F241" i="27"/>
  <c r="H241" i="27"/>
  <c r="G127" i="26"/>
  <c r="G128" i="26" s="1"/>
  <c r="G129" i="26" s="1"/>
  <c r="F127" i="26"/>
  <c r="F128" i="26" s="1"/>
  <c r="F129" i="26" s="1"/>
  <c r="G271" i="27"/>
  <c r="F271" i="27"/>
  <c r="H271" i="27"/>
  <c r="F52" i="23"/>
  <c r="G52" i="23"/>
  <c r="G97" i="21"/>
  <c r="F97" i="21"/>
  <c r="H97" i="21"/>
  <c r="E75" i="21"/>
  <c r="G124" i="21"/>
  <c r="F124" i="21"/>
  <c r="H113" i="21"/>
  <c r="H134" i="27"/>
  <c r="G134" i="27"/>
  <c r="F134" i="27"/>
  <c r="H78" i="27"/>
  <c r="G78" i="27"/>
  <c r="F78" i="27"/>
  <c r="F123" i="21"/>
  <c r="G123" i="21"/>
  <c r="H123" i="21"/>
  <c r="G297" i="27"/>
  <c r="F297" i="27"/>
  <c r="H297" i="27"/>
  <c r="F157" i="27"/>
  <c r="G157" i="27"/>
  <c r="H157" i="27"/>
  <c r="G101" i="27"/>
  <c r="F101" i="27"/>
  <c r="H101" i="27"/>
  <c r="G158" i="27"/>
  <c r="F158" i="27"/>
  <c r="H158" i="27"/>
  <c r="H126" i="21"/>
  <c r="F67" i="23"/>
  <c r="G67" i="23"/>
  <c r="G110" i="21"/>
  <c r="F110" i="21"/>
  <c r="H110" i="21"/>
  <c r="G299" i="27"/>
  <c r="F299" i="27"/>
  <c r="H299" i="27"/>
  <c r="E88" i="21"/>
  <c r="G298" i="27"/>
  <c r="F298" i="27"/>
  <c r="H298" i="27"/>
  <c r="G92" i="27"/>
  <c r="G94" i="27" s="1"/>
  <c r="G95" i="27" s="1"/>
  <c r="F92" i="27"/>
  <c r="F94" i="27" s="1"/>
  <c r="F95" i="27" s="1"/>
  <c r="G204" i="27"/>
  <c r="G206" i="27" s="1"/>
  <c r="G207" i="27" s="1"/>
  <c r="F204" i="27"/>
  <c r="F206" i="27" s="1"/>
  <c r="F207" i="27" s="1"/>
  <c r="G176" i="27"/>
  <c r="G178" i="27" s="1"/>
  <c r="G179" i="27" s="1"/>
  <c r="F176" i="27"/>
  <c r="F178" i="27" s="1"/>
  <c r="F179" i="27" s="1"/>
  <c r="E101" i="21"/>
  <c r="F148" i="27"/>
  <c r="F150" i="27" s="1"/>
  <c r="F151" i="27" s="1"/>
  <c r="G148" i="27"/>
  <c r="G150" i="27" s="1"/>
  <c r="G151" i="27" s="1"/>
  <c r="F71" i="21"/>
  <c r="G71" i="21"/>
  <c r="H71" i="21"/>
  <c r="G101" i="26"/>
  <c r="G102" i="26" s="1"/>
  <c r="G103" i="26" s="1"/>
  <c r="F101" i="26"/>
  <c r="F102" i="26" s="1"/>
  <c r="F103" i="26" s="1"/>
  <c r="G283" i="26"/>
  <c r="G284" i="26" s="1"/>
  <c r="G285" i="26" s="1"/>
  <c r="F283" i="26"/>
  <c r="F284" i="26" s="1"/>
  <c r="F285" i="26" s="1"/>
  <c r="G97" i="23"/>
  <c r="F97" i="23"/>
  <c r="G99" i="21"/>
  <c r="F99" i="21"/>
  <c r="H99" i="21"/>
  <c r="G84" i="21"/>
  <c r="F84" i="21"/>
  <c r="H84" i="21"/>
  <c r="H89" i="21" s="1"/>
  <c r="F59" i="21"/>
  <c r="G59" i="21"/>
  <c r="H100" i="21"/>
  <c r="G112" i="21"/>
  <c r="F112" i="21"/>
  <c r="H112" i="21"/>
  <c r="H53" i="23"/>
  <c r="F53" i="23"/>
  <c r="G53" i="23"/>
  <c r="G102" i="27"/>
  <c r="F102" i="27"/>
  <c r="H102" i="27"/>
  <c r="F190" i="27"/>
  <c r="G190" i="27"/>
  <c r="H190" i="27"/>
  <c r="H143" i="23"/>
  <c r="F143" i="23"/>
  <c r="G143" i="23"/>
  <c r="E127" i="21"/>
  <c r="F257" i="26"/>
  <c r="F258" i="26" s="1"/>
  <c r="F259" i="26" s="1"/>
  <c r="G257" i="26"/>
  <c r="G258" i="26" s="1"/>
  <c r="G259" i="26" s="1"/>
  <c r="H258" i="26"/>
  <c r="G120" i="27"/>
  <c r="G122" i="27" s="1"/>
  <c r="G123" i="27" s="1"/>
  <c r="F120" i="27"/>
  <c r="F122" i="27" s="1"/>
  <c r="F123" i="27" s="1"/>
  <c r="F138" i="21"/>
  <c r="G138" i="21"/>
  <c r="H138" i="21"/>
  <c r="F213" i="27"/>
  <c r="G213" i="27"/>
  <c r="H213" i="27"/>
  <c r="F45" i="21"/>
  <c r="G45" i="21"/>
  <c r="H45" i="21"/>
  <c r="G136" i="21"/>
  <c r="F136" i="21"/>
  <c r="H136" i="21"/>
  <c r="G142" i="23"/>
  <c r="F142" i="23"/>
  <c r="G85" i="21"/>
  <c r="F85" i="21"/>
  <c r="G205" i="26"/>
  <c r="G206" i="26" s="1"/>
  <c r="G207" i="26" s="1"/>
  <c r="F205" i="26"/>
  <c r="F206" i="26" s="1"/>
  <c r="F207" i="26" s="1"/>
  <c r="F112" i="23"/>
  <c r="G112" i="23"/>
  <c r="G77" i="27"/>
  <c r="F77" i="27"/>
  <c r="I76" i="27" s="1"/>
  <c r="H77" i="27"/>
  <c r="H218" i="27"/>
  <c r="G218" i="27"/>
  <c r="F218" i="27"/>
  <c r="F75" i="26"/>
  <c r="F76" i="26" s="1"/>
  <c r="F77" i="26" s="1"/>
  <c r="G75" i="26"/>
  <c r="G76" i="26" s="1"/>
  <c r="G77" i="26" s="1"/>
  <c r="G186" i="27"/>
  <c r="F186" i="27"/>
  <c r="F82" i="23"/>
  <c r="G82" i="23"/>
  <c r="F243" i="27"/>
  <c r="G243" i="27"/>
  <c r="H243" i="27"/>
  <c r="G232" i="27"/>
  <c r="G234" i="27" s="1"/>
  <c r="G235" i="27" s="1"/>
  <c r="F232" i="27"/>
  <c r="F234" i="27" s="1"/>
  <c r="F235" i="27" s="1"/>
  <c r="F129" i="27"/>
  <c r="G129" i="27"/>
  <c r="H129" i="27"/>
  <c r="E105" i="27"/>
  <c r="R105" i="27" s="1"/>
  <c r="H139" i="21"/>
  <c r="G111" i="21"/>
  <c r="F111" i="21"/>
  <c r="F185" i="27"/>
  <c r="G185" i="27"/>
  <c r="H185" i="27"/>
  <c r="G215" i="27"/>
  <c r="F215" i="27"/>
  <c r="H215" i="27"/>
  <c r="E49" i="21"/>
  <c r="G260" i="27"/>
  <c r="G262" i="27" s="1"/>
  <c r="G263" i="27" s="1"/>
  <c r="F260" i="27"/>
  <c r="F262" i="27" s="1"/>
  <c r="F263" i="27" s="1"/>
  <c r="F246" i="27"/>
  <c r="G246" i="27"/>
  <c r="H246" i="27"/>
  <c r="H98" i="23"/>
  <c r="F98" i="23"/>
  <c r="G98" i="23"/>
  <c r="G270" i="27"/>
  <c r="F270" i="27"/>
  <c r="F157" i="23"/>
  <c r="G157" i="23"/>
  <c r="F98" i="21"/>
  <c r="G98" i="21"/>
  <c r="F68" i="23"/>
  <c r="H68" i="23"/>
  <c r="G68" i="23"/>
  <c r="G125" i="21"/>
  <c r="F125" i="21"/>
  <c r="H125" i="21"/>
  <c r="G288" i="27"/>
  <c r="G290" i="27" s="1"/>
  <c r="G291" i="27" s="1"/>
  <c r="F288" i="27"/>
  <c r="F290" i="27" s="1"/>
  <c r="F291" i="27" s="1"/>
  <c r="G58" i="21"/>
  <c r="F58" i="21"/>
  <c r="H58" i="21"/>
  <c r="H63" i="21" s="1"/>
  <c r="H154" i="26"/>
  <c r="G214" i="27"/>
  <c r="F214" i="27"/>
  <c r="F231" i="26"/>
  <c r="F232" i="26" s="1"/>
  <c r="F233" i="26" s="1"/>
  <c r="G231" i="26"/>
  <c r="G232" i="26" s="1"/>
  <c r="G233" i="26" s="1"/>
  <c r="H83" i="23"/>
  <c r="F83" i="23"/>
  <c r="G83" i="23"/>
  <c r="H106" i="27"/>
  <c r="G106" i="27"/>
  <c r="F106" i="27"/>
  <c r="F73" i="27"/>
  <c r="G73" i="27"/>
  <c r="H73" i="27"/>
  <c r="G127" i="23"/>
  <c r="F127" i="23"/>
  <c r="F137" i="21"/>
  <c r="G137" i="21"/>
  <c r="H137" i="21"/>
  <c r="G242" i="27"/>
  <c r="F242" i="27"/>
  <c r="F179" i="26"/>
  <c r="F180" i="26" s="1"/>
  <c r="F181" i="26" s="1"/>
  <c r="G179" i="26"/>
  <c r="G180" i="26" s="1"/>
  <c r="G181" i="26" s="1"/>
  <c r="H180" i="26"/>
  <c r="F46" i="21"/>
  <c r="G46" i="21"/>
  <c r="H46" i="21"/>
  <c r="E161" i="27"/>
  <c r="R161" i="27" s="1"/>
  <c r="F269" i="27"/>
  <c r="G269" i="27"/>
  <c r="H269" i="27"/>
  <c r="H128" i="23"/>
  <c r="G128" i="23"/>
  <c r="F128" i="23"/>
  <c r="E140" i="21"/>
  <c r="H158" i="23"/>
  <c r="G158" i="23"/>
  <c r="F158" i="23"/>
  <c r="H302" i="27"/>
  <c r="G302" i="27"/>
  <c r="F302" i="27"/>
  <c r="H113" i="23"/>
  <c r="G113" i="23"/>
  <c r="F113" i="23"/>
  <c r="F274" i="27"/>
  <c r="H274" i="27"/>
  <c r="G274" i="27"/>
  <c r="F74" i="27"/>
  <c r="G74" i="27"/>
  <c r="H74" i="27"/>
  <c r="G130" i="27"/>
  <c r="F130" i="27"/>
  <c r="H232" i="26"/>
  <c r="H62" i="20"/>
  <c r="H91" i="26"/>
  <c r="J91" i="26" s="1"/>
  <c r="H51" i="19"/>
  <c r="J51" i="19" s="1"/>
  <c r="H284" i="26"/>
  <c r="H76" i="26"/>
  <c r="H102" i="26"/>
  <c r="H86" i="20"/>
  <c r="H128" i="26"/>
  <c r="H11" i="26"/>
  <c r="J266" i="26" s="1"/>
  <c r="G11" i="26"/>
  <c r="J268" i="26" s="1"/>
  <c r="H11" i="20"/>
  <c r="J248" i="20" s="1"/>
  <c r="G248" i="20" s="1"/>
  <c r="H206" i="26"/>
  <c r="G8" i="26"/>
  <c r="J190" i="26" s="1"/>
  <c r="H8" i="26"/>
  <c r="J188" i="26" s="1"/>
  <c r="H6" i="26"/>
  <c r="J136" i="26" s="1"/>
  <c r="G6" i="26"/>
  <c r="J138" i="26" s="1"/>
  <c r="G10" i="26"/>
  <c r="J242" i="26" s="1"/>
  <c r="H10" i="26"/>
  <c r="J240" i="26" s="1"/>
  <c r="H9" i="26"/>
  <c r="J214" i="26" s="1"/>
  <c r="G9" i="26"/>
  <c r="J216" i="26" s="1"/>
  <c r="G11" i="19"/>
  <c r="J132" i="19" s="1"/>
  <c r="H132" i="19" s="1"/>
  <c r="H38" i="20"/>
  <c r="E240" i="20"/>
  <c r="G240" i="20" s="1"/>
  <c r="E264" i="20"/>
  <c r="H264" i="20" s="1"/>
  <c r="H188" i="20"/>
  <c r="F188" i="20"/>
  <c r="G188" i="20"/>
  <c r="H237" i="20"/>
  <c r="F237" i="20"/>
  <c r="G237" i="20"/>
  <c r="H262" i="20"/>
  <c r="F262" i="20"/>
  <c r="G262" i="20"/>
  <c r="H212" i="20"/>
  <c r="F212" i="20"/>
  <c r="G212" i="20"/>
  <c r="H238" i="20"/>
  <c r="G238" i="20"/>
  <c r="F238" i="20"/>
  <c r="H236" i="20"/>
  <c r="F236" i="20"/>
  <c r="G236" i="20"/>
  <c r="E192" i="20"/>
  <c r="F260" i="20"/>
  <c r="H260" i="20"/>
  <c r="G260" i="20"/>
  <c r="H189" i="20"/>
  <c r="G189" i="20"/>
  <c r="F189" i="20"/>
  <c r="H190" i="20"/>
  <c r="G190" i="20"/>
  <c r="F190" i="20"/>
  <c r="H261" i="20"/>
  <c r="F261" i="20"/>
  <c r="G261" i="20"/>
  <c r="H214" i="20"/>
  <c r="G214" i="20"/>
  <c r="F214" i="20"/>
  <c r="H213" i="20"/>
  <c r="G213" i="20"/>
  <c r="F213" i="20"/>
  <c r="E216" i="20"/>
  <c r="H110" i="20"/>
  <c r="G10" i="19"/>
  <c r="J120" i="19" s="1"/>
  <c r="F120" i="19" s="1"/>
  <c r="F250" i="20"/>
  <c r="G250" i="20"/>
  <c r="H250" i="20"/>
  <c r="G9" i="20"/>
  <c r="J202" i="20" s="1"/>
  <c r="H9" i="20"/>
  <c r="J200" i="20" s="1"/>
  <c r="G8" i="20"/>
  <c r="J178" i="20" s="1"/>
  <c r="H8" i="20"/>
  <c r="J176" i="20" s="1"/>
  <c r="G10" i="20"/>
  <c r="J226" i="20" s="1"/>
  <c r="H10" i="20"/>
  <c r="J224" i="20" s="1"/>
  <c r="H27" i="19"/>
  <c r="J27" i="19" s="1"/>
  <c r="G82" i="19"/>
  <c r="H39" i="19"/>
  <c r="J39" i="19" s="1"/>
  <c r="F82" i="19"/>
  <c r="G84" i="19"/>
  <c r="F84" i="19"/>
  <c r="H39" i="26"/>
  <c r="J39" i="26" s="1"/>
  <c r="J75" i="19"/>
  <c r="H63" i="19"/>
  <c r="J63" i="19" s="1"/>
  <c r="H86" i="19"/>
  <c r="H8" i="19"/>
  <c r="J94" i="19" s="1"/>
  <c r="H94" i="19" s="1"/>
  <c r="G8" i="19"/>
  <c r="J96" i="19" s="1"/>
  <c r="H96" i="19" s="1"/>
  <c r="G9" i="19"/>
  <c r="J108" i="19" s="1"/>
  <c r="H9" i="19"/>
  <c r="J106" i="19" s="1"/>
  <c r="H106" i="19" s="1"/>
  <c r="F118" i="19"/>
  <c r="G118" i="19"/>
  <c r="H118" i="19"/>
  <c r="F130" i="19"/>
  <c r="G130" i="19"/>
  <c r="H130" i="19"/>
  <c r="Y28" i="24"/>
  <c r="J196" i="33" s="1"/>
  <c r="W28" i="24"/>
  <c r="Y30" i="24"/>
  <c r="J258" i="33" s="1"/>
  <c r="X30" i="24"/>
  <c r="H46" i="28"/>
  <c r="G46" i="28"/>
  <c r="G49" i="28" s="1"/>
  <c r="G50" i="28" s="1"/>
  <c r="F46" i="28"/>
  <c r="F49" i="28" s="1"/>
  <c r="F50" i="28" s="1"/>
  <c r="X32" i="24"/>
  <c r="W32" i="24"/>
  <c r="Y32" i="24"/>
  <c r="J320" i="33" s="1"/>
  <c r="X29" i="24"/>
  <c r="W29" i="24"/>
  <c r="Y29" i="24"/>
  <c r="J227" i="33" s="1"/>
  <c r="AF25" i="24"/>
  <c r="F328" i="33" s="1"/>
  <c r="F333" i="33" s="1"/>
  <c r="W31" i="24"/>
  <c r="X31" i="24"/>
  <c r="Y31" i="24"/>
  <c r="J289" i="33" s="1"/>
  <c r="X26" i="24"/>
  <c r="Y26" i="24"/>
  <c r="J134" i="33" s="1"/>
  <c r="W26" i="24"/>
  <c r="Y27" i="24"/>
  <c r="J165" i="33" s="1"/>
  <c r="W27" i="24"/>
  <c r="X27" i="24"/>
  <c r="F36" i="27"/>
  <c r="F38" i="27" s="1"/>
  <c r="F39" i="27" s="1"/>
  <c r="G36" i="27"/>
  <c r="G38" i="27" s="1"/>
  <c r="G39" i="27" s="1"/>
  <c r="G49" i="26"/>
  <c r="G50" i="26" s="1"/>
  <c r="G51" i="26" s="1"/>
  <c r="F49" i="26"/>
  <c r="F50" i="26" s="1"/>
  <c r="F51" i="26" s="1"/>
  <c r="H50" i="26"/>
  <c r="E96" i="20"/>
  <c r="G116" i="20"/>
  <c r="F116" i="20"/>
  <c r="H33" i="21"/>
  <c r="F33" i="21"/>
  <c r="G33" i="21"/>
  <c r="H38" i="23"/>
  <c r="H40" i="23" s="1"/>
  <c r="F38" i="23"/>
  <c r="G38" i="23"/>
  <c r="H19" i="21"/>
  <c r="F19" i="21"/>
  <c r="G19" i="21"/>
  <c r="G23" i="23"/>
  <c r="F23" i="23"/>
  <c r="H23" i="23"/>
  <c r="G68" i="20"/>
  <c r="F68" i="20"/>
  <c r="F45" i="20"/>
  <c r="G45" i="20"/>
  <c r="G22" i="23"/>
  <c r="F22" i="23"/>
  <c r="G118" i="20"/>
  <c r="F118" i="20"/>
  <c r="F92" i="20"/>
  <c r="G92" i="20"/>
  <c r="F166" i="20"/>
  <c r="G166" i="20"/>
  <c r="F32" i="21"/>
  <c r="G32" i="21"/>
  <c r="H32" i="21"/>
  <c r="G164" i="20"/>
  <c r="F164" i="20"/>
  <c r="G37" i="23"/>
  <c r="F37" i="23"/>
  <c r="F142" i="20"/>
  <c r="G142" i="20"/>
  <c r="G140" i="20"/>
  <c r="F140" i="20"/>
  <c r="F69" i="20"/>
  <c r="G69" i="20"/>
  <c r="G44" i="20"/>
  <c r="F44" i="20"/>
  <c r="H20" i="21"/>
  <c r="F20" i="21"/>
  <c r="G20" i="21"/>
  <c r="G165" i="20"/>
  <c r="F165" i="20"/>
  <c r="E144" i="20"/>
  <c r="H144" i="20" s="1"/>
  <c r="F141" i="20"/>
  <c r="G141" i="20"/>
  <c r="E168" i="20"/>
  <c r="E120" i="20"/>
  <c r="H120" i="20" s="1"/>
  <c r="G72" i="20"/>
  <c r="F72" i="20"/>
  <c r="I71" i="20" s="1"/>
  <c r="H71" i="20" s="1"/>
  <c r="F117" i="20"/>
  <c r="G117" i="20"/>
  <c r="G36" i="21"/>
  <c r="F36" i="21"/>
  <c r="I35" i="21" s="1"/>
  <c r="H36" i="21"/>
  <c r="F93" i="20"/>
  <c r="G93" i="20"/>
  <c r="F23" i="21"/>
  <c r="I22" i="21" s="1"/>
  <c r="F22" i="21" s="1"/>
  <c r="G23" i="21"/>
  <c r="H23" i="21"/>
  <c r="G48" i="20"/>
  <c r="F48" i="20"/>
  <c r="I47" i="20" s="1"/>
  <c r="H47" i="20" s="1"/>
  <c r="H63" i="28" l="1"/>
  <c r="H333" i="33"/>
  <c r="J332" i="33" s="1"/>
  <c r="H319" i="33" s="1"/>
  <c r="J319" i="33" s="1"/>
  <c r="H59" i="24"/>
  <c r="J58" i="24" s="1"/>
  <c r="H47" i="24" s="1"/>
  <c r="J47" i="24" s="1"/>
  <c r="H301" i="28"/>
  <c r="H154" i="24"/>
  <c r="G171" i="25"/>
  <c r="G172" i="25" s="1"/>
  <c r="F261" i="25"/>
  <c r="F262" i="25" s="1"/>
  <c r="H262" i="25" s="1"/>
  <c r="H106" i="24"/>
  <c r="S196" i="29"/>
  <c r="H170" i="24"/>
  <c r="J152" i="28"/>
  <c r="J80" i="24"/>
  <c r="U152" i="28"/>
  <c r="C23" i="24"/>
  <c r="G27" i="24" s="1"/>
  <c r="C24" i="24"/>
  <c r="F27" i="24" s="1"/>
  <c r="Q81" i="29"/>
  <c r="R81" i="29"/>
  <c r="F168" i="24"/>
  <c r="F310" i="29"/>
  <c r="Q310" i="29"/>
  <c r="C199" i="25"/>
  <c r="F203" i="25" s="1"/>
  <c r="C198" i="25"/>
  <c r="G203" i="25" s="1"/>
  <c r="C39" i="24"/>
  <c r="G43" i="24" s="1"/>
  <c r="C40" i="24"/>
  <c r="F43" i="24" s="1"/>
  <c r="S312" i="29"/>
  <c r="H196" i="29"/>
  <c r="G54" i="33"/>
  <c r="H54" i="33" s="1"/>
  <c r="J53" i="33" s="1"/>
  <c r="U124" i="28"/>
  <c r="J124" i="28"/>
  <c r="J64" i="24"/>
  <c r="C75" i="28"/>
  <c r="G79" i="28" s="1"/>
  <c r="C76" i="28"/>
  <c r="F79" i="28" s="1"/>
  <c r="C79" i="25"/>
  <c r="F83" i="25" s="1"/>
  <c r="C78" i="25"/>
  <c r="G83" i="25" s="1"/>
  <c r="C48" i="25"/>
  <c r="G53" i="25" s="1"/>
  <c r="C49" i="25"/>
  <c r="F53" i="25" s="1"/>
  <c r="U208" i="28"/>
  <c r="J208" i="28"/>
  <c r="J112" i="24"/>
  <c r="J251" i="25"/>
  <c r="N76" i="28"/>
  <c r="Q79" i="28" s="1"/>
  <c r="N75" i="28"/>
  <c r="R79" i="28" s="1"/>
  <c r="J131" i="25"/>
  <c r="J221" i="25"/>
  <c r="R52" i="29"/>
  <c r="Q52" i="29"/>
  <c r="H283" i="29"/>
  <c r="S283" i="29"/>
  <c r="S162" i="28"/>
  <c r="G52" i="29"/>
  <c r="F52" i="29"/>
  <c r="N47" i="28"/>
  <c r="R51" i="28" s="1"/>
  <c r="N48" i="28"/>
  <c r="Q51" i="28" s="1"/>
  <c r="H312" i="29"/>
  <c r="J281" i="25"/>
  <c r="J160" i="24"/>
  <c r="U292" i="28"/>
  <c r="J292" i="28"/>
  <c r="C299" i="28" s="1"/>
  <c r="U180" i="28"/>
  <c r="J180" i="28"/>
  <c r="J96" i="24"/>
  <c r="J161" i="25"/>
  <c r="J264" i="28"/>
  <c r="J144" i="24"/>
  <c r="U264" i="28"/>
  <c r="J311" i="25"/>
  <c r="C47" i="28"/>
  <c r="G51" i="28" s="1"/>
  <c r="C48" i="28"/>
  <c r="F51" i="28" s="1"/>
  <c r="G81" i="29"/>
  <c r="F81" i="29"/>
  <c r="F33" i="29"/>
  <c r="F36" i="29" s="1"/>
  <c r="G33" i="29"/>
  <c r="G36" i="29" s="1"/>
  <c r="G37" i="29" s="1"/>
  <c r="H33" i="29"/>
  <c r="H36" i="29" s="1"/>
  <c r="S33" i="29"/>
  <c r="S36" i="29" s="1"/>
  <c r="R33" i="29"/>
  <c r="R36" i="29" s="1"/>
  <c r="R37" i="29" s="1"/>
  <c r="Q33" i="29"/>
  <c r="Q36" i="29" s="1"/>
  <c r="F201" i="25"/>
  <c r="F202" i="25" s="1"/>
  <c r="H78" i="28"/>
  <c r="G141" i="25"/>
  <c r="G142" i="25" s="1"/>
  <c r="H226" i="25"/>
  <c r="H231" i="25" s="1"/>
  <c r="I216" i="25"/>
  <c r="G201" i="25"/>
  <c r="G202" i="25" s="1"/>
  <c r="G189" i="28"/>
  <c r="G190" i="28" s="1"/>
  <c r="H106" i="28"/>
  <c r="H52" i="25"/>
  <c r="H162" i="28"/>
  <c r="F189" i="28"/>
  <c r="F190" i="28" s="1"/>
  <c r="F63" i="28"/>
  <c r="F64" i="28" s="1"/>
  <c r="H64" i="28" s="1"/>
  <c r="J64" i="28" s="1"/>
  <c r="H291" i="25"/>
  <c r="F226" i="25"/>
  <c r="F231" i="25" s="1"/>
  <c r="F232" i="25" s="1"/>
  <c r="F213" i="28"/>
  <c r="F217" i="28" s="1"/>
  <c r="F218" i="28" s="1"/>
  <c r="F141" i="25"/>
  <c r="F142" i="25" s="1"/>
  <c r="G226" i="25"/>
  <c r="G231" i="25" s="1"/>
  <c r="G232" i="25" s="1"/>
  <c r="H82" i="25"/>
  <c r="F171" i="25"/>
  <c r="F172" i="25" s="1"/>
  <c r="R213" i="28"/>
  <c r="R217" i="28" s="1"/>
  <c r="R218" i="28" s="1"/>
  <c r="S106" i="28"/>
  <c r="S213" i="28"/>
  <c r="S217" i="28" s="1"/>
  <c r="G298" i="28"/>
  <c r="G301" i="28" s="1"/>
  <c r="G302" i="28" s="1"/>
  <c r="F298" i="28"/>
  <c r="F301" i="28" s="1"/>
  <c r="F302" i="28" s="1"/>
  <c r="H298" i="28"/>
  <c r="T119" i="28"/>
  <c r="U119" i="28" s="1"/>
  <c r="S129" i="28"/>
  <c r="S133" i="28" s="1"/>
  <c r="R129" i="28"/>
  <c r="R133" i="28" s="1"/>
  <c r="R134" i="28" s="1"/>
  <c r="Q129" i="28"/>
  <c r="Q133" i="28" s="1"/>
  <c r="Q134" i="28" s="1"/>
  <c r="G183" i="25"/>
  <c r="G185" i="25" s="1"/>
  <c r="G186" i="25" s="1"/>
  <c r="H183" i="25"/>
  <c r="H185" i="25" s="1"/>
  <c r="F183" i="25"/>
  <c r="F185" i="25" s="1"/>
  <c r="F186" i="25" s="1"/>
  <c r="C284" i="28"/>
  <c r="H284" i="28" s="1"/>
  <c r="C282" i="28"/>
  <c r="F282" i="28" s="1"/>
  <c r="R241" i="28"/>
  <c r="R245" i="28" s="1"/>
  <c r="R246" i="28" s="1"/>
  <c r="C303" i="25"/>
  <c r="F302" i="25"/>
  <c r="G302" i="25"/>
  <c r="H302" i="25"/>
  <c r="I120" i="28"/>
  <c r="G129" i="28"/>
  <c r="G133" i="28" s="1"/>
  <c r="G134" i="28" s="1"/>
  <c r="F129" i="28"/>
  <c r="F133" i="28" s="1"/>
  <c r="F134" i="28" s="1"/>
  <c r="H129" i="28"/>
  <c r="H133" i="28" s="1"/>
  <c r="F153" i="25"/>
  <c r="F155" i="25" s="1"/>
  <c r="F156" i="25" s="1"/>
  <c r="H153" i="25"/>
  <c r="H155" i="25" s="1"/>
  <c r="G153" i="25"/>
  <c r="G155" i="25" s="1"/>
  <c r="G156" i="25" s="1"/>
  <c r="G116" i="28"/>
  <c r="H116" i="28"/>
  <c r="F116" i="28"/>
  <c r="S241" i="28"/>
  <c r="S245" i="28" s="1"/>
  <c r="Q213" i="28"/>
  <c r="Q217" i="28" s="1"/>
  <c r="Q218" i="28" s="1"/>
  <c r="F317" i="25"/>
  <c r="F321" i="25" s="1"/>
  <c r="F322" i="25" s="1"/>
  <c r="H317" i="25"/>
  <c r="G317" i="25"/>
  <c r="G321" i="25" s="1"/>
  <c r="G322" i="25" s="1"/>
  <c r="U35" i="28"/>
  <c r="G93" i="25"/>
  <c r="G95" i="25" s="1"/>
  <c r="G96" i="25" s="1"/>
  <c r="F93" i="25"/>
  <c r="F95" i="25" s="1"/>
  <c r="F96" i="25" s="1"/>
  <c r="H93" i="25"/>
  <c r="H95" i="25" s="1"/>
  <c r="F114" i="28"/>
  <c r="G114" i="28"/>
  <c r="H114" i="28"/>
  <c r="H213" i="28"/>
  <c r="H217" i="28" s="1"/>
  <c r="Q241" i="28"/>
  <c r="Q245" i="28" s="1"/>
  <c r="Q246" i="28" s="1"/>
  <c r="G213" i="25"/>
  <c r="G215" i="25" s="1"/>
  <c r="G216" i="25" s="1"/>
  <c r="H213" i="25"/>
  <c r="H215" i="25" s="1"/>
  <c r="F213" i="25"/>
  <c r="F215" i="25" s="1"/>
  <c r="F216" i="25" s="1"/>
  <c r="F287" i="25"/>
  <c r="F291" i="25" s="1"/>
  <c r="F292" i="25" s="1"/>
  <c r="G287" i="25"/>
  <c r="G291" i="25" s="1"/>
  <c r="G292" i="25" s="1"/>
  <c r="H287" i="25"/>
  <c r="G213" i="28"/>
  <c r="G217" i="28" s="1"/>
  <c r="G218" i="28" s="1"/>
  <c r="F91" i="28"/>
  <c r="F92" i="28" s="1"/>
  <c r="G241" i="28"/>
  <c r="G245" i="28" s="1"/>
  <c r="G246" i="28" s="1"/>
  <c r="C273" i="25"/>
  <c r="G272" i="25"/>
  <c r="H272" i="25"/>
  <c r="F272" i="25"/>
  <c r="H91" i="28"/>
  <c r="H241" i="28"/>
  <c r="H245" i="28" s="1"/>
  <c r="H243" i="25"/>
  <c r="H245" i="25" s="1"/>
  <c r="F243" i="25"/>
  <c r="F245" i="25" s="1"/>
  <c r="F246" i="25" s="1"/>
  <c r="G243" i="25"/>
  <c r="G245" i="25" s="1"/>
  <c r="G246" i="25" s="1"/>
  <c r="G270" i="28"/>
  <c r="G273" i="28" s="1"/>
  <c r="G274" i="28" s="1"/>
  <c r="F270" i="28"/>
  <c r="F273" i="28" s="1"/>
  <c r="F274" i="28" s="1"/>
  <c r="H270" i="28"/>
  <c r="G91" i="28"/>
  <c r="G92" i="28" s="1"/>
  <c r="F241" i="28"/>
  <c r="F245" i="28" s="1"/>
  <c r="F246" i="28" s="1"/>
  <c r="F63" i="25"/>
  <c r="F65" i="25" s="1"/>
  <c r="F66" i="25" s="1"/>
  <c r="G63" i="25"/>
  <c r="G65" i="25" s="1"/>
  <c r="G66" i="25" s="1"/>
  <c r="H63" i="25"/>
  <c r="H65" i="25" s="1"/>
  <c r="H112" i="25"/>
  <c r="G123" i="25"/>
  <c r="G125" i="25" s="1"/>
  <c r="G126" i="25" s="1"/>
  <c r="H123" i="25"/>
  <c r="H125" i="25" s="1"/>
  <c r="F123" i="25"/>
  <c r="F125" i="25" s="1"/>
  <c r="F126" i="25" s="1"/>
  <c r="C254" i="28"/>
  <c r="F254" i="28" s="1"/>
  <c r="C256" i="28"/>
  <c r="H256" i="28" s="1"/>
  <c r="F228" i="28"/>
  <c r="H228" i="28"/>
  <c r="G228" i="28"/>
  <c r="S254" i="28"/>
  <c r="R254" i="28"/>
  <c r="Q254" i="28"/>
  <c r="H142" i="28"/>
  <c r="G142" i="28"/>
  <c r="F142" i="28"/>
  <c r="S226" i="28"/>
  <c r="Q226" i="28"/>
  <c r="R226" i="28"/>
  <c r="H200" i="28"/>
  <c r="G200" i="28"/>
  <c r="F200" i="28"/>
  <c r="S282" i="28"/>
  <c r="Q282" i="28"/>
  <c r="R282" i="28"/>
  <c r="H226" i="28"/>
  <c r="F226" i="28"/>
  <c r="G226" i="28"/>
  <c r="G113" i="25"/>
  <c r="F113" i="25"/>
  <c r="S200" i="28"/>
  <c r="R200" i="28"/>
  <c r="Q200" i="28"/>
  <c r="Q107" i="28"/>
  <c r="R107" i="28"/>
  <c r="F172" i="28"/>
  <c r="H172" i="28"/>
  <c r="G172" i="28"/>
  <c r="S274" i="28"/>
  <c r="G198" i="28"/>
  <c r="H198" i="28"/>
  <c r="F198" i="28"/>
  <c r="G107" i="28"/>
  <c r="F107" i="28"/>
  <c r="R170" i="28"/>
  <c r="Q170" i="28"/>
  <c r="S170" i="28"/>
  <c r="R198" i="28"/>
  <c r="R202" i="28" s="1"/>
  <c r="R203" i="28" s="1"/>
  <c r="S198" i="28"/>
  <c r="Q198" i="28"/>
  <c r="H35" i="28"/>
  <c r="S172" i="28"/>
  <c r="Q172" i="28"/>
  <c r="R172" i="28"/>
  <c r="S144" i="28"/>
  <c r="R144" i="28"/>
  <c r="Q144" i="28"/>
  <c r="S256" i="28"/>
  <c r="R256" i="28"/>
  <c r="Q256" i="28"/>
  <c r="H170" i="28"/>
  <c r="G170" i="28"/>
  <c r="F170" i="28"/>
  <c r="S142" i="28"/>
  <c r="Q142" i="28"/>
  <c r="R142" i="28"/>
  <c r="S190" i="28"/>
  <c r="F319" i="25"/>
  <c r="R228" i="28"/>
  <c r="S228" i="28"/>
  <c r="Q228" i="28"/>
  <c r="S302" i="28"/>
  <c r="H144" i="28"/>
  <c r="G144" i="28"/>
  <c r="F144" i="28"/>
  <c r="R284" i="28"/>
  <c r="S284" i="28"/>
  <c r="Q284" i="28"/>
  <c r="Q300" i="28"/>
  <c r="F300" i="28"/>
  <c r="F35" i="28"/>
  <c r="F36" i="28" s="1"/>
  <c r="G35" i="28"/>
  <c r="G36" i="28" s="1"/>
  <c r="S50" i="28"/>
  <c r="R270" i="31"/>
  <c r="Q269" i="31"/>
  <c r="Q272" i="31" s="1"/>
  <c r="H282" i="32"/>
  <c r="J282" i="32" s="1"/>
  <c r="H93" i="32"/>
  <c r="J93" i="32" s="1"/>
  <c r="H201" i="32"/>
  <c r="J201" i="32" s="1"/>
  <c r="H147" i="32"/>
  <c r="J147" i="32" s="1"/>
  <c r="H255" i="32"/>
  <c r="J255" i="32" s="1"/>
  <c r="H39" i="32"/>
  <c r="J39" i="32" s="1"/>
  <c r="S272" i="31"/>
  <c r="Q35" i="31"/>
  <c r="Q38" i="31" s="1"/>
  <c r="S38" i="31"/>
  <c r="R35" i="31"/>
  <c r="R38" i="31" s="1"/>
  <c r="R39" i="31" s="1"/>
  <c r="R114" i="31"/>
  <c r="S114" i="31"/>
  <c r="Q114" i="31"/>
  <c r="T113" i="31" s="1"/>
  <c r="Q244" i="31"/>
  <c r="T243" i="31" s="1"/>
  <c r="R244" i="31"/>
  <c r="S244" i="31"/>
  <c r="R269" i="31"/>
  <c r="R272" i="31" s="1"/>
  <c r="R273" i="31" s="1"/>
  <c r="H66" i="32"/>
  <c r="J66" i="32" s="1"/>
  <c r="H174" i="32"/>
  <c r="J174" i="32" s="1"/>
  <c r="H228" i="32"/>
  <c r="J228" i="32" s="1"/>
  <c r="S192" i="31"/>
  <c r="R192" i="31"/>
  <c r="Q192" i="31"/>
  <c r="T191" i="31" s="1"/>
  <c r="S166" i="31"/>
  <c r="Q166" i="31"/>
  <c r="T165" i="31" s="1"/>
  <c r="R166" i="31"/>
  <c r="Q88" i="31"/>
  <c r="T87" i="31" s="1"/>
  <c r="R88" i="31"/>
  <c r="S88" i="31"/>
  <c r="R61" i="31"/>
  <c r="R64" i="31" s="1"/>
  <c r="R65" i="31" s="1"/>
  <c r="Q61" i="31"/>
  <c r="Q64" i="31" s="1"/>
  <c r="S61" i="31"/>
  <c r="S64" i="31" s="1"/>
  <c r="S140" i="31"/>
  <c r="Q140" i="31"/>
  <c r="T139" i="31" s="1"/>
  <c r="R140" i="31"/>
  <c r="Q218" i="31"/>
  <c r="T217" i="31" s="1"/>
  <c r="S218" i="31"/>
  <c r="R218" i="31"/>
  <c r="H120" i="32"/>
  <c r="J120" i="32" s="1"/>
  <c r="G35" i="31"/>
  <c r="G38" i="31" s="1"/>
  <c r="G39" i="31" s="1"/>
  <c r="H35" i="31"/>
  <c r="H38" i="31" s="1"/>
  <c r="F35" i="31"/>
  <c r="F38" i="31" s="1"/>
  <c r="Q301" i="27"/>
  <c r="T300" i="27" s="1"/>
  <c r="S300" i="27" s="1"/>
  <c r="S304" i="27" s="1"/>
  <c r="G245" i="27"/>
  <c r="Q189" i="27"/>
  <c r="T188" i="27" s="1"/>
  <c r="Q188" i="27" s="1"/>
  <c r="Q192" i="27" s="1"/>
  <c r="Q133" i="27"/>
  <c r="T132" i="27" s="1"/>
  <c r="Q132" i="27" s="1"/>
  <c r="Q136" i="27" s="1"/>
  <c r="Q217" i="27"/>
  <c r="T216" i="27" s="1"/>
  <c r="Q216" i="27" s="1"/>
  <c r="Q220" i="27" s="1"/>
  <c r="Q105" i="27"/>
  <c r="T104" i="27" s="1"/>
  <c r="R104" i="27" s="1"/>
  <c r="R108" i="27" s="1"/>
  <c r="R109" i="27" s="1"/>
  <c r="G162" i="26"/>
  <c r="S76" i="27"/>
  <c r="S80" i="27" s="1"/>
  <c r="R76" i="27"/>
  <c r="R80" i="27" s="1"/>
  <c r="R81" i="27" s="1"/>
  <c r="Q76" i="27"/>
  <c r="Q80" i="27" s="1"/>
  <c r="F301" i="27"/>
  <c r="I300" i="27" s="1"/>
  <c r="G300" i="27" s="1"/>
  <c r="G304" i="27" s="1"/>
  <c r="G305" i="27" s="1"/>
  <c r="R301" i="27"/>
  <c r="S245" i="27"/>
  <c r="Q245" i="27"/>
  <c r="T244" i="27" s="1"/>
  <c r="G133" i="27"/>
  <c r="R133" i="27"/>
  <c r="Q161" i="27"/>
  <c r="T160" i="27" s="1"/>
  <c r="S161" i="27"/>
  <c r="R48" i="27"/>
  <c r="R52" i="27" s="1"/>
  <c r="R53" i="27" s="1"/>
  <c r="S48" i="27"/>
  <c r="S52" i="27" s="1"/>
  <c r="Q48" i="27"/>
  <c r="Q52" i="27" s="1"/>
  <c r="Q273" i="27"/>
  <c r="T272" i="27" s="1"/>
  <c r="S273" i="27"/>
  <c r="H273" i="27"/>
  <c r="R273" i="27"/>
  <c r="H245" i="27"/>
  <c r="F217" i="27"/>
  <c r="I216" i="27" s="1"/>
  <c r="G216" i="27" s="1"/>
  <c r="G220" i="27" s="1"/>
  <c r="G221" i="27" s="1"/>
  <c r="R217" i="27"/>
  <c r="F245" i="27"/>
  <c r="I244" i="27" s="1"/>
  <c r="G244" i="27" s="1"/>
  <c r="G248" i="27" s="1"/>
  <c r="G249" i="27" s="1"/>
  <c r="G48" i="27"/>
  <c r="G52" i="27" s="1"/>
  <c r="G53" i="27" s="1"/>
  <c r="F48" i="27"/>
  <c r="F52" i="27" s="1"/>
  <c r="H48" i="27"/>
  <c r="H52" i="27" s="1"/>
  <c r="H97" i="30"/>
  <c r="J97" i="30" s="1"/>
  <c r="H121" i="30"/>
  <c r="J121" i="30" s="1"/>
  <c r="G164" i="26"/>
  <c r="H49" i="30"/>
  <c r="J49" i="30" s="1"/>
  <c r="H265" i="30"/>
  <c r="J265" i="30" s="1"/>
  <c r="G140" i="31"/>
  <c r="H140" i="31"/>
  <c r="F140" i="31"/>
  <c r="I139" i="31" s="1"/>
  <c r="F114" i="31"/>
  <c r="I113" i="31" s="1"/>
  <c r="G114" i="31"/>
  <c r="H114" i="31"/>
  <c r="G128" i="30"/>
  <c r="F128" i="30"/>
  <c r="G202" i="30"/>
  <c r="F202" i="30"/>
  <c r="G154" i="30"/>
  <c r="F154" i="30"/>
  <c r="G88" i="31"/>
  <c r="H88" i="31"/>
  <c r="F88" i="31"/>
  <c r="I87" i="31" s="1"/>
  <c r="G248" i="30"/>
  <c r="F248" i="30"/>
  <c r="F226" i="30"/>
  <c r="G226" i="30"/>
  <c r="G270" i="31"/>
  <c r="H270" i="31"/>
  <c r="F270" i="31"/>
  <c r="I269" i="31" s="1"/>
  <c r="G130" i="30"/>
  <c r="F130" i="30"/>
  <c r="F192" i="31"/>
  <c r="I191" i="31" s="1"/>
  <c r="H192" i="31"/>
  <c r="G192" i="31"/>
  <c r="G152" i="30"/>
  <c r="F152" i="30"/>
  <c r="G224" i="30"/>
  <c r="F224" i="30"/>
  <c r="H73" i="30"/>
  <c r="J73" i="30" s="1"/>
  <c r="G178" i="30"/>
  <c r="F178" i="30"/>
  <c r="H218" i="31"/>
  <c r="F218" i="31"/>
  <c r="I217" i="31" s="1"/>
  <c r="G218" i="31"/>
  <c r="H193" i="30"/>
  <c r="J193" i="30" s="1"/>
  <c r="F61" i="31"/>
  <c r="F64" i="31" s="1"/>
  <c r="G61" i="31"/>
  <c r="G64" i="31" s="1"/>
  <c r="G65" i="31" s="1"/>
  <c r="H61" i="31"/>
  <c r="H64" i="31" s="1"/>
  <c r="H244" i="31"/>
  <c r="G244" i="31"/>
  <c r="F244" i="31"/>
  <c r="I243" i="31" s="1"/>
  <c r="F176" i="30"/>
  <c r="G176" i="30"/>
  <c r="F200" i="30"/>
  <c r="G200" i="30"/>
  <c r="F166" i="31"/>
  <c r="I165" i="31" s="1"/>
  <c r="H166" i="31"/>
  <c r="G166" i="31"/>
  <c r="F250" i="30"/>
  <c r="G250" i="30"/>
  <c r="H217" i="27"/>
  <c r="H301" i="27"/>
  <c r="G217" i="27"/>
  <c r="G301" i="27"/>
  <c r="F114" i="21"/>
  <c r="I113" i="21" s="1"/>
  <c r="G113" i="21" s="1"/>
  <c r="G115" i="21" s="1"/>
  <c r="G116" i="21" s="1"/>
  <c r="G114" i="21"/>
  <c r="F273" i="27"/>
  <c r="I272" i="27" s="1"/>
  <c r="H272" i="27" s="1"/>
  <c r="H276" i="27" s="1"/>
  <c r="G273" i="27"/>
  <c r="F55" i="23"/>
  <c r="F56" i="23" s="1"/>
  <c r="H133" i="27"/>
  <c r="F133" i="27"/>
  <c r="I132" i="27" s="1"/>
  <c r="F132" i="27" s="1"/>
  <c r="F136" i="27" s="1"/>
  <c r="H55" i="23"/>
  <c r="H128" i="21"/>
  <c r="H181" i="26"/>
  <c r="J181" i="26" s="1"/>
  <c r="H50" i="21"/>
  <c r="G85" i="23"/>
  <c r="G86" i="23" s="1"/>
  <c r="F85" i="23"/>
  <c r="F86" i="23" s="1"/>
  <c r="F100" i="23"/>
  <c r="F101" i="23" s="1"/>
  <c r="H102" i="21"/>
  <c r="H129" i="26"/>
  <c r="J129" i="26" s="1"/>
  <c r="H115" i="21"/>
  <c r="H285" i="26"/>
  <c r="J285" i="26" s="1"/>
  <c r="F145" i="23"/>
  <c r="F146" i="23" s="1"/>
  <c r="G145" i="23"/>
  <c r="G146" i="23" s="1"/>
  <c r="H145" i="23"/>
  <c r="F240" i="20"/>
  <c r="I239" i="20" s="1"/>
  <c r="F239" i="20" s="1"/>
  <c r="F241" i="20" s="1"/>
  <c r="H141" i="21"/>
  <c r="H85" i="23"/>
  <c r="H100" i="23"/>
  <c r="H103" i="26"/>
  <c r="J103" i="26" s="1"/>
  <c r="H233" i="26"/>
  <c r="J233" i="26" s="1"/>
  <c r="F49" i="21"/>
  <c r="I48" i="21" s="1"/>
  <c r="G49" i="21"/>
  <c r="H49" i="21"/>
  <c r="G76" i="27"/>
  <c r="G80" i="27" s="1"/>
  <c r="G81" i="27" s="1"/>
  <c r="F76" i="27"/>
  <c r="F80" i="27" s="1"/>
  <c r="H76" i="27"/>
  <c r="H80" i="27" s="1"/>
  <c r="G100" i="23"/>
  <c r="G101" i="23" s="1"/>
  <c r="F88" i="21"/>
  <c r="I87" i="21" s="1"/>
  <c r="G88" i="21"/>
  <c r="H88" i="21"/>
  <c r="H70" i="23"/>
  <c r="H76" i="21"/>
  <c r="F161" i="27"/>
  <c r="I160" i="27" s="1"/>
  <c r="G161" i="27"/>
  <c r="H161" i="27"/>
  <c r="G55" i="23"/>
  <c r="G56" i="23" s="1"/>
  <c r="G70" i="23"/>
  <c r="G71" i="23" s="1"/>
  <c r="F75" i="21"/>
  <c r="I74" i="21" s="1"/>
  <c r="G75" i="21"/>
  <c r="H75" i="21"/>
  <c r="F127" i="21"/>
  <c r="I126" i="21" s="1"/>
  <c r="G127" i="21"/>
  <c r="H127" i="21"/>
  <c r="H207" i="26"/>
  <c r="J207" i="26" s="1"/>
  <c r="G140" i="21"/>
  <c r="F140" i="21"/>
  <c r="I139" i="21" s="1"/>
  <c r="H140" i="21"/>
  <c r="F130" i="23"/>
  <c r="F131" i="23" s="1"/>
  <c r="G160" i="23"/>
  <c r="G161" i="23" s="1"/>
  <c r="G115" i="23"/>
  <c r="G116" i="23" s="1"/>
  <c r="F70" i="23"/>
  <c r="F71" i="23" s="1"/>
  <c r="G61" i="21"/>
  <c r="G63" i="21" s="1"/>
  <c r="G64" i="21" s="1"/>
  <c r="F61" i="21"/>
  <c r="F63" i="21" s="1"/>
  <c r="H77" i="26"/>
  <c r="J77" i="26" s="1"/>
  <c r="G130" i="23"/>
  <c r="G131" i="23" s="1"/>
  <c r="H155" i="26"/>
  <c r="J155" i="26" s="1"/>
  <c r="H160" i="23"/>
  <c r="F105" i="27"/>
  <c r="I104" i="27" s="1"/>
  <c r="G105" i="27"/>
  <c r="H105" i="27"/>
  <c r="F115" i="23"/>
  <c r="F116" i="23" s="1"/>
  <c r="H259" i="26"/>
  <c r="J259" i="26" s="1"/>
  <c r="F101" i="21"/>
  <c r="I100" i="21" s="1"/>
  <c r="G101" i="21"/>
  <c r="H101" i="21"/>
  <c r="G189" i="27"/>
  <c r="F189" i="27"/>
  <c r="I188" i="27" s="1"/>
  <c r="H189" i="27"/>
  <c r="H130" i="23"/>
  <c r="F160" i="23"/>
  <c r="F161" i="23" s="1"/>
  <c r="H115" i="23"/>
  <c r="G25" i="23"/>
  <c r="G26" i="23" s="1"/>
  <c r="G132" i="19"/>
  <c r="G134" i="19" s="1"/>
  <c r="G135" i="19" s="1"/>
  <c r="G242" i="26"/>
  <c r="F242" i="26"/>
  <c r="F132" i="19"/>
  <c r="F134" i="19" s="1"/>
  <c r="F135" i="19" s="1"/>
  <c r="G216" i="26"/>
  <c r="F216" i="26"/>
  <c r="F136" i="26"/>
  <c r="G136" i="26"/>
  <c r="F268" i="26"/>
  <c r="G268" i="26"/>
  <c r="F248" i="20"/>
  <c r="F253" i="20" s="1"/>
  <c r="F254" i="20" s="1"/>
  <c r="G214" i="26"/>
  <c r="F214" i="26"/>
  <c r="G266" i="26"/>
  <c r="F266" i="26"/>
  <c r="H248" i="20"/>
  <c r="H253" i="20" s="1"/>
  <c r="F168" i="26"/>
  <c r="F169" i="26" s="1"/>
  <c r="G188" i="26"/>
  <c r="F188" i="26"/>
  <c r="G138" i="26"/>
  <c r="F138" i="26"/>
  <c r="G240" i="26"/>
  <c r="F240" i="26"/>
  <c r="G190" i="26"/>
  <c r="F190" i="26"/>
  <c r="H240" i="20"/>
  <c r="G264" i="20"/>
  <c r="G120" i="19"/>
  <c r="G122" i="19" s="1"/>
  <c r="G123" i="19" s="1"/>
  <c r="H120" i="19"/>
  <c r="H122" i="19" s="1"/>
  <c r="F264" i="20"/>
  <c r="I263" i="20" s="1"/>
  <c r="H216" i="20"/>
  <c r="G216" i="20"/>
  <c r="F216" i="20"/>
  <c r="I215" i="20" s="1"/>
  <c r="F168" i="20"/>
  <c r="I167" i="20" s="1"/>
  <c r="H167" i="20" s="1"/>
  <c r="H168" i="20"/>
  <c r="G253" i="20"/>
  <c r="G254" i="20" s="1"/>
  <c r="H192" i="20"/>
  <c r="G192" i="20"/>
  <c r="F192" i="20"/>
  <c r="I191" i="20" s="1"/>
  <c r="F96" i="20"/>
  <c r="I95" i="20" s="1"/>
  <c r="H95" i="20" s="1"/>
  <c r="H97" i="20" s="1"/>
  <c r="H96" i="20"/>
  <c r="H178" i="20"/>
  <c r="F178" i="20"/>
  <c r="G178" i="20"/>
  <c r="H200" i="20"/>
  <c r="G200" i="20"/>
  <c r="F200" i="20"/>
  <c r="G202" i="20"/>
  <c r="F202" i="20"/>
  <c r="H202" i="20"/>
  <c r="F226" i="20"/>
  <c r="G226" i="20"/>
  <c r="H226" i="20"/>
  <c r="H224" i="20"/>
  <c r="G224" i="20"/>
  <c r="F224" i="20"/>
  <c r="H176" i="20"/>
  <c r="F176" i="20"/>
  <c r="G176" i="20"/>
  <c r="G86" i="19"/>
  <c r="G87" i="19" s="1"/>
  <c r="F86" i="19"/>
  <c r="F87" i="19" s="1"/>
  <c r="F122" i="19"/>
  <c r="F123" i="19" s="1"/>
  <c r="H108" i="19"/>
  <c r="H110" i="19" s="1"/>
  <c r="G108" i="19"/>
  <c r="F108" i="19"/>
  <c r="G106" i="19"/>
  <c r="F106" i="19"/>
  <c r="H134" i="19"/>
  <c r="G96" i="19"/>
  <c r="F96" i="19"/>
  <c r="G94" i="19"/>
  <c r="F94" i="19"/>
  <c r="H50" i="28"/>
  <c r="G96" i="20"/>
  <c r="H51" i="26"/>
  <c r="J51" i="26" s="1"/>
  <c r="H37" i="21"/>
  <c r="F25" i="23"/>
  <c r="F26" i="23" s="1"/>
  <c r="G40" i="23"/>
  <c r="G41" i="23" s="1"/>
  <c r="H24" i="21"/>
  <c r="F40" i="23"/>
  <c r="F41" i="23" s="1"/>
  <c r="H25" i="23"/>
  <c r="F47" i="20"/>
  <c r="F49" i="20" s="1"/>
  <c r="H49" i="20"/>
  <c r="G47" i="20"/>
  <c r="G49" i="20" s="1"/>
  <c r="G50" i="20" s="1"/>
  <c r="G120" i="20"/>
  <c r="F120" i="20"/>
  <c r="I119" i="20" s="1"/>
  <c r="H119" i="20" s="1"/>
  <c r="G144" i="20"/>
  <c r="F144" i="20"/>
  <c r="I143" i="20" s="1"/>
  <c r="H143" i="20" s="1"/>
  <c r="G168" i="20"/>
  <c r="G71" i="20"/>
  <c r="G73" i="20" s="1"/>
  <c r="G74" i="20" s="1"/>
  <c r="H73" i="20"/>
  <c r="F71" i="20"/>
  <c r="F73" i="20" s="1"/>
  <c r="F35" i="21"/>
  <c r="F37" i="21" s="1"/>
  <c r="G35" i="21"/>
  <c r="G37" i="21" s="1"/>
  <c r="G38" i="21" s="1"/>
  <c r="F24" i="21"/>
  <c r="G22" i="21"/>
  <c r="G24" i="21" s="1"/>
  <c r="G25" i="21" s="1"/>
  <c r="G282" i="28" l="1"/>
  <c r="H202" i="25"/>
  <c r="H172" i="25"/>
  <c r="H53" i="25"/>
  <c r="J52" i="25" s="1"/>
  <c r="H40" i="25" s="1"/>
  <c r="J40" i="25" s="1"/>
  <c r="H52" i="29"/>
  <c r="S81" i="29"/>
  <c r="H81" i="29"/>
  <c r="H40" i="33"/>
  <c r="J40" i="33" s="1"/>
  <c r="C168" i="25"/>
  <c r="G173" i="25" s="1"/>
  <c r="C169" i="25"/>
  <c r="F173" i="25" s="1"/>
  <c r="C300" i="28"/>
  <c r="F303" i="28" s="1"/>
  <c r="F255" i="29"/>
  <c r="G255" i="29"/>
  <c r="C119" i="24"/>
  <c r="G123" i="24" s="1"/>
  <c r="C120" i="24"/>
  <c r="F123" i="24" s="1"/>
  <c r="N132" i="28"/>
  <c r="Q135" i="28" s="1"/>
  <c r="N131" i="28"/>
  <c r="R135" i="28" s="1"/>
  <c r="C318" i="25"/>
  <c r="G323" i="25" s="1"/>
  <c r="C319" i="25"/>
  <c r="Q197" i="29"/>
  <c r="R197" i="29"/>
  <c r="N299" i="28"/>
  <c r="R303" i="28" s="1"/>
  <c r="N300" i="28"/>
  <c r="Q303" i="28" s="1"/>
  <c r="C216" i="28"/>
  <c r="F219" i="28" s="1"/>
  <c r="C215" i="28"/>
  <c r="G219" i="28" s="1"/>
  <c r="S146" i="28"/>
  <c r="Q284" i="29"/>
  <c r="R284" i="29"/>
  <c r="C104" i="24"/>
  <c r="F107" i="24" s="1"/>
  <c r="C103" i="24"/>
  <c r="G107" i="24" s="1"/>
  <c r="C167" i="24"/>
  <c r="G171" i="24" s="1"/>
  <c r="C168" i="24"/>
  <c r="F171" i="24" s="1"/>
  <c r="N216" i="28"/>
  <c r="Q219" i="28" s="1"/>
  <c r="N215" i="28"/>
  <c r="R219" i="28" s="1"/>
  <c r="F284" i="29"/>
  <c r="G284" i="29"/>
  <c r="F197" i="29"/>
  <c r="G197" i="29"/>
  <c r="Q168" i="29"/>
  <c r="R168" i="29"/>
  <c r="G231" i="28"/>
  <c r="N272" i="28"/>
  <c r="Q275" i="28" s="1"/>
  <c r="N271" i="28"/>
  <c r="R275" i="28" s="1"/>
  <c r="C187" i="28"/>
  <c r="G191" i="28" s="1"/>
  <c r="C188" i="28"/>
  <c r="F191" i="28" s="1"/>
  <c r="C288" i="25"/>
  <c r="G293" i="25" s="1"/>
  <c r="C289" i="25"/>
  <c r="F293" i="25" s="1"/>
  <c r="F139" i="29"/>
  <c r="G139" i="29"/>
  <c r="F168" i="29"/>
  <c r="G168" i="29"/>
  <c r="H190" i="28"/>
  <c r="C151" i="24"/>
  <c r="G155" i="24" s="1"/>
  <c r="C152" i="24"/>
  <c r="F155" i="24" s="1"/>
  <c r="N188" i="28"/>
  <c r="Q191" i="28" s="1"/>
  <c r="N187" i="28"/>
  <c r="R191" i="28" s="1"/>
  <c r="S52" i="29"/>
  <c r="C229" i="25"/>
  <c r="F233" i="25" s="1"/>
  <c r="C228" i="25"/>
  <c r="G233" i="25" s="1"/>
  <c r="C259" i="25"/>
  <c r="F263" i="25" s="1"/>
  <c r="C258" i="25"/>
  <c r="G263" i="25" s="1"/>
  <c r="Q139" i="29"/>
  <c r="R139" i="29"/>
  <c r="N160" i="28"/>
  <c r="Q163" i="28" s="1"/>
  <c r="N159" i="28"/>
  <c r="R163" i="28" s="1"/>
  <c r="C271" i="28"/>
  <c r="G275" i="28" s="1"/>
  <c r="C272" i="28"/>
  <c r="F275" i="28" s="1"/>
  <c r="Q313" i="29"/>
  <c r="R313" i="29"/>
  <c r="Q226" i="29"/>
  <c r="R226" i="29"/>
  <c r="C71" i="24"/>
  <c r="G75" i="24" s="1"/>
  <c r="C72" i="24"/>
  <c r="F75" i="24" s="1"/>
  <c r="C87" i="24"/>
  <c r="G91" i="24" s="1"/>
  <c r="C88" i="24"/>
  <c r="F91" i="24" s="1"/>
  <c r="G313" i="29"/>
  <c r="F313" i="29"/>
  <c r="R255" i="29"/>
  <c r="Q255" i="29"/>
  <c r="C139" i="25"/>
  <c r="F143" i="25" s="1"/>
  <c r="C138" i="25"/>
  <c r="G143" i="25" s="1"/>
  <c r="F226" i="29"/>
  <c r="G226" i="29"/>
  <c r="C131" i="28"/>
  <c r="G135" i="28" s="1"/>
  <c r="C132" i="28"/>
  <c r="F135" i="28" s="1"/>
  <c r="H43" i="24"/>
  <c r="J42" i="24" s="1"/>
  <c r="H31" i="24" s="1"/>
  <c r="J31" i="24" s="1"/>
  <c r="C160" i="28"/>
  <c r="F163" i="28" s="1"/>
  <c r="C159" i="28"/>
  <c r="G163" i="28" s="1"/>
  <c r="H142" i="25"/>
  <c r="H232" i="25"/>
  <c r="Q202" i="28"/>
  <c r="Q203" i="28" s="1"/>
  <c r="G119" i="28"/>
  <c r="G120" i="28" s="1"/>
  <c r="G254" i="28"/>
  <c r="H254" i="28"/>
  <c r="H259" i="28" s="1"/>
  <c r="F284" i="28"/>
  <c r="F287" i="28" s="1"/>
  <c r="F288" i="28" s="1"/>
  <c r="G284" i="28"/>
  <c r="G287" i="28" s="1"/>
  <c r="G288" i="28" s="1"/>
  <c r="S218" i="28"/>
  <c r="G256" i="28"/>
  <c r="S202" i="28"/>
  <c r="H282" i="28"/>
  <c r="H287" i="28" s="1"/>
  <c r="H51" i="28"/>
  <c r="J50" i="28" s="1"/>
  <c r="H39" i="28" s="1"/>
  <c r="J39" i="28" s="1"/>
  <c r="H66" i="25"/>
  <c r="J66" i="25" s="1"/>
  <c r="F119" i="28"/>
  <c r="F120" i="28" s="1"/>
  <c r="H292" i="25"/>
  <c r="H322" i="25"/>
  <c r="F256" i="28"/>
  <c r="F259" i="28" s="1"/>
  <c r="F260" i="28" s="1"/>
  <c r="H216" i="25"/>
  <c r="J216" i="25" s="1"/>
  <c r="H156" i="25"/>
  <c r="J156" i="25" s="1"/>
  <c r="H302" i="28"/>
  <c r="Q146" i="28"/>
  <c r="Q147" i="28" s="1"/>
  <c r="H274" i="28"/>
  <c r="H119" i="28"/>
  <c r="H83" i="25"/>
  <c r="J82" i="25" s="1"/>
  <c r="H70" i="25" s="1"/>
  <c r="J70" i="25" s="1"/>
  <c r="H79" i="28"/>
  <c r="J78" i="28" s="1"/>
  <c r="H67" i="28" s="1"/>
  <c r="J67" i="28" s="1"/>
  <c r="H186" i="25"/>
  <c r="J186" i="25" s="1"/>
  <c r="G303" i="25"/>
  <c r="G305" i="25" s="1"/>
  <c r="G306" i="25" s="1"/>
  <c r="F303" i="25"/>
  <c r="F305" i="25" s="1"/>
  <c r="F306" i="25" s="1"/>
  <c r="H303" i="25"/>
  <c r="H305" i="25" s="1"/>
  <c r="H113" i="25"/>
  <c r="J112" i="25" s="1"/>
  <c r="H100" i="25" s="1"/>
  <c r="J100" i="25" s="1"/>
  <c r="H126" i="25"/>
  <c r="J126" i="25" s="1"/>
  <c r="H96" i="25"/>
  <c r="J96" i="25" s="1"/>
  <c r="H246" i="28"/>
  <c r="F203" i="28"/>
  <c r="F204" i="28" s="1"/>
  <c r="F231" i="28"/>
  <c r="F232" i="28" s="1"/>
  <c r="S246" i="28"/>
  <c r="F175" i="28"/>
  <c r="F176" i="28" s="1"/>
  <c r="H203" i="28"/>
  <c r="H231" i="28"/>
  <c r="G273" i="25"/>
  <c r="G275" i="25" s="1"/>
  <c r="G276" i="25" s="1"/>
  <c r="F273" i="25"/>
  <c r="F275" i="25" s="1"/>
  <c r="F276" i="25" s="1"/>
  <c r="H273" i="25"/>
  <c r="H275" i="25" s="1"/>
  <c r="H92" i="28"/>
  <c r="J92" i="28" s="1"/>
  <c r="H218" i="28"/>
  <c r="S134" i="28"/>
  <c r="G175" i="28"/>
  <c r="G176" i="28" s="1"/>
  <c r="G203" i="28"/>
  <c r="G204" i="28" s="1"/>
  <c r="H134" i="28"/>
  <c r="H246" i="25"/>
  <c r="J246" i="25" s="1"/>
  <c r="H175" i="28"/>
  <c r="S286" i="28"/>
  <c r="R258" i="28"/>
  <c r="R259" i="28" s="1"/>
  <c r="G303" i="28"/>
  <c r="R230" i="28"/>
  <c r="S258" i="28"/>
  <c r="S79" i="28"/>
  <c r="U78" i="28" s="1"/>
  <c r="S67" i="28" s="1"/>
  <c r="U67" i="28" s="1"/>
  <c r="S174" i="28"/>
  <c r="Q230" i="28"/>
  <c r="Q231" i="28" s="1"/>
  <c r="F147" i="28"/>
  <c r="F148" i="28" s="1"/>
  <c r="Q174" i="28"/>
  <c r="Q175" i="28" s="1"/>
  <c r="S230" i="28"/>
  <c r="G147" i="28"/>
  <c r="G148" i="28" s="1"/>
  <c r="R174" i="28"/>
  <c r="R175" i="28" s="1"/>
  <c r="H147" i="28"/>
  <c r="R146" i="28"/>
  <c r="R147" i="28" s="1"/>
  <c r="H107" i="28"/>
  <c r="J106" i="28" s="1"/>
  <c r="H95" i="28" s="1"/>
  <c r="J95" i="28" s="1"/>
  <c r="H203" i="25"/>
  <c r="J202" i="25" s="1"/>
  <c r="H190" i="25" s="1"/>
  <c r="J190" i="25" s="1"/>
  <c r="S107" i="28"/>
  <c r="U106" i="28" s="1"/>
  <c r="S95" i="28" s="1"/>
  <c r="U95" i="28" s="1"/>
  <c r="R286" i="28"/>
  <c r="R287" i="28" s="1"/>
  <c r="Q286" i="28"/>
  <c r="Q287" i="28" s="1"/>
  <c r="Q258" i="28"/>
  <c r="Q259" i="28" s="1"/>
  <c r="H36" i="28"/>
  <c r="J36" i="28" s="1"/>
  <c r="S51" i="28"/>
  <c r="U50" i="28" s="1"/>
  <c r="S39" i="28" s="1"/>
  <c r="U39" i="28" s="1"/>
  <c r="Q113" i="31"/>
  <c r="Q116" i="31" s="1"/>
  <c r="R113" i="31"/>
  <c r="R116" i="31" s="1"/>
  <c r="R117" i="31" s="1"/>
  <c r="S113" i="31"/>
  <c r="S116" i="31" s="1"/>
  <c r="Q87" i="31"/>
  <c r="Q90" i="31" s="1"/>
  <c r="S87" i="31"/>
  <c r="S90" i="31" s="1"/>
  <c r="R87" i="31"/>
  <c r="R90" i="31" s="1"/>
  <c r="R91" i="31" s="1"/>
  <c r="Q243" i="31"/>
  <c r="Q246" i="31" s="1"/>
  <c r="R243" i="31"/>
  <c r="R246" i="31" s="1"/>
  <c r="R247" i="31" s="1"/>
  <c r="S243" i="31"/>
  <c r="S246" i="31" s="1"/>
  <c r="S139" i="31"/>
  <c r="S142" i="31" s="1"/>
  <c r="Q139" i="31"/>
  <c r="Q142" i="31" s="1"/>
  <c r="R139" i="31"/>
  <c r="R142" i="31" s="1"/>
  <c r="R143" i="31" s="1"/>
  <c r="Q217" i="31"/>
  <c r="Q220" i="31" s="1"/>
  <c r="R217" i="31"/>
  <c r="R220" i="31" s="1"/>
  <c r="R221" i="31" s="1"/>
  <c r="S217" i="31"/>
  <c r="S220" i="31" s="1"/>
  <c r="R165" i="31"/>
  <c r="R168" i="31" s="1"/>
  <c r="R169" i="31" s="1"/>
  <c r="S165" i="31"/>
  <c r="S168" i="31" s="1"/>
  <c r="Q165" i="31"/>
  <c r="Q168" i="31" s="1"/>
  <c r="S191" i="31"/>
  <c r="S194" i="31" s="1"/>
  <c r="R191" i="31"/>
  <c r="R194" i="31" s="1"/>
  <c r="R195" i="31" s="1"/>
  <c r="Q191" i="31"/>
  <c r="Q194" i="31" s="1"/>
  <c r="S188" i="27"/>
  <c r="S192" i="27" s="1"/>
  <c r="R300" i="27"/>
  <c r="R304" i="27" s="1"/>
  <c r="R305" i="27" s="1"/>
  <c r="F205" i="30"/>
  <c r="F206" i="30" s="1"/>
  <c r="Q300" i="27"/>
  <c r="Q304" i="27" s="1"/>
  <c r="R132" i="27"/>
  <c r="R136" i="27" s="1"/>
  <c r="R137" i="27" s="1"/>
  <c r="S132" i="27"/>
  <c r="S136" i="27" s="1"/>
  <c r="S216" i="27"/>
  <c r="S220" i="27" s="1"/>
  <c r="Q104" i="27"/>
  <c r="Q108" i="27" s="1"/>
  <c r="S104" i="27"/>
  <c r="S108" i="27" s="1"/>
  <c r="R188" i="27"/>
  <c r="R192" i="27" s="1"/>
  <c r="R193" i="27" s="1"/>
  <c r="F244" i="27"/>
  <c r="F248" i="27" s="1"/>
  <c r="H244" i="27"/>
  <c r="H248" i="27" s="1"/>
  <c r="R216" i="27"/>
  <c r="R220" i="27" s="1"/>
  <c r="R221" i="27" s="1"/>
  <c r="G168" i="26"/>
  <c r="G169" i="26" s="1"/>
  <c r="H169" i="26" s="1"/>
  <c r="J169" i="26" s="1"/>
  <c r="H300" i="27"/>
  <c r="H304" i="27" s="1"/>
  <c r="F216" i="27"/>
  <c r="F220" i="27" s="1"/>
  <c r="H216" i="27"/>
  <c r="H220" i="27" s="1"/>
  <c r="F300" i="27"/>
  <c r="F304" i="27" s="1"/>
  <c r="G205" i="30"/>
  <c r="Q272" i="27"/>
  <c r="Q276" i="27" s="1"/>
  <c r="S272" i="27"/>
  <c r="S276" i="27" s="1"/>
  <c r="R272" i="27"/>
  <c r="R276" i="27" s="1"/>
  <c r="R277" i="27" s="1"/>
  <c r="S160" i="27"/>
  <c r="S164" i="27" s="1"/>
  <c r="Q160" i="27"/>
  <c r="Q164" i="27" s="1"/>
  <c r="R160" i="27"/>
  <c r="R164" i="27" s="1"/>
  <c r="R165" i="27" s="1"/>
  <c r="S244" i="27"/>
  <c r="S248" i="27" s="1"/>
  <c r="Q244" i="27"/>
  <c r="Q248" i="27" s="1"/>
  <c r="R244" i="27"/>
  <c r="R248" i="27" s="1"/>
  <c r="R249" i="27" s="1"/>
  <c r="G229" i="30"/>
  <c r="G230" i="30" s="1"/>
  <c r="F157" i="30"/>
  <c r="F158" i="30" s="1"/>
  <c r="F229" i="30"/>
  <c r="F230" i="30" s="1"/>
  <c r="H243" i="31"/>
  <c r="H246" i="31" s="1"/>
  <c r="G243" i="31"/>
  <c r="G246" i="31" s="1"/>
  <c r="G247" i="31" s="1"/>
  <c r="F243" i="31"/>
  <c r="F246" i="31" s="1"/>
  <c r="F269" i="31"/>
  <c r="F272" i="31" s="1"/>
  <c r="G269" i="31"/>
  <c r="G272" i="31" s="1"/>
  <c r="G273" i="31" s="1"/>
  <c r="H269" i="31"/>
  <c r="H272" i="31" s="1"/>
  <c r="G133" i="30"/>
  <c r="G134" i="30" s="1"/>
  <c r="G157" i="30"/>
  <c r="G158" i="30" s="1"/>
  <c r="H165" i="31"/>
  <c r="H168" i="31" s="1"/>
  <c r="F165" i="31"/>
  <c r="F168" i="31" s="1"/>
  <c r="G165" i="31"/>
  <c r="G168" i="31" s="1"/>
  <c r="G169" i="31" s="1"/>
  <c r="G217" i="31"/>
  <c r="G220" i="31" s="1"/>
  <c r="G221" i="31" s="1"/>
  <c r="F217" i="31"/>
  <c r="F220" i="31" s="1"/>
  <c r="H217" i="31"/>
  <c r="H220" i="31" s="1"/>
  <c r="F253" i="30"/>
  <c r="F254" i="30" s="1"/>
  <c r="F191" i="31"/>
  <c r="F194" i="31" s="1"/>
  <c r="H191" i="31"/>
  <c r="H194" i="31" s="1"/>
  <c r="G191" i="31"/>
  <c r="G194" i="31" s="1"/>
  <c r="G195" i="31" s="1"/>
  <c r="G253" i="30"/>
  <c r="G254" i="30" s="1"/>
  <c r="G113" i="31"/>
  <c r="G116" i="31" s="1"/>
  <c r="G117" i="31" s="1"/>
  <c r="F113" i="31"/>
  <c r="F116" i="31" s="1"/>
  <c r="H113" i="31"/>
  <c r="H116" i="31" s="1"/>
  <c r="F181" i="30"/>
  <c r="F182" i="30" s="1"/>
  <c r="H139" i="31"/>
  <c r="H142" i="31" s="1"/>
  <c r="G139" i="31"/>
  <c r="G142" i="31" s="1"/>
  <c r="G143" i="31" s="1"/>
  <c r="F139" i="31"/>
  <c r="F142" i="31" s="1"/>
  <c r="G181" i="30"/>
  <c r="G182" i="30" s="1"/>
  <c r="G87" i="31"/>
  <c r="G90" i="31" s="1"/>
  <c r="G91" i="31" s="1"/>
  <c r="F87" i="31"/>
  <c r="F90" i="31" s="1"/>
  <c r="H87" i="31"/>
  <c r="H90" i="31" s="1"/>
  <c r="F133" i="30"/>
  <c r="F134" i="30" s="1"/>
  <c r="F113" i="21"/>
  <c r="F115" i="21" s="1"/>
  <c r="F272" i="27"/>
  <c r="F276" i="27" s="1"/>
  <c r="G272" i="27"/>
  <c r="G276" i="27" s="1"/>
  <c r="G277" i="27" s="1"/>
  <c r="H56" i="23"/>
  <c r="J56" i="23" s="1"/>
  <c r="G132" i="27"/>
  <c r="G136" i="27" s="1"/>
  <c r="G137" i="27" s="1"/>
  <c r="H132" i="27"/>
  <c r="H136" i="27" s="1"/>
  <c r="H116" i="23"/>
  <c r="J116" i="23" s="1"/>
  <c r="H146" i="23"/>
  <c r="J146" i="23" s="1"/>
  <c r="H86" i="23"/>
  <c r="J86" i="23" s="1"/>
  <c r="G239" i="20"/>
  <c r="G241" i="20" s="1"/>
  <c r="G242" i="20" s="1"/>
  <c r="H239" i="20"/>
  <c r="H241" i="20" s="1"/>
  <c r="G100" i="21"/>
  <c r="G102" i="21" s="1"/>
  <c r="G103" i="21" s="1"/>
  <c r="F100" i="21"/>
  <c r="F102" i="21" s="1"/>
  <c r="H131" i="23"/>
  <c r="J131" i="23" s="1"/>
  <c r="G126" i="21"/>
  <c r="G128" i="21" s="1"/>
  <c r="G129" i="21" s="1"/>
  <c r="F126" i="21"/>
  <c r="F128" i="21" s="1"/>
  <c r="H71" i="23"/>
  <c r="J71" i="23" s="1"/>
  <c r="H101" i="23"/>
  <c r="J101" i="23" s="1"/>
  <c r="H188" i="27"/>
  <c r="H192" i="27" s="1"/>
  <c r="F188" i="27"/>
  <c r="F192" i="27" s="1"/>
  <c r="G188" i="27"/>
  <c r="G192" i="27" s="1"/>
  <c r="G193" i="27" s="1"/>
  <c r="G139" i="21"/>
  <c r="G141" i="21" s="1"/>
  <c r="G142" i="21" s="1"/>
  <c r="F139" i="21"/>
  <c r="F141" i="21" s="1"/>
  <c r="F74" i="21"/>
  <c r="F76" i="21" s="1"/>
  <c r="G74" i="21"/>
  <c r="G76" i="21" s="1"/>
  <c r="G77" i="21" s="1"/>
  <c r="G87" i="21"/>
  <c r="G89" i="21" s="1"/>
  <c r="G90" i="21" s="1"/>
  <c r="F87" i="21"/>
  <c r="F89" i="21" s="1"/>
  <c r="G48" i="21"/>
  <c r="G50" i="21" s="1"/>
  <c r="G51" i="21" s="1"/>
  <c r="F48" i="21"/>
  <c r="F50" i="21" s="1"/>
  <c r="F104" i="27"/>
  <c r="F108" i="27" s="1"/>
  <c r="G104" i="27"/>
  <c r="G108" i="27" s="1"/>
  <c r="G109" i="27" s="1"/>
  <c r="H104" i="27"/>
  <c r="H108" i="27" s="1"/>
  <c r="H160" i="27"/>
  <c r="H164" i="27" s="1"/>
  <c r="F160" i="27"/>
  <c r="F164" i="27" s="1"/>
  <c r="G160" i="27"/>
  <c r="G164" i="27" s="1"/>
  <c r="G165" i="27" s="1"/>
  <c r="H161" i="23"/>
  <c r="J161" i="23" s="1"/>
  <c r="G272" i="26"/>
  <c r="G273" i="26" s="1"/>
  <c r="F181" i="20"/>
  <c r="F182" i="20" s="1"/>
  <c r="F246" i="26"/>
  <c r="F247" i="26" s="1"/>
  <c r="G246" i="26"/>
  <c r="G247" i="26" s="1"/>
  <c r="F194" i="26"/>
  <c r="F195" i="26" s="1"/>
  <c r="G220" i="26"/>
  <c r="F142" i="26"/>
  <c r="F143" i="26" s="1"/>
  <c r="G142" i="26"/>
  <c r="G143" i="26" s="1"/>
  <c r="F220" i="26"/>
  <c r="F221" i="26" s="1"/>
  <c r="F272" i="26"/>
  <c r="F273" i="26" s="1"/>
  <c r="G194" i="26"/>
  <c r="G195" i="26" s="1"/>
  <c r="H181" i="20"/>
  <c r="G181" i="20"/>
  <c r="G182" i="20" s="1"/>
  <c r="H229" i="20"/>
  <c r="H263" i="20"/>
  <c r="H265" i="20" s="1"/>
  <c r="G263" i="20"/>
  <c r="G265" i="20" s="1"/>
  <c r="G266" i="20" s="1"/>
  <c r="F263" i="20"/>
  <c r="F265" i="20" s="1"/>
  <c r="F95" i="20"/>
  <c r="F97" i="20" s="1"/>
  <c r="F191" i="20"/>
  <c r="F193" i="20" s="1"/>
  <c r="H191" i="20"/>
  <c r="H193" i="20" s="1"/>
  <c r="G191" i="20"/>
  <c r="G193" i="20" s="1"/>
  <c r="G194" i="20" s="1"/>
  <c r="G95" i="20"/>
  <c r="G97" i="20" s="1"/>
  <c r="G98" i="20" s="1"/>
  <c r="F167" i="20"/>
  <c r="F169" i="20" s="1"/>
  <c r="F215" i="20"/>
  <c r="F217" i="20" s="1"/>
  <c r="H215" i="20"/>
  <c r="H217" i="20" s="1"/>
  <c r="G215" i="20"/>
  <c r="G217" i="20" s="1"/>
  <c r="G218" i="20" s="1"/>
  <c r="H205" i="20"/>
  <c r="H254" i="20"/>
  <c r="F229" i="20"/>
  <c r="F230" i="20" s="1"/>
  <c r="G229" i="20"/>
  <c r="G230" i="20" s="1"/>
  <c r="G205" i="20"/>
  <c r="F205" i="20"/>
  <c r="F206" i="20" s="1"/>
  <c r="H87" i="19"/>
  <c r="J87" i="19" s="1"/>
  <c r="F98" i="19"/>
  <c r="F99" i="19" s="1"/>
  <c r="G110" i="19"/>
  <c r="F110" i="19"/>
  <c r="F111" i="19" s="1"/>
  <c r="H123" i="19"/>
  <c r="J123" i="19" s="1"/>
  <c r="G98" i="19"/>
  <c r="G99" i="19" s="1"/>
  <c r="H98" i="19"/>
  <c r="H135" i="19"/>
  <c r="J135" i="19" s="1"/>
  <c r="H41" i="23"/>
  <c r="J41" i="23" s="1"/>
  <c r="H26" i="23"/>
  <c r="J26" i="23" s="1"/>
  <c r="H145" i="20"/>
  <c r="F143" i="20"/>
  <c r="F145" i="20" s="1"/>
  <c r="G143" i="20"/>
  <c r="G145" i="20" s="1"/>
  <c r="G146" i="20" s="1"/>
  <c r="H169" i="20"/>
  <c r="G167" i="20"/>
  <c r="G169" i="20" s="1"/>
  <c r="G170" i="20" s="1"/>
  <c r="F119" i="20"/>
  <c r="F121" i="20" s="1"/>
  <c r="G119" i="20"/>
  <c r="G121" i="20" s="1"/>
  <c r="G122" i="20" s="1"/>
  <c r="H121" i="20"/>
  <c r="H75" i="24" l="1"/>
  <c r="J74" i="24" s="1"/>
  <c r="H63" i="24" s="1"/>
  <c r="J63" i="24" s="1"/>
  <c r="S203" i="28"/>
  <c r="U203" i="28" s="1"/>
  <c r="G259" i="28"/>
  <c r="G260" i="28" s="1"/>
  <c r="H91" i="24"/>
  <c r="J90" i="24" s="1"/>
  <c r="H79" i="24" s="1"/>
  <c r="J79" i="24" s="1"/>
  <c r="H171" i="24"/>
  <c r="J170" i="24" s="1"/>
  <c r="H159" i="24" s="1"/>
  <c r="J159" i="24" s="1"/>
  <c r="S255" i="29"/>
  <c r="H155" i="24"/>
  <c r="J154" i="24" s="1"/>
  <c r="H143" i="24" s="1"/>
  <c r="J143" i="24" s="1"/>
  <c r="S284" i="29"/>
  <c r="S313" i="29"/>
  <c r="H197" i="29"/>
  <c r="S139" i="29"/>
  <c r="S197" i="29"/>
  <c r="H284" i="29"/>
  <c r="H313" i="29"/>
  <c r="H139" i="29"/>
  <c r="S168" i="29"/>
  <c r="H107" i="24"/>
  <c r="J106" i="24" s="1"/>
  <c r="H95" i="24" s="1"/>
  <c r="J95" i="24" s="1"/>
  <c r="H123" i="24"/>
  <c r="J122" i="24" s="1"/>
  <c r="H111" i="24" s="1"/>
  <c r="J111" i="24" s="1"/>
  <c r="H226" i="29"/>
  <c r="S226" i="29"/>
  <c r="H168" i="29"/>
  <c r="H255" i="29"/>
  <c r="H120" i="28"/>
  <c r="J120" i="28" s="1"/>
  <c r="H303" i="28"/>
  <c r="J302" i="28" s="1"/>
  <c r="H291" i="28" s="1"/>
  <c r="J291" i="28" s="1"/>
  <c r="H293" i="25"/>
  <c r="J292" i="25" s="1"/>
  <c r="H280" i="25" s="1"/>
  <c r="J280" i="25" s="1"/>
  <c r="S275" i="28"/>
  <c r="U274" i="28" s="1"/>
  <c r="S263" i="28" s="1"/>
  <c r="U263" i="28" s="1"/>
  <c r="H204" i="28"/>
  <c r="J204" i="28" s="1"/>
  <c r="S147" i="28"/>
  <c r="U147" i="28" s="1"/>
  <c r="H176" i="28"/>
  <c r="J176" i="28" s="1"/>
  <c r="S303" i="28"/>
  <c r="U302" i="28" s="1"/>
  <c r="S291" i="28" s="1"/>
  <c r="U291" i="28" s="1"/>
  <c r="H143" i="25"/>
  <c r="J142" i="25" s="1"/>
  <c r="H130" i="25" s="1"/>
  <c r="J130" i="25" s="1"/>
  <c r="H260" i="28"/>
  <c r="J260" i="28" s="1"/>
  <c r="H135" i="28"/>
  <c r="J134" i="28" s="1"/>
  <c r="H123" i="28" s="1"/>
  <c r="J123" i="28" s="1"/>
  <c r="H275" i="28"/>
  <c r="J274" i="28" s="1"/>
  <c r="H263" i="28" s="1"/>
  <c r="J263" i="28" s="1"/>
  <c r="H276" i="25"/>
  <c r="J276" i="25" s="1"/>
  <c r="H306" i="25"/>
  <c r="J306" i="25" s="1"/>
  <c r="S175" i="28"/>
  <c r="U175" i="28" s="1"/>
  <c r="S135" i="28"/>
  <c r="U134" i="28" s="1"/>
  <c r="S123" i="28" s="1"/>
  <c r="U123" i="28" s="1"/>
  <c r="H191" i="28"/>
  <c r="J190" i="28" s="1"/>
  <c r="H179" i="28" s="1"/>
  <c r="J179" i="28" s="1"/>
  <c r="H233" i="25"/>
  <c r="J232" i="25" s="1"/>
  <c r="H220" i="25" s="1"/>
  <c r="J220" i="25" s="1"/>
  <c r="S163" i="28"/>
  <c r="U162" i="28" s="1"/>
  <c r="S151" i="28" s="1"/>
  <c r="U151" i="28" s="1"/>
  <c r="H263" i="25"/>
  <c r="J262" i="25" s="1"/>
  <c r="H250" i="25" s="1"/>
  <c r="J250" i="25" s="1"/>
  <c r="H219" i="28"/>
  <c r="J218" i="28" s="1"/>
  <c r="H207" i="28" s="1"/>
  <c r="J207" i="28" s="1"/>
  <c r="S259" i="28"/>
  <c r="U259" i="28" s="1"/>
  <c r="S191" i="28"/>
  <c r="U190" i="28" s="1"/>
  <c r="S179" i="28" s="1"/>
  <c r="U179" i="28" s="1"/>
  <c r="H288" i="28"/>
  <c r="J288" i="28" s="1"/>
  <c r="H148" i="28"/>
  <c r="J148" i="28" s="1"/>
  <c r="H163" i="28"/>
  <c r="J162" i="28" s="1"/>
  <c r="H151" i="28" s="1"/>
  <c r="J151" i="28" s="1"/>
  <c r="S287" i="28"/>
  <c r="U287" i="28" s="1"/>
  <c r="S219" i="28"/>
  <c r="U218" i="28" s="1"/>
  <c r="S207" i="28" s="1"/>
  <c r="U207" i="28" s="1"/>
  <c r="H173" i="25"/>
  <c r="J172" i="25" s="1"/>
  <c r="H160" i="25" s="1"/>
  <c r="J160" i="25" s="1"/>
  <c r="H158" i="30"/>
  <c r="J158" i="30" s="1"/>
  <c r="H230" i="30"/>
  <c r="J230" i="30" s="1"/>
  <c r="H134" i="30"/>
  <c r="J134" i="30" s="1"/>
  <c r="H182" i="30"/>
  <c r="J182" i="30" s="1"/>
  <c r="H254" i="30"/>
  <c r="J254" i="30" s="1"/>
  <c r="H273" i="26"/>
  <c r="J273" i="26" s="1"/>
  <c r="H247" i="26"/>
  <c r="J247" i="26" s="1"/>
  <c r="H143" i="26"/>
  <c r="J143" i="26" s="1"/>
  <c r="H195" i="26"/>
  <c r="J195" i="26" s="1"/>
  <c r="H182" i="20"/>
  <c r="H230" i="20"/>
  <c r="H99" i="19"/>
  <c r="J99" i="19" s="1"/>
  <c r="AI60" i="18"/>
  <c r="AI63" i="18"/>
  <c r="AI66" i="18"/>
  <c r="AI67" i="18"/>
  <c r="AI70" i="18"/>
  <c r="Q298" i="29" l="1"/>
  <c r="S298" i="29" s="1"/>
  <c r="U298" i="29" s="1"/>
  <c r="F298" i="29"/>
  <c r="H298" i="29" s="1"/>
  <c r="J298" i="29" s="1"/>
  <c r="F211" i="29"/>
  <c r="H211" i="29" s="1"/>
  <c r="J211" i="29" s="1"/>
  <c r="Q211" i="29"/>
  <c r="S211" i="29" s="1"/>
  <c r="U211" i="29" s="1"/>
  <c r="F182" i="29"/>
  <c r="H182" i="29" s="1"/>
  <c r="J182" i="29" s="1"/>
  <c r="Q182" i="29"/>
  <c r="S182" i="29" s="1"/>
  <c r="U182" i="29" s="1"/>
  <c r="F95" i="29"/>
  <c r="H95" i="29" s="1"/>
  <c r="J95" i="29" s="1"/>
  <c r="Q95" i="29"/>
  <c r="S95" i="29" s="1"/>
  <c r="U95" i="29" s="1"/>
  <c r="F91" i="31"/>
  <c r="H91" i="31" s="1"/>
  <c r="J91" i="31" s="1"/>
  <c r="F273" i="31"/>
  <c r="H273" i="31" s="1"/>
  <c r="J273" i="31" s="1"/>
  <c r="Q273" i="31"/>
  <c r="S273" i="31" s="1"/>
  <c r="U273" i="31" s="1"/>
  <c r="F195" i="31"/>
  <c r="H195" i="31" s="1"/>
  <c r="J195" i="31" s="1"/>
  <c r="Q221" i="27"/>
  <c r="S221" i="27" s="1"/>
  <c r="U221" i="27" s="1"/>
  <c r="F169" i="31"/>
  <c r="H169" i="31" s="1"/>
  <c r="J169" i="31" s="1"/>
  <c r="Q193" i="27"/>
  <c r="S193" i="27" s="1"/>
  <c r="U193" i="27" s="1"/>
  <c r="Q91" i="31"/>
  <c r="S91" i="31" s="1"/>
  <c r="U91" i="31" s="1"/>
  <c r="Q305" i="27"/>
  <c r="S305" i="27" s="1"/>
  <c r="U305" i="27" s="1"/>
  <c r="Q169" i="31"/>
  <c r="S169" i="31" s="1"/>
  <c r="U169" i="31" s="1"/>
  <c r="Q195" i="31"/>
  <c r="S195" i="31" s="1"/>
  <c r="U195" i="31" s="1"/>
  <c r="Q109" i="27"/>
  <c r="S109" i="27" s="1"/>
  <c r="U109" i="27" s="1"/>
  <c r="F305" i="27"/>
  <c r="H305" i="27" s="1"/>
  <c r="J305" i="27" s="1"/>
  <c r="F142" i="21"/>
  <c r="H142" i="21" s="1"/>
  <c r="F103" i="21"/>
  <c r="H103" i="21" s="1"/>
  <c r="F221" i="27"/>
  <c r="H221" i="27" s="1"/>
  <c r="J221" i="27" s="1"/>
  <c r="T28" i="24"/>
  <c r="Z28" i="24" s="1"/>
  <c r="F90" i="21"/>
  <c r="H90" i="21" s="1"/>
  <c r="F193" i="27"/>
  <c r="H193" i="27" s="1"/>
  <c r="J193" i="27" s="1"/>
  <c r="T25" i="24"/>
  <c r="Z25" i="24" s="1"/>
  <c r="F51" i="21"/>
  <c r="H51" i="21" s="1"/>
  <c r="F109" i="27"/>
  <c r="H109" i="27" s="1"/>
  <c r="J109" i="27" s="1"/>
  <c r="T32" i="24"/>
  <c r="Z32" i="24" s="1"/>
  <c r="F266" i="20"/>
  <c r="H266" i="20" s="1"/>
  <c r="J266" i="20" s="1"/>
  <c r="T29" i="24"/>
  <c r="Z29" i="24" s="1"/>
  <c r="F194" i="20"/>
  <c r="H194" i="20" s="1"/>
  <c r="J194" i="20" s="1"/>
  <c r="F98" i="20"/>
  <c r="H98" i="20" s="1"/>
  <c r="J98" i="20" s="1"/>
  <c r="F170" i="20"/>
  <c r="H170" i="20" s="1"/>
  <c r="J170" i="20" s="1"/>
  <c r="AI65" i="18"/>
  <c r="AI61" i="18"/>
  <c r="Q37" i="29" s="1"/>
  <c r="S37" i="29" s="1"/>
  <c r="U37" i="29" s="1"/>
  <c r="AI68" i="18"/>
  <c r="AI64" i="18"/>
  <c r="AI69" i="18"/>
  <c r="J302" i="29" l="1"/>
  <c r="U302" i="29"/>
  <c r="J215" i="29"/>
  <c r="U215" i="29"/>
  <c r="U99" i="29"/>
  <c r="J99" i="29"/>
  <c r="J186" i="29"/>
  <c r="U186" i="29"/>
  <c r="F124" i="29"/>
  <c r="H124" i="29" s="1"/>
  <c r="J124" i="29" s="1"/>
  <c r="Q124" i="29"/>
  <c r="S124" i="29" s="1"/>
  <c r="U124" i="29" s="1"/>
  <c r="F269" i="29"/>
  <c r="H269" i="29" s="1"/>
  <c r="J269" i="29" s="1"/>
  <c r="Q269" i="29"/>
  <c r="S269" i="29" s="1"/>
  <c r="U269" i="29" s="1"/>
  <c r="F153" i="29"/>
  <c r="H153" i="29" s="1"/>
  <c r="J153" i="29" s="1"/>
  <c r="Q153" i="29"/>
  <c r="S153" i="29" s="1"/>
  <c r="U153" i="29" s="1"/>
  <c r="Q240" i="29"/>
  <c r="S240" i="29" s="1"/>
  <c r="U240" i="29" s="1"/>
  <c r="F240" i="29"/>
  <c r="H240" i="29" s="1"/>
  <c r="J240" i="29" s="1"/>
  <c r="F247" i="31"/>
  <c r="H247" i="31" s="1"/>
  <c r="J247" i="31" s="1"/>
  <c r="Q247" i="31"/>
  <c r="S247" i="31" s="1"/>
  <c r="U247" i="31" s="1"/>
  <c r="Q277" i="27"/>
  <c r="S277" i="27" s="1"/>
  <c r="U277" i="27" s="1"/>
  <c r="Q39" i="31"/>
  <c r="S39" i="31" s="1"/>
  <c r="U39" i="31" s="1"/>
  <c r="Q53" i="27"/>
  <c r="S53" i="27" s="1"/>
  <c r="U53" i="27" s="1"/>
  <c r="F117" i="31"/>
  <c r="H117" i="31" s="1"/>
  <c r="J117" i="31" s="1"/>
  <c r="Q137" i="27"/>
  <c r="S137" i="27" s="1"/>
  <c r="U137" i="27" s="1"/>
  <c r="Q117" i="31"/>
  <c r="S117" i="31" s="1"/>
  <c r="U117" i="31" s="1"/>
  <c r="F221" i="31"/>
  <c r="H221" i="31" s="1"/>
  <c r="J221" i="31" s="1"/>
  <c r="Q249" i="27"/>
  <c r="S249" i="27" s="1"/>
  <c r="U249" i="27" s="1"/>
  <c r="Q221" i="31"/>
  <c r="S221" i="31" s="1"/>
  <c r="U221" i="31" s="1"/>
  <c r="F143" i="31"/>
  <c r="H143" i="31" s="1"/>
  <c r="J143" i="31" s="1"/>
  <c r="Q165" i="27"/>
  <c r="S165" i="27" s="1"/>
  <c r="U165" i="27" s="1"/>
  <c r="Q143" i="31"/>
  <c r="S143" i="31" s="1"/>
  <c r="U143" i="31" s="1"/>
  <c r="T23" i="24"/>
  <c r="Z23" i="24" s="1"/>
  <c r="F39" i="31"/>
  <c r="H39" i="31" s="1"/>
  <c r="J39" i="31" s="1"/>
  <c r="F277" i="27"/>
  <c r="H277" i="27" s="1"/>
  <c r="J277" i="27" s="1"/>
  <c r="F129" i="21"/>
  <c r="H129" i="21" s="1"/>
  <c r="T26" i="24"/>
  <c r="Z26" i="24" s="1"/>
  <c r="F137" i="27"/>
  <c r="H137" i="27" s="1"/>
  <c r="J137" i="27" s="1"/>
  <c r="F64" i="21"/>
  <c r="H64" i="21" s="1"/>
  <c r="F116" i="21"/>
  <c r="H116" i="21" s="1"/>
  <c r="F249" i="27"/>
  <c r="H249" i="27" s="1"/>
  <c r="J249" i="27" s="1"/>
  <c r="T27" i="24"/>
  <c r="Z27" i="24" s="1"/>
  <c r="F165" i="27"/>
  <c r="H165" i="27" s="1"/>
  <c r="J165" i="27" s="1"/>
  <c r="F77" i="21"/>
  <c r="H77" i="21" s="1"/>
  <c r="T31" i="24"/>
  <c r="Z31" i="24" s="1"/>
  <c r="F242" i="20"/>
  <c r="H242" i="20" s="1"/>
  <c r="J242" i="20" s="1"/>
  <c r="T30" i="24"/>
  <c r="Z30" i="24" s="1"/>
  <c r="F218" i="20"/>
  <c r="H218" i="20" s="1"/>
  <c r="J218" i="20" s="1"/>
  <c r="F53" i="27"/>
  <c r="H53" i="27" s="1"/>
  <c r="J53" i="27" s="1"/>
  <c r="AI62" i="18"/>
  <c r="F146" i="20"/>
  <c r="H146" i="20" s="1"/>
  <c r="J146" i="20" s="1"/>
  <c r="F50" i="20"/>
  <c r="H50" i="20" s="1"/>
  <c r="J50" i="20" s="1"/>
  <c r="F25" i="21"/>
  <c r="H25" i="21" s="1"/>
  <c r="F122" i="20"/>
  <c r="H122" i="20" s="1"/>
  <c r="J122" i="20" s="1"/>
  <c r="J41" i="29" l="1"/>
  <c r="U41" i="29"/>
  <c r="U244" i="29"/>
  <c r="J244" i="29"/>
  <c r="U157" i="29"/>
  <c r="J157" i="29"/>
  <c r="U128" i="29"/>
  <c r="J128" i="29"/>
  <c r="U273" i="29"/>
  <c r="J273" i="29"/>
  <c r="F37" i="29"/>
  <c r="H37" i="29" s="1"/>
  <c r="J37" i="29" s="1"/>
  <c r="F66" i="29"/>
  <c r="H66" i="29" s="1"/>
  <c r="J66" i="29" s="1"/>
  <c r="Q66" i="29"/>
  <c r="S66" i="29" s="1"/>
  <c r="U66" i="29" s="1"/>
  <c r="F65" i="31"/>
  <c r="H65" i="31" s="1"/>
  <c r="J65" i="31" s="1"/>
  <c r="Q81" i="27"/>
  <c r="S81" i="27" s="1"/>
  <c r="U81" i="27" s="1"/>
  <c r="Q65" i="31"/>
  <c r="S65" i="31" s="1"/>
  <c r="U65" i="31" s="1"/>
  <c r="T24" i="24"/>
  <c r="Z24" i="24" s="1"/>
  <c r="F81" i="27"/>
  <c r="H81" i="27" s="1"/>
  <c r="J81" i="27" s="1"/>
  <c r="F38" i="21"/>
  <c r="H38" i="21" s="1"/>
  <c r="F74" i="20"/>
  <c r="H74" i="20" s="1"/>
  <c r="J74" i="20" s="1"/>
  <c r="AH67" i="18"/>
  <c r="AH64" i="18"/>
  <c r="J70" i="29" l="1"/>
  <c r="U70" i="29"/>
  <c r="T225" i="29"/>
  <c r="U225" i="29" s="1"/>
  <c r="S214" i="29" s="1"/>
  <c r="U214" i="29" s="1"/>
  <c r="I225" i="29"/>
  <c r="J225" i="29" s="1"/>
  <c r="H214" i="29" s="1"/>
  <c r="J214" i="29" s="1"/>
  <c r="T138" i="29"/>
  <c r="U138" i="29" s="1"/>
  <c r="S127" i="29" s="1"/>
  <c r="U127" i="29" s="1"/>
  <c r="I138" i="29"/>
  <c r="J138" i="29" s="1"/>
  <c r="H127" i="29" s="1"/>
  <c r="J127" i="29" s="1"/>
  <c r="H204" i="27"/>
  <c r="H206" i="27" s="1"/>
  <c r="H207" i="27" s="1"/>
  <c r="I207" i="31"/>
  <c r="J207" i="31" s="1"/>
  <c r="H120" i="27"/>
  <c r="H122" i="27" s="1"/>
  <c r="H123" i="27" s="1"/>
  <c r="I129" i="31"/>
  <c r="J129" i="31" s="1"/>
  <c r="I64" i="21"/>
  <c r="J64" i="21" s="1"/>
  <c r="I123" i="27"/>
  <c r="I207" i="27"/>
  <c r="I103" i="21"/>
  <c r="J103" i="21" s="1"/>
  <c r="I182" i="20"/>
  <c r="J182" i="20" s="1"/>
  <c r="AH62" i="18"/>
  <c r="AH60" i="18"/>
  <c r="T80" i="29" l="1"/>
  <c r="U80" i="29" s="1"/>
  <c r="S69" i="29" s="1"/>
  <c r="U69" i="29" s="1"/>
  <c r="I80" i="29"/>
  <c r="J80" i="29" s="1"/>
  <c r="H69" i="29" s="1"/>
  <c r="J69" i="29" s="1"/>
  <c r="H64" i="27"/>
  <c r="H66" i="27" s="1"/>
  <c r="H67" i="27" s="1"/>
  <c r="I77" i="31"/>
  <c r="J77" i="31" s="1"/>
  <c r="J207" i="27"/>
  <c r="J123" i="27"/>
  <c r="I67" i="27"/>
  <c r="AH65" i="18"/>
  <c r="AH69" i="18"/>
  <c r="AH61" i="18"/>
  <c r="I62" i="20"/>
  <c r="J62" i="20" s="1"/>
  <c r="I38" i="21"/>
  <c r="J38" i="21" s="1"/>
  <c r="AH70" i="18"/>
  <c r="AH63" i="18"/>
  <c r="I167" i="29" l="1"/>
  <c r="J167" i="29" s="1"/>
  <c r="H156" i="29" s="1"/>
  <c r="J156" i="29" s="1"/>
  <c r="T167" i="29"/>
  <c r="U167" i="29" s="1"/>
  <c r="S156" i="29" s="1"/>
  <c r="U156" i="29" s="1"/>
  <c r="I109" i="29"/>
  <c r="J109" i="29" s="1"/>
  <c r="H98" i="29" s="1"/>
  <c r="J98" i="29" s="1"/>
  <c r="T109" i="29"/>
  <c r="U109" i="29" s="1"/>
  <c r="S98" i="29" s="1"/>
  <c r="U98" i="29" s="1"/>
  <c r="T312" i="29"/>
  <c r="U312" i="29" s="1"/>
  <c r="S301" i="29" s="1"/>
  <c r="U301" i="29" s="1"/>
  <c r="I312" i="29"/>
  <c r="J312" i="29" s="1"/>
  <c r="H301" i="29" s="1"/>
  <c r="J301" i="29" s="1"/>
  <c r="I51" i="29"/>
  <c r="J51" i="29" s="1"/>
  <c r="H40" i="29" s="1"/>
  <c r="J40" i="29" s="1"/>
  <c r="T51" i="29"/>
  <c r="U51" i="29" s="1"/>
  <c r="S40" i="29" s="1"/>
  <c r="U40" i="29" s="1"/>
  <c r="I283" i="29"/>
  <c r="J283" i="29" s="1"/>
  <c r="H272" i="29" s="1"/>
  <c r="J272" i="29" s="1"/>
  <c r="T283" i="29"/>
  <c r="U283" i="29" s="1"/>
  <c r="S272" i="29" s="1"/>
  <c r="U272" i="29" s="1"/>
  <c r="I51" i="31"/>
  <c r="J51" i="31" s="1"/>
  <c r="H36" i="27"/>
  <c r="H38" i="27" s="1"/>
  <c r="H39" i="27" s="1"/>
  <c r="H260" i="27"/>
  <c r="H262" i="27" s="1"/>
  <c r="H263" i="27" s="1"/>
  <c r="I259" i="31"/>
  <c r="J259" i="31" s="1"/>
  <c r="H148" i="27"/>
  <c r="H150" i="27" s="1"/>
  <c r="H151" i="27" s="1"/>
  <c r="I155" i="31"/>
  <c r="J155" i="31" s="1"/>
  <c r="H92" i="27"/>
  <c r="H94" i="27" s="1"/>
  <c r="H95" i="27" s="1"/>
  <c r="I103" i="31"/>
  <c r="J103" i="31" s="1"/>
  <c r="H288" i="27"/>
  <c r="H290" i="27" s="1"/>
  <c r="H291" i="27" s="1"/>
  <c r="I285" i="31"/>
  <c r="J285" i="31" s="1"/>
  <c r="J67" i="27"/>
  <c r="I151" i="27"/>
  <c r="I77" i="21"/>
  <c r="J77" i="21" s="1"/>
  <c r="I95" i="27"/>
  <c r="I51" i="21"/>
  <c r="J51" i="21" s="1"/>
  <c r="I142" i="21"/>
  <c r="J142" i="21" s="1"/>
  <c r="I254" i="20"/>
  <c r="J254" i="20" s="1"/>
  <c r="I291" i="27"/>
  <c r="I263" i="27"/>
  <c r="I129" i="21"/>
  <c r="J129" i="21" s="1"/>
  <c r="I230" i="20"/>
  <c r="J230" i="20" s="1"/>
  <c r="I39" i="27"/>
  <c r="I86" i="20"/>
  <c r="J86" i="20" s="1"/>
  <c r="AH66" i="18"/>
  <c r="I134" i="20"/>
  <c r="J134" i="20" s="1"/>
  <c r="I25" i="21"/>
  <c r="J25" i="21" s="1"/>
  <c r="I38" i="20"/>
  <c r="J38" i="20" s="1"/>
  <c r="AH68" i="18"/>
  <c r="T254" i="29" l="1"/>
  <c r="U254" i="29" s="1"/>
  <c r="S243" i="29" s="1"/>
  <c r="U243" i="29" s="1"/>
  <c r="I254" i="29"/>
  <c r="J254" i="29" s="1"/>
  <c r="H243" i="29" s="1"/>
  <c r="J243" i="29" s="1"/>
  <c r="I158" i="20"/>
  <c r="J158" i="20" s="1"/>
  <c r="T196" i="29"/>
  <c r="U196" i="29" s="1"/>
  <c r="S185" i="29" s="1"/>
  <c r="U185" i="29" s="1"/>
  <c r="I196" i="29"/>
  <c r="J196" i="29" s="1"/>
  <c r="H185" i="29" s="1"/>
  <c r="J185" i="29" s="1"/>
  <c r="H232" i="27"/>
  <c r="H234" i="27" s="1"/>
  <c r="H235" i="27" s="1"/>
  <c r="I233" i="31"/>
  <c r="J233" i="31" s="1"/>
  <c r="H176" i="27"/>
  <c r="H178" i="27" s="1"/>
  <c r="H179" i="27" s="1"/>
  <c r="I181" i="31"/>
  <c r="J181" i="31" s="1"/>
  <c r="J263" i="27"/>
  <c r="J291" i="27"/>
  <c r="J151" i="27"/>
  <c r="J95" i="27"/>
  <c r="I116" i="21"/>
  <c r="J116" i="21" s="1"/>
  <c r="I235" i="27"/>
  <c r="I206" i="20"/>
  <c r="I90" i="21"/>
  <c r="J90" i="21" s="1"/>
  <c r="I179" i="27"/>
  <c r="J39" i="27"/>
  <c r="I110" i="20"/>
  <c r="J110" i="20" s="1"/>
  <c r="G24" i="22"/>
  <c r="H24" i="22" s="1"/>
  <c r="J24" i="22" s="1"/>
  <c r="J235" i="27" l="1"/>
  <c r="J179" i="27"/>
  <c r="H33" i="25" l="1"/>
  <c r="H32" i="25"/>
  <c r="F32" i="25"/>
  <c r="G32" i="25"/>
  <c r="H35" i="25" l="1"/>
  <c r="G33" i="25"/>
  <c r="G35" i="25" s="1"/>
  <c r="G36" i="25" s="1"/>
  <c r="F33" i="25"/>
  <c r="F35" i="25" s="1"/>
  <c r="F36" i="25" s="1"/>
  <c r="H36" i="25" l="1"/>
  <c r="J36" i="25" s="1"/>
  <c r="F323" i="25"/>
  <c r="H323" i="25" s="1"/>
  <c r="J322" i="25" s="1"/>
  <c r="H310" i="25" s="1"/>
  <c r="J310" i="25" s="1"/>
  <c r="H20" i="24"/>
  <c r="H25" i="24" s="1"/>
  <c r="F20" i="24"/>
  <c r="F25" i="24" s="1"/>
  <c r="F26" i="24" s="1"/>
  <c r="G20" i="24"/>
  <c r="G25" i="24" s="1"/>
  <c r="G26" i="24" s="1"/>
  <c r="H26" i="24" l="1"/>
  <c r="H27" i="24" s="1"/>
  <c r="J26" i="24" s="1"/>
  <c r="H15" i="24" s="1"/>
  <c r="J15" i="24" s="1"/>
  <c r="AJ24" i="18" l="1"/>
  <c r="Q30" i="24" l="1"/>
  <c r="W30" i="24" s="1"/>
  <c r="P64" i="18"/>
  <c r="G111" i="19" l="1"/>
  <c r="H111" i="19" s="1"/>
  <c r="J111" i="19" s="1"/>
  <c r="G206" i="30"/>
  <c r="H206" i="30" s="1"/>
  <c r="J206" i="30" s="1"/>
  <c r="G232" i="28"/>
  <c r="H232" i="28" s="1"/>
  <c r="J232" i="28" s="1"/>
  <c r="R231" i="28"/>
  <c r="S231" i="28" s="1"/>
  <c r="U231" i="28" s="1"/>
  <c r="G206" i="20"/>
  <c r="H206" i="20" s="1"/>
  <c r="J206" i="20" s="1"/>
  <c r="G221" i="26"/>
  <c r="H221" i="26" s="1"/>
  <c r="J221" i="26" s="1"/>
  <c r="U236" i="28"/>
  <c r="J236" i="28"/>
  <c r="J128" i="24"/>
  <c r="C244" i="28" l="1"/>
  <c r="F247" i="28" s="1"/>
  <c r="C243" i="28"/>
  <c r="G247" i="28" s="1"/>
  <c r="N243" i="28"/>
  <c r="R247" i="28" s="1"/>
  <c r="N244" i="28"/>
  <c r="Q247" i="28" s="1"/>
  <c r="C135" i="24"/>
  <c r="G139" i="24" s="1"/>
  <c r="C136" i="24"/>
  <c r="F139" i="24" s="1"/>
  <c r="H139" i="24" l="1"/>
  <c r="J138" i="24" s="1"/>
  <c r="H127" i="24" s="1"/>
  <c r="J127" i="24" s="1"/>
  <c r="S247" i="28"/>
  <c r="U246" i="28" s="1"/>
  <c r="S235" i="28" s="1"/>
  <c r="U235" i="28" s="1"/>
  <c r="H247" i="28"/>
  <c r="J246" i="28" s="1"/>
  <c r="H235" i="28" s="1"/>
  <c r="J235" i="28" s="1"/>
  <c r="AE11" i="24" l="1"/>
  <c r="AE4" i="24"/>
  <c r="AE8" i="24"/>
  <c r="AE6" i="24"/>
  <c r="AE9" i="24"/>
  <c r="AE12" i="24"/>
  <c r="AE7" i="24"/>
  <c r="AE10" i="24"/>
  <c r="AE5" i="24"/>
  <c r="AE19" i="24" l="1"/>
  <c r="AE24" i="24"/>
  <c r="AE16" i="24"/>
  <c r="AE17" i="24"/>
  <c r="AE21" i="24"/>
  <c r="AE23" i="24"/>
  <c r="AE22" i="24"/>
  <c r="AE18" i="24"/>
  <c r="AE20" i="24"/>
  <c r="AE13" i="24"/>
  <c r="AE25" i="24" l="1"/>
</calcChain>
</file>

<file path=xl/sharedStrings.xml><?xml version="1.0" encoding="utf-8"?>
<sst xmlns="http://schemas.openxmlformats.org/spreadsheetml/2006/main" count="9337" uniqueCount="452">
  <si>
    <t>等级</t>
    <phoneticPr fontId="1" type="noConversion"/>
  </si>
  <si>
    <t>名称</t>
    <phoneticPr fontId="1" type="noConversion"/>
  </si>
  <si>
    <t>力士</t>
    <phoneticPr fontId="1" type="noConversion"/>
  </si>
  <si>
    <t>修罗</t>
    <phoneticPr fontId="1" type="noConversion"/>
  </si>
  <si>
    <t>夜叉</t>
    <phoneticPr fontId="1" type="noConversion"/>
  </si>
  <si>
    <t>判官</t>
    <phoneticPr fontId="1" type="noConversion"/>
  </si>
  <si>
    <t>龙女</t>
    <phoneticPr fontId="1" type="noConversion"/>
  </si>
  <si>
    <t>中程法力输出，召唤师</t>
    <phoneticPr fontId="1" type="noConversion"/>
  </si>
  <si>
    <t>力士技能</t>
    <phoneticPr fontId="1" type="noConversion"/>
  </si>
  <si>
    <t>火焰呼吸</t>
    <phoneticPr fontId="1" type="noConversion"/>
  </si>
  <si>
    <t>离子化</t>
    <phoneticPr fontId="1" type="noConversion"/>
  </si>
  <si>
    <t>天官赐福</t>
    <phoneticPr fontId="1" type="noConversion"/>
  </si>
  <si>
    <t>天官下凡</t>
    <phoneticPr fontId="1" type="noConversion"/>
  </si>
  <si>
    <t>技能名称</t>
    <phoneticPr fontId="1" type="noConversion"/>
  </si>
  <si>
    <t>技能效果</t>
    <phoneticPr fontId="1" type="noConversion"/>
  </si>
  <si>
    <t>开启后持续消耗法力，周身包围着火焰，对近身敌人造成持续性伤害</t>
    <phoneticPr fontId="1" type="noConversion"/>
  </si>
  <si>
    <t>开启后大幅增加生命值和三围属性</t>
    <phoneticPr fontId="1" type="noConversion"/>
  </si>
  <si>
    <t>玩法总结</t>
    <phoneticPr fontId="1" type="noConversion"/>
  </si>
  <si>
    <t>修罗技能</t>
    <phoneticPr fontId="1" type="noConversion"/>
  </si>
  <si>
    <t>夜叉技能</t>
    <phoneticPr fontId="1" type="noConversion"/>
  </si>
  <si>
    <t>判官技能</t>
    <phoneticPr fontId="1" type="noConversion"/>
  </si>
  <si>
    <t>龙女技能</t>
    <phoneticPr fontId="1" type="noConversion"/>
  </si>
  <si>
    <t>贪狼刀法</t>
    <phoneticPr fontId="1" type="noConversion"/>
  </si>
  <si>
    <t>修罗之怒</t>
    <phoneticPr fontId="1" type="noConversion"/>
  </si>
  <si>
    <t>血吼</t>
    <phoneticPr fontId="1" type="noConversion"/>
  </si>
  <si>
    <t>杀意</t>
    <phoneticPr fontId="1" type="noConversion"/>
  </si>
  <si>
    <t>勾魂</t>
    <phoneticPr fontId="1" type="noConversion"/>
  </si>
  <si>
    <t>近战物理输出，高伤害技能，越战越勇</t>
    <phoneticPr fontId="1" type="noConversion"/>
  </si>
  <si>
    <t>猎命</t>
    <phoneticPr fontId="1" type="noConversion"/>
  </si>
  <si>
    <t>毒刃</t>
    <phoneticPr fontId="1" type="noConversion"/>
  </si>
  <si>
    <t>瞬移一小段距离，瞬移后仰天长啸并向外迸发血雾，对周围的敌人造成破防和伤害</t>
    <phoneticPr fontId="1" type="noConversion"/>
  </si>
  <si>
    <t>以自身为中心的范围伤害</t>
    <phoneticPr fontId="1" type="noConversion"/>
  </si>
  <si>
    <t>击飞周围敌人，并积累大量杀意</t>
    <phoneticPr fontId="1" type="noConversion"/>
  </si>
  <si>
    <t>抛出一个刃轮到对应地点，刃轮之上的敌人受到持续伤害和减速</t>
    <phoneticPr fontId="1" type="noConversion"/>
  </si>
  <si>
    <t>刃轮</t>
    <phoneticPr fontId="1" type="noConversion"/>
  </si>
  <si>
    <t>招魂</t>
    <phoneticPr fontId="1" type="noConversion"/>
  </si>
  <si>
    <t>赶尸</t>
    <phoneticPr fontId="1" type="noConversion"/>
  </si>
  <si>
    <t>生死簿</t>
    <phoneticPr fontId="1" type="noConversion"/>
  </si>
  <si>
    <t>镇压</t>
    <phoneticPr fontId="1" type="noConversion"/>
  </si>
  <si>
    <t>视野提升</t>
    <phoneticPr fontId="1" type="noConversion"/>
  </si>
  <si>
    <t>爆裂箭</t>
    <phoneticPr fontId="1" type="noConversion"/>
  </si>
  <si>
    <t>被动技能，在毒刃状态时，普通和技能攻击可以给敌人上中毒状态，中毒后失去毒刃状态，需要等一段时间的上毒后才能恢复毒刃状态。</t>
    <phoneticPr fontId="1" type="noConversion"/>
  </si>
  <si>
    <t>给予夜叉3道剑意，每消耗一道剑意就化身剑气，跨过距离对敌人展开剑气攻击，剑气状态时自己不会被攻击。剑气少于3道就开始按时间恢复</t>
    <phoneticPr fontId="1" type="noConversion"/>
  </si>
  <si>
    <t>增加射程</t>
    <phoneticPr fontId="1" type="noConversion"/>
  </si>
  <si>
    <t>翻滚射击</t>
    <phoneticPr fontId="1" type="noConversion"/>
  </si>
  <si>
    <t>翻滚一段距离并向最近的敌人射出一支箭，造成伤害</t>
    <phoneticPr fontId="1" type="noConversion"/>
  </si>
  <si>
    <t>龙威</t>
    <phoneticPr fontId="1" type="noConversion"/>
  </si>
  <si>
    <t>高血量不容易死，团战定位是冲上去替队友承受伤害，天官赐福让移动和攻击速度快，点了敌人后能自己追着打，玩家可以不操作，输出主要靠火焰呼吸把敌人烫死，也不费操作，所以上手简单。快死的时候可以用离子化脱离战斗。大招天官下凡可以抢人头也可以逃跑</t>
    <phoneticPr fontId="1" type="noConversion"/>
  </si>
  <si>
    <t>越战越强的玩法，平时战力一般，一旦积累杀意并杀死敌人后又会补充杀意，而杀意会让修罗不停的放高伤害的技能。团战时很可能会一波技能放完后所有人头都是修罗收的。</t>
    <phoneticPr fontId="1" type="noConversion"/>
  </si>
  <si>
    <t>给予夜叉3个魂玉，向一个方向发射一枚魂玉可以对一名敌人勾魂。被勾魂的敌人短暂眩晕并受到伤害。魂玉少于3个就开始按时间恢复</t>
    <phoneticPr fontId="1" type="noConversion"/>
  </si>
  <si>
    <t>夜叉的玩法是先消耗对手再追杀敌人。他的爆发输出不高，但因为有毒，在一段时间的对峙里对方的消耗会很大。然后刃轮可以减速，勾魂可以眩晕，猎命可以瞬移，追杀还是逃跑都非常灵活。操作方面要求比较高，勾魂眩晕时间短，能否命中看操作，猎命瞬移距离也比较短，而且勾魂和猎命都是短时间内可以连续使用3次，操作频率很高。</t>
    <phoneticPr fontId="1" type="noConversion"/>
  </si>
  <si>
    <t>可以召唤一支部队为你而战。平时是3人一组，开大招可以5人一组，还可以治疗和长时间控制。</t>
    <phoneticPr fontId="1" type="noConversion"/>
  </si>
  <si>
    <t>被动技能，普攻命中敌人后获得龙威状态，龙威增加自身伤害和攻击速度，可叠加至多3层。当龙威叠加到3层时，龙女的普攻将分裂为3支箭矢，每支箭矢造成原伤害的40%。每层龙威持续3秒，如果期间又攻击命中会刷新龙威持续时间</t>
    <phoneticPr fontId="1" type="noConversion"/>
  </si>
  <si>
    <t>龙威是王者荣耀里后羿的玩法，龙女主要靠持续的普通攻击输出伤害，另外给她加了2个控制距离的技能，让她可以实施放风筝战术</t>
    <phoneticPr fontId="1" type="noConversion"/>
  </si>
  <si>
    <t>职业玩法</t>
    <phoneticPr fontId="1" type="noConversion"/>
  </si>
  <si>
    <t>CD时间（恢复时间）</t>
    <phoneticPr fontId="1" type="noConversion"/>
  </si>
  <si>
    <t>类型</t>
    <phoneticPr fontId="1" type="noConversion"/>
  </si>
  <si>
    <t>buff效果1</t>
    <phoneticPr fontId="1" type="noConversion"/>
  </si>
  <si>
    <t>buff效果2</t>
  </si>
  <si>
    <t>30秒</t>
    <phoneticPr fontId="1" type="noConversion"/>
  </si>
  <si>
    <t>10秒</t>
    <phoneticPr fontId="1" type="noConversion"/>
  </si>
  <si>
    <t>15秒</t>
    <phoneticPr fontId="1" type="noConversion"/>
  </si>
  <si>
    <t>被动技能</t>
    <phoneticPr fontId="1" type="noConversion"/>
  </si>
  <si>
    <t>主动技能</t>
    <phoneticPr fontId="1" type="noConversion"/>
  </si>
  <si>
    <t>持续性技能</t>
    <phoneticPr fontId="1" type="noConversion"/>
  </si>
  <si>
    <t>消耗说明</t>
    <phoneticPr fontId="1" type="noConversion"/>
  </si>
  <si>
    <t>移动加速20%</t>
    <phoneticPr fontId="1" type="noConversion"/>
  </si>
  <si>
    <t>消耗法力</t>
    <phoneticPr fontId="1" type="noConversion"/>
  </si>
  <si>
    <t>150秒</t>
    <phoneticPr fontId="1" type="noConversion"/>
  </si>
  <si>
    <t>20秒</t>
    <phoneticPr fontId="1" type="noConversion"/>
  </si>
  <si>
    <t>60秒（恢复1道剑意）</t>
    <phoneticPr fontId="1" type="noConversion"/>
  </si>
  <si>
    <t>20秒（恢复1枚魂玉）</t>
    <phoneticPr fontId="1" type="noConversion"/>
  </si>
  <si>
    <t>20秒</t>
    <phoneticPr fontId="1" type="noConversion"/>
  </si>
  <si>
    <t>5法力/秒</t>
    <phoneticPr fontId="1" type="noConversion"/>
  </si>
  <si>
    <t>30法力</t>
    <phoneticPr fontId="1" type="noConversion"/>
  </si>
  <si>
    <t>初始法力</t>
    <phoneticPr fontId="1" type="noConversion"/>
  </si>
  <si>
    <t>20法力</t>
    <phoneticPr fontId="1" type="noConversion"/>
  </si>
  <si>
    <t>每次1魂玉/上限3魂玉</t>
    <phoneticPr fontId="1" type="noConversion"/>
  </si>
  <si>
    <t>每次1剑意/上限3剑意</t>
  </si>
  <si>
    <t>消耗资源</t>
  </si>
  <si>
    <t>无消耗</t>
    <phoneticPr fontId="1" type="noConversion"/>
  </si>
  <si>
    <t>操作总结</t>
  </si>
  <si>
    <t>无消耗</t>
    <phoneticPr fontId="1" type="noConversion"/>
  </si>
  <si>
    <t>增加6杀意</t>
    <phoneticPr fontId="1" type="noConversion"/>
  </si>
  <si>
    <t>消耗3杀意清除CD，释放后重新计时CD</t>
    <phoneticPr fontId="1" type="noConversion"/>
  </si>
  <si>
    <t>消耗2杀意清除CD，释放后重新计时CD</t>
    <phoneticPr fontId="1" type="noConversion"/>
  </si>
  <si>
    <t>10法力/秒</t>
    <phoneticPr fontId="1" type="noConversion"/>
  </si>
  <si>
    <t>30法力</t>
    <phoneticPr fontId="1" type="noConversion"/>
  </si>
  <si>
    <t>20法力</t>
    <phoneticPr fontId="1" type="noConversion"/>
  </si>
  <si>
    <t>持续3秒</t>
    <phoneticPr fontId="1" type="noConversion"/>
  </si>
  <si>
    <t>修罗普攻</t>
    <phoneticPr fontId="1" type="noConversion"/>
  </si>
  <si>
    <t>夜叉普攻</t>
    <phoneticPr fontId="1" type="noConversion"/>
  </si>
  <si>
    <t>判官普攻</t>
    <phoneticPr fontId="1" type="noConversion"/>
  </si>
  <si>
    <t>龙女普攻</t>
    <phoneticPr fontId="1" type="noConversion"/>
  </si>
  <si>
    <t>力士普攻</t>
    <phoneticPr fontId="1" type="noConversion"/>
  </si>
  <si>
    <t>技能</t>
    <phoneticPr fontId="1" type="noConversion"/>
  </si>
  <si>
    <t>操作耗时/秒</t>
    <phoneticPr fontId="1" type="noConversion"/>
  </si>
  <si>
    <t>美术效果描述</t>
    <phoneticPr fontId="1" type="noConversion"/>
  </si>
  <si>
    <t>向上挥臂</t>
    <phoneticPr fontId="1" type="noConversion"/>
  </si>
  <si>
    <t>向外挥臂</t>
    <phoneticPr fontId="1" type="noConversion"/>
  </si>
  <si>
    <t>挥刀</t>
    <phoneticPr fontId="1" type="noConversion"/>
  </si>
  <si>
    <t>持续的向周围挥刀</t>
    <phoneticPr fontId="1" type="noConversion"/>
  </si>
  <si>
    <t>向天吼</t>
    <phoneticPr fontId="1" type="noConversion"/>
  </si>
  <si>
    <t>加黄色光晕</t>
    <phoneticPr fontId="1" type="noConversion"/>
  </si>
  <si>
    <t>加血色特效</t>
    <phoneticPr fontId="1" type="noConversion"/>
  </si>
  <si>
    <t>用力劈地，敌人击飞落地后再起身</t>
    <phoneticPr fontId="1" type="noConversion"/>
  </si>
  <si>
    <t>刺击</t>
    <phoneticPr fontId="1" type="noConversion"/>
  </si>
  <si>
    <t>向前扔魂玉</t>
    <phoneticPr fontId="1" type="noConversion"/>
  </si>
  <si>
    <t>加墨绿色特效</t>
    <phoneticPr fontId="1" type="noConversion"/>
  </si>
  <si>
    <t>抛出一个刃轮，刃轮飞到指定地点后持续旋转</t>
    <phoneticPr fontId="1" type="noConversion"/>
  </si>
  <si>
    <t>身体消失，敌人被剑气反复攻击，攻击后出现在敌人面前</t>
    <phoneticPr fontId="1" type="noConversion"/>
  </si>
  <si>
    <t>向前挥笔</t>
    <phoneticPr fontId="1" type="noConversion"/>
  </si>
  <si>
    <t>在身前写大字：魂</t>
    <phoneticPr fontId="1" type="noConversion"/>
  </si>
  <si>
    <t>在身前写大字：尸</t>
    <phoneticPr fontId="1" type="noConversion"/>
  </si>
  <si>
    <t>射出一条光线连接判官和敌人</t>
    <phoneticPr fontId="1" type="noConversion"/>
  </si>
  <si>
    <t>头顶上出现一本书并有翻开效果，范围内队友有治疗特效</t>
    <phoneticPr fontId="1" type="noConversion"/>
  </si>
  <si>
    <t>射箭</t>
    <phoneticPr fontId="1" type="noConversion"/>
  </si>
  <si>
    <t>向前翻滚并射出一支箭</t>
    <phoneticPr fontId="1" type="noConversion"/>
  </si>
  <si>
    <t>升级时头顶有鹰眼特效出现，平时无效果</t>
    <phoneticPr fontId="1" type="noConversion"/>
  </si>
  <si>
    <t>射出一支大箭，射中的人有范围爆炸特效</t>
    <phoneticPr fontId="1" type="noConversion"/>
  </si>
  <si>
    <t>加气流特效</t>
    <phoneticPr fontId="1" type="noConversion"/>
  </si>
  <si>
    <t>身体变大</t>
    <phoneticPr fontId="1" type="noConversion"/>
  </si>
  <si>
    <t>3秒（恢复中毒状态）</t>
    <phoneticPr fontId="1" type="noConversion"/>
  </si>
  <si>
    <t>攻击敌人使敌人中毒，中毒后失去毒刃状态并CD计时，中毒可叠加</t>
    <phoneticPr fontId="1" type="noConversion"/>
  </si>
  <si>
    <t>恢复范围内X%+Y点生命</t>
    <phoneticPr fontId="1" type="noConversion"/>
  </si>
  <si>
    <t>每秒掉血X%+Y点</t>
    <phoneticPr fontId="1" type="noConversion"/>
  </si>
  <si>
    <t>每秒造成X点伤害</t>
    <phoneticPr fontId="1" type="noConversion"/>
  </si>
  <si>
    <t>夜叉的输出主要靠下毒，所以操作节奏是以毒刃的3秒1次下毒为核心的。勾魂、刃轮和猎命都可以远程施加，确保可以加7层毒，加上普攻叠到10层以上问题不大。
进攻时勾魂加猎命可以先手控制加突击，逃跑时猎命化身剑气状态是不被攻击的，可以帮助夜叉躲过敌人的输出，勾魂控制住敌人可以争取逃跑时间。</t>
    <phoneticPr fontId="1" type="noConversion"/>
  </si>
  <si>
    <t>12秒</t>
    <phoneticPr fontId="1" type="noConversion"/>
  </si>
  <si>
    <t>眩晕1秒</t>
    <phoneticPr fontId="1" type="noConversion"/>
  </si>
  <si>
    <t>减速30%</t>
    <phoneticPr fontId="1" type="noConversion"/>
  </si>
  <si>
    <t>10法力</t>
    <phoneticPr fontId="1" type="noConversion"/>
  </si>
  <si>
    <t>20法力</t>
    <phoneticPr fontId="1" type="noConversion"/>
  </si>
  <si>
    <t>总等级</t>
    <phoneticPr fontId="1" type="noConversion"/>
  </si>
  <si>
    <t>CD/秒</t>
    <phoneticPr fontId="1" type="noConversion"/>
  </si>
  <si>
    <t>持续20秒</t>
    <phoneticPr fontId="1" type="noConversion"/>
  </si>
  <si>
    <t>镇压持续最多4秒</t>
    <phoneticPr fontId="1" type="noConversion"/>
  </si>
  <si>
    <t>红蓝补充玩法</t>
    <phoneticPr fontId="1" type="noConversion"/>
  </si>
  <si>
    <t>1级时法力设计为基本够一套连招打死敌人，然后就需要补充，升级后法力会逐渐充裕，满级时会达到连续放技能3分钟才会耗干的水平</t>
    <phoneticPr fontId="1" type="noConversion"/>
  </si>
  <si>
    <t>假定团战中只能使用较弱的红蓝药剂，每瓶可以持续补充10-20%的红蓝</t>
    <phoneticPr fontId="1" type="noConversion"/>
  </si>
  <si>
    <t>装备可以增强红蓝的恢复，暂规定满级金装时可以5分钟回满蓝和血</t>
    <phoneticPr fontId="1" type="noConversion"/>
  </si>
  <si>
    <t>猎命</t>
    <phoneticPr fontId="1" type="noConversion"/>
  </si>
  <si>
    <t>次数</t>
    <phoneticPr fontId="1" type="noConversion"/>
  </si>
  <si>
    <t>耗时</t>
    <phoneticPr fontId="1" type="noConversion"/>
  </si>
  <si>
    <t>等级</t>
    <phoneticPr fontId="1" type="noConversion"/>
  </si>
  <si>
    <t>编号</t>
  </si>
  <si>
    <t>技能ID</t>
  </si>
  <si>
    <t>技能名称</t>
  </si>
  <si>
    <t>技能等级</t>
  </si>
  <si>
    <t>学习等级</t>
  </si>
  <si>
    <t>技能伤害</t>
  </si>
  <si>
    <t>int</t>
  </si>
  <si>
    <t>StringType</t>
  </si>
  <si>
    <t>xx</t>
  </si>
  <si>
    <t>Name</t>
    <phoneticPr fontId="1" type="noConversion"/>
  </si>
  <si>
    <t>SkillID</t>
    <phoneticPr fontId="1" type="noConversion"/>
  </si>
  <si>
    <t>ID</t>
    <phoneticPr fontId="1" type="noConversion"/>
  </si>
  <si>
    <t>SkillLv</t>
    <phoneticPr fontId="1" type="noConversion"/>
  </si>
  <si>
    <t>LearnLv</t>
    <phoneticPr fontId="1" type="noConversion"/>
  </si>
  <si>
    <t>Category1</t>
    <phoneticPr fontId="1" type="noConversion"/>
  </si>
  <si>
    <t>Category2</t>
    <phoneticPr fontId="1" type="noConversion"/>
  </si>
  <si>
    <t>Damage</t>
    <phoneticPr fontId="1" type="noConversion"/>
  </si>
  <si>
    <t>物功系数</t>
    <phoneticPr fontId="1" type="noConversion"/>
  </si>
  <si>
    <t>魔功系数</t>
    <phoneticPr fontId="1" type="noConversion"/>
  </si>
  <si>
    <t>ID</t>
    <phoneticPr fontId="1" type="noConversion"/>
  </si>
  <si>
    <t>学习等级</t>
    <phoneticPr fontId="1" type="noConversion"/>
  </si>
  <si>
    <t>最高学习等级</t>
    <phoneticPr fontId="1" type="noConversion"/>
  </si>
  <si>
    <t>1000对应100%</t>
    <phoneticPr fontId="1" type="noConversion"/>
  </si>
  <si>
    <t>对应buffID</t>
    <phoneticPr fontId="1" type="noConversion"/>
  </si>
  <si>
    <t>说明</t>
    <phoneticPr fontId="1" type="noConversion"/>
  </si>
  <si>
    <t>参数1</t>
    <phoneticPr fontId="1" type="noConversion"/>
  </si>
  <si>
    <t>参数2</t>
  </si>
  <si>
    <t>参数3</t>
  </si>
  <si>
    <t>毒刃状态</t>
    <phoneticPr fontId="1" type="noConversion"/>
  </si>
  <si>
    <t>参数1是镇压最长持续时间（秒）</t>
    <phoneticPr fontId="1" type="noConversion"/>
  </si>
  <si>
    <t>伤害模型</t>
    <phoneticPr fontId="1" type="noConversion"/>
  </si>
  <si>
    <t>伤害</t>
    <phoneticPr fontId="1" type="noConversion"/>
  </si>
  <si>
    <t>次数/时间</t>
    <phoneticPr fontId="1" type="noConversion"/>
  </si>
  <si>
    <t>战斗时间</t>
    <phoneticPr fontId="1" type="noConversion"/>
  </si>
  <si>
    <t>1为普攻，2为普通技能，3为大招，4为状态</t>
    <phoneticPr fontId="1" type="noConversion"/>
  </si>
  <si>
    <t>学习等级编码</t>
    <phoneticPr fontId="1" type="noConversion"/>
  </si>
  <si>
    <t>ID</t>
    <phoneticPr fontId="1" type="noConversion"/>
  </si>
  <si>
    <t>子ID</t>
    <phoneticPr fontId="1" type="noConversion"/>
  </si>
  <si>
    <t>Category3</t>
    <phoneticPr fontId="1" type="noConversion"/>
  </si>
  <si>
    <t>Category4</t>
  </si>
  <si>
    <t>Category5</t>
  </si>
  <si>
    <t>describe2</t>
    <phoneticPr fontId="1" type="noConversion"/>
  </si>
  <si>
    <t>技能类型1</t>
    <phoneticPr fontId="1" type="noConversion"/>
  </si>
  <si>
    <t>Type1</t>
    <phoneticPr fontId="1" type="noConversion"/>
  </si>
  <si>
    <t>技能类型2</t>
  </si>
  <si>
    <t>Type2</t>
  </si>
  <si>
    <t>1为物攻，2为魔攻，3为其他</t>
    <phoneticPr fontId="1" type="noConversion"/>
  </si>
  <si>
    <t>物攻系数</t>
    <phoneticPr fontId="1" type="noConversion"/>
  </si>
  <si>
    <t>魔攻系数</t>
    <phoneticPr fontId="1" type="noConversion"/>
  </si>
  <si>
    <t>求和</t>
    <phoneticPr fontId="1" type="noConversion"/>
  </si>
  <si>
    <t>技能伤害</t>
    <phoneticPr fontId="1" type="noConversion"/>
  </si>
  <si>
    <t>守方生命</t>
    <phoneticPr fontId="1" type="noConversion"/>
  </si>
  <si>
    <t>生命/伤害</t>
    <phoneticPr fontId="1" type="noConversion"/>
  </si>
  <si>
    <t>龙女</t>
    <phoneticPr fontId="1" type="noConversion"/>
  </si>
  <si>
    <t>暴击概率</t>
    <phoneticPr fontId="1" type="noConversion"/>
  </si>
  <si>
    <t>碾压概率</t>
    <phoneticPr fontId="1" type="noConversion"/>
  </si>
  <si>
    <t>卸力概率</t>
    <phoneticPr fontId="1" type="noConversion"/>
  </si>
  <si>
    <t>化解概率</t>
    <phoneticPr fontId="1" type="noConversion"/>
  </si>
  <si>
    <t>初始普攻</t>
    <phoneticPr fontId="1" type="noConversion"/>
  </si>
  <si>
    <t>龙威普攻</t>
    <phoneticPr fontId="1" type="noConversion"/>
  </si>
  <si>
    <t>功能修正1</t>
    <phoneticPr fontId="1" type="noConversion"/>
  </si>
  <si>
    <t>功能修正2</t>
  </si>
  <si>
    <t>光环技能，增加移动速度和卸力值</t>
    <phoneticPr fontId="1" type="noConversion"/>
  </si>
  <si>
    <t>近战肉盾，操作简单，生存能力强，双路线输出，玩法为贴身游走，克制修罗保护队友</t>
    <phoneticPr fontId="1" type="noConversion"/>
  </si>
  <si>
    <t>双路线输出，擅长控制和追杀，克制法师</t>
    <phoneticPr fontId="1" type="noConversion"/>
  </si>
  <si>
    <t>远程物理输出，高暴击，放风筝玩法</t>
    <phoneticPr fontId="1" type="noConversion"/>
  </si>
  <si>
    <t>移动加速10%</t>
    <phoneticPr fontId="1" type="noConversion"/>
  </si>
  <si>
    <t>卸力概率10%</t>
    <phoneticPr fontId="1" type="noConversion"/>
  </si>
  <si>
    <t>免疫物理攻击</t>
    <phoneticPr fontId="1" type="noConversion"/>
  </si>
  <si>
    <t>buff效果3</t>
  </si>
  <si>
    <t>回血15%</t>
    <phoneticPr fontId="1" type="noConversion"/>
  </si>
  <si>
    <t>开启后让身体离子化（虚化），不能普攻但也免疫物理伤害，解除被控制状态，移动速度增加，离子化结束后回血</t>
    <phoneticPr fontId="1" type="noConversion"/>
  </si>
  <si>
    <t>光环技能</t>
    <phoneticPr fontId="1" type="noConversion"/>
  </si>
  <si>
    <t>力道</t>
  </si>
  <si>
    <t>身法</t>
  </si>
  <si>
    <t>元气</t>
  </si>
  <si>
    <t>生命值</t>
  </si>
  <si>
    <t>物理攻击</t>
  </si>
  <si>
    <t>魔法攻击</t>
  </si>
  <si>
    <t>物理防御</t>
  </si>
  <si>
    <t>魔法防御</t>
  </si>
  <si>
    <t>霸道</t>
  </si>
  <si>
    <t>会心</t>
  </si>
  <si>
    <t>卸力</t>
  </si>
  <si>
    <t>化解</t>
  </si>
  <si>
    <t>对应buff</t>
    <phoneticPr fontId="1" type="noConversion"/>
  </si>
  <si>
    <t>buffID</t>
    <phoneticPr fontId="1" type="noConversion"/>
  </si>
  <si>
    <t>参数4</t>
  </si>
  <si>
    <t>Category6</t>
  </si>
  <si>
    <t xml:space="preserve">ID </t>
    <phoneticPr fontId="1" type="noConversion"/>
  </si>
  <si>
    <t>说明</t>
    <phoneticPr fontId="1" type="noConversion"/>
  </si>
  <si>
    <t>参数1到4分别增加力士的生命、力道、生命%、力道%</t>
    <phoneticPr fontId="1" type="noConversion"/>
  </si>
  <si>
    <t>化解概率</t>
    <phoneticPr fontId="1" type="noConversion"/>
  </si>
  <si>
    <t>基本ID</t>
    <phoneticPr fontId="1" type="noConversion"/>
  </si>
  <si>
    <t>生命上限增加15%</t>
    <phoneticPr fontId="1" type="noConversion"/>
  </si>
  <si>
    <t>力道增加15%</t>
    <phoneticPr fontId="1" type="noConversion"/>
  </si>
  <si>
    <t>天官赐福</t>
    <phoneticPr fontId="1" type="noConversion"/>
  </si>
  <si>
    <t>天官赐福状态</t>
    <phoneticPr fontId="1" type="noConversion"/>
  </si>
  <si>
    <t>碾压概率</t>
    <phoneticPr fontId="1" type="noConversion"/>
  </si>
  <si>
    <t>暴击概率</t>
    <phoneticPr fontId="1" type="noConversion"/>
  </si>
  <si>
    <t>卸力概率</t>
    <phoneticPr fontId="1" type="noConversion"/>
  </si>
  <si>
    <t>参数1是速度%加成，参数2是卸力概率加成，参数3是物防</t>
    <phoneticPr fontId="1" type="noConversion"/>
  </si>
  <si>
    <t>物防10%</t>
    <phoneticPr fontId="1" type="noConversion"/>
  </si>
  <si>
    <t>免疫物理攻击3秒,参数1是移动加速20%,参数2是离子化结束后回血15%</t>
    <phoneticPr fontId="1" type="noConversion"/>
  </si>
  <si>
    <t>挥锤打击</t>
    <phoneticPr fontId="1" type="noConversion"/>
  </si>
  <si>
    <t>血吼状态</t>
    <phoneticPr fontId="1" type="noConversion"/>
  </si>
  <si>
    <t>参数5</t>
  </si>
  <si>
    <t>Category7</t>
  </si>
  <si>
    <t>群体恢复血蓝，并刷新其他技能的冷却时间</t>
    <phoneticPr fontId="1" type="noConversion"/>
  </si>
  <si>
    <t>被动技能，损失生命或杀死敌人可以积累杀意，杀意可以抵消技能冷却时间</t>
    <phoneticPr fontId="1" type="noConversion"/>
  </si>
  <si>
    <t>增加攻击力，并且每杀死一个玩家增加3杀意，损失20%的生命加1杀意，修罗死亡则杀意清空</t>
    <phoneticPr fontId="1" type="noConversion"/>
  </si>
  <si>
    <t>参数1获得6杀意</t>
    <phoneticPr fontId="1" type="noConversion"/>
  </si>
  <si>
    <t>参数1是存储3颗魂玉，参数2指眩晕敌人1秒</t>
    <phoneticPr fontId="1" type="noConversion"/>
  </si>
  <si>
    <t>参数1表示减速30%</t>
    <phoneticPr fontId="1" type="noConversion"/>
  </si>
  <si>
    <t>参数1表示上限3剑意</t>
    <phoneticPr fontId="1" type="noConversion"/>
  </si>
  <si>
    <t>参数1表示镇压最多4秒</t>
    <phoneticPr fontId="1" type="noConversion"/>
  </si>
  <si>
    <t>0.4倍物攻</t>
    <phoneticPr fontId="1" type="noConversion"/>
  </si>
  <si>
    <t>分裂3支剑</t>
    <phoneticPr fontId="1" type="noConversion"/>
  </si>
  <si>
    <t>参数1是提升最大攻击距离</t>
    <phoneticPr fontId="1" type="noConversion"/>
  </si>
  <si>
    <t>参数1是击退距离</t>
    <phoneticPr fontId="1" type="noConversion"/>
  </si>
  <si>
    <t>技能消耗</t>
    <phoneticPr fontId="1" type="noConversion"/>
  </si>
  <si>
    <t>magic</t>
    <phoneticPr fontId="1" type="noConversion"/>
  </si>
  <si>
    <t>翻滚射击CD较短，在一场战斗中可能会用到2次，所以龙女在攻击时有机会3次用技能拉开距离，加上走位，可以最大程度的保持输出
满级支撑3分钟9次爆裂，15次翻滚</t>
    <phoneticPr fontId="1" type="noConversion"/>
  </si>
  <si>
    <t>一个1级的力士给自己留下20法力开启离子化的保命手段后，可以持续80/5=16秒的持续伤害
满级可以连续开1分钟火焰呼吸</t>
    <phoneticPr fontId="1" type="noConversion"/>
  </si>
  <si>
    <t>朝一个方向射出一支大箭，击中敌人后爆炸，对爆炸范围内造成伤害和击退（LOL酒桶玩法）</t>
    <phoneticPr fontId="1" type="noConversion"/>
  </si>
  <si>
    <t>参数1是分裂为3支箭，参数2是伤害加成</t>
    <phoneticPr fontId="1" type="noConversion"/>
  </si>
  <si>
    <t>龙威</t>
    <phoneticPr fontId="1" type="noConversion"/>
  </si>
  <si>
    <t>10级天神下凡+赐福</t>
    <phoneticPr fontId="1" type="noConversion"/>
  </si>
  <si>
    <t>20级天神下凡+赐福</t>
    <phoneticPr fontId="1" type="noConversion"/>
  </si>
  <si>
    <t>30级天神下凡+赐福</t>
    <phoneticPr fontId="1" type="noConversion"/>
  </si>
  <si>
    <t>技能ID</t>
    <phoneticPr fontId="1" type="noConversion"/>
  </si>
  <si>
    <t>编号</t>
    <phoneticPr fontId="1" type="noConversion"/>
  </si>
  <si>
    <t>基本ID</t>
    <phoneticPr fontId="1" type="noConversion"/>
  </si>
  <si>
    <t>状态1</t>
    <phoneticPr fontId="1" type="noConversion"/>
  </si>
  <si>
    <t>状态2</t>
  </si>
  <si>
    <t>状态3</t>
  </si>
  <si>
    <t>状态4</t>
  </si>
  <si>
    <t>状态5</t>
  </si>
  <si>
    <t>攻方</t>
    <phoneticPr fontId="1" type="noConversion"/>
  </si>
  <si>
    <t>守方</t>
    <phoneticPr fontId="1" type="noConversion"/>
  </si>
  <si>
    <t>碾压公式</t>
    <phoneticPr fontId="1" type="noConversion"/>
  </si>
  <si>
    <t>参数21</t>
  </si>
  <si>
    <t>参数22</t>
  </si>
  <si>
    <t>参数23</t>
  </si>
  <si>
    <t>参数24</t>
  </si>
  <si>
    <t>参数25</t>
  </si>
  <si>
    <t>参数26</t>
  </si>
  <si>
    <t>参数27</t>
  </si>
  <si>
    <t>参数28</t>
  </si>
  <si>
    <t>参数29</t>
  </si>
  <si>
    <t>参数30</t>
  </si>
  <si>
    <t>参数31</t>
  </si>
  <si>
    <t>参数32</t>
  </si>
  <si>
    <t>（（攻方力道-</t>
    <phoneticPr fontId="1" type="noConversion"/>
  </si>
  <si>
    <t>守方身法）*</t>
  </si>
  <si>
    <t>守方身法）*</t>
    <phoneticPr fontId="1" type="noConversion"/>
  </si>
  <si>
    <t>参数21+</t>
    <phoneticPr fontId="1" type="noConversion"/>
  </si>
  <si>
    <t>攻方霸道*</t>
    <phoneticPr fontId="1" type="noConversion"/>
  </si>
  <si>
    <t>参数23）/（</t>
    <phoneticPr fontId="1" type="noConversion"/>
  </si>
  <si>
    <t>参数22+</t>
    <phoneticPr fontId="1" type="noConversion"/>
  </si>
  <si>
    <t>暴击公式</t>
    <phoneticPr fontId="1" type="noConversion"/>
  </si>
  <si>
    <t>卸力公式</t>
    <phoneticPr fontId="1" type="noConversion"/>
  </si>
  <si>
    <t>化解公式</t>
    <phoneticPr fontId="1" type="noConversion"/>
  </si>
  <si>
    <t>（（攻方元气-</t>
  </si>
  <si>
    <t>参数24+</t>
  </si>
  <si>
    <t>攻方会心*</t>
  </si>
  <si>
    <t>参数26）/（</t>
  </si>
  <si>
    <t>参数25+</t>
  </si>
  <si>
    <t>参数26）</t>
    <phoneticPr fontId="1" type="noConversion"/>
  </si>
  <si>
    <t>（（守方身法-</t>
  </si>
  <si>
    <t>攻方力道）*</t>
  </si>
  <si>
    <t>参数27+</t>
  </si>
  <si>
    <t>守方卸力*</t>
  </si>
  <si>
    <t>参数29）/（</t>
  </si>
  <si>
    <t>参数28+</t>
  </si>
  <si>
    <t>参数29）</t>
    <phoneticPr fontId="1" type="noConversion"/>
  </si>
  <si>
    <t>攻方元气）*</t>
  </si>
  <si>
    <t>参数30+</t>
  </si>
  <si>
    <t>参数31+</t>
  </si>
  <si>
    <t>参数32）</t>
    <phoneticPr fontId="1" type="noConversion"/>
  </si>
  <si>
    <t>守方化解*</t>
  </si>
  <si>
    <t>参数32）/（</t>
    <phoneticPr fontId="1" type="noConversion"/>
  </si>
  <si>
    <t>守方化解*</t>
    <phoneticPr fontId="1" type="noConversion"/>
  </si>
  <si>
    <t>龙女</t>
    <phoneticPr fontId="1" type="noConversion"/>
  </si>
  <si>
    <t>实战</t>
    <phoneticPr fontId="1" type="noConversion"/>
  </si>
  <si>
    <t>基本</t>
    <phoneticPr fontId="1" type="noConversion"/>
  </si>
  <si>
    <t>参数23）</t>
    <phoneticPr fontId="1" type="noConversion"/>
  </si>
  <si>
    <t>+碾压概率</t>
    <phoneticPr fontId="1" type="noConversion"/>
  </si>
  <si>
    <t>+暴击概率</t>
    <phoneticPr fontId="1" type="noConversion"/>
  </si>
  <si>
    <t>+卸力概率</t>
    <phoneticPr fontId="1" type="noConversion"/>
  </si>
  <si>
    <t>+化解概率</t>
    <phoneticPr fontId="1" type="noConversion"/>
  </si>
  <si>
    <t>技能成长系数</t>
    <phoneticPr fontId="1" type="noConversion"/>
  </si>
  <si>
    <t>夜叉</t>
    <phoneticPr fontId="1" type="noConversion"/>
  </si>
  <si>
    <t>眩晕状态</t>
  </si>
  <si>
    <t>参数1是眩晕时间/秒</t>
    <phoneticPr fontId="1" type="noConversion"/>
  </si>
  <si>
    <t>毒刃状态</t>
  </si>
  <si>
    <t>眩晕状态</t>
    <phoneticPr fontId="1" type="noConversion"/>
  </si>
  <si>
    <t>无敌状态</t>
    <phoneticPr fontId="1" type="noConversion"/>
  </si>
  <si>
    <t>中毒等级</t>
    <phoneticPr fontId="1" type="noConversion"/>
  </si>
  <si>
    <t>伤害倍数</t>
    <phoneticPr fontId="1" type="noConversion"/>
  </si>
  <si>
    <t>损血百分比倍数</t>
    <phoneticPr fontId="1" type="noConversion"/>
  </si>
  <si>
    <t>累计伤害倍数</t>
    <phoneticPr fontId="1" type="noConversion"/>
  </si>
  <si>
    <t>参数1表示3秒CD</t>
    <phoneticPr fontId="1" type="noConversion"/>
  </si>
  <si>
    <t>夜叉</t>
    <phoneticPr fontId="1" type="noConversion"/>
  </si>
  <si>
    <t>夜叉</t>
    <phoneticPr fontId="1" type="noConversion"/>
  </si>
  <si>
    <t>夜叉</t>
    <phoneticPr fontId="1" type="noConversion"/>
  </si>
  <si>
    <t>修罗</t>
    <phoneticPr fontId="1" type="noConversion"/>
  </si>
  <si>
    <t>生命值</t>
    <phoneticPr fontId="1" type="noConversion"/>
  </si>
  <si>
    <t>杀人</t>
    <phoneticPr fontId="1" type="noConversion"/>
  </si>
  <si>
    <t>产生杀意</t>
    <phoneticPr fontId="1" type="noConversion"/>
  </si>
  <si>
    <t>消耗杀意</t>
    <phoneticPr fontId="1" type="noConversion"/>
  </si>
  <si>
    <t>次数</t>
    <phoneticPr fontId="1" type="noConversion"/>
  </si>
  <si>
    <t>召唤物存活时间也是30秒</t>
    <phoneticPr fontId="1" type="noConversion"/>
  </si>
  <si>
    <t>召唤2个近战的活尸为你作战</t>
    <phoneticPr fontId="1" type="noConversion"/>
  </si>
  <si>
    <t>召唤1个远程攻击的亡魂为你作战</t>
    <phoneticPr fontId="1" type="noConversion"/>
  </si>
  <si>
    <t>持续对一个敌人镇压，使其不能移动和攻击，并持续受到伤害，你自己也不能移动和攻击；如果镇压的是召唤物，如果用镇压将其杀死，则随机刷新一个技能的冷却时间。</t>
    <phoneticPr fontId="1" type="noConversion"/>
  </si>
  <si>
    <t>判官普攻</t>
  </si>
  <si>
    <t>参数1每杀一个人得3杀意，参数2和参数3指每损失20%生命获得2杀意</t>
    <phoneticPr fontId="1" type="noConversion"/>
  </si>
  <si>
    <t>等级</t>
    <phoneticPr fontId="1" type="noConversion"/>
  </si>
  <si>
    <t>召唤物血量</t>
    <phoneticPr fontId="1" type="noConversion"/>
  </si>
  <si>
    <t>召唤物数量</t>
    <phoneticPr fontId="1" type="noConversion"/>
  </si>
  <si>
    <t>修罗贪狼刀法</t>
    <phoneticPr fontId="1" type="noConversion"/>
  </si>
  <si>
    <t>龙女龙威普攻</t>
    <phoneticPr fontId="1" type="noConversion"/>
  </si>
  <si>
    <t>夜叉猎命</t>
    <phoneticPr fontId="1" type="noConversion"/>
  </si>
  <si>
    <t>力士火焰呼吸</t>
    <phoneticPr fontId="1" type="noConversion"/>
  </si>
  <si>
    <t>修罗系数</t>
    <phoneticPr fontId="1" type="noConversion"/>
  </si>
  <si>
    <t>60秒</t>
    <phoneticPr fontId="1" type="noConversion"/>
  </si>
  <si>
    <t>生死簿加2*2次召唤总计消耗110法力，还剩下40法力正好可以控制敌人4秒。
满级支撑3分钟</t>
    <phoneticPr fontId="1" type="noConversion"/>
  </si>
  <si>
    <t>参数1是怪物ID，参数2是召唤数量</t>
    <phoneticPr fontId="1" type="noConversion"/>
  </si>
  <si>
    <t>活尸</t>
    <phoneticPr fontId="1" type="noConversion"/>
  </si>
  <si>
    <t>亡魂</t>
    <phoneticPr fontId="1" type="noConversion"/>
  </si>
  <si>
    <t>怪物伤害</t>
    <phoneticPr fontId="1" type="noConversion"/>
  </si>
  <si>
    <t>力士生存时间</t>
    <phoneticPr fontId="1" type="noConversion"/>
  </si>
  <si>
    <t>修罗生存时间</t>
    <phoneticPr fontId="1" type="noConversion"/>
  </si>
  <si>
    <t>猎命生存时间</t>
    <phoneticPr fontId="1" type="noConversion"/>
  </si>
  <si>
    <t>龙女生存时间</t>
    <phoneticPr fontId="1" type="noConversion"/>
  </si>
  <si>
    <t>参数1是恢复生命值，参数2是恢复魔法值</t>
    <phoneticPr fontId="1" type="noConversion"/>
  </si>
  <si>
    <t>生死簿恢复</t>
    <phoneticPr fontId="1" type="noConversion"/>
  </si>
  <si>
    <t>生存时间</t>
    <phoneticPr fontId="1" type="noConversion"/>
  </si>
  <si>
    <t>技能</t>
    <phoneticPr fontId="1" type="noConversion"/>
  </si>
  <si>
    <t>等级</t>
    <phoneticPr fontId="1" type="noConversion"/>
  </si>
  <si>
    <t>100级天神下凡+赐福</t>
  </si>
  <si>
    <t>40级天神下凡+赐福</t>
    <phoneticPr fontId="1" type="noConversion"/>
  </si>
  <si>
    <t>50级天神下凡+赐福</t>
    <phoneticPr fontId="1" type="noConversion"/>
  </si>
  <si>
    <t>60级天神下凡+赐福</t>
    <phoneticPr fontId="1" type="noConversion"/>
  </si>
  <si>
    <t>70级天神下凡+赐福</t>
    <phoneticPr fontId="1" type="noConversion"/>
  </si>
  <si>
    <t>80级天神下凡+赐福</t>
    <phoneticPr fontId="1" type="noConversion"/>
  </si>
  <si>
    <t>90级天神下凡+赐福</t>
    <phoneticPr fontId="1" type="noConversion"/>
  </si>
  <si>
    <t>等级</t>
    <phoneticPr fontId="1" type="noConversion"/>
  </si>
  <si>
    <t>火焰呼吸消耗</t>
    <phoneticPr fontId="1" type="noConversion"/>
  </si>
  <si>
    <t>坚持时间</t>
    <phoneticPr fontId="1" type="noConversion"/>
  </si>
  <si>
    <t>普攻修正系数</t>
    <phoneticPr fontId="1" type="noConversion"/>
  </si>
  <si>
    <t>火焰呼吸修正系数</t>
    <phoneticPr fontId="1" type="noConversion"/>
  </si>
  <si>
    <t>龙威普攻修正系数</t>
    <phoneticPr fontId="1" type="noConversion"/>
  </si>
  <si>
    <t>位移</t>
    <phoneticPr fontId="1" type="noConversion"/>
  </si>
  <si>
    <t>夜叉普攻修正系数</t>
    <phoneticPr fontId="1" type="noConversion"/>
  </si>
  <si>
    <t>中毒修正系数</t>
    <phoneticPr fontId="1" type="noConversion"/>
  </si>
  <si>
    <t>位移</t>
    <phoneticPr fontId="1" type="noConversion"/>
  </si>
  <si>
    <t>中毒状态持续6秒后消失，中毒状态叠加后刷新CD时间</t>
    <phoneticPr fontId="1" type="noConversion"/>
  </si>
  <si>
    <t>参数1是中毒伤害/秒，参数2是中毒后每秒损失的生命百分比,参数3是中毒状态不刷新时持续的时间</t>
    <phoneticPr fontId="1" type="noConversion"/>
  </si>
  <si>
    <t>脱战后总伤害倍数</t>
    <phoneticPr fontId="1" type="noConversion"/>
  </si>
  <si>
    <t>龙威普攻修正系数</t>
    <phoneticPr fontId="1" type="noConversion"/>
  </si>
  <si>
    <t>攻击修正系数</t>
    <phoneticPr fontId="1" type="noConversion"/>
  </si>
  <si>
    <t>眩晕1.5秒</t>
    <phoneticPr fontId="1" type="noConversion"/>
  </si>
  <si>
    <t>击飞2秒</t>
    <phoneticPr fontId="1" type="noConversion"/>
  </si>
  <si>
    <t>大招+掉血可以获得11杀意，即额外打出1次血吼和3次贪狼，或连着放5次血吼用于移动；5人团战未结束时最高可获得12杀意，总共23杀意，可以打出1次血吼和7次贪狼。</t>
    <phoneticPr fontId="1" type="noConversion"/>
  </si>
  <si>
    <t>击飞和眩晕</t>
    <phoneticPr fontId="1" type="noConversion"/>
  </si>
  <si>
    <t>修罗</t>
    <phoneticPr fontId="1" type="noConversion"/>
  </si>
  <si>
    <t>修罗普攻修正系数</t>
    <phoneticPr fontId="1" type="noConversion"/>
  </si>
  <si>
    <t>力士普攻修正系数</t>
    <phoneticPr fontId="1" type="noConversion"/>
  </si>
  <si>
    <t>力士</t>
    <phoneticPr fontId="1" type="noConversion"/>
  </si>
  <si>
    <t>龙女</t>
    <phoneticPr fontId="1" type="noConversion"/>
  </si>
  <si>
    <t>修罗修正系数</t>
    <phoneticPr fontId="1" type="noConversion"/>
  </si>
  <si>
    <t>位移</t>
    <phoneticPr fontId="1" type="noConversion"/>
  </si>
  <si>
    <t>3个猎命抵消龙女的位移</t>
    <phoneticPr fontId="1" type="noConversion"/>
  </si>
  <si>
    <t>职业</t>
    <phoneticPr fontId="1" type="noConversion"/>
  </si>
  <si>
    <t>说明</t>
    <phoneticPr fontId="1" type="noConversion"/>
  </si>
  <si>
    <t>AOE输出，总输出高但单体输出一般，单挑可以杀死龙女，积累3人头可以单挑杀死力士，克制判官</t>
    <phoneticPr fontId="1" type="noConversion"/>
  </si>
  <si>
    <t>最强肉盾，输出一般</t>
    <phoneticPr fontId="1" type="noConversion"/>
  </si>
  <si>
    <t>最高单体输出，可以和力士持平，弱于修罗和夜叉，可以快速消耗判官的召唤物但正面打不过判官</t>
    <phoneticPr fontId="1" type="noConversion"/>
  </si>
  <si>
    <t>群体攻击，略强于力士，强于龙女和夜叉，被修罗克制</t>
    <phoneticPr fontId="1" type="noConversion"/>
  </si>
  <si>
    <t>有突进技能，克制龙女，靠中毒和力士，修罗持平</t>
    <phoneticPr fontId="1" type="noConversion"/>
  </si>
  <si>
    <t>击退可以射2箭的距离</t>
    <phoneticPr fontId="1" type="noConversion"/>
  </si>
  <si>
    <t>拉开可以射1箭的距离</t>
    <phoneticPr fontId="1" type="noConversion"/>
  </si>
  <si>
    <t>位移：龙女翻滚或爆裂箭造成1秒的位移时间</t>
    <phoneticPr fontId="1" type="noConversion"/>
  </si>
  <si>
    <t>1个血吼抵消一个爆裂箭，1个血吼开始用掉</t>
    <phoneticPr fontId="1" type="noConversion"/>
  </si>
  <si>
    <t>修罗攻击修正系数</t>
    <phoneticPr fontId="1" type="noConversion"/>
  </si>
  <si>
    <t>亡魂属性</t>
    <phoneticPr fontId="1" type="noConversion"/>
  </si>
  <si>
    <t>活尸属性</t>
    <phoneticPr fontId="1" type="noConversion"/>
  </si>
  <si>
    <t>力士攻击修正系数</t>
    <phoneticPr fontId="1" type="noConversion"/>
  </si>
  <si>
    <t>法师攻击修正系数</t>
    <phoneticPr fontId="1" type="noConversion"/>
  </si>
  <si>
    <t>活尸攻击修正系数</t>
    <phoneticPr fontId="1" type="noConversion"/>
  </si>
  <si>
    <t>镇压</t>
    <phoneticPr fontId="1" type="noConversion"/>
  </si>
  <si>
    <t>90秒</t>
    <phoneticPr fontId="1" type="noConversion"/>
  </si>
  <si>
    <t>生死簿加招魂赶尸技能共用4秒，给定判官接战后4秒就招出第二批怪，那么如果战斗时间大于生存时间+4秒，意味着所有怪物都是在生存时间内打完所有输出</t>
    <phoneticPr fontId="1" type="noConversion"/>
  </si>
  <si>
    <t>镇压</t>
    <phoneticPr fontId="1" type="noConversion"/>
  </si>
  <si>
    <t>修罗普攻</t>
    <phoneticPr fontId="1" type="noConversion"/>
  </si>
  <si>
    <t>判官</t>
    <phoneticPr fontId="1" type="noConversion"/>
  </si>
  <si>
    <t>镇压</t>
    <phoneticPr fontId="1" type="noConversion"/>
  </si>
  <si>
    <t>判官</t>
    <phoneticPr fontId="1" type="noConversion"/>
  </si>
  <si>
    <t>平均DPS</t>
    <phoneticPr fontId="1" type="noConversion"/>
  </si>
  <si>
    <t>生死簿发动时间</t>
    <phoneticPr fontId="1" type="noConversion"/>
  </si>
  <si>
    <t>召唤延迟时间</t>
  </si>
  <si>
    <t>龙女</t>
    <phoneticPr fontId="1" type="noConversion"/>
  </si>
  <si>
    <t>龙女攻击修正系数</t>
    <phoneticPr fontId="1" type="noConversion"/>
  </si>
  <si>
    <t>判官攻击修正系数</t>
    <phoneticPr fontId="1" type="noConversion"/>
  </si>
  <si>
    <t>夜叉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</si>
</sst>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 applyAlignment="1"/>
    <xf numFmtId="0" fontId="0" fillId="0" borderId="0" xfId="0" applyAlignment="1"/>
    <xf numFmtId="0" fontId="0" fillId="0" borderId="0" xfId="0" applyFont="1" applyAlignment="1"/>
    <xf numFmtId="176" fontId="0" fillId="0" borderId="0" xfId="0" applyNumberFormat="1" applyAlignment="1">
      <alignment vertical="center"/>
    </xf>
    <xf numFmtId="0" fontId="0" fillId="0" borderId="0" xfId="0" quotePrefix="1"/>
    <xf numFmtId="0" fontId="2" fillId="2" borderId="0" xfId="1" applyAlignment="1"/>
    <xf numFmtId="0" fontId="3" fillId="3" borderId="0" xfId="2" applyAlignment="1"/>
    <xf numFmtId="0" fontId="0" fillId="0" borderId="0" xfId="0" applyAlignment="1">
      <alignment horizontal="center" wrapText="1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646;&#24615;&#21407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"/>
      <sheetName val="属性设计"/>
      <sheetName val="特殊效果"/>
      <sheetName val="公式"/>
      <sheetName val="参数表"/>
      <sheetName val="属性分配1"/>
      <sheetName val="属性分配2"/>
      <sheetName val="属性分配3"/>
    </sheetNames>
    <sheetDataSet>
      <sheetData sheetId="0">
        <row r="4">
          <cell r="A4" t="str">
            <v>亡魂+buff</v>
          </cell>
        </row>
        <row r="5">
          <cell r="A5" t="str">
            <v>ID</v>
          </cell>
          <cell r="B5" t="str">
            <v>力道</v>
          </cell>
          <cell r="C5" t="str">
            <v>身法</v>
          </cell>
          <cell r="D5" t="str">
            <v>元气</v>
          </cell>
          <cell r="E5" t="str">
            <v>生命值</v>
          </cell>
          <cell r="F5" t="str">
            <v>物理攻击</v>
          </cell>
          <cell r="G5" t="str">
            <v>魔法攻击</v>
          </cell>
          <cell r="H5" t="str">
            <v>物理防御</v>
          </cell>
          <cell r="I5" t="str">
            <v>魔法防御</v>
          </cell>
        </row>
        <row r="6">
          <cell r="A6">
            <v>101</v>
          </cell>
          <cell r="B6">
            <v>0</v>
          </cell>
          <cell r="C6">
            <v>0</v>
          </cell>
          <cell r="D6">
            <v>0</v>
          </cell>
          <cell r="E6">
            <v>1827</v>
          </cell>
          <cell r="F6">
            <v>0</v>
          </cell>
          <cell r="G6">
            <v>150</v>
          </cell>
          <cell r="H6">
            <v>0</v>
          </cell>
          <cell r="I6">
            <v>0</v>
          </cell>
        </row>
        <row r="7">
          <cell r="A7">
            <v>102</v>
          </cell>
          <cell r="B7">
            <v>0</v>
          </cell>
          <cell r="C7">
            <v>0</v>
          </cell>
          <cell r="D7">
            <v>0</v>
          </cell>
          <cell r="E7">
            <v>4788</v>
          </cell>
          <cell r="F7">
            <v>0</v>
          </cell>
          <cell r="G7">
            <v>364</v>
          </cell>
          <cell r="H7">
            <v>0</v>
          </cell>
          <cell r="I7">
            <v>0</v>
          </cell>
        </row>
        <row r="8">
          <cell r="A8">
            <v>103</v>
          </cell>
          <cell r="B8">
            <v>0</v>
          </cell>
          <cell r="C8">
            <v>0</v>
          </cell>
          <cell r="D8">
            <v>0</v>
          </cell>
          <cell r="E8">
            <v>9459</v>
          </cell>
          <cell r="F8">
            <v>0</v>
          </cell>
          <cell r="G8">
            <v>641</v>
          </cell>
          <cell r="H8">
            <v>0</v>
          </cell>
          <cell r="I8">
            <v>0</v>
          </cell>
        </row>
        <row r="9">
          <cell r="A9">
            <v>104</v>
          </cell>
          <cell r="B9">
            <v>0</v>
          </cell>
          <cell r="C9">
            <v>0</v>
          </cell>
          <cell r="D9">
            <v>0</v>
          </cell>
          <cell r="E9">
            <v>15747</v>
          </cell>
          <cell r="F9">
            <v>0</v>
          </cell>
          <cell r="G9">
            <v>1050</v>
          </cell>
          <cell r="H9">
            <v>0</v>
          </cell>
          <cell r="I9">
            <v>0</v>
          </cell>
        </row>
        <row r="10">
          <cell r="A10">
            <v>105</v>
          </cell>
          <cell r="B10">
            <v>0</v>
          </cell>
          <cell r="C10">
            <v>0</v>
          </cell>
          <cell r="D10">
            <v>0</v>
          </cell>
          <cell r="E10">
            <v>22629</v>
          </cell>
          <cell r="F10">
            <v>0</v>
          </cell>
          <cell r="G10">
            <v>1357</v>
          </cell>
          <cell r="H10">
            <v>0</v>
          </cell>
          <cell r="I10">
            <v>0</v>
          </cell>
        </row>
        <row r="11">
          <cell r="A11">
            <v>106</v>
          </cell>
          <cell r="B11">
            <v>0</v>
          </cell>
          <cell r="C11">
            <v>0</v>
          </cell>
          <cell r="D11">
            <v>0</v>
          </cell>
          <cell r="E11">
            <v>31059</v>
          </cell>
          <cell r="F11">
            <v>0</v>
          </cell>
          <cell r="G11">
            <v>1866</v>
          </cell>
          <cell r="H11">
            <v>0</v>
          </cell>
          <cell r="I11">
            <v>0</v>
          </cell>
        </row>
        <row r="12">
          <cell r="A12">
            <v>107</v>
          </cell>
          <cell r="B12">
            <v>0</v>
          </cell>
          <cell r="C12">
            <v>0</v>
          </cell>
          <cell r="D12">
            <v>0</v>
          </cell>
          <cell r="E12">
            <v>40524</v>
          </cell>
          <cell r="F12">
            <v>0</v>
          </cell>
          <cell r="G12">
            <v>2492</v>
          </cell>
          <cell r="H12">
            <v>0</v>
          </cell>
          <cell r="I12">
            <v>0</v>
          </cell>
        </row>
        <row r="13">
          <cell r="A13">
            <v>108</v>
          </cell>
          <cell r="B13">
            <v>0</v>
          </cell>
          <cell r="C13">
            <v>0</v>
          </cell>
          <cell r="D13">
            <v>0</v>
          </cell>
          <cell r="E13">
            <v>49452</v>
          </cell>
          <cell r="F13">
            <v>0</v>
          </cell>
          <cell r="G13">
            <v>3116</v>
          </cell>
          <cell r="H13">
            <v>0</v>
          </cell>
          <cell r="I13">
            <v>0</v>
          </cell>
        </row>
        <row r="14">
          <cell r="A14">
            <v>109</v>
          </cell>
          <cell r="B14">
            <v>0</v>
          </cell>
          <cell r="C14">
            <v>0</v>
          </cell>
          <cell r="D14">
            <v>0</v>
          </cell>
          <cell r="E14">
            <v>61914</v>
          </cell>
          <cell r="F14">
            <v>0</v>
          </cell>
          <cell r="G14">
            <v>3850</v>
          </cell>
          <cell r="H14">
            <v>0</v>
          </cell>
          <cell r="I14">
            <v>0</v>
          </cell>
        </row>
        <row r="15">
          <cell r="A15">
            <v>110</v>
          </cell>
          <cell r="B15">
            <v>0</v>
          </cell>
          <cell r="C15">
            <v>0</v>
          </cell>
          <cell r="D15">
            <v>0</v>
          </cell>
          <cell r="E15">
            <v>77217</v>
          </cell>
          <cell r="F15">
            <v>0</v>
          </cell>
          <cell r="G15">
            <v>4646</v>
          </cell>
          <cell r="H15">
            <v>0</v>
          </cell>
          <cell r="I15">
            <v>0</v>
          </cell>
        </row>
        <row r="19">
          <cell r="A19" t="str">
            <v>活尸+buff</v>
          </cell>
        </row>
        <row r="20">
          <cell r="A20" t="str">
            <v>级别</v>
          </cell>
          <cell r="B20" t="str">
            <v>力道</v>
          </cell>
          <cell r="C20" t="str">
            <v>身法</v>
          </cell>
          <cell r="D20" t="str">
            <v>元气</v>
          </cell>
          <cell r="E20" t="str">
            <v>生命值</v>
          </cell>
          <cell r="F20" t="str">
            <v>物理攻击</v>
          </cell>
          <cell r="G20" t="str">
            <v>魔法攻击</v>
          </cell>
          <cell r="H20" t="str">
            <v>物理防御</v>
          </cell>
          <cell r="I20" t="str">
            <v>魔法防御</v>
          </cell>
        </row>
        <row r="21">
          <cell r="A21">
            <v>201</v>
          </cell>
          <cell r="B21">
            <v>0</v>
          </cell>
          <cell r="C21">
            <v>0</v>
          </cell>
          <cell r="D21">
            <v>0</v>
          </cell>
          <cell r="E21">
            <v>1827</v>
          </cell>
          <cell r="F21">
            <v>100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202</v>
          </cell>
          <cell r="B22">
            <v>0</v>
          </cell>
          <cell r="C22">
            <v>0</v>
          </cell>
          <cell r="D22">
            <v>0</v>
          </cell>
          <cell r="E22">
            <v>4788</v>
          </cell>
          <cell r="F22">
            <v>304</v>
          </cell>
          <cell r="G22">
            <v>0</v>
          </cell>
          <cell r="H22">
            <v>0</v>
          </cell>
          <cell r="I22">
            <v>0</v>
          </cell>
        </row>
        <row r="23">
          <cell r="A23">
            <v>203</v>
          </cell>
          <cell r="B23">
            <v>0</v>
          </cell>
          <cell r="C23">
            <v>0</v>
          </cell>
          <cell r="D23">
            <v>0</v>
          </cell>
          <cell r="E23">
            <v>9459</v>
          </cell>
          <cell r="F23">
            <v>521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204</v>
          </cell>
          <cell r="B24">
            <v>0</v>
          </cell>
          <cell r="C24">
            <v>0</v>
          </cell>
          <cell r="D24">
            <v>0</v>
          </cell>
          <cell r="E24">
            <v>15747</v>
          </cell>
          <cell r="F24">
            <v>900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205</v>
          </cell>
          <cell r="B25">
            <v>0</v>
          </cell>
          <cell r="C25">
            <v>0</v>
          </cell>
          <cell r="D25">
            <v>0</v>
          </cell>
          <cell r="E25">
            <v>22629</v>
          </cell>
          <cell r="F25">
            <v>1257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206</v>
          </cell>
          <cell r="B26">
            <v>0</v>
          </cell>
          <cell r="C26">
            <v>0</v>
          </cell>
          <cell r="D26">
            <v>0</v>
          </cell>
          <cell r="E26">
            <v>31059</v>
          </cell>
          <cell r="F26">
            <v>1766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207</v>
          </cell>
          <cell r="B27">
            <v>0</v>
          </cell>
          <cell r="C27">
            <v>0</v>
          </cell>
          <cell r="D27">
            <v>0</v>
          </cell>
          <cell r="E27">
            <v>40524</v>
          </cell>
          <cell r="F27">
            <v>2392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208</v>
          </cell>
          <cell r="B28">
            <v>0</v>
          </cell>
          <cell r="C28">
            <v>0</v>
          </cell>
          <cell r="D28">
            <v>0</v>
          </cell>
          <cell r="E28">
            <v>49452</v>
          </cell>
          <cell r="F28">
            <v>2816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209</v>
          </cell>
          <cell r="B29">
            <v>0</v>
          </cell>
          <cell r="C29">
            <v>0</v>
          </cell>
          <cell r="D29">
            <v>0</v>
          </cell>
          <cell r="E29">
            <v>61914</v>
          </cell>
          <cell r="F29">
            <v>3550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210</v>
          </cell>
          <cell r="B30">
            <v>0</v>
          </cell>
          <cell r="C30">
            <v>0</v>
          </cell>
          <cell r="D30">
            <v>0</v>
          </cell>
          <cell r="E30">
            <v>77217</v>
          </cell>
          <cell r="F30">
            <v>4346</v>
          </cell>
          <cell r="G30">
            <v>0</v>
          </cell>
          <cell r="H30">
            <v>0</v>
          </cell>
          <cell r="I30">
            <v>0</v>
          </cell>
        </row>
      </sheetData>
      <sheetData sheetId="1">
        <row r="23">
          <cell r="L23">
            <v>0.03</v>
          </cell>
          <cell r="M23" t="str">
            <v>碾压值参数</v>
          </cell>
        </row>
        <row r="24">
          <cell r="A24">
            <v>1</v>
          </cell>
          <cell r="C24">
            <v>20</v>
          </cell>
          <cell r="L24">
            <v>500</v>
          </cell>
          <cell r="M24" t="str">
            <v>碾压值参数</v>
          </cell>
        </row>
        <row r="25">
          <cell r="A25">
            <v>10</v>
          </cell>
          <cell r="C25">
            <v>68</v>
          </cell>
          <cell r="L25">
            <v>5</v>
          </cell>
          <cell r="M25" t="str">
            <v>碾压值参数</v>
          </cell>
        </row>
        <row r="26">
          <cell r="A26">
            <v>20</v>
          </cell>
          <cell r="C26">
            <v>178</v>
          </cell>
          <cell r="L26">
            <v>0.05</v>
          </cell>
          <cell r="M26" t="str">
            <v>暴击值参数</v>
          </cell>
        </row>
        <row r="27">
          <cell r="A27">
            <v>30</v>
          </cell>
          <cell r="C27">
            <v>348</v>
          </cell>
          <cell r="L27">
            <v>500</v>
          </cell>
          <cell r="M27" t="str">
            <v>暴击值参数</v>
          </cell>
        </row>
        <row r="28">
          <cell r="A28">
            <v>40</v>
          </cell>
          <cell r="C28">
            <v>578</v>
          </cell>
          <cell r="L28">
            <v>8</v>
          </cell>
          <cell r="M28" t="str">
            <v>暴击值参数</v>
          </cell>
        </row>
        <row r="29">
          <cell r="A29">
            <v>50</v>
          </cell>
          <cell r="C29">
            <v>868</v>
          </cell>
          <cell r="L29">
            <v>0.05</v>
          </cell>
          <cell r="M29" t="str">
            <v>卸力值参数</v>
          </cell>
        </row>
        <row r="30">
          <cell r="A30">
            <v>60</v>
          </cell>
          <cell r="C30">
            <v>1218</v>
          </cell>
          <cell r="G30" t="str">
            <v>参数11</v>
          </cell>
          <cell r="H30">
            <v>0.5</v>
          </cell>
          <cell r="I30" t="str">
            <v>战斗防御系数</v>
          </cell>
          <cell r="L30">
            <v>500</v>
          </cell>
          <cell r="M30" t="str">
            <v>卸力值参数</v>
          </cell>
        </row>
        <row r="31">
          <cell r="A31">
            <v>70</v>
          </cell>
          <cell r="C31">
            <v>1628</v>
          </cell>
          <cell r="L31">
            <v>6</v>
          </cell>
          <cell r="M31" t="str">
            <v>卸力值参数</v>
          </cell>
        </row>
        <row r="32">
          <cell r="A32">
            <v>80</v>
          </cell>
          <cell r="C32">
            <v>2098</v>
          </cell>
          <cell r="L32">
            <v>0.05</v>
          </cell>
          <cell r="M32" t="str">
            <v>化解值参数</v>
          </cell>
        </row>
        <row r="33">
          <cell r="A33">
            <v>90</v>
          </cell>
          <cell r="C33">
            <v>2628</v>
          </cell>
          <cell r="L33">
            <v>500</v>
          </cell>
          <cell r="M33" t="str">
            <v>化解值参数</v>
          </cell>
        </row>
        <row r="34">
          <cell r="A34">
            <v>100</v>
          </cell>
          <cell r="C34">
            <v>3218</v>
          </cell>
          <cell r="L34">
            <v>6</v>
          </cell>
          <cell r="M34" t="str">
            <v>化解值参数</v>
          </cell>
        </row>
        <row r="39">
          <cell r="A39" t="str">
            <v>级别</v>
          </cell>
          <cell r="B39" t="str">
            <v>力道</v>
          </cell>
          <cell r="C39" t="str">
            <v>身法</v>
          </cell>
          <cell r="D39" t="str">
            <v>元气</v>
          </cell>
          <cell r="J39" t="str">
            <v>生命值</v>
          </cell>
          <cell r="K39" t="str">
            <v>物理攻击</v>
          </cell>
          <cell r="L39" t="str">
            <v>魔法攻击</v>
          </cell>
          <cell r="M39" t="str">
            <v>物理防御</v>
          </cell>
          <cell r="N39" t="str">
            <v>魔法防御</v>
          </cell>
          <cell r="T39" t="str">
            <v>霸道</v>
          </cell>
          <cell r="U39" t="str">
            <v>会心</v>
          </cell>
          <cell r="V39" t="str">
            <v>卸力</v>
          </cell>
          <cell r="W39" t="str">
            <v>化解</v>
          </cell>
          <cell r="X39" t="str">
            <v>法力</v>
          </cell>
        </row>
        <row r="40">
          <cell r="A40">
            <v>1</v>
          </cell>
          <cell r="B40">
            <v>13</v>
          </cell>
          <cell r="C40">
            <v>6</v>
          </cell>
          <cell r="D40">
            <v>6</v>
          </cell>
          <cell r="J40">
            <v>720</v>
          </cell>
          <cell r="K40">
            <v>40</v>
          </cell>
          <cell r="L40">
            <v>30</v>
          </cell>
          <cell r="M40">
            <v>35</v>
          </cell>
          <cell r="N40">
            <v>35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100</v>
          </cell>
        </row>
        <row r="41">
          <cell r="A41">
            <v>10</v>
          </cell>
          <cell r="B41">
            <v>75</v>
          </cell>
          <cell r="C41">
            <v>34</v>
          </cell>
          <cell r="D41">
            <v>34</v>
          </cell>
          <cell r="J41">
            <v>4176</v>
          </cell>
          <cell r="K41">
            <v>136</v>
          </cell>
          <cell r="L41">
            <v>102</v>
          </cell>
          <cell r="M41">
            <v>120</v>
          </cell>
          <cell r="N41">
            <v>120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173</v>
          </cell>
        </row>
        <row r="42">
          <cell r="A42">
            <v>20</v>
          </cell>
          <cell r="B42">
            <v>227</v>
          </cell>
          <cell r="C42">
            <v>104</v>
          </cell>
          <cell r="D42">
            <v>104</v>
          </cell>
          <cell r="J42">
            <v>12528</v>
          </cell>
          <cell r="K42">
            <v>356</v>
          </cell>
          <cell r="L42">
            <v>347</v>
          </cell>
          <cell r="M42">
            <v>316</v>
          </cell>
          <cell r="N42">
            <v>316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254</v>
          </cell>
        </row>
        <row r="43">
          <cell r="A43">
            <v>30</v>
          </cell>
          <cell r="B43">
            <v>465</v>
          </cell>
          <cell r="C43">
            <v>214</v>
          </cell>
          <cell r="D43">
            <v>214</v>
          </cell>
          <cell r="J43">
            <v>25776</v>
          </cell>
          <cell r="K43">
            <v>696</v>
          </cell>
          <cell r="L43">
            <v>678</v>
          </cell>
          <cell r="M43">
            <v>620</v>
          </cell>
          <cell r="N43">
            <v>620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334</v>
          </cell>
        </row>
        <row r="44">
          <cell r="A44">
            <v>40</v>
          </cell>
          <cell r="B44">
            <v>790</v>
          </cell>
          <cell r="C44">
            <v>364</v>
          </cell>
          <cell r="D44">
            <v>364</v>
          </cell>
          <cell r="J44">
            <v>43776</v>
          </cell>
          <cell r="K44">
            <v>1156</v>
          </cell>
          <cell r="L44">
            <v>1127</v>
          </cell>
          <cell r="M44">
            <v>1029</v>
          </cell>
          <cell r="N44">
            <v>1029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415</v>
          </cell>
        </row>
        <row r="45">
          <cell r="A45">
            <v>50</v>
          </cell>
          <cell r="B45">
            <v>1202</v>
          </cell>
          <cell r="C45">
            <v>554</v>
          </cell>
          <cell r="D45">
            <v>554</v>
          </cell>
          <cell r="J45">
            <v>66528</v>
          </cell>
          <cell r="K45">
            <v>1736</v>
          </cell>
          <cell r="L45">
            <v>1692</v>
          </cell>
          <cell r="M45">
            <v>1546</v>
          </cell>
          <cell r="N45">
            <v>1546</v>
          </cell>
          <cell r="T45">
            <v>5</v>
          </cell>
          <cell r="U45">
            <v>0</v>
          </cell>
          <cell r="V45">
            <v>0</v>
          </cell>
          <cell r="W45">
            <v>0</v>
          </cell>
          <cell r="X45">
            <v>496</v>
          </cell>
        </row>
        <row r="46">
          <cell r="A46">
            <v>60</v>
          </cell>
          <cell r="B46">
            <v>1700</v>
          </cell>
          <cell r="C46">
            <v>784</v>
          </cell>
          <cell r="D46">
            <v>784</v>
          </cell>
          <cell r="J46">
            <v>94176</v>
          </cell>
          <cell r="K46">
            <v>2436</v>
          </cell>
          <cell r="L46">
            <v>2192</v>
          </cell>
          <cell r="M46">
            <v>2169</v>
          </cell>
          <cell r="N46">
            <v>2169</v>
          </cell>
          <cell r="T46">
            <v>8</v>
          </cell>
          <cell r="U46">
            <v>0</v>
          </cell>
          <cell r="V46">
            <v>0</v>
          </cell>
          <cell r="W46">
            <v>0</v>
          </cell>
          <cell r="X46">
            <v>577</v>
          </cell>
        </row>
        <row r="47">
          <cell r="A47">
            <v>70</v>
          </cell>
          <cell r="B47">
            <v>2285</v>
          </cell>
          <cell r="C47">
            <v>1054</v>
          </cell>
          <cell r="D47">
            <v>1024</v>
          </cell>
          <cell r="J47">
            <v>126576</v>
          </cell>
          <cell r="K47">
            <v>3256</v>
          </cell>
          <cell r="L47">
            <v>2686</v>
          </cell>
          <cell r="M47">
            <v>2900</v>
          </cell>
          <cell r="N47">
            <v>2900</v>
          </cell>
          <cell r="T47">
            <v>12</v>
          </cell>
          <cell r="U47">
            <v>0</v>
          </cell>
          <cell r="V47">
            <v>0</v>
          </cell>
          <cell r="W47">
            <v>0</v>
          </cell>
          <cell r="X47">
            <v>658</v>
          </cell>
        </row>
        <row r="48">
          <cell r="A48">
            <v>80</v>
          </cell>
          <cell r="B48">
            <v>2957</v>
          </cell>
          <cell r="C48">
            <v>1364</v>
          </cell>
          <cell r="D48">
            <v>1364</v>
          </cell>
          <cell r="J48">
            <v>163728</v>
          </cell>
          <cell r="K48">
            <v>4196</v>
          </cell>
          <cell r="L48">
            <v>3272</v>
          </cell>
          <cell r="M48">
            <v>3738</v>
          </cell>
          <cell r="N48">
            <v>3738</v>
          </cell>
          <cell r="T48">
            <v>17</v>
          </cell>
          <cell r="U48">
            <v>0</v>
          </cell>
          <cell r="V48">
            <v>0</v>
          </cell>
          <cell r="W48">
            <v>0</v>
          </cell>
          <cell r="X48">
            <v>738</v>
          </cell>
        </row>
        <row r="49">
          <cell r="A49">
            <v>90</v>
          </cell>
          <cell r="B49">
            <v>3715</v>
          </cell>
          <cell r="C49">
            <v>1714</v>
          </cell>
          <cell r="D49">
            <v>1714</v>
          </cell>
          <cell r="J49">
            <v>205776</v>
          </cell>
          <cell r="K49">
            <v>5256</v>
          </cell>
          <cell r="L49">
            <v>3942</v>
          </cell>
          <cell r="M49">
            <v>4682</v>
          </cell>
          <cell r="N49">
            <v>4682</v>
          </cell>
          <cell r="T49">
            <v>25</v>
          </cell>
          <cell r="U49">
            <v>0</v>
          </cell>
          <cell r="V49">
            <v>0</v>
          </cell>
          <cell r="W49">
            <v>0</v>
          </cell>
          <cell r="X49">
            <v>819</v>
          </cell>
        </row>
        <row r="50">
          <cell r="A50">
            <v>100</v>
          </cell>
          <cell r="B50">
            <v>4560</v>
          </cell>
          <cell r="C50">
            <v>2104</v>
          </cell>
          <cell r="D50">
            <v>2104</v>
          </cell>
          <cell r="J50">
            <v>252576</v>
          </cell>
          <cell r="K50">
            <v>6436</v>
          </cell>
          <cell r="L50">
            <v>4827</v>
          </cell>
          <cell r="M50">
            <v>5733</v>
          </cell>
          <cell r="N50">
            <v>5733</v>
          </cell>
          <cell r="T50">
            <v>33</v>
          </cell>
          <cell r="U50">
            <v>0</v>
          </cell>
          <cell r="V50">
            <v>0</v>
          </cell>
          <cell r="W50">
            <v>0</v>
          </cell>
          <cell r="X50">
            <v>900</v>
          </cell>
        </row>
        <row r="56">
          <cell r="A56">
            <v>1</v>
          </cell>
          <cell r="B56">
            <v>10</v>
          </cell>
          <cell r="C56">
            <v>9</v>
          </cell>
          <cell r="D56">
            <v>6</v>
          </cell>
          <cell r="J56">
            <v>600</v>
          </cell>
          <cell r="K56">
            <v>52</v>
          </cell>
          <cell r="L56">
            <v>0</v>
          </cell>
          <cell r="M56">
            <v>39</v>
          </cell>
          <cell r="N56">
            <v>35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10</v>
          </cell>
          <cell r="B57">
            <v>58</v>
          </cell>
          <cell r="C57">
            <v>52</v>
          </cell>
          <cell r="D57">
            <v>34</v>
          </cell>
          <cell r="J57">
            <v>3480</v>
          </cell>
          <cell r="K57">
            <v>207</v>
          </cell>
          <cell r="L57">
            <v>0</v>
          </cell>
          <cell r="M57">
            <v>134</v>
          </cell>
          <cell r="N57">
            <v>120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20</v>
          </cell>
          <cell r="B58">
            <v>174</v>
          </cell>
          <cell r="C58">
            <v>157</v>
          </cell>
          <cell r="D58">
            <v>104</v>
          </cell>
          <cell r="J58">
            <v>10440</v>
          </cell>
          <cell r="K58">
            <v>555</v>
          </cell>
          <cell r="L58">
            <v>0</v>
          </cell>
          <cell r="M58">
            <v>352</v>
          </cell>
          <cell r="N58">
            <v>316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30</v>
          </cell>
          <cell r="B59">
            <v>358</v>
          </cell>
          <cell r="C59">
            <v>322</v>
          </cell>
          <cell r="D59">
            <v>214</v>
          </cell>
          <cell r="J59">
            <v>21480</v>
          </cell>
          <cell r="K59">
            <v>1085</v>
          </cell>
          <cell r="L59">
            <v>0</v>
          </cell>
          <cell r="M59">
            <v>689</v>
          </cell>
          <cell r="N59">
            <v>620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40</v>
          </cell>
          <cell r="B60">
            <v>608</v>
          </cell>
          <cell r="C60">
            <v>547</v>
          </cell>
          <cell r="D60">
            <v>364</v>
          </cell>
          <cell r="J60">
            <v>36480</v>
          </cell>
          <cell r="K60">
            <v>1775</v>
          </cell>
          <cell r="L60">
            <v>0</v>
          </cell>
          <cell r="M60">
            <v>1144</v>
          </cell>
          <cell r="N60">
            <v>1029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50</v>
          </cell>
          <cell r="B61">
            <v>924</v>
          </cell>
          <cell r="C61">
            <v>832</v>
          </cell>
          <cell r="D61">
            <v>554</v>
          </cell>
          <cell r="J61">
            <v>55440</v>
          </cell>
          <cell r="K61">
            <v>2499</v>
          </cell>
          <cell r="L61">
            <v>0</v>
          </cell>
          <cell r="M61">
            <v>1718</v>
          </cell>
          <cell r="N61">
            <v>1546</v>
          </cell>
          <cell r="T61">
            <v>8</v>
          </cell>
          <cell r="U61">
            <v>5</v>
          </cell>
          <cell r="V61">
            <v>0</v>
          </cell>
          <cell r="W61">
            <v>0</v>
          </cell>
        </row>
        <row r="62">
          <cell r="A62">
            <v>60</v>
          </cell>
          <cell r="B62">
            <v>1308</v>
          </cell>
          <cell r="C62">
            <v>1177</v>
          </cell>
          <cell r="D62">
            <v>784</v>
          </cell>
          <cell r="J62">
            <v>78480</v>
          </cell>
          <cell r="K62">
            <v>3361</v>
          </cell>
          <cell r="L62">
            <v>0</v>
          </cell>
          <cell r="M62">
            <v>2411</v>
          </cell>
          <cell r="N62">
            <v>2169</v>
          </cell>
          <cell r="T62">
            <v>14</v>
          </cell>
          <cell r="U62">
            <v>8</v>
          </cell>
          <cell r="V62">
            <v>0</v>
          </cell>
          <cell r="W62">
            <v>0</v>
          </cell>
        </row>
        <row r="63">
          <cell r="A63">
            <v>70</v>
          </cell>
          <cell r="B63">
            <v>1758</v>
          </cell>
          <cell r="C63">
            <v>1582</v>
          </cell>
          <cell r="D63">
            <v>1054</v>
          </cell>
          <cell r="J63">
            <v>105480</v>
          </cell>
          <cell r="K63">
            <v>4297</v>
          </cell>
          <cell r="L63">
            <v>0</v>
          </cell>
          <cell r="M63">
            <v>3223</v>
          </cell>
          <cell r="N63">
            <v>2900</v>
          </cell>
          <cell r="T63">
            <v>24</v>
          </cell>
          <cell r="U63">
            <v>12</v>
          </cell>
          <cell r="V63">
            <v>0</v>
          </cell>
          <cell r="W63">
            <v>0</v>
          </cell>
        </row>
        <row r="64">
          <cell r="A64">
            <v>80</v>
          </cell>
          <cell r="B64">
            <v>2274</v>
          </cell>
          <cell r="C64">
            <v>2047</v>
          </cell>
          <cell r="D64">
            <v>1364</v>
          </cell>
          <cell r="J64">
            <v>136440</v>
          </cell>
          <cell r="K64">
            <v>5135</v>
          </cell>
          <cell r="L64">
            <v>0</v>
          </cell>
          <cell r="M64">
            <v>4154</v>
          </cell>
          <cell r="N64">
            <v>3738</v>
          </cell>
          <cell r="T64">
            <v>38</v>
          </cell>
          <cell r="U64">
            <v>17</v>
          </cell>
          <cell r="V64">
            <v>0</v>
          </cell>
          <cell r="W64">
            <v>0</v>
          </cell>
        </row>
        <row r="65">
          <cell r="A65">
            <v>90</v>
          </cell>
          <cell r="B65">
            <v>2858</v>
          </cell>
          <cell r="C65">
            <v>2572</v>
          </cell>
          <cell r="D65">
            <v>1714</v>
          </cell>
          <cell r="J65">
            <v>171480</v>
          </cell>
          <cell r="K65">
            <v>6307</v>
          </cell>
          <cell r="L65">
            <v>0</v>
          </cell>
          <cell r="M65">
            <v>5203</v>
          </cell>
          <cell r="N65">
            <v>4682</v>
          </cell>
          <cell r="T65">
            <v>56</v>
          </cell>
          <cell r="U65">
            <v>25</v>
          </cell>
          <cell r="V65">
            <v>0</v>
          </cell>
          <cell r="W65">
            <v>0</v>
          </cell>
        </row>
        <row r="66">
          <cell r="A66">
            <v>100</v>
          </cell>
          <cell r="B66">
            <v>3508</v>
          </cell>
          <cell r="C66">
            <v>3157</v>
          </cell>
          <cell r="D66">
            <v>2104</v>
          </cell>
          <cell r="J66">
            <v>210480</v>
          </cell>
          <cell r="K66">
            <v>7723</v>
          </cell>
          <cell r="L66">
            <v>0</v>
          </cell>
          <cell r="M66">
            <v>6371</v>
          </cell>
          <cell r="N66">
            <v>5733</v>
          </cell>
          <cell r="T66">
            <v>78</v>
          </cell>
          <cell r="U66">
            <v>33</v>
          </cell>
          <cell r="V66">
            <v>0</v>
          </cell>
          <cell r="W66">
            <v>0</v>
          </cell>
        </row>
        <row r="72">
          <cell r="A72">
            <v>1</v>
          </cell>
          <cell r="B72">
            <v>8</v>
          </cell>
          <cell r="C72">
            <v>10</v>
          </cell>
          <cell r="D72">
            <v>7</v>
          </cell>
          <cell r="J72">
            <v>594</v>
          </cell>
          <cell r="K72">
            <v>40</v>
          </cell>
          <cell r="L72">
            <v>40</v>
          </cell>
          <cell r="M72">
            <v>39</v>
          </cell>
          <cell r="N72">
            <v>39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10</v>
          </cell>
          <cell r="B73">
            <v>46</v>
          </cell>
          <cell r="C73">
            <v>58</v>
          </cell>
          <cell r="D73">
            <v>40</v>
          </cell>
          <cell r="J73">
            <v>3695</v>
          </cell>
          <cell r="K73">
            <v>136</v>
          </cell>
          <cell r="L73">
            <v>136</v>
          </cell>
          <cell r="M73">
            <v>134</v>
          </cell>
          <cell r="N73">
            <v>134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20</v>
          </cell>
          <cell r="B74">
            <v>139</v>
          </cell>
          <cell r="C74">
            <v>174</v>
          </cell>
          <cell r="D74">
            <v>122</v>
          </cell>
          <cell r="J74">
            <v>10899</v>
          </cell>
          <cell r="K74">
            <v>356</v>
          </cell>
          <cell r="L74">
            <v>356</v>
          </cell>
          <cell r="M74">
            <v>352</v>
          </cell>
          <cell r="N74">
            <v>352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30</v>
          </cell>
          <cell r="B75">
            <v>286</v>
          </cell>
          <cell r="C75">
            <v>358</v>
          </cell>
          <cell r="D75">
            <v>250</v>
          </cell>
          <cell r="J75">
            <v>20298</v>
          </cell>
          <cell r="K75">
            <v>696</v>
          </cell>
          <cell r="L75">
            <v>696</v>
          </cell>
          <cell r="M75">
            <v>689</v>
          </cell>
          <cell r="N75">
            <v>689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40</v>
          </cell>
          <cell r="B76">
            <v>486</v>
          </cell>
          <cell r="C76">
            <v>608</v>
          </cell>
          <cell r="D76">
            <v>425</v>
          </cell>
          <cell r="J76">
            <v>34473</v>
          </cell>
          <cell r="K76">
            <v>1156</v>
          </cell>
          <cell r="L76">
            <v>1156</v>
          </cell>
          <cell r="M76">
            <v>1144</v>
          </cell>
          <cell r="N76">
            <v>1144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50</v>
          </cell>
          <cell r="B77">
            <v>739</v>
          </cell>
          <cell r="C77">
            <v>924</v>
          </cell>
          <cell r="D77">
            <v>647</v>
          </cell>
          <cell r="J77">
            <v>49896</v>
          </cell>
          <cell r="K77">
            <v>1736</v>
          </cell>
          <cell r="L77">
            <v>1736</v>
          </cell>
          <cell r="M77">
            <v>1718</v>
          </cell>
          <cell r="N77">
            <v>1718</v>
          </cell>
          <cell r="T77">
            <v>0</v>
          </cell>
          <cell r="U77">
            <v>0</v>
          </cell>
          <cell r="V77">
            <v>9</v>
          </cell>
          <cell r="W77">
            <v>9</v>
          </cell>
        </row>
        <row r="78">
          <cell r="A78">
            <v>60</v>
          </cell>
          <cell r="B78">
            <v>1046</v>
          </cell>
          <cell r="C78">
            <v>1308</v>
          </cell>
          <cell r="D78">
            <v>915</v>
          </cell>
          <cell r="J78">
            <v>70632</v>
          </cell>
          <cell r="K78">
            <v>2436</v>
          </cell>
          <cell r="L78">
            <v>2436</v>
          </cell>
          <cell r="M78">
            <v>2411</v>
          </cell>
          <cell r="N78">
            <v>2411</v>
          </cell>
          <cell r="T78">
            <v>0</v>
          </cell>
          <cell r="U78">
            <v>0</v>
          </cell>
          <cell r="V78">
            <v>12</v>
          </cell>
          <cell r="W78">
            <v>12</v>
          </cell>
        </row>
        <row r="79">
          <cell r="A79">
            <v>70</v>
          </cell>
          <cell r="B79">
            <v>1406</v>
          </cell>
          <cell r="C79">
            <v>1758</v>
          </cell>
          <cell r="D79">
            <v>1230</v>
          </cell>
          <cell r="J79">
            <v>94932</v>
          </cell>
          <cell r="K79">
            <v>3256</v>
          </cell>
          <cell r="L79">
            <v>3256</v>
          </cell>
          <cell r="M79">
            <v>3223</v>
          </cell>
          <cell r="N79">
            <v>3223</v>
          </cell>
          <cell r="T79">
            <v>0</v>
          </cell>
          <cell r="U79">
            <v>0</v>
          </cell>
          <cell r="V79">
            <v>17</v>
          </cell>
          <cell r="W79">
            <v>17</v>
          </cell>
        </row>
        <row r="80">
          <cell r="A80">
            <v>80</v>
          </cell>
          <cell r="B80">
            <v>1819</v>
          </cell>
          <cell r="C80">
            <v>2274</v>
          </cell>
          <cell r="D80">
            <v>1592</v>
          </cell>
          <cell r="J80">
            <v>122796</v>
          </cell>
          <cell r="K80">
            <v>4196</v>
          </cell>
          <cell r="L80">
            <v>4196</v>
          </cell>
          <cell r="M80">
            <v>4154</v>
          </cell>
          <cell r="N80">
            <v>4154</v>
          </cell>
          <cell r="T80">
            <v>0</v>
          </cell>
          <cell r="U80">
            <v>0</v>
          </cell>
          <cell r="V80">
            <v>24</v>
          </cell>
          <cell r="W80">
            <v>24</v>
          </cell>
        </row>
        <row r="81">
          <cell r="A81">
            <v>90</v>
          </cell>
          <cell r="B81">
            <v>2286</v>
          </cell>
          <cell r="C81">
            <v>2858</v>
          </cell>
          <cell r="D81">
            <v>2000</v>
          </cell>
          <cell r="J81">
            <v>154332</v>
          </cell>
          <cell r="K81">
            <v>5256</v>
          </cell>
          <cell r="L81">
            <v>5256</v>
          </cell>
          <cell r="M81">
            <v>5203</v>
          </cell>
          <cell r="N81">
            <v>5203</v>
          </cell>
          <cell r="T81">
            <v>0</v>
          </cell>
          <cell r="U81">
            <v>0</v>
          </cell>
          <cell r="V81">
            <v>33</v>
          </cell>
          <cell r="W81">
            <v>33</v>
          </cell>
        </row>
        <row r="82">
          <cell r="A82">
            <v>100</v>
          </cell>
          <cell r="B82">
            <v>2806</v>
          </cell>
          <cell r="C82">
            <v>3508</v>
          </cell>
          <cell r="D82">
            <v>2455</v>
          </cell>
          <cell r="J82">
            <v>189432</v>
          </cell>
          <cell r="K82">
            <v>6436</v>
          </cell>
          <cell r="L82">
            <v>6436</v>
          </cell>
          <cell r="M82">
            <v>6371</v>
          </cell>
          <cell r="N82">
            <v>6371</v>
          </cell>
          <cell r="T82">
            <v>0</v>
          </cell>
          <cell r="U82">
            <v>0</v>
          </cell>
          <cell r="V82">
            <v>44</v>
          </cell>
          <cell r="W82">
            <v>44</v>
          </cell>
        </row>
        <row r="88">
          <cell r="A88">
            <v>1</v>
          </cell>
          <cell r="B88">
            <v>6</v>
          </cell>
          <cell r="C88">
            <v>6</v>
          </cell>
          <cell r="D88">
            <v>13</v>
          </cell>
          <cell r="J88">
            <v>450</v>
          </cell>
          <cell r="K88">
            <v>0</v>
          </cell>
          <cell r="L88">
            <v>52</v>
          </cell>
          <cell r="M88">
            <v>23</v>
          </cell>
          <cell r="N88">
            <v>23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10</v>
          </cell>
          <cell r="B89">
            <v>34</v>
          </cell>
          <cell r="C89">
            <v>34</v>
          </cell>
          <cell r="D89">
            <v>75</v>
          </cell>
          <cell r="J89">
            <v>2610</v>
          </cell>
          <cell r="K89">
            <v>0</v>
          </cell>
          <cell r="L89">
            <v>176</v>
          </cell>
          <cell r="M89">
            <v>80</v>
          </cell>
          <cell r="N89">
            <v>80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20</v>
          </cell>
          <cell r="B90">
            <v>104</v>
          </cell>
          <cell r="C90">
            <v>104</v>
          </cell>
          <cell r="D90">
            <v>227</v>
          </cell>
          <cell r="J90">
            <v>7830</v>
          </cell>
          <cell r="K90">
            <v>0</v>
          </cell>
          <cell r="L90">
            <v>462</v>
          </cell>
          <cell r="M90">
            <v>211</v>
          </cell>
          <cell r="N90">
            <v>211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30</v>
          </cell>
          <cell r="B91">
            <v>214</v>
          </cell>
          <cell r="C91">
            <v>214</v>
          </cell>
          <cell r="D91">
            <v>465</v>
          </cell>
          <cell r="J91">
            <v>16110</v>
          </cell>
          <cell r="K91">
            <v>0</v>
          </cell>
          <cell r="L91">
            <v>904</v>
          </cell>
          <cell r="M91">
            <v>413</v>
          </cell>
          <cell r="N91">
            <v>413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40</v>
          </cell>
          <cell r="B92">
            <v>364</v>
          </cell>
          <cell r="C92">
            <v>364</v>
          </cell>
          <cell r="D92">
            <v>790</v>
          </cell>
          <cell r="J92">
            <v>27360</v>
          </cell>
          <cell r="K92">
            <v>0</v>
          </cell>
          <cell r="L92">
            <v>1502</v>
          </cell>
          <cell r="M92">
            <v>686</v>
          </cell>
          <cell r="N92">
            <v>686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50</v>
          </cell>
          <cell r="B93">
            <v>554</v>
          </cell>
          <cell r="C93">
            <v>554</v>
          </cell>
          <cell r="D93">
            <v>1202</v>
          </cell>
          <cell r="J93">
            <v>41580</v>
          </cell>
          <cell r="K93">
            <v>0</v>
          </cell>
          <cell r="L93">
            <v>2143</v>
          </cell>
          <cell r="M93">
            <v>1030</v>
          </cell>
          <cell r="N93">
            <v>1030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60</v>
          </cell>
          <cell r="B94">
            <v>784</v>
          </cell>
          <cell r="C94">
            <v>784</v>
          </cell>
          <cell r="D94">
            <v>1700</v>
          </cell>
          <cell r="J94">
            <v>58860</v>
          </cell>
          <cell r="K94">
            <v>0</v>
          </cell>
          <cell r="L94">
            <v>3166</v>
          </cell>
          <cell r="M94">
            <v>1446</v>
          </cell>
          <cell r="N94">
            <v>1446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70</v>
          </cell>
          <cell r="B95">
            <v>1054</v>
          </cell>
          <cell r="C95">
            <v>1054</v>
          </cell>
          <cell r="D95">
            <v>2285</v>
          </cell>
          <cell r="J95">
            <v>79110</v>
          </cell>
          <cell r="K95">
            <v>0</v>
          </cell>
          <cell r="L95">
            <v>4232</v>
          </cell>
          <cell r="M95">
            <v>1933</v>
          </cell>
          <cell r="N95">
            <v>1933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80</v>
          </cell>
          <cell r="B96">
            <v>1364</v>
          </cell>
          <cell r="C96">
            <v>1364</v>
          </cell>
          <cell r="D96">
            <v>2957</v>
          </cell>
          <cell r="J96">
            <v>102330</v>
          </cell>
          <cell r="K96">
            <v>0</v>
          </cell>
          <cell r="L96">
            <v>5290</v>
          </cell>
          <cell r="M96">
            <v>2492</v>
          </cell>
          <cell r="N96">
            <v>2492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90</v>
          </cell>
          <cell r="B97">
            <v>1714</v>
          </cell>
          <cell r="C97">
            <v>1714</v>
          </cell>
          <cell r="D97">
            <v>3715</v>
          </cell>
          <cell r="J97">
            <v>128610</v>
          </cell>
          <cell r="K97">
            <v>0</v>
          </cell>
          <cell r="L97">
            <v>6627</v>
          </cell>
          <cell r="M97">
            <v>3121</v>
          </cell>
          <cell r="N97">
            <v>3121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100</v>
          </cell>
          <cell r="B98">
            <v>2104</v>
          </cell>
          <cell r="C98">
            <v>2104</v>
          </cell>
          <cell r="D98">
            <v>4560</v>
          </cell>
          <cell r="J98">
            <v>157860</v>
          </cell>
          <cell r="K98">
            <v>0</v>
          </cell>
          <cell r="L98">
            <v>8366</v>
          </cell>
          <cell r="M98">
            <v>3822</v>
          </cell>
          <cell r="N98">
            <v>3822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104">
          <cell r="A104">
            <v>1</v>
          </cell>
          <cell r="B104">
            <v>7</v>
          </cell>
          <cell r="C104">
            <v>12</v>
          </cell>
          <cell r="D104">
            <v>6</v>
          </cell>
          <cell r="J104">
            <v>480</v>
          </cell>
          <cell r="K104">
            <v>63</v>
          </cell>
          <cell r="L104">
            <v>0</v>
          </cell>
          <cell r="M104">
            <v>31</v>
          </cell>
          <cell r="N104">
            <v>31</v>
          </cell>
          <cell r="T104">
            <v>0</v>
          </cell>
          <cell r="U104">
            <v>15</v>
          </cell>
          <cell r="V104">
            <v>0</v>
          </cell>
          <cell r="W104">
            <v>0</v>
          </cell>
        </row>
        <row r="105">
          <cell r="A105">
            <v>10</v>
          </cell>
          <cell r="B105">
            <v>40</v>
          </cell>
          <cell r="C105">
            <v>69</v>
          </cell>
          <cell r="D105">
            <v>34</v>
          </cell>
          <cell r="J105">
            <v>2784</v>
          </cell>
          <cell r="K105">
            <v>216</v>
          </cell>
          <cell r="L105">
            <v>0</v>
          </cell>
          <cell r="M105">
            <v>107</v>
          </cell>
          <cell r="N105">
            <v>107</v>
          </cell>
          <cell r="T105">
            <v>0</v>
          </cell>
          <cell r="U105">
            <v>16</v>
          </cell>
          <cell r="V105">
            <v>0</v>
          </cell>
          <cell r="W105">
            <v>0</v>
          </cell>
        </row>
        <row r="106">
          <cell r="A106">
            <v>20</v>
          </cell>
          <cell r="B106">
            <v>122</v>
          </cell>
          <cell r="C106">
            <v>209</v>
          </cell>
          <cell r="D106">
            <v>104</v>
          </cell>
          <cell r="J106">
            <v>8352</v>
          </cell>
          <cell r="K106">
            <v>554</v>
          </cell>
          <cell r="L106">
            <v>0</v>
          </cell>
          <cell r="M106">
            <v>281</v>
          </cell>
          <cell r="N106">
            <v>281</v>
          </cell>
          <cell r="T106">
            <v>0</v>
          </cell>
          <cell r="U106">
            <v>18</v>
          </cell>
          <cell r="V106">
            <v>0</v>
          </cell>
          <cell r="W106">
            <v>0</v>
          </cell>
        </row>
        <row r="107">
          <cell r="A107">
            <v>30</v>
          </cell>
          <cell r="B107">
            <v>250</v>
          </cell>
          <cell r="C107">
            <v>429</v>
          </cell>
          <cell r="D107">
            <v>214</v>
          </cell>
          <cell r="J107">
            <v>17184</v>
          </cell>
          <cell r="K107">
            <v>1026</v>
          </cell>
          <cell r="L107">
            <v>0</v>
          </cell>
          <cell r="M107">
            <v>551</v>
          </cell>
          <cell r="N107">
            <v>551</v>
          </cell>
          <cell r="T107">
            <v>0</v>
          </cell>
          <cell r="U107">
            <v>21</v>
          </cell>
          <cell r="V107">
            <v>0</v>
          </cell>
          <cell r="W107">
            <v>0</v>
          </cell>
        </row>
        <row r="108">
          <cell r="A108">
            <v>40</v>
          </cell>
          <cell r="B108">
            <v>425</v>
          </cell>
          <cell r="C108">
            <v>729</v>
          </cell>
          <cell r="D108">
            <v>364</v>
          </cell>
          <cell r="J108">
            <v>29184</v>
          </cell>
          <cell r="K108">
            <v>1636</v>
          </cell>
          <cell r="L108">
            <v>0</v>
          </cell>
          <cell r="M108">
            <v>915</v>
          </cell>
          <cell r="N108">
            <v>915</v>
          </cell>
          <cell r="T108">
            <v>0</v>
          </cell>
          <cell r="U108">
            <v>25</v>
          </cell>
          <cell r="V108">
            <v>0</v>
          </cell>
          <cell r="W108">
            <v>0</v>
          </cell>
        </row>
        <row r="109">
          <cell r="A109">
            <v>50</v>
          </cell>
          <cell r="B109">
            <v>647</v>
          </cell>
          <cell r="C109">
            <v>1109</v>
          </cell>
          <cell r="D109">
            <v>554</v>
          </cell>
          <cell r="J109">
            <v>44352</v>
          </cell>
          <cell r="K109">
            <v>2334</v>
          </cell>
          <cell r="L109">
            <v>0</v>
          </cell>
          <cell r="M109">
            <v>1374</v>
          </cell>
          <cell r="N109">
            <v>1374</v>
          </cell>
          <cell r="T109">
            <v>0</v>
          </cell>
          <cell r="U109">
            <v>30</v>
          </cell>
          <cell r="V109">
            <v>0</v>
          </cell>
          <cell r="W109">
            <v>9</v>
          </cell>
        </row>
        <row r="110">
          <cell r="A110">
            <v>60</v>
          </cell>
          <cell r="B110">
            <v>915</v>
          </cell>
          <cell r="C110">
            <v>1569</v>
          </cell>
          <cell r="D110">
            <v>784</v>
          </cell>
          <cell r="J110">
            <v>62784</v>
          </cell>
          <cell r="K110">
            <v>3075</v>
          </cell>
          <cell r="L110">
            <v>0</v>
          </cell>
          <cell r="M110">
            <v>1928</v>
          </cell>
          <cell r="N110">
            <v>1928</v>
          </cell>
          <cell r="T110">
            <v>0</v>
          </cell>
          <cell r="U110">
            <v>35</v>
          </cell>
          <cell r="V110">
            <v>0</v>
          </cell>
          <cell r="W110">
            <v>12</v>
          </cell>
        </row>
        <row r="111">
          <cell r="A111">
            <v>70</v>
          </cell>
          <cell r="B111">
            <v>1230</v>
          </cell>
          <cell r="C111">
            <v>2109</v>
          </cell>
          <cell r="D111">
            <v>1054</v>
          </cell>
          <cell r="J111">
            <v>84384</v>
          </cell>
          <cell r="K111">
            <v>3957</v>
          </cell>
          <cell r="L111">
            <v>0</v>
          </cell>
          <cell r="M111">
            <v>2578</v>
          </cell>
          <cell r="N111">
            <v>2578</v>
          </cell>
          <cell r="T111">
            <v>0</v>
          </cell>
          <cell r="U111">
            <v>41</v>
          </cell>
          <cell r="V111">
            <v>0</v>
          </cell>
          <cell r="W111">
            <v>17</v>
          </cell>
        </row>
        <row r="112">
          <cell r="A112">
            <v>80</v>
          </cell>
          <cell r="B112">
            <v>1592</v>
          </cell>
          <cell r="C112">
            <v>2729</v>
          </cell>
          <cell r="D112">
            <v>1364</v>
          </cell>
          <cell r="J112">
            <v>109152</v>
          </cell>
          <cell r="K112">
            <v>4851</v>
          </cell>
          <cell r="L112">
            <v>0</v>
          </cell>
          <cell r="M112">
            <v>3323</v>
          </cell>
          <cell r="N112">
            <v>3323</v>
          </cell>
          <cell r="T112">
            <v>0</v>
          </cell>
          <cell r="U112">
            <v>48</v>
          </cell>
          <cell r="V112">
            <v>0</v>
          </cell>
          <cell r="W112">
            <v>24</v>
          </cell>
        </row>
        <row r="113">
          <cell r="A113">
            <v>90</v>
          </cell>
          <cell r="B113">
            <v>2000</v>
          </cell>
          <cell r="C113">
            <v>3429</v>
          </cell>
          <cell r="D113">
            <v>1714</v>
          </cell>
          <cell r="J113">
            <v>137184</v>
          </cell>
          <cell r="K113">
            <v>6015</v>
          </cell>
          <cell r="L113">
            <v>0</v>
          </cell>
          <cell r="M113">
            <v>4162</v>
          </cell>
          <cell r="N113">
            <v>4162</v>
          </cell>
          <cell r="T113">
            <v>0</v>
          </cell>
          <cell r="U113">
            <v>56</v>
          </cell>
          <cell r="V113">
            <v>0</v>
          </cell>
          <cell r="W113">
            <v>33</v>
          </cell>
        </row>
        <row r="114">
          <cell r="A114">
            <v>100</v>
          </cell>
          <cell r="B114">
            <v>2455</v>
          </cell>
          <cell r="C114">
            <v>4209</v>
          </cell>
          <cell r="D114">
            <v>2104</v>
          </cell>
          <cell r="J114">
            <v>168384</v>
          </cell>
          <cell r="K114">
            <v>7442</v>
          </cell>
          <cell r="L114">
            <v>0</v>
          </cell>
          <cell r="M114">
            <v>5096</v>
          </cell>
          <cell r="N114">
            <v>5096</v>
          </cell>
          <cell r="T114">
            <v>0</v>
          </cell>
          <cell r="U114">
            <v>65</v>
          </cell>
          <cell r="V114">
            <v>0</v>
          </cell>
          <cell r="W114">
            <v>44</v>
          </cell>
        </row>
      </sheetData>
      <sheetData sheetId="2" refreshError="1"/>
      <sheetData sheetId="3" refreshError="1"/>
      <sheetData sheetId="4">
        <row r="5">
          <cell r="B5" t="str">
            <v>参数1</v>
          </cell>
          <cell r="C5">
            <v>0.6</v>
          </cell>
          <cell r="D5" t="str">
            <v>物攻主属性参数</v>
          </cell>
        </row>
        <row r="6">
          <cell r="B6" t="str">
            <v>参数2</v>
          </cell>
          <cell r="C6">
            <v>0.5</v>
          </cell>
          <cell r="D6" t="str">
            <v>物攻力道参数</v>
          </cell>
        </row>
        <row r="7">
          <cell r="B7" t="str">
            <v>参数3</v>
          </cell>
          <cell r="C7">
            <v>0.6</v>
          </cell>
          <cell r="D7" t="str">
            <v>魔攻主属性参数</v>
          </cell>
        </row>
        <row r="8">
          <cell r="B8" t="str">
            <v>参数4</v>
          </cell>
          <cell r="C8">
            <v>0.5</v>
          </cell>
          <cell r="D8" t="str">
            <v>魔攻元气参数</v>
          </cell>
        </row>
        <row r="9">
          <cell r="B9" t="str">
            <v>参数5</v>
          </cell>
          <cell r="C9">
            <v>1</v>
          </cell>
          <cell r="D9" t="str">
            <v>物防身法参数</v>
          </cell>
        </row>
        <row r="10">
          <cell r="B10" t="str">
            <v>参数6</v>
          </cell>
          <cell r="C10">
            <v>1</v>
          </cell>
          <cell r="D10" t="str">
            <v>魔防身法参数</v>
          </cell>
        </row>
        <row r="11">
          <cell r="B11" t="str">
            <v>参数7</v>
          </cell>
          <cell r="C11">
            <v>20</v>
          </cell>
          <cell r="D11" t="str">
            <v>力道生命参数</v>
          </cell>
        </row>
        <row r="12">
          <cell r="B12" t="str">
            <v>参数11</v>
          </cell>
          <cell r="C12">
            <v>0.5</v>
          </cell>
          <cell r="D12" t="str">
            <v>战斗防御系数</v>
          </cell>
        </row>
        <row r="13">
          <cell r="B13" t="str">
            <v>参数12</v>
          </cell>
          <cell r="C13">
            <v>0.2</v>
          </cell>
          <cell r="D13" t="str">
            <v>不破防等级系数</v>
          </cell>
        </row>
        <row r="14">
          <cell r="B14" t="str">
            <v>参数21</v>
          </cell>
          <cell r="C14">
            <v>0.03</v>
          </cell>
          <cell r="D14" t="str">
            <v>碾压值参数</v>
          </cell>
        </row>
        <row r="15">
          <cell r="B15" t="str">
            <v>参数22</v>
          </cell>
          <cell r="C15">
            <v>500</v>
          </cell>
          <cell r="D15" t="str">
            <v>碾压值参数</v>
          </cell>
        </row>
        <row r="16">
          <cell r="B16" t="str">
            <v>参数23</v>
          </cell>
          <cell r="C16">
            <v>5</v>
          </cell>
          <cell r="D16" t="str">
            <v>碾压值参数</v>
          </cell>
        </row>
        <row r="17">
          <cell r="B17" t="str">
            <v>参数24</v>
          </cell>
          <cell r="C17">
            <v>0.05</v>
          </cell>
          <cell r="D17" t="str">
            <v>暴击值参数</v>
          </cell>
        </row>
        <row r="18">
          <cell r="B18" t="str">
            <v>参数25</v>
          </cell>
          <cell r="C18">
            <v>500</v>
          </cell>
          <cell r="D18" t="str">
            <v>暴击值参数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9" sqref="B19"/>
    </sheetView>
  </sheetViews>
  <sheetFormatPr defaultRowHeight="13.5" x14ac:dyDescent="0.15"/>
  <cols>
    <col min="2" max="2" width="79.875" bestFit="1" customWidth="1"/>
  </cols>
  <sheetData>
    <row r="1" spans="1:2" x14ac:dyDescent="0.15">
      <c r="A1" t="s">
        <v>420</v>
      </c>
      <c r="B1" t="s">
        <v>421</v>
      </c>
    </row>
    <row r="2" spans="1:2" x14ac:dyDescent="0.15">
      <c r="A2" t="s">
        <v>2</v>
      </c>
      <c r="B2" t="s">
        <v>423</v>
      </c>
    </row>
    <row r="3" spans="1:2" x14ac:dyDescent="0.15">
      <c r="A3" t="s">
        <v>3</v>
      </c>
      <c r="B3" t="s">
        <v>422</v>
      </c>
    </row>
    <row r="4" spans="1:2" x14ac:dyDescent="0.15">
      <c r="A4" t="s">
        <v>4</v>
      </c>
      <c r="B4" t="s">
        <v>426</v>
      </c>
    </row>
    <row r="5" spans="1:2" x14ac:dyDescent="0.15">
      <c r="A5" t="s">
        <v>5</v>
      </c>
      <c r="B5" t="s">
        <v>425</v>
      </c>
    </row>
    <row r="6" spans="1:2" x14ac:dyDescent="0.15">
      <c r="A6" t="s">
        <v>6</v>
      </c>
      <c r="B6" t="s">
        <v>424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topLeftCell="A37" workbookViewId="0">
      <selection activeCell="K26" sqref="K26"/>
    </sheetView>
  </sheetViews>
  <sheetFormatPr defaultRowHeight="13.5" x14ac:dyDescent="0.15"/>
  <cols>
    <col min="16" max="16" width="14.125" bestFit="1" customWidth="1"/>
    <col min="17" max="17" width="12.125" bestFit="1" customWidth="1"/>
    <col min="18" max="18" width="8.25" bestFit="1" customWidth="1"/>
    <col min="19" max="19" width="10" bestFit="1" customWidth="1"/>
    <col min="20" max="20" width="12.25" bestFit="1" customWidth="1"/>
    <col min="22" max="22" width="10" bestFit="1" customWidth="1"/>
    <col min="23" max="23" width="9.125" bestFit="1" customWidth="1"/>
  </cols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400</v>
      </c>
      <c r="H1" t="s">
        <v>401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3010</v>
      </c>
      <c r="B2">
        <v>3010</v>
      </c>
      <c r="C2">
        <f t="shared" ref="C2:C1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1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1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1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H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>A2+10</f>
        <v>3020</v>
      </c>
      <c r="B3">
        <f>B2+10</f>
        <v>3020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0.01</v>
      </c>
      <c r="G3">
        <v>1</v>
      </c>
      <c r="H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>A3+10</f>
        <v>3030</v>
      </c>
      <c r="B4">
        <f>B3+10</f>
        <v>3030</v>
      </c>
      <c r="C4">
        <f t="shared" si="0"/>
        <v>0</v>
      </c>
      <c r="D4">
        <f t="shared" si="1"/>
        <v>0</v>
      </c>
      <c r="E4">
        <f t="shared" si="2"/>
        <v>0.01</v>
      </c>
      <c r="F4">
        <f t="shared" si="3"/>
        <v>0.01</v>
      </c>
      <c r="G4">
        <v>1</v>
      </c>
      <c r="H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ref="A5:A11" si="4">A4+10</f>
        <v>3040</v>
      </c>
      <c r="B5">
        <f t="shared" ref="B5:B11" si="5">B4+10</f>
        <v>3040</v>
      </c>
      <c r="C5">
        <f t="shared" si="0"/>
        <v>0</v>
      </c>
      <c r="D5">
        <f t="shared" si="1"/>
        <v>0</v>
      </c>
      <c r="E5">
        <f t="shared" si="2"/>
        <v>0.01</v>
      </c>
      <c r="F5">
        <f t="shared" si="3"/>
        <v>0.02</v>
      </c>
      <c r="G5">
        <v>1</v>
      </c>
      <c r="H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4"/>
        <v>3050</v>
      </c>
      <c r="B6">
        <f t="shared" si="5"/>
        <v>3050</v>
      </c>
      <c r="C6">
        <f t="shared" si="0"/>
        <v>0</v>
      </c>
      <c r="D6">
        <f t="shared" si="1"/>
        <v>0</v>
      </c>
      <c r="E6">
        <f t="shared" si="2"/>
        <v>0.11</v>
      </c>
      <c r="F6">
        <f t="shared" si="3"/>
        <v>0.12</v>
      </c>
      <c r="G6">
        <f>E6*0.3+1-E6</f>
        <v>0.92299999999999993</v>
      </c>
      <c r="H6">
        <f>F6*0.5+1-F6</f>
        <v>0.94000000000000006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4"/>
        <v>3060</v>
      </c>
      <c r="B7">
        <f t="shared" si="5"/>
        <v>3060</v>
      </c>
      <c r="C7">
        <f t="shared" si="0"/>
        <v>0</v>
      </c>
      <c r="D7">
        <f t="shared" si="1"/>
        <v>0</v>
      </c>
      <c r="E7">
        <f t="shared" si="2"/>
        <v>0.15</v>
      </c>
      <c r="F7">
        <f t="shared" si="3"/>
        <v>0.16</v>
      </c>
      <c r="G7">
        <f>E7*0.3+1-E7</f>
        <v>0.89499999999999991</v>
      </c>
      <c r="H7">
        <f>F7*0.5+1-F7</f>
        <v>0.92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4"/>
        <v>3070</v>
      </c>
      <c r="B8">
        <f t="shared" si="5"/>
        <v>3070</v>
      </c>
      <c r="C8">
        <f t="shared" si="0"/>
        <v>0</v>
      </c>
      <c r="D8">
        <f t="shared" si="1"/>
        <v>0</v>
      </c>
      <c r="E8">
        <f t="shared" si="2"/>
        <v>0.2</v>
      </c>
      <c r="F8">
        <f t="shared" si="3"/>
        <v>0.21</v>
      </c>
      <c r="G8">
        <f t="shared" ref="G8:G11" si="6">E8*0.3+1-E8</f>
        <v>0.8600000000000001</v>
      </c>
      <c r="H8">
        <f t="shared" ref="H8:H11" si="7">F8*0.5+1-F8</f>
        <v>0.89500000000000002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4"/>
        <v>3080</v>
      </c>
      <c r="B9">
        <f t="shared" si="5"/>
        <v>3080</v>
      </c>
      <c r="C9">
        <f t="shared" si="0"/>
        <v>0</v>
      </c>
      <c r="D9">
        <f t="shared" si="1"/>
        <v>0</v>
      </c>
      <c r="E9">
        <f t="shared" si="2"/>
        <v>0.26</v>
      </c>
      <c r="F9">
        <f t="shared" si="3"/>
        <v>0.28000000000000003</v>
      </c>
      <c r="G9">
        <f t="shared" si="6"/>
        <v>0.81800000000000006</v>
      </c>
      <c r="H9">
        <f t="shared" si="7"/>
        <v>0.8600000000000001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4"/>
        <v>3090</v>
      </c>
      <c r="B10">
        <f t="shared" si="5"/>
        <v>3090</v>
      </c>
      <c r="C10">
        <f t="shared" si="0"/>
        <v>0</v>
      </c>
      <c r="D10">
        <f t="shared" si="1"/>
        <v>0</v>
      </c>
      <c r="E10">
        <f t="shared" si="2"/>
        <v>0.32</v>
      </c>
      <c r="F10">
        <f t="shared" si="3"/>
        <v>0.35</v>
      </c>
      <c r="G10">
        <f t="shared" si="6"/>
        <v>0.77600000000000002</v>
      </c>
      <c r="H10">
        <f t="shared" si="7"/>
        <v>0.82500000000000007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4"/>
        <v>3100</v>
      </c>
      <c r="B11">
        <f t="shared" si="5"/>
        <v>3100</v>
      </c>
      <c r="C11">
        <f t="shared" si="0"/>
        <v>0</v>
      </c>
      <c r="D11">
        <f t="shared" si="1"/>
        <v>0</v>
      </c>
      <c r="E11">
        <f t="shared" si="2"/>
        <v>0.39</v>
      </c>
      <c r="F11">
        <f t="shared" si="3"/>
        <v>0.41</v>
      </c>
      <c r="G11">
        <f t="shared" si="6"/>
        <v>0.72699999999999998</v>
      </c>
      <c r="H11">
        <f t="shared" si="7"/>
        <v>0.79500000000000015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5" spans="1:24" x14ac:dyDescent="0.15">
      <c r="A15" t="s">
        <v>337</v>
      </c>
      <c r="B15" t="s">
        <v>337</v>
      </c>
      <c r="C15" t="s">
        <v>178</v>
      </c>
      <c r="D15" t="s">
        <v>0</v>
      </c>
    </row>
    <row r="16" spans="1:24" x14ac:dyDescent="0.15">
      <c r="A16">
        <v>3010</v>
      </c>
      <c r="B16">
        <v>3010</v>
      </c>
      <c r="C16">
        <v>30</v>
      </c>
      <c r="D16">
        <f>MOD(A16,1000)</f>
        <v>10</v>
      </c>
    </row>
    <row r="17" spans="1:18" x14ac:dyDescent="0.15">
      <c r="A17" t="s">
        <v>156</v>
      </c>
      <c r="B17" t="s">
        <v>95</v>
      </c>
      <c r="C17" t="s">
        <v>177</v>
      </c>
      <c r="D17" t="s">
        <v>143</v>
      </c>
      <c r="E17" t="s">
        <v>182</v>
      </c>
      <c r="F17" t="s">
        <v>192</v>
      </c>
      <c r="G17" t="s">
        <v>193</v>
      </c>
      <c r="H17" t="s">
        <v>176</v>
      </c>
      <c r="I17" t="s">
        <v>205</v>
      </c>
      <c r="J17" t="s">
        <v>206</v>
      </c>
      <c r="N17" t="s">
        <v>343</v>
      </c>
      <c r="O17" t="s">
        <v>345</v>
      </c>
      <c r="P17" t="s">
        <v>344</v>
      </c>
      <c r="Q17" t="s">
        <v>346</v>
      </c>
      <c r="R17" t="s">
        <v>405</v>
      </c>
    </row>
    <row r="18" spans="1:18" x14ac:dyDescent="0.15">
      <c r="A18">
        <v>32</v>
      </c>
      <c r="B18" t="s">
        <v>26</v>
      </c>
      <c r="C18">
        <f>INT(C16/(VLOOKUP(A18,技能参数,5,FALSE)+2*VLOOKUP(A18,技能参数,4,FALSE))+3)</f>
        <v>4</v>
      </c>
      <c r="D18">
        <f>VLOOKUP(A18,技能参数,4,FALSE)</f>
        <v>1</v>
      </c>
      <c r="E18">
        <f>IFERROR(VLOOKUP(A18*1000+D16,学习等级编码,2),0)</f>
        <v>3201</v>
      </c>
      <c r="F18">
        <f t="shared" ref="F18:F24" si="8">IFERROR(INT(VLOOKUP($E18,技能升级,9,FALSE)*$C18*I18*J18),0)</f>
        <v>0</v>
      </c>
      <c r="G18">
        <f t="shared" ref="G18:G24" si="9">IFERROR(INT(VLOOKUP($E18,技能升级,10,FALSE)*$C18*I18*J18),0)</f>
        <v>4800</v>
      </c>
      <c r="H18">
        <f>INT(VLOOKUP($E18,技能升级,11,FALSE)*$C18*I18*J18)</f>
        <v>80</v>
      </c>
      <c r="I18">
        <v>1</v>
      </c>
      <c r="J18">
        <v>1</v>
      </c>
      <c r="N18">
        <v>1</v>
      </c>
      <c r="O18">
        <v>1</v>
      </c>
      <c r="P18">
        <v>1</v>
      </c>
      <c r="Q18">
        <f>SUM(P$18:P18)*3</f>
        <v>3</v>
      </c>
      <c r="R18">
        <f>P18*6</f>
        <v>6</v>
      </c>
    </row>
    <row r="19" spans="1:18" x14ac:dyDescent="0.15">
      <c r="A19">
        <v>34</v>
      </c>
      <c r="B19" t="s">
        <v>34</v>
      </c>
      <c r="C19">
        <f>INT(C16/(VLOOKUP(A19,技能参数,5,FALSE)+2*VLOOKUP(A19,技能参数,4,FALSE))+1)</f>
        <v>2</v>
      </c>
      <c r="D19">
        <f>VLOOKUP(A19,技能参数,4,FALSE)</f>
        <v>1.5</v>
      </c>
      <c r="E19">
        <f>IFERROR(VLOOKUP(A19*1000+D16,学习等级编码,2),0)</f>
        <v>3401</v>
      </c>
      <c r="F19">
        <f t="shared" si="8"/>
        <v>3000</v>
      </c>
      <c r="G19">
        <f t="shared" si="9"/>
        <v>0</v>
      </c>
      <c r="H19">
        <f>INT(VLOOKUP($E19,技能升级,11,FALSE)*$C19*I19*J19)</f>
        <v>70</v>
      </c>
      <c r="I19">
        <v>1</v>
      </c>
      <c r="J19">
        <v>1</v>
      </c>
      <c r="N19">
        <v>2</v>
      </c>
      <c r="O19">
        <v>1</v>
      </c>
      <c r="P19">
        <v>1.5</v>
      </c>
      <c r="Q19">
        <f>SUM(P$18:P19)*3</f>
        <v>7.5</v>
      </c>
    </row>
    <row r="20" spans="1:18" x14ac:dyDescent="0.15">
      <c r="A20">
        <v>35</v>
      </c>
      <c r="B20" t="s">
        <v>141</v>
      </c>
      <c r="C20">
        <v>3</v>
      </c>
      <c r="D20">
        <f>VLOOKUP(A20,技能参数,4,FALSE)</f>
        <v>2</v>
      </c>
      <c r="E20">
        <f>IFERROR(VLOOKUP(A20*1000+D16,学习等级编码,2),0)</f>
        <v>3501</v>
      </c>
      <c r="F20">
        <f t="shared" si="8"/>
        <v>6000</v>
      </c>
      <c r="G20">
        <f t="shared" si="9"/>
        <v>0</v>
      </c>
      <c r="H20">
        <f>INT(VLOOKUP($E20,技能升级,11,FALSE)*$C20*I20*J20)</f>
        <v>138</v>
      </c>
      <c r="I20">
        <v>1</v>
      </c>
      <c r="J20">
        <v>1</v>
      </c>
      <c r="N20">
        <v>3</v>
      </c>
      <c r="O20">
        <v>1</v>
      </c>
      <c r="P20">
        <v>2</v>
      </c>
      <c r="Q20">
        <f>SUM(P$18:P20)*3</f>
        <v>13.5</v>
      </c>
    </row>
    <row r="21" spans="1:18" x14ac:dyDescent="0.15">
      <c r="A21">
        <v>31</v>
      </c>
      <c r="B21" t="s">
        <v>91</v>
      </c>
      <c r="C21">
        <f>INT((C16-C18*D18-C19*D19-C20*D20-C23-C24)/D21)</f>
        <v>10</v>
      </c>
      <c r="D21">
        <f>VLOOKUP(A21,技能参数,4,FALSE)</f>
        <v>0.8</v>
      </c>
      <c r="E21">
        <f>IFERROR(VLOOKUP(A21*1000+D16,学习等级编码,2),0)</f>
        <v>3102</v>
      </c>
      <c r="F21">
        <f t="shared" si="8"/>
        <v>10200</v>
      </c>
      <c r="G21">
        <f t="shared" si="9"/>
        <v>0</v>
      </c>
      <c r="H21">
        <f>INT(VLOOKUP($E21,技能升级,11,FALSE)*$C21*I21*J21)</f>
        <v>230</v>
      </c>
      <c r="I21">
        <v>1</v>
      </c>
      <c r="J21">
        <f>VLOOKUP(A16,$A$2:$I$11,7,FALSE)</f>
        <v>1</v>
      </c>
      <c r="N21">
        <v>4</v>
      </c>
      <c r="O21">
        <v>1</v>
      </c>
      <c r="P21">
        <v>2.5</v>
      </c>
      <c r="Q21">
        <f>SUM(P$18:P21)*3</f>
        <v>21</v>
      </c>
    </row>
    <row r="22" spans="1:18" x14ac:dyDescent="0.15">
      <c r="A22">
        <v>203</v>
      </c>
      <c r="B22" t="s">
        <v>340</v>
      </c>
      <c r="C22">
        <f>INT((C16-C23-C24)/3)</f>
        <v>7</v>
      </c>
      <c r="D22">
        <v>0</v>
      </c>
      <c r="E22">
        <f>IFERROR(VLOOKUP(A22*1000+D16,学习等级编码,2),0)</f>
        <v>20301</v>
      </c>
      <c r="F22">
        <f t="shared" si="8"/>
        <v>0</v>
      </c>
      <c r="G22">
        <f t="shared" si="9"/>
        <v>0</v>
      </c>
      <c r="H22">
        <f>INT((VLOOKUP(E22,技能升级,13,FALSE)*(VLOOKUP(C22,中毒数据,4)+MOD(C16,3)*VLOOKUP(C22+1,中毒数据,3))+VLOOKUP(E22,技能升级,14,FALSE)/1000*C22*IF($B16&gt;10000,VLOOKUP($B16,实战属性,12,FALSE),VLOOKUP($B16,总基本属性,6,FALSE)))*I22*J22)</f>
        <v>1413</v>
      </c>
      <c r="I22">
        <v>1</v>
      </c>
      <c r="J22">
        <f>VLOOKUP(A16,$A$2:$I$11,8,FALSE)</f>
        <v>1</v>
      </c>
      <c r="N22">
        <v>5</v>
      </c>
      <c r="O22">
        <v>1</v>
      </c>
      <c r="P22">
        <v>3</v>
      </c>
      <c r="Q22">
        <f>SUM(P$18:P22)*3</f>
        <v>30</v>
      </c>
    </row>
    <row r="23" spans="1:18" x14ac:dyDescent="0.15">
      <c r="A23">
        <v>204</v>
      </c>
      <c r="B23" t="s">
        <v>338</v>
      </c>
      <c r="C23">
        <v>3</v>
      </c>
      <c r="D23">
        <v>0</v>
      </c>
      <c r="E23">
        <f>IFERROR(VLOOKUP(A23*1000+D16,学习等级编码,2),0)</f>
        <v>20401</v>
      </c>
      <c r="F23">
        <f t="shared" si="8"/>
        <v>0</v>
      </c>
      <c r="G23">
        <f t="shared" si="9"/>
        <v>0</v>
      </c>
      <c r="H23">
        <f>IFERROR(VLOOKUP(E23,技能升级,11,FALSE)*C23,0)</f>
        <v>0</v>
      </c>
      <c r="I23">
        <v>1</v>
      </c>
      <c r="J23">
        <v>1</v>
      </c>
      <c r="N23">
        <v>6</v>
      </c>
      <c r="O23">
        <v>1</v>
      </c>
      <c r="P23">
        <v>3.5</v>
      </c>
      <c r="Q23">
        <f>SUM(P$18:P23)*3</f>
        <v>40.5</v>
      </c>
    </row>
    <row r="24" spans="1:18" x14ac:dyDescent="0.15">
      <c r="B24" t="s">
        <v>342</v>
      </c>
      <c r="C24">
        <v>6</v>
      </c>
      <c r="D24">
        <v>0</v>
      </c>
      <c r="E24">
        <f>IFERROR(VLOOKUP(A24*1000+D16,学习等级编码,2),0)</f>
        <v>0</v>
      </c>
      <c r="F24">
        <f t="shared" si="8"/>
        <v>0</v>
      </c>
      <c r="G24">
        <f t="shared" si="9"/>
        <v>0</v>
      </c>
      <c r="H24">
        <f>IFERROR(VLOOKUP(E24,技能升级,11,FALSE)*C24*I24*J24,0)</f>
        <v>0</v>
      </c>
      <c r="I24">
        <v>1</v>
      </c>
      <c r="J24">
        <v>1</v>
      </c>
      <c r="N24">
        <v>7</v>
      </c>
      <c r="O24">
        <v>1</v>
      </c>
      <c r="P24">
        <v>4</v>
      </c>
      <c r="Q24">
        <f>SUM(P$18:P24)*3</f>
        <v>52.5</v>
      </c>
    </row>
    <row r="25" spans="1:18" x14ac:dyDescent="0.15">
      <c r="E25" t="s">
        <v>194</v>
      </c>
      <c r="F25">
        <f>SUM(F18:F24)/1000</f>
        <v>19.2</v>
      </c>
      <c r="G25">
        <f>SUM(G18:G24)/1000</f>
        <v>4.8</v>
      </c>
      <c r="H25">
        <f>SUM(H18:H24)</f>
        <v>1931</v>
      </c>
      <c r="I25" t="s">
        <v>196</v>
      </c>
      <c r="J25" t="s">
        <v>197</v>
      </c>
      <c r="N25">
        <v>8</v>
      </c>
      <c r="O25">
        <v>1</v>
      </c>
      <c r="P25">
        <v>4.5</v>
      </c>
      <c r="Q25">
        <f>SUM(P$18:P25)*3</f>
        <v>66</v>
      </c>
    </row>
    <row r="26" spans="1:18" x14ac:dyDescent="0.15">
      <c r="E26" t="s">
        <v>195</v>
      </c>
      <c r="F26">
        <f>INT((IF($A16&gt;10000,VLOOKUP($A16,实战属性,13,FALSE),VLOOKUP($A16,总基本属性,7,FALSE))-
IF($B16&gt;10000,VLOOKUP($B16,实战属性,15,FALSE),VLOOKUP($B16,总基本属性,9,FALSE))*$L$13)*F25)</f>
        <v>1324</v>
      </c>
      <c r="G26">
        <f>INT((IF($A16&gt;10000,VLOOKUP($A16,实战属性,14,FALSE),VLOOKUP($A16,总基本属性,8,FALSE))-
IF($B16&gt;10000,VLOOKUP($B16,实战属性,16,FALSE),VLOOKUP($B16,总基本属性,10,FALSE))*$L$13)*G25)</f>
        <v>331</v>
      </c>
      <c r="H26">
        <f>H25+F26+G26</f>
        <v>3586</v>
      </c>
      <c r="I26">
        <f>IF($B16&gt;10000,VLOOKUP($B16,实战属性,12,FALSE),VLOOKUP($B16,总基本属性,6,FALSE))</f>
        <v>3695</v>
      </c>
      <c r="J26">
        <f>ROUND(I26/H26,2)</f>
        <v>1.03</v>
      </c>
      <c r="N26">
        <v>9</v>
      </c>
      <c r="O26">
        <v>1</v>
      </c>
      <c r="P26">
        <v>5</v>
      </c>
      <c r="Q26">
        <f>SUM(P$18:P26)*3</f>
        <v>81</v>
      </c>
    </row>
    <row r="27" spans="1:18" x14ac:dyDescent="0.15">
      <c r="N27">
        <v>10</v>
      </c>
      <c r="O27">
        <v>1</v>
      </c>
      <c r="P27">
        <v>5.5</v>
      </c>
      <c r="Q27">
        <f>SUM(P$18:P27)*3</f>
        <v>97.5</v>
      </c>
    </row>
    <row r="30" spans="1:18" x14ac:dyDescent="0.15">
      <c r="A30" t="s">
        <v>337</v>
      </c>
      <c r="B30" t="s">
        <v>337</v>
      </c>
      <c r="C30" t="s">
        <v>178</v>
      </c>
      <c r="D30" t="s">
        <v>0</v>
      </c>
    </row>
    <row r="31" spans="1:18" x14ac:dyDescent="0.15">
      <c r="A31">
        <f>A16+10</f>
        <v>3020</v>
      </c>
      <c r="B31">
        <f>A31</f>
        <v>3020</v>
      </c>
      <c r="C31">
        <v>33</v>
      </c>
      <c r="D31">
        <f>MOD(A31,1000)</f>
        <v>20</v>
      </c>
    </row>
    <row r="32" spans="1:18" x14ac:dyDescent="0.15">
      <c r="A32" t="s">
        <v>156</v>
      </c>
      <c r="B32" t="s">
        <v>95</v>
      </c>
      <c r="C32" t="s">
        <v>177</v>
      </c>
      <c r="D32" t="s">
        <v>143</v>
      </c>
      <c r="E32" t="s">
        <v>182</v>
      </c>
      <c r="F32" t="s">
        <v>192</v>
      </c>
      <c r="G32" t="s">
        <v>193</v>
      </c>
      <c r="H32" t="s">
        <v>176</v>
      </c>
      <c r="I32" t="s">
        <v>205</v>
      </c>
      <c r="J32" t="s">
        <v>206</v>
      </c>
    </row>
    <row r="33" spans="1:10" x14ac:dyDescent="0.15">
      <c r="A33">
        <v>32</v>
      </c>
      <c r="B33" t="s">
        <v>26</v>
      </c>
      <c r="C33">
        <f>INT(C31/(VLOOKUP(A33,技能参数,5,FALSE)+2*VLOOKUP(A33,技能参数,4,FALSE))+3)</f>
        <v>4</v>
      </c>
      <c r="D33">
        <f>VLOOKUP(A33,技能参数,4,FALSE)</f>
        <v>1</v>
      </c>
      <c r="E33">
        <f>IFERROR(VLOOKUP(A33*1000+D31,学习等级编码,2),0)</f>
        <v>3202</v>
      </c>
      <c r="F33">
        <f t="shared" ref="F33:F39" si="10">IFERROR(INT(VLOOKUP($E33,技能升级,9,FALSE)*$C33*I33*J33),0)</f>
        <v>0</v>
      </c>
      <c r="G33">
        <f t="shared" ref="G33:G39" si="11">IFERROR(INT(VLOOKUP($E33,技能升级,10,FALSE)*$C33*I33*J33),0)</f>
        <v>5000</v>
      </c>
      <c r="H33">
        <f>INT(VLOOKUP($E33,技能升级,11,FALSE)*$C33*I33*J33)</f>
        <v>136</v>
      </c>
      <c r="I33">
        <v>1</v>
      </c>
      <c r="J33">
        <v>1</v>
      </c>
    </row>
    <row r="34" spans="1:10" x14ac:dyDescent="0.15">
      <c r="A34">
        <v>34</v>
      </c>
      <c r="B34" t="s">
        <v>34</v>
      </c>
      <c r="C34">
        <f>INT(C31/(VLOOKUP(A34,技能参数,5,FALSE)+2*VLOOKUP(A34,技能参数,4,FALSE))+1)</f>
        <v>2</v>
      </c>
      <c r="D34">
        <f>VLOOKUP(A34,技能参数,4,FALSE)</f>
        <v>1.5</v>
      </c>
      <c r="E34">
        <f>IFERROR(VLOOKUP(A34*1000+D31,学习等级编码,2),0)</f>
        <v>3402</v>
      </c>
      <c r="F34">
        <f t="shared" si="10"/>
        <v>3160</v>
      </c>
      <c r="G34">
        <f t="shared" si="11"/>
        <v>0</v>
      </c>
      <c r="H34">
        <f>INT(VLOOKUP($E34,技能升级,11,FALSE)*$C34*I34*J34)</f>
        <v>110</v>
      </c>
      <c r="I34">
        <v>1</v>
      </c>
      <c r="J34">
        <v>1</v>
      </c>
    </row>
    <row r="35" spans="1:10" x14ac:dyDescent="0.15">
      <c r="A35">
        <v>35</v>
      </c>
      <c r="B35" t="s">
        <v>141</v>
      </c>
      <c r="C35">
        <v>3</v>
      </c>
      <c r="D35">
        <f>VLOOKUP(A35,技能参数,4,FALSE)</f>
        <v>2</v>
      </c>
      <c r="E35">
        <f>IFERROR(VLOOKUP(A35*1000+D31,学习等级编码,2),0)</f>
        <v>3501</v>
      </c>
      <c r="F35">
        <f t="shared" si="10"/>
        <v>6000</v>
      </c>
      <c r="G35">
        <f t="shared" si="11"/>
        <v>0</v>
      </c>
      <c r="H35">
        <f>INT(VLOOKUP($E35,技能升级,11,FALSE)*$C35*I35*J35)</f>
        <v>138</v>
      </c>
      <c r="I35">
        <v>1</v>
      </c>
      <c r="J35">
        <v>1</v>
      </c>
    </row>
    <row r="36" spans="1:10" x14ac:dyDescent="0.15">
      <c r="A36">
        <v>31</v>
      </c>
      <c r="B36" t="s">
        <v>91</v>
      </c>
      <c r="C36">
        <f>INT((C31-C33*D33-C34*D34-C35*D35-C38-C39)/D36)</f>
        <v>13</v>
      </c>
      <c r="D36">
        <f>VLOOKUP(A36,技能参数,4,FALSE)</f>
        <v>0.8</v>
      </c>
      <c r="E36">
        <f>IFERROR(VLOOKUP(A36*1000+D31,学习等级编码,2),0)</f>
        <v>3103</v>
      </c>
      <c r="F36">
        <f t="shared" si="10"/>
        <v>13520</v>
      </c>
      <c r="G36">
        <f t="shared" si="11"/>
        <v>0</v>
      </c>
      <c r="H36">
        <f>INT(VLOOKUP($E36,技能升级,11,FALSE)*$C36*I36*J36)</f>
        <v>481</v>
      </c>
      <c r="I36">
        <v>1</v>
      </c>
      <c r="J36">
        <f>VLOOKUP(A31,$A$2:$I$11,7,FALSE)</f>
        <v>1</v>
      </c>
    </row>
    <row r="37" spans="1:10" x14ac:dyDescent="0.15">
      <c r="A37">
        <v>203</v>
      </c>
      <c r="B37" t="s">
        <v>340</v>
      </c>
      <c r="C37">
        <f>INT((C31-C38-C39)/3)</f>
        <v>8</v>
      </c>
      <c r="D37">
        <v>0</v>
      </c>
      <c r="E37">
        <f>IFERROR(VLOOKUP(A37*1000+D31,学习等级编码,2),0)</f>
        <v>20302</v>
      </c>
      <c r="F37">
        <f t="shared" si="10"/>
        <v>0</v>
      </c>
      <c r="G37">
        <f t="shared" si="11"/>
        <v>0</v>
      </c>
      <c r="H37">
        <f>INT((VLOOKUP(E37,技能升级,13,FALSE)*(VLOOKUP(C37,中毒数据,4)+MOD(C31,3)*VLOOKUP(C37+1,中毒数据,3))+VLOOKUP(E37,技能升级,14,FALSE)/1000*C37*IF($B31&gt;10000,VLOOKUP($B31,实战属性,12,FALSE),VLOOKUP($B31,总基本属性,6,FALSE)))*I37*J37)</f>
        <v>4567</v>
      </c>
      <c r="I37">
        <v>1</v>
      </c>
      <c r="J37">
        <f>VLOOKUP(A31,$A$2:$I$11,8,FALSE)</f>
        <v>1</v>
      </c>
    </row>
    <row r="38" spans="1:10" x14ac:dyDescent="0.15">
      <c r="A38">
        <v>204</v>
      </c>
      <c r="B38" t="s">
        <v>338</v>
      </c>
      <c r="C38">
        <v>3</v>
      </c>
      <c r="D38">
        <v>0</v>
      </c>
      <c r="E38">
        <f>IFERROR(VLOOKUP(A38*1000+D31,学习等级编码,2),0)</f>
        <v>20401</v>
      </c>
      <c r="F38">
        <f t="shared" si="10"/>
        <v>0</v>
      </c>
      <c r="G38">
        <f t="shared" si="11"/>
        <v>0</v>
      </c>
      <c r="H38">
        <f>IFERROR(VLOOKUP(E38,技能升级,11,FALSE)*C38,0)</f>
        <v>0</v>
      </c>
      <c r="I38">
        <v>1</v>
      </c>
      <c r="J38">
        <v>1</v>
      </c>
    </row>
    <row r="39" spans="1:10" x14ac:dyDescent="0.15">
      <c r="B39" t="s">
        <v>342</v>
      </c>
      <c r="C39">
        <v>6</v>
      </c>
      <c r="D39">
        <v>0</v>
      </c>
      <c r="E39">
        <f>IFERROR(VLOOKUP(A39*1000+D31,学习等级编码,2),0)</f>
        <v>0</v>
      </c>
      <c r="F39">
        <f t="shared" si="10"/>
        <v>0</v>
      </c>
      <c r="G39">
        <f t="shared" si="11"/>
        <v>0</v>
      </c>
      <c r="H39">
        <f>IFERROR(VLOOKUP(E39,技能升级,11,FALSE)*C39*I39*J39,0)</f>
        <v>0</v>
      </c>
      <c r="I39">
        <v>1</v>
      </c>
      <c r="J39">
        <v>1</v>
      </c>
    </row>
    <row r="40" spans="1:10" x14ac:dyDescent="0.15">
      <c r="E40" t="s">
        <v>194</v>
      </c>
      <c r="F40">
        <f>SUM(F33:F39)/1000</f>
        <v>22.68</v>
      </c>
      <c r="G40">
        <f>SUM(G33:G39)/1000</f>
        <v>5</v>
      </c>
      <c r="H40">
        <f>SUM(H33:H39)</f>
        <v>5432</v>
      </c>
      <c r="I40" t="s">
        <v>196</v>
      </c>
      <c r="J40" t="s">
        <v>197</v>
      </c>
    </row>
    <row r="41" spans="1:10" x14ac:dyDescent="0.15">
      <c r="E41" t="s">
        <v>195</v>
      </c>
      <c r="F41">
        <f>INT((IF($A31&gt;10000,VLOOKUP($A31,实战属性,13,FALSE),VLOOKUP($A31,总基本属性,7,FALSE))-
IF($B31&gt;10000,VLOOKUP($B31,实战属性,15,FALSE),VLOOKUP($B31,总基本属性,9,FALSE))*$L$13)*F40)</f>
        <v>4082</v>
      </c>
      <c r="G41">
        <f>INT((IF($A31&gt;10000,VLOOKUP($A31,实战属性,14,FALSE),VLOOKUP($A31,总基本属性,8,FALSE))-
IF($B31&gt;10000,VLOOKUP($B31,实战属性,16,FALSE),VLOOKUP($B31,总基本属性,10,FALSE))*$L$13)*G40)</f>
        <v>900</v>
      </c>
      <c r="H41">
        <f>H40+F41+G41</f>
        <v>10414</v>
      </c>
      <c r="I41">
        <f>IF($B31&gt;10000,VLOOKUP($B31,实战属性,12,FALSE),VLOOKUP($B31,总基本属性,6,FALSE))</f>
        <v>10899</v>
      </c>
      <c r="J41">
        <f>ROUND(I41/H41,2)</f>
        <v>1.05</v>
      </c>
    </row>
    <row r="45" spans="1:10" x14ac:dyDescent="0.15">
      <c r="A45" t="s">
        <v>4</v>
      </c>
      <c r="B45" t="s">
        <v>4</v>
      </c>
      <c r="C45" t="s">
        <v>178</v>
      </c>
      <c r="D45" t="s">
        <v>0</v>
      </c>
    </row>
    <row r="46" spans="1:10" x14ac:dyDescent="0.15">
      <c r="A46">
        <f>A31+10</f>
        <v>3030</v>
      </c>
      <c r="B46">
        <f>A46</f>
        <v>3030</v>
      </c>
      <c r="C46">
        <v>31</v>
      </c>
      <c r="D46">
        <f>MOD(A46,1000)</f>
        <v>30</v>
      </c>
    </row>
    <row r="47" spans="1:10" x14ac:dyDescent="0.15">
      <c r="A47" t="s">
        <v>156</v>
      </c>
      <c r="B47" t="s">
        <v>95</v>
      </c>
      <c r="C47" t="s">
        <v>177</v>
      </c>
      <c r="D47" t="s">
        <v>143</v>
      </c>
      <c r="E47" t="s">
        <v>182</v>
      </c>
      <c r="F47" t="s">
        <v>192</v>
      </c>
      <c r="G47" t="s">
        <v>193</v>
      </c>
      <c r="H47" t="s">
        <v>176</v>
      </c>
      <c r="I47" t="s">
        <v>205</v>
      </c>
      <c r="J47" t="s">
        <v>206</v>
      </c>
    </row>
    <row r="48" spans="1:10" x14ac:dyDescent="0.15">
      <c r="A48">
        <v>32</v>
      </c>
      <c r="B48" t="s">
        <v>26</v>
      </c>
      <c r="C48">
        <f>INT(C46/(VLOOKUP(A48,技能参数,5,FALSE)+2*VLOOKUP(A48,技能参数,4,FALSE))+3)</f>
        <v>4</v>
      </c>
      <c r="D48">
        <f>VLOOKUP(A48,技能参数,4,FALSE)</f>
        <v>1</v>
      </c>
      <c r="E48">
        <f>IFERROR(VLOOKUP(A48*1000+D46,学习等级编码,2),0)</f>
        <v>3203</v>
      </c>
      <c r="F48">
        <f t="shared" ref="F48:F54" si="12">IFERROR(INT(VLOOKUP($E48,技能升级,9,FALSE)*$C48*I48*J48),0)</f>
        <v>0</v>
      </c>
      <c r="G48">
        <f t="shared" ref="G48:G54" si="13">IFERROR(INT(VLOOKUP($E48,技能升级,10,FALSE)*$C48*I48*J48),0)</f>
        <v>5160</v>
      </c>
      <c r="H48">
        <f>INT(VLOOKUP($E48,技能升级,11,FALSE)*$C48*I48*J48)</f>
        <v>252</v>
      </c>
      <c r="I48">
        <v>1</v>
      </c>
      <c r="J48">
        <v>1</v>
      </c>
    </row>
    <row r="49" spans="1:10" x14ac:dyDescent="0.15">
      <c r="A49">
        <v>34</v>
      </c>
      <c r="B49" t="s">
        <v>34</v>
      </c>
      <c r="C49">
        <f>INT(C46/(VLOOKUP(A49,技能参数,5,FALSE)+2*VLOOKUP(A49,技能参数,4,FALSE))+1)</f>
        <v>2</v>
      </c>
      <c r="D49">
        <f>VLOOKUP(A49,技能参数,4,FALSE)</f>
        <v>1.5</v>
      </c>
      <c r="E49">
        <f>IFERROR(VLOOKUP(A49*1000+D46,学习等级编码,2),0)</f>
        <v>3403</v>
      </c>
      <c r="F49">
        <f t="shared" si="12"/>
        <v>3340</v>
      </c>
      <c r="G49">
        <f t="shared" si="13"/>
        <v>0</v>
      </c>
      <c r="H49">
        <f>INT(VLOOKUP($E49,技能升级,11,FALSE)*$C49*I49*J49)</f>
        <v>180</v>
      </c>
      <c r="I49">
        <v>1</v>
      </c>
      <c r="J49">
        <v>1</v>
      </c>
    </row>
    <row r="50" spans="1:10" x14ac:dyDescent="0.15">
      <c r="A50">
        <v>35</v>
      </c>
      <c r="B50" t="s">
        <v>28</v>
      </c>
      <c r="C50">
        <v>3</v>
      </c>
      <c r="D50">
        <f>VLOOKUP(A50,技能参数,4,FALSE)</f>
        <v>2</v>
      </c>
      <c r="E50">
        <f>IFERROR(VLOOKUP(A50*1000+D46,学习等级编码,2),0)</f>
        <v>3502</v>
      </c>
      <c r="F50">
        <f t="shared" si="12"/>
        <v>6510</v>
      </c>
      <c r="G50">
        <f t="shared" si="13"/>
        <v>0</v>
      </c>
      <c r="H50">
        <f>INT(VLOOKUP($E50,技能升级,11,FALSE)*$C50*I50*J50)</f>
        <v>249</v>
      </c>
      <c r="I50">
        <v>1</v>
      </c>
      <c r="J50">
        <v>1</v>
      </c>
    </row>
    <row r="51" spans="1:10" x14ac:dyDescent="0.15">
      <c r="A51">
        <v>31</v>
      </c>
      <c r="B51" t="s">
        <v>91</v>
      </c>
      <c r="C51">
        <f>INT((C46-C48*D48-C49*D49-C50*D50-C53-C54)/D51)</f>
        <v>11</v>
      </c>
      <c r="D51">
        <f>VLOOKUP(A51,技能参数,4,FALSE)</f>
        <v>0.8</v>
      </c>
      <c r="E51">
        <f>IFERROR(VLOOKUP(A51*1000+D46,学习等级编码,2),0)</f>
        <v>3105</v>
      </c>
      <c r="F51">
        <f t="shared" si="12"/>
        <v>11990</v>
      </c>
      <c r="G51">
        <f t="shared" si="13"/>
        <v>0</v>
      </c>
      <c r="H51">
        <f>INT(VLOOKUP($E51,技能升级,11,FALSE)*$C51*I51*J51)</f>
        <v>968</v>
      </c>
      <c r="I51">
        <v>1</v>
      </c>
      <c r="J51">
        <f>VLOOKUP(A46,$A$2:$I$11,7,FALSE)</f>
        <v>1</v>
      </c>
    </row>
    <row r="52" spans="1:10" x14ac:dyDescent="0.15">
      <c r="A52">
        <v>203</v>
      </c>
      <c r="B52" t="s">
        <v>340</v>
      </c>
      <c r="C52">
        <f>INT((C46-C53-C54)/3)</f>
        <v>7</v>
      </c>
      <c r="D52">
        <v>0</v>
      </c>
      <c r="E52">
        <f>IFERROR(VLOOKUP(A52*1000+D46,学习等级编码,2),0)</f>
        <v>20303</v>
      </c>
      <c r="F52">
        <f t="shared" si="12"/>
        <v>0</v>
      </c>
      <c r="G52">
        <f t="shared" si="13"/>
        <v>0</v>
      </c>
      <c r="H52">
        <f>INT((VLOOKUP(E52,技能升级,13,FALSE)*(VLOOKUP(C52,中毒数据,4)+MOD(C46,3)*VLOOKUP(C52+1,中毒数据,3))+VLOOKUP(E52,技能升级,14,FALSE)/1000*C52*IF($B46&gt;10000,VLOOKUP($B46,实战属性,12,FALSE),VLOOKUP($B46,总基本属性,6,FALSE)))*I52*J52)</f>
        <v>9115</v>
      </c>
      <c r="I52">
        <v>1</v>
      </c>
      <c r="J52">
        <f>VLOOKUP(A46,$A$2:$I$11,8,FALSE)</f>
        <v>1</v>
      </c>
    </row>
    <row r="53" spans="1:10" x14ac:dyDescent="0.15">
      <c r="A53">
        <v>204</v>
      </c>
      <c r="B53" t="s">
        <v>338</v>
      </c>
      <c r="C53">
        <v>3</v>
      </c>
      <c r="D53">
        <v>0</v>
      </c>
      <c r="E53">
        <f>IFERROR(VLOOKUP(A53*1000+D46,学习等级编码,2),0)</f>
        <v>20401</v>
      </c>
      <c r="F53">
        <f t="shared" si="12"/>
        <v>0</v>
      </c>
      <c r="G53">
        <f t="shared" si="13"/>
        <v>0</v>
      </c>
      <c r="H53">
        <f>IFERROR(VLOOKUP(E53,技能升级,11,FALSE)*C53,0)</f>
        <v>0</v>
      </c>
      <c r="I53">
        <v>1</v>
      </c>
      <c r="J53">
        <v>1</v>
      </c>
    </row>
    <row r="54" spans="1:10" x14ac:dyDescent="0.15">
      <c r="B54" t="s">
        <v>342</v>
      </c>
      <c r="C54">
        <v>6</v>
      </c>
      <c r="D54">
        <v>0</v>
      </c>
      <c r="E54">
        <f>IFERROR(VLOOKUP(A54*1000+D46,学习等级编码,2),0)</f>
        <v>0</v>
      </c>
      <c r="F54">
        <f t="shared" si="12"/>
        <v>0</v>
      </c>
      <c r="G54">
        <f t="shared" si="13"/>
        <v>0</v>
      </c>
      <c r="H54">
        <f>IFERROR(VLOOKUP(E54,技能升级,11,FALSE)*C54*I54*J54,0)</f>
        <v>0</v>
      </c>
      <c r="I54">
        <v>1</v>
      </c>
      <c r="J54">
        <v>1</v>
      </c>
    </row>
    <row r="55" spans="1:10" x14ac:dyDescent="0.15">
      <c r="E55" t="s">
        <v>194</v>
      </c>
      <c r="F55">
        <f>SUM(F48:F54)/1000</f>
        <v>21.84</v>
      </c>
      <c r="G55">
        <f>SUM(G48:G54)/1000</f>
        <v>5.16</v>
      </c>
      <c r="H55">
        <f>SUM(H48:H54)</f>
        <v>10764</v>
      </c>
      <c r="I55" t="s">
        <v>196</v>
      </c>
      <c r="J55" t="s">
        <v>197</v>
      </c>
    </row>
    <row r="56" spans="1:10" x14ac:dyDescent="0.15">
      <c r="E56" t="s">
        <v>195</v>
      </c>
      <c r="F56">
        <f>INT((IF($A46&gt;10000,VLOOKUP($A46,实战属性,13,FALSE),VLOOKUP($A46,总基本属性,7,FALSE))-
IF($B46&gt;10000,VLOOKUP($B46,实战属性,15,FALSE),VLOOKUP($B46,总基本属性,9,FALSE))*$L$13)*F55)</f>
        <v>7676</v>
      </c>
      <c r="G56">
        <f>INT((IF($A46&gt;10000,VLOOKUP($A46,实战属性,14,FALSE),VLOOKUP($A46,总基本属性,8,FALSE))-
IF($B46&gt;10000,VLOOKUP($B46,实战属性,16,FALSE),VLOOKUP($B46,总基本属性,10,FALSE))*$L$13)*G55)</f>
        <v>1813</v>
      </c>
      <c r="H56">
        <f>H55+F56+G56</f>
        <v>20253</v>
      </c>
      <c r="I56">
        <f>IF($B46&gt;10000,VLOOKUP($B46,实战属性,12,FALSE),VLOOKUP($B46,总基本属性,6,FALSE))</f>
        <v>20298</v>
      </c>
      <c r="J56">
        <f>ROUND(I56/H56,2)</f>
        <v>1</v>
      </c>
    </row>
    <row r="60" spans="1:10" x14ac:dyDescent="0.15">
      <c r="A60" t="s">
        <v>4</v>
      </c>
      <c r="B60" t="s">
        <v>4</v>
      </c>
      <c r="C60" t="s">
        <v>178</v>
      </c>
      <c r="D60" t="s">
        <v>0</v>
      </c>
    </row>
    <row r="61" spans="1:10" x14ac:dyDescent="0.15">
      <c r="A61">
        <f>A46+10</f>
        <v>3040</v>
      </c>
      <c r="B61">
        <f>A61</f>
        <v>3040</v>
      </c>
      <c r="C61">
        <v>31</v>
      </c>
      <c r="D61">
        <f>MOD(A61,1000)</f>
        <v>40</v>
      </c>
    </row>
    <row r="62" spans="1:10" x14ac:dyDescent="0.15">
      <c r="A62" t="s">
        <v>156</v>
      </c>
      <c r="B62" t="s">
        <v>95</v>
      </c>
      <c r="C62" t="s">
        <v>177</v>
      </c>
      <c r="D62" t="s">
        <v>143</v>
      </c>
      <c r="E62" t="s">
        <v>182</v>
      </c>
      <c r="F62" t="s">
        <v>192</v>
      </c>
      <c r="G62" t="s">
        <v>193</v>
      </c>
      <c r="H62" t="s">
        <v>176</v>
      </c>
      <c r="I62" t="s">
        <v>205</v>
      </c>
      <c r="J62" t="s">
        <v>206</v>
      </c>
    </row>
    <row r="63" spans="1:10" x14ac:dyDescent="0.15">
      <c r="A63">
        <v>32</v>
      </c>
      <c r="B63" t="s">
        <v>26</v>
      </c>
      <c r="C63">
        <f>INT(C61/(VLOOKUP(A63,技能参数,5,FALSE)+2*VLOOKUP(A63,技能参数,4,FALSE))+3)</f>
        <v>4</v>
      </c>
      <c r="D63">
        <f>VLOOKUP(A63,技能参数,4,FALSE)</f>
        <v>1</v>
      </c>
      <c r="E63">
        <f>IFERROR(VLOOKUP(A63*1000+D61,学习等级编码,2),0)</f>
        <v>3204</v>
      </c>
      <c r="F63">
        <f t="shared" ref="F63:F69" si="14">IFERROR(INT(VLOOKUP($E63,技能升级,9,FALSE)*$C63*I63*J63),0)</f>
        <v>0</v>
      </c>
      <c r="G63">
        <f t="shared" ref="G63:G69" si="15">IFERROR(INT(VLOOKUP($E63,技能升级,10,FALSE)*$C63*I63*J63),0)</f>
        <v>5360</v>
      </c>
      <c r="H63">
        <f>INT(VLOOKUP($E63,技能升级,11,FALSE)*$C63*I63*J63)</f>
        <v>428</v>
      </c>
      <c r="I63">
        <v>1</v>
      </c>
      <c r="J63">
        <v>1</v>
      </c>
    </row>
    <row r="64" spans="1:10" x14ac:dyDescent="0.15">
      <c r="A64">
        <v>34</v>
      </c>
      <c r="B64" t="s">
        <v>34</v>
      </c>
      <c r="C64">
        <f>INT(C61/(VLOOKUP(A64,技能参数,5,FALSE)+2*VLOOKUP(A64,技能参数,4,FALSE))+1)</f>
        <v>2</v>
      </c>
      <c r="D64">
        <f>VLOOKUP(A64,技能参数,4,FALSE)</f>
        <v>1.5</v>
      </c>
      <c r="E64">
        <f>IFERROR(VLOOKUP(A64*1000+D61,学习等级编码,2),0)</f>
        <v>3404</v>
      </c>
      <c r="F64">
        <f t="shared" si="14"/>
        <v>3500</v>
      </c>
      <c r="G64">
        <f t="shared" si="15"/>
        <v>0</v>
      </c>
      <c r="H64">
        <f>INT(VLOOKUP($E64,技能升级,11,FALSE)*$C64*I64*J64)</f>
        <v>280</v>
      </c>
      <c r="I64">
        <v>1</v>
      </c>
      <c r="J64">
        <v>1</v>
      </c>
    </row>
    <row r="65" spans="1:10" x14ac:dyDescent="0.15">
      <c r="A65">
        <v>35</v>
      </c>
      <c r="B65" t="s">
        <v>28</v>
      </c>
      <c r="C65">
        <v>3</v>
      </c>
      <c r="D65">
        <f>VLOOKUP(A65,技能参数,4,FALSE)</f>
        <v>2</v>
      </c>
      <c r="E65">
        <f>IFERROR(VLOOKUP(A65*1000+D61,学习等级编码,2),0)</f>
        <v>3503</v>
      </c>
      <c r="F65">
        <f t="shared" si="14"/>
        <v>6990</v>
      </c>
      <c r="G65">
        <f t="shared" si="15"/>
        <v>0</v>
      </c>
      <c r="H65">
        <f>INT(VLOOKUP($E65,技能升级,11,FALSE)*$C65*I65*J65)</f>
        <v>483</v>
      </c>
      <c r="I65">
        <v>1</v>
      </c>
      <c r="J65">
        <v>1</v>
      </c>
    </row>
    <row r="66" spans="1:10" x14ac:dyDescent="0.15">
      <c r="A66">
        <v>31</v>
      </c>
      <c r="B66" t="s">
        <v>91</v>
      </c>
      <c r="C66">
        <f>INT((C61-C63*D63-C64*D64-C65*D65-C68-C69)/D66)</f>
        <v>11</v>
      </c>
      <c r="D66">
        <f>VLOOKUP(A66,技能参数,4,FALSE)</f>
        <v>0.8</v>
      </c>
      <c r="E66">
        <f>IFERROR(VLOOKUP(A66*1000+D61,学习等级编码,2),0)</f>
        <v>3106</v>
      </c>
      <c r="F66">
        <f t="shared" si="14"/>
        <v>12210</v>
      </c>
      <c r="G66">
        <f t="shared" si="15"/>
        <v>0</v>
      </c>
      <c r="H66">
        <f>INT(VLOOKUP($E66,技能升级,11,FALSE)*$C66*I66*J66)</f>
        <v>1375</v>
      </c>
      <c r="I66">
        <v>1</v>
      </c>
      <c r="J66">
        <f>VLOOKUP(A61,$A$2:$I$11,7,FALSE)</f>
        <v>1</v>
      </c>
    </row>
    <row r="67" spans="1:10" x14ac:dyDescent="0.15">
      <c r="A67">
        <v>203</v>
      </c>
      <c r="B67" t="s">
        <v>340</v>
      </c>
      <c r="C67">
        <f>INT((C61-C68-C69)/3)</f>
        <v>7</v>
      </c>
      <c r="D67">
        <v>0</v>
      </c>
      <c r="E67">
        <f>IFERROR(VLOOKUP(A67*1000+D61,学习等级编码,2),0)</f>
        <v>20304</v>
      </c>
      <c r="F67">
        <f t="shared" si="14"/>
        <v>0</v>
      </c>
      <c r="G67">
        <f t="shared" si="15"/>
        <v>0</v>
      </c>
      <c r="H67">
        <f>INT((VLOOKUP(E67,技能升级,13,FALSE)*(VLOOKUP(C67,中毒数据,4)+MOD(C61,3)*VLOOKUP(C67+1,中毒数据,3))+VLOOKUP(E67,技能升级,14,FALSE)/1000*C67*IF($B61&gt;10000,VLOOKUP($B61,实战属性,12,FALSE),VLOOKUP($B61,总基本属性,6,FALSE)))*I67*J67)</f>
        <v>15637</v>
      </c>
      <c r="I67">
        <v>1</v>
      </c>
      <c r="J67">
        <f>VLOOKUP(A61,$A$2:$I$11,8,FALSE)</f>
        <v>1</v>
      </c>
    </row>
    <row r="68" spans="1:10" x14ac:dyDescent="0.15">
      <c r="A68">
        <v>204</v>
      </c>
      <c r="B68" t="s">
        <v>338</v>
      </c>
      <c r="C68">
        <v>3</v>
      </c>
      <c r="D68">
        <v>0</v>
      </c>
      <c r="E68">
        <f>IFERROR(VLOOKUP(A68*1000+D61,学习等级编码,2),0)</f>
        <v>20401</v>
      </c>
      <c r="F68">
        <f t="shared" si="14"/>
        <v>0</v>
      </c>
      <c r="G68">
        <f t="shared" si="15"/>
        <v>0</v>
      </c>
      <c r="H68">
        <f>IFERROR(VLOOKUP(E68,技能升级,11,FALSE)*C68,0)</f>
        <v>0</v>
      </c>
      <c r="I68">
        <v>1</v>
      </c>
      <c r="J68">
        <v>1</v>
      </c>
    </row>
    <row r="69" spans="1:10" x14ac:dyDescent="0.15">
      <c r="B69" t="s">
        <v>342</v>
      </c>
      <c r="C69">
        <v>6</v>
      </c>
      <c r="D69">
        <v>0</v>
      </c>
      <c r="E69">
        <f>IFERROR(VLOOKUP(A69*1000+D61,学习等级编码,2),0)</f>
        <v>0</v>
      </c>
      <c r="F69">
        <f t="shared" si="14"/>
        <v>0</v>
      </c>
      <c r="G69">
        <f t="shared" si="15"/>
        <v>0</v>
      </c>
      <c r="H69">
        <f>IFERROR(VLOOKUP(E69,技能升级,11,FALSE)*C69*I69*J69,0)</f>
        <v>0</v>
      </c>
      <c r="I69">
        <v>1</v>
      </c>
      <c r="J69">
        <v>1</v>
      </c>
    </row>
    <row r="70" spans="1:10" x14ac:dyDescent="0.15">
      <c r="E70" t="s">
        <v>194</v>
      </c>
      <c r="F70">
        <f>SUM(F63:F69)/1000</f>
        <v>22.7</v>
      </c>
      <c r="G70">
        <f>SUM(G63:G69)/1000</f>
        <v>5.36</v>
      </c>
      <c r="H70">
        <f>SUM(H63:H69)</f>
        <v>18203</v>
      </c>
      <c r="I70" t="s">
        <v>196</v>
      </c>
      <c r="J70" t="s">
        <v>197</v>
      </c>
    </row>
    <row r="71" spans="1:10" x14ac:dyDescent="0.15">
      <c r="E71" t="s">
        <v>195</v>
      </c>
      <c r="F71">
        <f>INT((IF($A61&gt;10000,VLOOKUP($A61,实战属性,13,FALSE),VLOOKUP($A61,总基本属性,7,FALSE))-
IF($B61&gt;10000,VLOOKUP($B61,实战属性,15,FALSE),VLOOKUP($B61,总基本属性,9,FALSE))*$L$13)*F70)</f>
        <v>13256</v>
      </c>
      <c r="G71">
        <f>INT((IF($A61&gt;10000,VLOOKUP($A61,实战属性,14,FALSE),VLOOKUP($A61,总基本属性,8,FALSE))-
IF($B61&gt;10000,VLOOKUP($B61,实战属性,16,FALSE),VLOOKUP($B61,总基本属性,10,FALSE))*$L$13)*G70)</f>
        <v>3130</v>
      </c>
      <c r="H71">
        <f>H70+F71+G71</f>
        <v>34589</v>
      </c>
      <c r="I71">
        <f>IF($B61&gt;10000,VLOOKUP($B61,实战属性,12,FALSE),VLOOKUP($B61,总基本属性,6,FALSE))</f>
        <v>34473</v>
      </c>
      <c r="J71">
        <f>ROUND(I71/H71,2)</f>
        <v>1</v>
      </c>
    </row>
    <row r="75" spans="1:10" x14ac:dyDescent="0.15">
      <c r="A75" t="s">
        <v>4</v>
      </c>
      <c r="B75" t="s">
        <v>4</v>
      </c>
      <c r="C75" t="s">
        <v>178</v>
      </c>
      <c r="D75" t="s">
        <v>0</v>
      </c>
    </row>
    <row r="76" spans="1:10" x14ac:dyDescent="0.15">
      <c r="A76">
        <f>A61+10</f>
        <v>3050</v>
      </c>
      <c r="B76">
        <f>A76</f>
        <v>3050</v>
      </c>
      <c r="C76">
        <v>31</v>
      </c>
      <c r="D76">
        <f>MOD(A76,1000)</f>
        <v>50</v>
      </c>
    </row>
    <row r="77" spans="1:10" x14ac:dyDescent="0.15">
      <c r="A77" t="s">
        <v>156</v>
      </c>
      <c r="B77" t="s">
        <v>95</v>
      </c>
      <c r="C77" t="s">
        <v>177</v>
      </c>
      <c r="D77" t="s">
        <v>143</v>
      </c>
      <c r="E77" t="s">
        <v>182</v>
      </c>
      <c r="F77" t="s">
        <v>192</v>
      </c>
      <c r="G77" t="s">
        <v>193</v>
      </c>
      <c r="H77" t="s">
        <v>176</v>
      </c>
      <c r="I77" t="s">
        <v>205</v>
      </c>
      <c r="J77" t="s">
        <v>206</v>
      </c>
    </row>
    <row r="78" spans="1:10" x14ac:dyDescent="0.15">
      <c r="A78">
        <v>32</v>
      </c>
      <c r="B78" t="s">
        <v>26</v>
      </c>
      <c r="C78">
        <f>INT(C76/(VLOOKUP(A78,技能参数,5,FALSE)+2*VLOOKUP(A78,技能参数,4,FALSE))+3)</f>
        <v>4</v>
      </c>
      <c r="D78">
        <f>VLOOKUP(A78,技能参数,4,FALSE)</f>
        <v>1</v>
      </c>
      <c r="E78">
        <f>IFERROR(VLOOKUP(A78*1000+D76,学习等级编码,2),0)</f>
        <v>3205</v>
      </c>
      <c r="F78">
        <f t="shared" ref="F78:F84" si="16">IFERROR(INT(VLOOKUP($E78,技能升级,9,FALSE)*$C78*I78*J78),0)</f>
        <v>0</v>
      </c>
      <c r="G78">
        <f t="shared" ref="G78:G84" si="17">IFERROR(INT(VLOOKUP($E78,技能升级,10,FALSE)*$C78*I78*J78),0)</f>
        <v>5560</v>
      </c>
      <c r="H78">
        <f>INT(VLOOKUP($E78,技能升级,11,FALSE)*$C78*I78*J78)</f>
        <v>664</v>
      </c>
      <c r="I78">
        <v>1</v>
      </c>
      <c r="J78">
        <v>1</v>
      </c>
    </row>
    <row r="79" spans="1:10" x14ac:dyDescent="0.15">
      <c r="A79">
        <v>34</v>
      </c>
      <c r="B79" t="s">
        <v>34</v>
      </c>
      <c r="C79">
        <f>INT(C76/(VLOOKUP(A79,技能参数,5,FALSE)+2*VLOOKUP(A79,技能参数,4,FALSE))+1)</f>
        <v>2</v>
      </c>
      <c r="D79">
        <f>VLOOKUP(A79,技能参数,4,FALSE)</f>
        <v>1.5</v>
      </c>
      <c r="E79">
        <f>IFERROR(VLOOKUP(A79*1000+D76,学习等级编码,2),0)</f>
        <v>3405</v>
      </c>
      <c r="F79">
        <f t="shared" si="16"/>
        <v>3660</v>
      </c>
      <c r="G79">
        <f t="shared" si="17"/>
        <v>0</v>
      </c>
      <c r="H79">
        <f>INT(VLOOKUP($E79,技能升级,11,FALSE)*$C79*I79*J79)</f>
        <v>410</v>
      </c>
      <c r="I79">
        <v>1</v>
      </c>
      <c r="J79">
        <v>1</v>
      </c>
    </row>
    <row r="80" spans="1:10" x14ac:dyDescent="0.15">
      <c r="A80">
        <v>35</v>
      </c>
      <c r="B80" t="s">
        <v>28</v>
      </c>
      <c r="C80">
        <v>3</v>
      </c>
      <c r="D80">
        <f>VLOOKUP(A80,技能参数,4,FALSE)</f>
        <v>2</v>
      </c>
      <c r="E80">
        <f>IFERROR(VLOOKUP(A80*1000+D76,学习等级编码,2),0)</f>
        <v>3503</v>
      </c>
      <c r="F80">
        <f t="shared" si="16"/>
        <v>6990</v>
      </c>
      <c r="G80">
        <f t="shared" si="17"/>
        <v>0</v>
      </c>
      <c r="H80">
        <f>INT(VLOOKUP($E80,技能升级,11,FALSE)*$C80*I80*J80)</f>
        <v>483</v>
      </c>
      <c r="I80">
        <v>1</v>
      </c>
      <c r="J80">
        <v>1</v>
      </c>
    </row>
    <row r="81" spans="1:10" x14ac:dyDescent="0.15">
      <c r="A81">
        <v>31</v>
      </c>
      <c r="B81" t="s">
        <v>91</v>
      </c>
      <c r="C81">
        <f>INT((C76-C78*D78-C79*D79-C80*D80-C83-C84)/D81)</f>
        <v>11</v>
      </c>
      <c r="D81">
        <f>VLOOKUP(A81,技能参数,4,FALSE)</f>
        <v>0.8</v>
      </c>
      <c r="E81">
        <f>IFERROR(VLOOKUP(A81*1000+D76,学习等级编码,2),0)</f>
        <v>3108</v>
      </c>
      <c r="F81">
        <f t="shared" si="16"/>
        <v>11675</v>
      </c>
      <c r="G81">
        <f t="shared" si="17"/>
        <v>0</v>
      </c>
      <c r="H81">
        <f>INT(VLOOKUP($E81,技能升级,11,FALSE)*$C81*I81*J81)</f>
        <v>2223</v>
      </c>
      <c r="I81">
        <v>1</v>
      </c>
      <c r="J81">
        <f>VLOOKUP(A76,$A$2:$I$11,7,FALSE)</f>
        <v>0.92299999999999993</v>
      </c>
    </row>
    <row r="82" spans="1:10" x14ac:dyDescent="0.15">
      <c r="A82">
        <v>203</v>
      </c>
      <c r="B82" t="s">
        <v>340</v>
      </c>
      <c r="C82">
        <f>INT((C76-C83-C84)/3)</f>
        <v>7</v>
      </c>
      <c r="D82">
        <v>0</v>
      </c>
      <c r="E82">
        <f>IFERROR(VLOOKUP(A82*1000+D76,学习等级编码,2),0)</f>
        <v>20305</v>
      </c>
      <c r="F82">
        <f t="shared" si="16"/>
        <v>0</v>
      </c>
      <c r="G82">
        <f t="shared" si="17"/>
        <v>0</v>
      </c>
      <c r="H82">
        <f>INT((VLOOKUP(E82,技能升级,13,FALSE)*(VLOOKUP(C82,中毒数据,4)+MOD(C76,3)*VLOOKUP(C82+1,中毒数据,3))+VLOOKUP(E82,技能升级,14,FALSE)/1000*C82*IF($B76&gt;10000,VLOOKUP($B76,实战属性,12,FALSE),VLOOKUP($B76,总基本属性,6,FALSE)))*I82*J82)</f>
        <v>20964</v>
      </c>
      <c r="I82">
        <v>1</v>
      </c>
      <c r="J82">
        <f>VLOOKUP(A76,$A$2:$I$11,8,FALSE)</f>
        <v>0.94000000000000006</v>
      </c>
    </row>
    <row r="83" spans="1:10" x14ac:dyDescent="0.15">
      <c r="A83">
        <v>204</v>
      </c>
      <c r="B83" t="s">
        <v>338</v>
      </c>
      <c r="C83">
        <v>3</v>
      </c>
      <c r="D83">
        <v>0</v>
      </c>
      <c r="E83">
        <f>IFERROR(VLOOKUP(A83*1000+D76,学习等级编码,2),0)</f>
        <v>20401</v>
      </c>
      <c r="F83">
        <f t="shared" si="16"/>
        <v>0</v>
      </c>
      <c r="G83">
        <f t="shared" si="17"/>
        <v>0</v>
      </c>
      <c r="H83">
        <f>IFERROR(VLOOKUP(E83,技能升级,11,FALSE)*C83,0)</f>
        <v>0</v>
      </c>
      <c r="I83">
        <v>1</v>
      </c>
      <c r="J83">
        <v>1</v>
      </c>
    </row>
    <row r="84" spans="1:10" x14ac:dyDescent="0.15">
      <c r="B84" t="s">
        <v>342</v>
      </c>
      <c r="C84">
        <v>6</v>
      </c>
      <c r="D84">
        <v>0</v>
      </c>
      <c r="E84">
        <f>IFERROR(VLOOKUP(A84*1000+D76,学习等级编码,2),0)</f>
        <v>0</v>
      </c>
      <c r="F84">
        <f t="shared" si="16"/>
        <v>0</v>
      </c>
      <c r="G84">
        <f t="shared" si="17"/>
        <v>0</v>
      </c>
      <c r="H84">
        <f>IFERROR(VLOOKUP(E84,技能升级,11,FALSE)*C84*I84*J84,0)</f>
        <v>0</v>
      </c>
      <c r="I84">
        <v>1</v>
      </c>
      <c r="J84">
        <v>1</v>
      </c>
    </row>
    <row r="85" spans="1:10" x14ac:dyDescent="0.15">
      <c r="E85" t="s">
        <v>194</v>
      </c>
      <c r="F85">
        <f>SUM(F78:F84)/1000</f>
        <v>22.324999999999999</v>
      </c>
      <c r="G85">
        <f>SUM(G78:G84)/1000</f>
        <v>5.56</v>
      </c>
      <c r="H85">
        <f>SUM(H78:H84)</f>
        <v>24744</v>
      </c>
      <c r="I85" t="s">
        <v>196</v>
      </c>
      <c r="J85" t="s">
        <v>197</v>
      </c>
    </row>
    <row r="86" spans="1:10" x14ac:dyDescent="0.15">
      <c r="E86" t="s">
        <v>195</v>
      </c>
      <c r="F86">
        <f>INT((IF($A76&gt;10000,VLOOKUP($A76,实战属性,13,FALSE),VLOOKUP($A76,总基本属性,7,FALSE))-
IF($B76&gt;10000,VLOOKUP($B76,实战属性,15,FALSE),VLOOKUP($B76,总基本属性,9,FALSE))*$L$13)*F85)</f>
        <v>19579</v>
      </c>
      <c r="G86">
        <f>INT((IF($A76&gt;10000,VLOOKUP($A76,实战属性,14,FALSE),VLOOKUP($A76,总基本属性,8,FALSE))-
IF($B76&gt;10000,VLOOKUP($B76,实战属性,16,FALSE),VLOOKUP($B76,总基本属性,10,FALSE))*$L$13)*G85)</f>
        <v>4876</v>
      </c>
      <c r="H86">
        <f>H85+F86+G86</f>
        <v>49199</v>
      </c>
      <c r="I86">
        <f>IF($B76&gt;10000,VLOOKUP($B76,实战属性,12,FALSE),VLOOKUP($B76,总基本属性,6,FALSE))</f>
        <v>49896</v>
      </c>
      <c r="J86">
        <f>ROUND(I86/H86,2)</f>
        <v>1.01</v>
      </c>
    </row>
    <row r="90" spans="1:10" x14ac:dyDescent="0.15">
      <c r="A90" t="s">
        <v>4</v>
      </c>
      <c r="B90" t="s">
        <v>4</v>
      </c>
      <c r="C90" t="s">
        <v>178</v>
      </c>
      <c r="D90" t="s">
        <v>0</v>
      </c>
    </row>
    <row r="91" spans="1:10" x14ac:dyDescent="0.15">
      <c r="A91">
        <f>A76+10</f>
        <v>3060</v>
      </c>
      <c r="B91">
        <f>A91</f>
        <v>3060</v>
      </c>
      <c r="C91">
        <v>32</v>
      </c>
      <c r="D91">
        <f>MOD(A91,1000)</f>
        <v>60</v>
      </c>
    </row>
    <row r="92" spans="1:10" x14ac:dyDescent="0.15">
      <c r="A92" t="s">
        <v>156</v>
      </c>
      <c r="B92" t="s">
        <v>95</v>
      </c>
      <c r="C92" t="s">
        <v>177</v>
      </c>
      <c r="D92" t="s">
        <v>143</v>
      </c>
      <c r="E92" t="s">
        <v>182</v>
      </c>
      <c r="F92" t="s">
        <v>192</v>
      </c>
      <c r="G92" t="s">
        <v>193</v>
      </c>
      <c r="H92" t="s">
        <v>176</v>
      </c>
      <c r="I92" t="s">
        <v>205</v>
      </c>
      <c r="J92" t="s">
        <v>206</v>
      </c>
    </row>
    <row r="93" spans="1:10" x14ac:dyDescent="0.15">
      <c r="A93">
        <v>32</v>
      </c>
      <c r="B93" t="s">
        <v>26</v>
      </c>
      <c r="C93">
        <f>INT(C91/(VLOOKUP(A93,技能参数,5,FALSE)+2*VLOOKUP(A93,技能参数,4,FALSE))+3)</f>
        <v>4</v>
      </c>
      <c r="D93">
        <f>VLOOKUP(A93,技能参数,4,FALSE)</f>
        <v>1</v>
      </c>
      <c r="E93">
        <f>IFERROR(VLOOKUP(A93*1000+D91,学习等级编码,2),0)</f>
        <v>3206</v>
      </c>
      <c r="F93">
        <f t="shared" ref="F93:F99" si="18">IFERROR(INT(VLOOKUP($E93,技能升级,9,FALSE)*$C93*I93*J93),0)</f>
        <v>0</v>
      </c>
      <c r="G93">
        <f t="shared" ref="G93:G99" si="19">IFERROR(INT(VLOOKUP($E93,技能升级,10,FALSE)*$C93*I93*J93),0)</f>
        <v>5720</v>
      </c>
      <c r="H93">
        <f>INT(VLOOKUP($E93,技能升级,11,FALSE)*$C93*I93*J93)</f>
        <v>960</v>
      </c>
      <c r="I93">
        <v>1</v>
      </c>
      <c r="J93">
        <v>1</v>
      </c>
    </row>
    <row r="94" spans="1:10" x14ac:dyDescent="0.15">
      <c r="A94">
        <v>34</v>
      </c>
      <c r="B94" t="s">
        <v>34</v>
      </c>
      <c r="C94">
        <f>INT(C91/(VLOOKUP(A94,技能参数,5,FALSE)+2*VLOOKUP(A94,技能参数,4,FALSE))+1)</f>
        <v>2</v>
      </c>
      <c r="D94">
        <f>VLOOKUP(A94,技能参数,4,FALSE)</f>
        <v>1.5</v>
      </c>
      <c r="E94">
        <f>IFERROR(VLOOKUP(A94*1000+D91,学习等级编码,2),0)</f>
        <v>3406</v>
      </c>
      <c r="F94">
        <f t="shared" si="18"/>
        <v>3840</v>
      </c>
      <c r="G94">
        <f t="shared" si="19"/>
        <v>0</v>
      </c>
      <c r="H94">
        <f>INT(VLOOKUP($E94,技能升级,11,FALSE)*$C94*I94*J94)</f>
        <v>570</v>
      </c>
      <c r="I94">
        <v>1</v>
      </c>
      <c r="J94">
        <v>1</v>
      </c>
    </row>
    <row r="95" spans="1:10" x14ac:dyDescent="0.15">
      <c r="A95">
        <v>35</v>
      </c>
      <c r="B95" t="s">
        <v>28</v>
      </c>
      <c r="C95">
        <v>3</v>
      </c>
      <c r="D95">
        <f>VLOOKUP(A95,技能参数,4,FALSE)</f>
        <v>2</v>
      </c>
      <c r="E95">
        <f>IFERROR(VLOOKUP(A95*1000+D91,学习等级编码,2),0)</f>
        <v>3504</v>
      </c>
      <c r="F95">
        <f t="shared" si="18"/>
        <v>7500</v>
      </c>
      <c r="G95">
        <f t="shared" si="19"/>
        <v>0</v>
      </c>
      <c r="H95">
        <f>INT(VLOOKUP($E95,技能升级,11,FALSE)*$C95*I95*J95)</f>
        <v>834</v>
      </c>
      <c r="I95">
        <v>1</v>
      </c>
      <c r="J95">
        <v>1</v>
      </c>
    </row>
    <row r="96" spans="1:10" x14ac:dyDescent="0.15">
      <c r="A96">
        <v>31</v>
      </c>
      <c r="B96" t="s">
        <v>91</v>
      </c>
      <c r="C96">
        <f>INT((C91-C93*D93-C94*D94-C95*D95-C98-C99)/D96)</f>
        <v>12</v>
      </c>
      <c r="D96">
        <f>VLOOKUP(A96,技能参数,4,FALSE)</f>
        <v>0.8</v>
      </c>
      <c r="E96">
        <f>IFERROR(VLOOKUP(A96*1000+D91,学习等级编码,2),0)</f>
        <v>3109</v>
      </c>
      <c r="F96">
        <f t="shared" si="18"/>
        <v>12565</v>
      </c>
      <c r="G96">
        <f t="shared" si="19"/>
        <v>0</v>
      </c>
      <c r="H96">
        <f>INT(VLOOKUP($E96,技能升级,11,FALSE)*$C96*I96*J96)</f>
        <v>2899</v>
      </c>
      <c r="I96">
        <v>1</v>
      </c>
      <c r="J96">
        <f>VLOOKUP(A91,$A$2:$I$11,7,FALSE)</f>
        <v>0.89499999999999991</v>
      </c>
    </row>
    <row r="97" spans="1:10" x14ac:dyDescent="0.15">
      <c r="A97">
        <v>203</v>
      </c>
      <c r="B97" t="s">
        <v>340</v>
      </c>
      <c r="C97">
        <f>INT((C91-C98-C99)/3)</f>
        <v>7</v>
      </c>
      <c r="D97">
        <v>0</v>
      </c>
      <c r="E97">
        <f>IFERROR(VLOOKUP(A97*1000+D91,学习等级编码,2),0)</f>
        <v>20306</v>
      </c>
      <c r="F97">
        <f t="shared" si="18"/>
        <v>0</v>
      </c>
      <c r="G97">
        <f t="shared" si="19"/>
        <v>0</v>
      </c>
      <c r="H97">
        <f>INT((VLOOKUP(E97,技能升级,13,FALSE)*(VLOOKUP(C97,中毒数据,4)+MOD(C91,3)*VLOOKUP(C97+1,中毒数据,3))+VLOOKUP(E97,技能升级,14,FALSE)/1000*C97*IF($B91&gt;10000,VLOOKUP($B91,实战属性,12,FALSE),VLOOKUP($B91,总基本属性,6,FALSE)))*I97*J97)</f>
        <v>27746</v>
      </c>
      <c r="I97">
        <v>1</v>
      </c>
      <c r="J97">
        <f>VLOOKUP(A91,$A$2:$I$11,8,FALSE)</f>
        <v>0.92</v>
      </c>
    </row>
    <row r="98" spans="1:10" x14ac:dyDescent="0.15">
      <c r="A98">
        <v>204</v>
      </c>
      <c r="B98" t="s">
        <v>338</v>
      </c>
      <c r="C98">
        <v>3</v>
      </c>
      <c r="D98">
        <v>0</v>
      </c>
      <c r="E98">
        <f>IFERROR(VLOOKUP(A98*1000+D91,学习等级编码,2),0)</f>
        <v>20401</v>
      </c>
      <c r="F98">
        <f t="shared" si="18"/>
        <v>0</v>
      </c>
      <c r="G98">
        <f t="shared" si="19"/>
        <v>0</v>
      </c>
      <c r="H98">
        <f>IFERROR(VLOOKUP(E98,技能升级,11,FALSE)*C98,0)</f>
        <v>0</v>
      </c>
      <c r="I98">
        <v>1</v>
      </c>
      <c r="J98">
        <v>1</v>
      </c>
    </row>
    <row r="99" spans="1:10" x14ac:dyDescent="0.15">
      <c r="B99" t="s">
        <v>342</v>
      </c>
      <c r="C99">
        <v>6</v>
      </c>
      <c r="D99">
        <v>0</v>
      </c>
      <c r="E99">
        <f>IFERROR(VLOOKUP(A99*1000+D91,学习等级编码,2),0)</f>
        <v>0</v>
      </c>
      <c r="F99">
        <f t="shared" si="18"/>
        <v>0</v>
      </c>
      <c r="G99">
        <f t="shared" si="19"/>
        <v>0</v>
      </c>
      <c r="H99">
        <f>IFERROR(VLOOKUP(E99,技能升级,11,FALSE)*C99*I99*J99,0)</f>
        <v>0</v>
      </c>
      <c r="I99">
        <v>1</v>
      </c>
      <c r="J99">
        <v>1</v>
      </c>
    </row>
    <row r="100" spans="1:10" x14ac:dyDescent="0.15">
      <c r="E100" t="s">
        <v>194</v>
      </c>
      <c r="F100">
        <f>SUM(F93:F99)/1000</f>
        <v>23.905000000000001</v>
      </c>
      <c r="G100">
        <f>SUM(G93:G99)/1000</f>
        <v>5.72</v>
      </c>
      <c r="H100">
        <f>SUM(H93:H99)</f>
        <v>33009</v>
      </c>
      <c r="I100" t="s">
        <v>196</v>
      </c>
      <c r="J100" t="s">
        <v>197</v>
      </c>
    </row>
    <row r="101" spans="1:10" x14ac:dyDescent="0.15">
      <c r="E101" t="s">
        <v>195</v>
      </c>
      <c r="F101">
        <f>INT((IF($A91&gt;10000,VLOOKUP($A91,实战属性,13,FALSE),VLOOKUP($A91,总基本属性,7,FALSE))-
IF($B91&gt;10000,VLOOKUP($B91,实战属性,15,FALSE),VLOOKUP($B91,总基本属性,9,FALSE))*$L$13)*F100)</f>
        <v>29415</v>
      </c>
      <c r="G101">
        <f>INT((IF($A91&gt;10000,VLOOKUP($A91,实战属性,14,FALSE),VLOOKUP($A91,总基本属性,8,FALSE))-
IF($B91&gt;10000,VLOOKUP($B91,实战属性,16,FALSE),VLOOKUP($B91,总基本属性,10,FALSE))*$L$13)*G100)</f>
        <v>7038</v>
      </c>
      <c r="H101">
        <f>H100+F101+G101</f>
        <v>69462</v>
      </c>
      <c r="I101">
        <f>IF($B91&gt;10000,VLOOKUP($B91,实战属性,12,FALSE),VLOOKUP($B91,总基本属性,6,FALSE))</f>
        <v>70632</v>
      </c>
      <c r="J101">
        <f>ROUND(I101/H101,2)</f>
        <v>1.02</v>
      </c>
    </row>
    <row r="105" spans="1:10" x14ac:dyDescent="0.15">
      <c r="A105" t="s">
        <v>4</v>
      </c>
      <c r="B105" t="s">
        <v>4</v>
      </c>
      <c r="C105" t="s">
        <v>178</v>
      </c>
      <c r="D105" t="s">
        <v>0</v>
      </c>
    </row>
    <row r="106" spans="1:10" x14ac:dyDescent="0.15">
      <c r="A106">
        <f>A91+10</f>
        <v>3070</v>
      </c>
      <c r="B106">
        <f>A106</f>
        <v>3070</v>
      </c>
      <c r="C106">
        <v>33</v>
      </c>
      <c r="D106">
        <f>MOD(A106,1000)</f>
        <v>70</v>
      </c>
    </row>
    <row r="107" spans="1:10" x14ac:dyDescent="0.15">
      <c r="A107" t="s">
        <v>156</v>
      </c>
      <c r="B107" t="s">
        <v>95</v>
      </c>
      <c r="C107" t="s">
        <v>177</v>
      </c>
      <c r="D107" t="s">
        <v>143</v>
      </c>
      <c r="E107" t="s">
        <v>182</v>
      </c>
      <c r="F107" t="s">
        <v>192</v>
      </c>
      <c r="G107" t="s">
        <v>193</v>
      </c>
      <c r="H107" t="s">
        <v>176</v>
      </c>
      <c r="I107" t="s">
        <v>205</v>
      </c>
      <c r="J107" t="s">
        <v>206</v>
      </c>
    </row>
    <row r="108" spans="1:10" x14ac:dyDescent="0.15">
      <c r="A108">
        <v>32</v>
      </c>
      <c r="B108" t="s">
        <v>26</v>
      </c>
      <c r="C108">
        <f>INT(C106/(VLOOKUP(A108,技能参数,5,FALSE)+2*VLOOKUP(A108,技能参数,4,FALSE))+3)</f>
        <v>4</v>
      </c>
      <c r="D108">
        <f>VLOOKUP(A108,技能参数,4,FALSE)</f>
        <v>1</v>
      </c>
      <c r="E108">
        <f>IFERROR(VLOOKUP(A108*1000+D106,学习等级编码,2),0)</f>
        <v>3207</v>
      </c>
      <c r="F108">
        <f t="shared" ref="F108:F114" si="20">IFERROR(INT(VLOOKUP($E108,技能升级,9,FALSE)*$C108*I108*J108),0)</f>
        <v>0</v>
      </c>
      <c r="G108">
        <f t="shared" ref="G108:G114" si="21">IFERROR(INT(VLOOKUP($E108,技能升级,10,FALSE)*$C108*I108*J108),0)</f>
        <v>5920</v>
      </c>
      <c r="H108">
        <f>INT(VLOOKUP($E108,技能升级,11,FALSE)*$C108*I108*J108)</f>
        <v>1316</v>
      </c>
      <c r="I108">
        <v>1</v>
      </c>
      <c r="J108">
        <v>1</v>
      </c>
    </row>
    <row r="109" spans="1:10" x14ac:dyDescent="0.15">
      <c r="A109">
        <v>34</v>
      </c>
      <c r="B109" t="s">
        <v>34</v>
      </c>
      <c r="C109">
        <f>INT(C106/(VLOOKUP(A109,技能参数,5,FALSE)+2*VLOOKUP(A109,技能参数,4,FALSE))+1)</f>
        <v>2</v>
      </c>
      <c r="D109">
        <f>VLOOKUP(A109,技能参数,4,FALSE)</f>
        <v>1.5</v>
      </c>
      <c r="E109">
        <f>IFERROR(VLOOKUP(A109*1000+D106,学习等级编码,2),0)</f>
        <v>3407</v>
      </c>
      <c r="F109">
        <f t="shared" si="20"/>
        <v>4000</v>
      </c>
      <c r="G109">
        <f t="shared" si="21"/>
        <v>0</v>
      </c>
      <c r="H109">
        <f>INT(VLOOKUP($E109,技能升级,11,FALSE)*$C109*I109*J109)</f>
        <v>760</v>
      </c>
      <c r="I109">
        <v>1</v>
      </c>
      <c r="J109">
        <v>1</v>
      </c>
    </row>
    <row r="110" spans="1:10" x14ac:dyDescent="0.15">
      <c r="A110">
        <v>35</v>
      </c>
      <c r="B110" t="s">
        <v>28</v>
      </c>
      <c r="C110">
        <v>3</v>
      </c>
      <c r="D110">
        <f>VLOOKUP(A110,技能参数,4,FALSE)</f>
        <v>2</v>
      </c>
      <c r="E110">
        <f>IFERROR(VLOOKUP(A110*1000+D106,学习等级编码,2),0)</f>
        <v>3505</v>
      </c>
      <c r="F110">
        <f t="shared" si="20"/>
        <v>8010</v>
      </c>
      <c r="G110">
        <f t="shared" si="21"/>
        <v>0</v>
      </c>
      <c r="H110">
        <f>INT(VLOOKUP($E110,技能升级,11,FALSE)*$C110*I110*J110)</f>
        <v>1263</v>
      </c>
      <c r="I110">
        <v>1</v>
      </c>
      <c r="J110">
        <v>1</v>
      </c>
    </row>
    <row r="111" spans="1:10" x14ac:dyDescent="0.15">
      <c r="A111">
        <v>31</v>
      </c>
      <c r="B111" t="s">
        <v>91</v>
      </c>
      <c r="C111">
        <f>INT((C106-C108*D108-C109*D109-C110*D110-C113-C114)/D111)</f>
        <v>13</v>
      </c>
      <c r="D111">
        <f>VLOOKUP(A111,技能参数,4,FALSE)</f>
        <v>0.8</v>
      </c>
      <c r="E111">
        <f>IFERROR(VLOOKUP(A111*1000+D106,学习等级编码,2),0)</f>
        <v>3111</v>
      </c>
      <c r="F111">
        <f t="shared" si="20"/>
        <v>13527</v>
      </c>
      <c r="G111">
        <f t="shared" si="21"/>
        <v>0</v>
      </c>
      <c r="H111">
        <f>INT(VLOOKUP($E111,技能升级,11,FALSE)*$C111*I111*J111)</f>
        <v>4539</v>
      </c>
      <c r="I111">
        <v>1</v>
      </c>
      <c r="J111">
        <f>VLOOKUP(A106,$A$2:$I$11,7,FALSE)</f>
        <v>0.8600000000000001</v>
      </c>
    </row>
    <row r="112" spans="1:10" x14ac:dyDescent="0.15">
      <c r="A112">
        <v>203</v>
      </c>
      <c r="B112" t="s">
        <v>340</v>
      </c>
      <c r="C112">
        <f>INT((C106-C113-C114)/3)</f>
        <v>8</v>
      </c>
      <c r="D112">
        <v>0</v>
      </c>
      <c r="E112">
        <f>IFERROR(VLOOKUP(A112*1000+D106,学习等级编码,2),0)</f>
        <v>20307</v>
      </c>
      <c r="F112">
        <f t="shared" si="20"/>
        <v>0</v>
      </c>
      <c r="G112">
        <f t="shared" si="21"/>
        <v>0</v>
      </c>
      <c r="H112">
        <f>INT((VLOOKUP(E112,技能升级,13,FALSE)*(VLOOKUP(C112,中毒数据,4)+MOD(C106,3)*VLOOKUP(C112+1,中毒数据,3))+VLOOKUP(E112,技能升级,14,FALSE)/1000*C112*IF($B106&gt;10000,VLOOKUP($B106,实战属性,12,FALSE),VLOOKUP($B106,总基本属性,6,FALSE)))*I112*J112)</f>
        <v>37513</v>
      </c>
      <c r="I112">
        <v>1</v>
      </c>
      <c r="J112">
        <f>VLOOKUP(A106,$A$2:$I$11,8,FALSE)</f>
        <v>0.89500000000000002</v>
      </c>
    </row>
    <row r="113" spans="1:10" x14ac:dyDescent="0.15">
      <c r="A113">
        <v>204</v>
      </c>
      <c r="B113" t="s">
        <v>338</v>
      </c>
      <c r="C113">
        <v>3</v>
      </c>
      <c r="D113">
        <v>0</v>
      </c>
      <c r="E113">
        <f>IFERROR(VLOOKUP(A113*1000+D106,学习等级编码,2),0)</f>
        <v>20401</v>
      </c>
      <c r="F113">
        <f t="shared" si="20"/>
        <v>0</v>
      </c>
      <c r="G113">
        <f t="shared" si="21"/>
        <v>0</v>
      </c>
      <c r="H113">
        <f>IFERROR(VLOOKUP(E113,技能升级,11,FALSE)*C113,0)</f>
        <v>0</v>
      </c>
      <c r="I113">
        <v>1</v>
      </c>
      <c r="J113">
        <v>1</v>
      </c>
    </row>
    <row r="114" spans="1:10" x14ac:dyDescent="0.15">
      <c r="B114" t="s">
        <v>342</v>
      </c>
      <c r="C114">
        <v>6</v>
      </c>
      <c r="D114">
        <v>0</v>
      </c>
      <c r="E114">
        <f>IFERROR(VLOOKUP(A114*1000+D106,学习等级编码,2),0)</f>
        <v>0</v>
      </c>
      <c r="F114">
        <f t="shared" si="20"/>
        <v>0</v>
      </c>
      <c r="G114">
        <f t="shared" si="21"/>
        <v>0</v>
      </c>
      <c r="H114">
        <f>IFERROR(VLOOKUP(E114,技能升级,11,FALSE)*C114*I114*J114,0)</f>
        <v>0</v>
      </c>
      <c r="I114">
        <v>1</v>
      </c>
      <c r="J114">
        <v>1</v>
      </c>
    </row>
    <row r="115" spans="1:10" x14ac:dyDescent="0.15">
      <c r="E115" t="s">
        <v>194</v>
      </c>
      <c r="F115">
        <f>SUM(F108:F114)/1000</f>
        <v>25.536999999999999</v>
      </c>
      <c r="G115">
        <f>SUM(G108:G114)/1000</f>
        <v>5.92</v>
      </c>
      <c r="H115">
        <f>SUM(H108:H114)</f>
        <v>45391</v>
      </c>
      <c r="I115" t="s">
        <v>196</v>
      </c>
      <c r="J115" t="s">
        <v>197</v>
      </c>
    </row>
    <row r="116" spans="1:10" x14ac:dyDescent="0.15">
      <c r="E116" t="s">
        <v>195</v>
      </c>
      <c r="F116">
        <f>INT((IF($A106&gt;10000,VLOOKUP($A106,实战属性,13,FALSE),VLOOKUP($A106,总基本属性,7,FALSE))-
IF($B106&gt;10000,VLOOKUP($B106,实战属性,15,FALSE),VLOOKUP($B106,总基本属性,9,FALSE))*$L$13)*F115)</f>
        <v>41995</v>
      </c>
      <c r="G116">
        <f>INT((IF($A106&gt;10000,VLOOKUP($A106,实战属性,14,FALSE),VLOOKUP($A106,总基本属性,8,FALSE))-
IF($B106&gt;10000,VLOOKUP($B106,实战属性,16,FALSE),VLOOKUP($B106,总基本属性,10,FALSE))*$L$13)*G115)</f>
        <v>9735</v>
      </c>
      <c r="H116">
        <f>H115+F116+G116</f>
        <v>97121</v>
      </c>
      <c r="I116">
        <f>IF($B106&gt;10000,VLOOKUP($B106,实战属性,12,FALSE),VLOOKUP($B106,总基本属性,6,FALSE))</f>
        <v>94932</v>
      </c>
      <c r="J116">
        <f>ROUND(I116/H116,2)</f>
        <v>0.98</v>
      </c>
    </row>
    <row r="120" spans="1:10" x14ac:dyDescent="0.15">
      <c r="A120" t="s">
        <v>4</v>
      </c>
      <c r="B120" t="s">
        <v>4</v>
      </c>
      <c r="C120" t="s">
        <v>178</v>
      </c>
      <c r="D120" t="s">
        <v>0</v>
      </c>
    </row>
    <row r="121" spans="1:10" x14ac:dyDescent="0.15">
      <c r="A121">
        <f>A106+10</f>
        <v>3080</v>
      </c>
      <c r="B121">
        <f>A121</f>
        <v>3080</v>
      </c>
      <c r="C121">
        <v>33</v>
      </c>
      <c r="D121">
        <f>MOD(A121,1000)</f>
        <v>80</v>
      </c>
    </row>
    <row r="122" spans="1:10" x14ac:dyDescent="0.15">
      <c r="A122" t="s">
        <v>156</v>
      </c>
      <c r="B122" t="s">
        <v>95</v>
      </c>
      <c r="C122" t="s">
        <v>177</v>
      </c>
      <c r="D122" t="s">
        <v>143</v>
      </c>
      <c r="E122" t="s">
        <v>182</v>
      </c>
      <c r="F122" t="s">
        <v>192</v>
      </c>
      <c r="G122" t="s">
        <v>193</v>
      </c>
      <c r="H122" t="s">
        <v>176</v>
      </c>
      <c r="I122" t="s">
        <v>205</v>
      </c>
      <c r="J122" t="s">
        <v>206</v>
      </c>
    </row>
    <row r="123" spans="1:10" x14ac:dyDescent="0.15">
      <c r="A123">
        <v>32</v>
      </c>
      <c r="B123" t="s">
        <v>26</v>
      </c>
      <c r="C123">
        <f>INT(C121/(VLOOKUP(A123,技能参数,5,FALSE)+2*VLOOKUP(A123,技能参数,4,FALSE))+3)</f>
        <v>4</v>
      </c>
      <c r="D123">
        <f>VLOOKUP(A123,技能参数,4,FALSE)</f>
        <v>1</v>
      </c>
      <c r="E123">
        <f>IFERROR(VLOOKUP(A123*1000+D121,学习等级编码,2),0)</f>
        <v>3208</v>
      </c>
      <c r="F123">
        <f t="shared" ref="F123:F129" si="22">IFERROR(INT(VLOOKUP($E123,技能升级,9,FALSE)*$C123*I123*J123),0)</f>
        <v>0</v>
      </c>
      <c r="G123">
        <f t="shared" ref="G123:G129" si="23">IFERROR(INT(VLOOKUP($E123,技能升级,10,FALSE)*$C123*I123*J123),0)</f>
        <v>6120</v>
      </c>
      <c r="H123">
        <f>INT(VLOOKUP($E123,技能升级,11,FALSE)*$C123*I123*J123)</f>
        <v>1732</v>
      </c>
      <c r="I123">
        <v>1</v>
      </c>
      <c r="J123">
        <v>1</v>
      </c>
    </row>
    <row r="124" spans="1:10" x14ac:dyDescent="0.15">
      <c r="A124">
        <v>34</v>
      </c>
      <c r="B124" t="s">
        <v>34</v>
      </c>
      <c r="C124">
        <f>INT(C121/(VLOOKUP(A124,技能参数,5,FALSE)+2*VLOOKUP(A124,技能参数,4,FALSE))+1)</f>
        <v>2</v>
      </c>
      <c r="D124">
        <f>VLOOKUP(A124,技能参数,4,FALSE)</f>
        <v>1.5</v>
      </c>
      <c r="E124">
        <f>IFERROR(VLOOKUP(A124*1000+D121,学习等级编码,2),0)</f>
        <v>3408</v>
      </c>
      <c r="F124">
        <f t="shared" si="22"/>
        <v>4160</v>
      </c>
      <c r="G124">
        <f t="shared" si="23"/>
        <v>0</v>
      </c>
      <c r="H124">
        <f>INT(VLOOKUP($E124,技能升级,11,FALSE)*$C124*I124*J124)</f>
        <v>980</v>
      </c>
      <c r="I124">
        <v>1</v>
      </c>
      <c r="J124">
        <v>1</v>
      </c>
    </row>
    <row r="125" spans="1:10" x14ac:dyDescent="0.15">
      <c r="A125">
        <v>35</v>
      </c>
      <c r="B125" t="s">
        <v>28</v>
      </c>
      <c r="C125">
        <v>3</v>
      </c>
      <c r="D125">
        <f>VLOOKUP(A125,技能参数,4,FALSE)</f>
        <v>2</v>
      </c>
      <c r="E125">
        <f>IFERROR(VLOOKUP(A125*1000+D121,学习等级编码,2),0)</f>
        <v>3505</v>
      </c>
      <c r="F125">
        <f t="shared" si="22"/>
        <v>8010</v>
      </c>
      <c r="G125">
        <f t="shared" si="23"/>
        <v>0</v>
      </c>
      <c r="H125">
        <f>INT(VLOOKUP($E125,技能升级,11,FALSE)*$C125*I125*J125)</f>
        <v>1263</v>
      </c>
      <c r="I125">
        <v>1</v>
      </c>
      <c r="J125">
        <v>1</v>
      </c>
    </row>
    <row r="126" spans="1:10" x14ac:dyDescent="0.15">
      <c r="A126">
        <v>31</v>
      </c>
      <c r="B126" t="s">
        <v>91</v>
      </c>
      <c r="C126">
        <f>INT((C121-C123*D123-C124*D124-C125*D125-C128-C129)/D126)</f>
        <v>13</v>
      </c>
      <c r="D126">
        <f>VLOOKUP(A126,技能参数,4,FALSE)</f>
        <v>0.8</v>
      </c>
      <c r="E126">
        <f>IFERROR(VLOOKUP(A126*1000+D121,学习等级编码,2),0)</f>
        <v>3112</v>
      </c>
      <c r="F126">
        <f t="shared" si="22"/>
        <v>13186</v>
      </c>
      <c r="G126">
        <f t="shared" si="23"/>
        <v>0</v>
      </c>
      <c r="H126">
        <f>INT(VLOOKUP($E126,技能升级,11,FALSE)*$C126*I126*J126)</f>
        <v>5178</v>
      </c>
      <c r="I126">
        <v>1</v>
      </c>
      <c r="J126">
        <f>VLOOKUP(A121,$A$2:$I$11,7,FALSE)</f>
        <v>0.81800000000000006</v>
      </c>
    </row>
    <row r="127" spans="1:10" x14ac:dyDescent="0.15">
      <c r="A127">
        <v>203</v>
      </c>
      <c r="B127" t="s">
        <v>340</v>
      </c>
      <c r="C127">
        <f>INT((C121-C128-C129)/3)</f>
        <v>8</v>
      </c>
      <c r="D127">
        <v>0</v>
      </c>
      <c r="E127">
        <f>IFERROR(VLOOKUP(A127*1000+D121,学习等级编码,2),0)</f>
        <v>20308</v>
      </c>
      <c r="F127">
        <f t="shared" si="22"/>
        <v>0</v>
      </c>
      <c r="G127">
        <f t="shared" si="23"/>
        <v>0</v>
      </c>
      <c r="H127">
        <f>INT((VLOOKUP(E127,技能升级,13,FALSE)*(VLOOKUP(C127,中毒数据,4)+MOD(C121,3)*VLOOKUP(C127+1,中毒数据,3))+VLOOKUP(E127,技能升级,14,FALSE)/1000*C127*IF($B121&gt;10000,VLOOKUP($B121,实战属性,12,FALSE),VLOOKUP($B121,总基本属性,6,FALSE)))*I127*J127)</f>
        <v>43242</v>
      </c>
      <c r="I127">
        <v>1</v>
      </c>
      <c r="J127">
        <f>VLOOKUP(A121,$A$2:$I$11,8,FALSE)</f>
        <v>0.8600000000000001</v>
      </c>
    </row>
    <row r="128" spans="1:10" x14ac:dyDescent="0.15">
      <c r="A128">
        <v>204</v>
      </c>
      <c r="B128" t="s">
        <v>338</v>
      </c>
      <c r="C128">
        <v>3</v>
      </c>
      <c r="D128">
        <v>0</v>
      </c>
      <c r="E128">
        <f>IFERROR(VLOOKUP(A128*1000+D121,学习等级编码,2),0)</f>
        <v>20401</v>
      </c>
      <c r="F128">
        <f t="shared" si="22"/>
        <v>0</v>
      </c>
      <c r="G128">
        <f t="shared" si="23"/>
        <v>0</v>
      </c>
      <c r="H128">
        <f>IFERROR(VLOOKUP(E128,技能升级,11,FALSE)*C128,0)</f>
        <v>0</v>
      </c>
      <c r="I128">
        <v>1</v>
      </c>
      <c r="J128">
        <v>1</v>
      </c>
    </row>
    <row r="129" spans="1:10" x14ac:dyDescent="0.15">
      <c r="B129" t="s">
        <v>342</v>
      </c>
      <c r="C129">
        <v>6</v>
      </c>
      <c r="D129">
        <v>0</v>
      </c>
      <c r="E129">
        <f>IFERROR(VLOOKUP(A129*1000+D121,学习等级编码,2),0)</f>
        <v>0</v>
      </c>
      <c r="F129">
        <f t="shared" si="22"/>
        <v>0</v>
      </c>
      <c r="G129">
        <f t="shared" si="23"/>
        <v>0</v>
      </c>
      <c r="H129">
        <f>IFERROR(VLOOKUP(E129,技能升级,11,FALSE)*C129*I129*J129,0)</f>
        <v>0</v>
      </c>
      <c r="I129">
        <v>1</v>
      </c>
      <c r="J129">
        <v>1</v>
      </c>
    </row>
    <row r="130" spans="1:10" x14ac:dyDescent="0.15">
      <c r="E130" t="s">
        <v>194</v>
      </c>
      <c r="F130">
        <f>SUM(F123:F129)/1000</f>
        <v>25.356000000000002</v>
      </c>
      <c r="G130">
        <f>SUM(G123:G129)/1000</f>
        <v>6.12</v>
      </c>
      <c r="H130">
        <f>SUM(H123:H129)</f>
        <v>52395</v>
      </c>
      <c r="I130" t="s">
        <v>196</v>
      </c>
      <c r="J130" t="s">
        <v>197</v>
      </c>
    </row>
    <row r="131" spans="1:10" x14ac:dyDescent="0.15">
      <c r="E131" t="s">
        <v>195</v>
      </c>
      <c r="F131">
        <f>INT((IF($A121&gt;10000,VLOOKUP($A121,实战属性,13,FALSE),VLOOKUP($A121,总基本属性,7,FALSE))-
IF($B121&gt;10000,VLOOKUP($B121,实战属性,15,FALSE),VLOOKUP($B121,总基本属性,9,FALSE))*$L$13)*F130)</f>
        <v>53729</v>
      </c>
      <c r="G131">
        <f>INT((IF($A121&gt;10000,VLOOKUP($A121,实战属性,14,FALSE),VLOOKUP($A121,总基本属性,8,FALSE))-
IF($B121&gt;10000,VLOOKUP($B121,实战属性,16,FALSE),VLOOKUP($B121,总基本属性,10,FALSE))*$L$13)*G130)</f>
        <v>12968</v>
      </c>
      <c r="H131">
        <f>H130+F131+G131</f>
        <v>119092</v>
      </c>
      <c r="I131">
        <f>IF($B121&gt;10000,VLOOKUP($B121,实战属性,12,FALSE),VLOOKUP($B121,总基本属性,6,FALSE))</f>
        <v>122796</v>
      </c>
      <c r="J131">
        <f>ROUND(I131/H131,2)</f>
        <v>1.03</v>
      </c>
    </row>
    <row r="135" spans="1:10" x14ac:dyDescent="0.15">
      <c r="A135" t="s">
        <v>4</v>
      </c>
      <c r="B135" t="s">
        <v>4</v>
      </c>
      <c r="C135" t="s">
        <v>178</v>
      </c>
      <c r="D135" t="s">
        <v>0</v>
      </c>
    </row>
    <row r="136" spans="1:10" x14ac:dyDescent="0.15">
      <c r="A136">
        <f>A121+10</f>
        <v>3090</v>
      </c>
      <c r="B136">
        <f>A136</f>
        <v>3090</v>
      </c>
      <c r="C136">
        <v>33</v>
      </c>
      <c r="D136">
        <f>MOD(A136,1000)</f>
        <v>90</v>
      </c>
    </row>
    <row r="137" spans="1:10" x14ac:dyDescent="0.15">
      <c r="A137" t="s">
        <v>156</v>
      </c>
      <c r="B137" t="s">
        <v>95</v>
      </c>
      <c r="C137" t="s">
        <v>177</v>
      </c>
      <c r="D137" t="s">
        <v>143</v>
      </c>
      <c r="E137" t="s">
        <v>182</v>
      </c>
      <c r="F137" t="s">
        <v>192</v>
      </c>
      <c r="G137" t="s">
        <v>193</v>
      </c>
      <c r="H137" t="s">
        <v>176</v>
      </c>
      <c r="I137" t="s">
        <v>205</v>
      </c>
      <c r="J137" t="s">
        <v>206</v>
      </c>
    </row>
    <row r="138" spans="1:10" x14ac:dyDescent="0.15">
      <c r="A138">
        <v>32</v>
      </c>
      <c r="B138" t="s">
        <v>26</v>
      </c>
      <c r="C138">
        <f>INT(C136/(VLOOKUP(A138,技能参数,5,FALSE)+2*VLOOKUP(A138,技能参数,4,FALSE))+3)</f>
        <v>4</v>
      </c>
      <c r="D138">
        <f>VLOOKUP(A138,技能参数,4,FALSE)</f>
        <v>1</v>
      </c>
      <c r="E138">
        <f>IFERROR(VLOOKUP(A138*1000+D136,学习等级编码,2),0)</f>
        <v>3209</v>
      </c>
      <c r="F138">
        <f t="shared" ref="F138:F144" si="24">IFERROR(INT(VLOOKUP($E138,技能升级,9,FALSE)*$C138*I138*J138),0)</f>
        <v>0</v>
      </c>
      <c r="G138">
        <f t="shared" ref="G138:G144" si="25">IFERROR(INT(VLOOKUP($E138,技能升级,10,FALSE)*$C138*I138*J138),0)</f>
        <v>6280</v>
      </c>
      <c r="H138">
        <f>INT(VLOOKUP($E138,技能升级,11,FALSE)*$C138*I138*J138)</f>
        <v>2208</v>
      </c>
      <c r="I138">
        <v>1</v>
      </c>
      <c r="J138">
        <v>1</v>
      </c>
    </row>
    <row r="139" spans="1:10" x14ac:dyDescent="0.15">
      <c r="A139">
        <v>34</v>
      </c>
      <c r="B139" t="s">
        <v>34</v>
      </c>
      <c r="C139">
        <f>INT(C136/(VLOOKUP(A139,技能参数,5,FALSE)+2*VLOOKUP(A139,技能参数,4,FALSE))+1)</f>
        <v>2</v>
      </c>
      <c r="D139">
        <f>VLOOKUP(A139,技能参数,4,FALSE)</f>
        <v>1.5</v>
      </c>
      <c r="E139">
        <f>IFERROR(VLOOKUP(A139*1000+D136,学习等级编码,2),0)</f>
        <v>3409</v>
      </c>
      <c r="F139">
        <f t="shared" si="24"/>
        <v>4340</v>
      </c>
      <c r="G139">
        <f t="shared" si="25"/>
        <v>0</v>
      </c>
      <c r="H139">
        <f>INT(VLOOKUP($E139,技能升级,11,FALSE)*$C139*I139*J139)</f>
        <v>1230</v>
      </c>
      <c r="I139">
        <v>1</v>
      </c>
      <c r="J139">
        <v>1</v>
      </c>
    </row>
    <row r="140" spans="1:10" x14ac:dyDescent="0.15">
      <c r="A140">
        <v>35</v>
      </c>
      <c r="B140" t="s">
        <v>28</v>
      </c>
      <c r="C140">
        <v>3</v>
      </c>
      <c r="D140">
        <f>VLOOKUP(A140,技能参数,4,FALSE)</f>
        <v>2</v>
      </c>
      <c r="E140">
        <f>IFERROR(VLOOKUP(A140*1000+D136,学习等级编码,2),0)</f>
        <v>3506</v>
      </c>
      <c r="F140">
        <f t="shared" si="24"/>
        <v>8490</v>
      </c>
      <c r="G140">
        <f t="shared" si="25"/>
        <v>0</v>
      </c>
      <c r="H140">
        <f>INT(VLOOKUP($E140,技能升级,11,FALSE)*$C140*I140*J140)</f>
        <v>1836</v>
      </c>
      <c r="I140">
        <v>1</v>
      </c>
      <c r="J140">
        <v>1</v>
      </c>
    </row>
    <row r="141" spans="1:10" x14ac:dyDescent="0.15">
      <c r="A141">
        <v>31</v>
      </c>
      <c r="B141" t="s">
        <v>91</v>
      </c>
      <c r="C141">
        <f>INT((C136-C138*D138-C139*D139-C140*D140-C143-C144)/D141)</f>
        <v>13</v>
      </c>
      <c r="D141">
        <f>VLOOKUP(A141,技能参数,4,FALSE)</f>
        <v>0.8</v>
      </c>
      <c r="E141">
        <f>IFERROR(VLOOKUP(A141*1000+D136,学习等级编码,2),0)</f>
        <v>3114</v>
      </c>
      <c r="F141">
        <f t="shared" si="24"/>
        <v>12912</v>
      </c>
      <c r="G141">
        <f t="shared" si="25"/>
        <v>0</v>
      </c>
      <c r="H141">
        <f>INT(VLOOKUP($E141,技能升级,11,FALSE)*$C141*I141*J141)</f>
        <v>6728</v>
      </c>
      <c r="I141">
        <v>1</v>
      </c>
      <c r="J141">
        <f>VLOOKUP(A136,$A$2:$I$11,7,FALSE)</f>
        <v>0.77600000000000002</v>
      </c>
    </row>
    <row r="142" spans="1:10" x14ac:dyDescent="0.15">
      <c r="A142">
        <v>203</v>
      </c>
      <c r="B142" t="s">
        <v>340</v>
      </c>
      <c r="C142">
        <f>INT((C136-C143-C144)/3)</f>
        <v>8</v>
      </c>
      <c r="D142">
        <v>0</v>
      </c>
      <c r="E142">
        <f>IFERROR(VLOOKUP(A142*1000+D136,学习等级编码,2),0)</f>
        <v>20309</v>
      </c>
      <c r="F142">
        <f t="shared" si="24"/>
        <v>0</v>
      </c>
      <c r="G142">
        <f t="shared" si="25"/>
        <v>0</v>
      </c>
      <c r="H142">
        <f>INT((VLOOKUP(E142,技能升级,13,FALSE)*(VLOOKUP(C142,中毒数据,4)+MOD(C136,3)*VLOOKUP(C142+1,中毒数据,3))+VLOOKUP(E142,技能升级,14,FALSE)/1000*C142*IF($B136&gt;10000,VLOOKUP($B136,实战属性,12,FALSE),VLOOKUP($B136,总基本属性,6,FALSE)))*I142*J142)</f>
        <v>55161</v>
      </c>
      <c r="I142">
        <v>1</v>
      </c>
      <c r="J142">
        <f>VLOOKUP(A136,$A$2:$I$11,8,FALSE)</f>
        <v>0.82500000000000007</v>
      </c>
    </row>
    <row r="143" spans="1:10" x14ac:dyDescent="0.15">
      <c r="A143">
        <v>204</v>
      </c>
      <c r="B143" t="s">
        <v>338</v>
      </c>
      <c r="C143">
        <v>3</v>
      </c>
      <c r="D143">
        <v>0</v>
      </c>
      <c r="E143">
        <f>IFERROR(VLOOKUP(A143*1000+D136,学习等级编码,2),0)</f>
        <v>20401</v>
      </c>
      <c r="F143">
        <f t="shared" si="24"/>
        <v>0</v>
      </c>
      <c r="G143">
        <f t="shared" si="25"/>
        <v>0</v>
      </c>
      <c r="H143">
        <f>IFERROR(VLOOKUP(E143,技能升级,11,FALSE)*C143,0)</f>
        <v>0</v>
      </c>
      <c r="I143">
        <v>1</v>
      </c>
      <c r="J143">
        <v>1</v>
      </c>
    </row>
    <row r="144" spans="1:10" x14ac:dyDescent="0.15">
      <c r="B144" t="s">
        <v>342</v>
      </c>
      <c r="C144">
        <v>6</v>
      </c>
      <c r="D144">
        <v>0</v>
      </c>
      <c r="E144">
        <f>IFERROR(VLOOKUP(A144*1000+D136,学习等级编码,2),0)</f>
        <v>0</v>
      </c>
      <c r="F144">
        <f t="shared" si="24"/>
        <v>0</v>
      </c>
      <c r="G144">
        <f t="shared" si="25"/>
        <v>0</v>
      </c>
      <c r="H144">
        <f>IFERROR(VLOOKUP(E144,技能升级,11,FALSE)*C144*I144*J144,0)</f>
        <v>0</v>
      </c>
      <c r="I144">
        <v>1</v>
      </c>
      <c r="J144">
        <v>1</v>
      </c>
    </row>
    <row r="145" spans="1:10" x14ac:dyDescent="0.15">
      <c r="E145" t="s">
        <v>194</v>
      </c>
      <c r="F145">
        <f>SUM(F138:F144)/1000</f>
        <v>25.742000000000001</v>
      </c>
      <c r="G145">
        <f>SUM(G138:G144)/1000</f>
        <v>6.28</v>
      </c>
      <c r="H145">
        <f>SUM(H138:H144)</f>
        <v>67163</v>
      </c>
      <c r="I145" t="s">
        <v>196</v>
      </c>
      <c r="J145" t="s">
        <v>197</v>
      </c>
    </row>
    <row r="146" spans="1:10" x14ac:dyDescent="0.15">
      <c r="E146" t="s">
        <v>195</v>
      </c>
      <c r="F146">
        <f>INT((IF($A136&gt;10000,VLOOKUP($A136,实战属性,13,FALSE),VLOOKUP($A136,总基本属性,7,FALSE))-
IF($B136&gt;10000,VLOOKUP($B136,实战属性,15,FALSE),VLOOKUP($B136,总基本属性,9,FALSE))*$L$13)*F145)</f>
        <v>68332</v>
      </c>
      <c r="G146">
        <f>INT((IF($A136&gt;10000,VLOOKUP($A136,实战属性,14,FALSE),VLOOKUP($A136,总基本属性,8,FALSE))-
IF($B136&gt;10000,VLOOKUP($B136,实战属性,16,FALSE),VLOOKUP($B136,总基本属性,10,FALSE))*$L$13)*G145)</f>
        <v>16670</v>
      </c>
      <c r="H146">
        <f>H145+F146+G146</f>
        <v>152165</v>
      </c>
      <c r="I146">
        <f>IF($B136&gt;10000,VLOOKUP($B136,实战属性,12,FALSE),VLOOKUP($B136,总基本属性,6,FALSE))</f>
        <v>154332</v>
      </c>
      <c r="J146">
        <f>ROUND(I146/H146,2)</f>
        <v>1.01</v>
      </c>
    </row>
    <row r="150" spans="1:10" x14ac:dyDescent="0.15">
      <c r="A150" t="s">
        <v>4</v>
      </c>
      <c r="B150" t="s">
        <v>4</v>
      </c>
      <c r="C150" t="s">
        <v>178</v>
      </c>
      <c r="D150" t="s">
        <v>0</v>
      </c>
    </row>
    <row r="151" spans="1:10" x14ac:dyDescent="0.15">
      <c r="A151">
        <f>A136+10</f>
        <v>3100</v>
      </c>
      <c r="B151">
        <f>A151</f>
        <v>3100</v>
      </c>
      <c r="C151">
        <v>33</v>
      </c>
      <c r="D151">
        <f>MOD(A151,1000)</f>
        <v>100</v>
      </c>
    </row>
    <row r="152" spans="1:10" x14ac:dyDescent="0.15">
      <c r="A152" t="s">
        <v>156</v>
      </c>
      <c r="B152" t="s">
        <v>95</v>
      </c>
      <c r="C152" t="s">
        <v>177</v>
      </c>
      <c r="D152" t="s">
        <v>143</v>
      </c>
      <c r="E152" t="s">
        <v>182</v>
      </c>
      <c r="F152" t="s">
        <v>192</v>
      </c>
      <c r="G152" t="s">
        <v>193</v>
      </c>
      <c r="H152" t="s">
        <v>176</v>
      </c>
      <c r="I152" t="s">
        <v>205</v>
      </c>
      <c r="J152" t="s">
        <v>206</v>
      </c>
    </row>
    <row r="153" spans="1:10" x14ac:dyDescent="0.15">
      <c r="A153">
        <v>32</v>
      </c>
      <c r="B153" t="s">
        <v>26</v>
      </c>
      <c r="C153">
        <f>INT(C151/(VLOOKUP(A153,技能参数,5,FALSE)+2*VLOOKUP(A153,技能参数,4,FALSE))+3)</f>
        <v>4</v>
      </c>
      <c r="D153">
        <f>VLOOKUP(A153,技能参数,4,FALSE)</f>
        <v>1</v>
      </c>
      <c r="E153">
        <f>IFERROR(VLOOKUP(A153*1000+D151,学习等级编码,2),0)</f>
        <v>3210</v>
      </c>
      <c r="F153">
        <f t="shared" ref="F153:F159" si="26">IFERROR(INT(VLOOKUP($E153,技能升级,9,FALSE)*$C153*I153*J153),0)</f>
        <v>0</v>
      </c>
      <c r="G153">
        <f t="shared" ref="G153:G159" si="27">IFERROR(INT(VLOOKUP($E153,技能升级,10,FALSE)*$C153*I153*J153),0)</f>
        <v>6480</v>
      </c>
      <c r="H153">
        <f>INT(VLOOKUP($E153,技能升级,11,FALSE)*$C153*I153*J153)</f>
        <v>2744</v>
      </c>
      <c r="I153">
        <v>1</v>
      </c>
      <c r="J153">
        <v>1</v>
      </c>
    </row>
    <row r="154" spans="1:10" x14ac:dyDescent="0.15">
      <c r="A154">
        <v>34</v>
      </c>
      <c r="B154" t="s">
        <v>34</v>
      </c>
      <c r="C154">
        <f>INT(C151/(VLOOKUP(A154,技能参数,5,FALSE)+2*VLOOKUP(A154,技能参数,4,FALSE))+1)</f>
        <v>2</v>
      </c>
      <c r="D154">
        <f>VLOOKUP(A154,技能参数,4,FALSE)</f>
        <v>1.5</v>
      </c>
      <c r="E154">
        <f>IFERROR(VLOOKUP(A154*1000+D151,学习等级编码,2),0)</f>
        <v>3410</v>
      </c>
      <c r="F154">
        <f t="shared" si="26"/>
        <v>4500</v>
      </c>
      <c r="G154">
        <f t="shared" si="27"/>
        <v>0</v>
      </c>
      <c r="H154">
        <f>INT(VLOOKUP($E154,技能升级,11,FALSE)*$C154*I154*J154)</f>
        <v>1510</v>
      </c>
      <c r="I154">
        <v>1</v>
      </c>
      <c r="J154">
        <v>1</v>
      </c>
    </row>
    <row r="155" spans="1:10" x14ac:dyDescent="0.15">
      <c r="A155">
        <v>35</v>
      </c>
      <c r="B155" t="s">
        <v>28</v>
      </c>
      <c r="C155">
        <v>3</v>
      </c>
      <c r="D155">
        <f>VLOOKUP(A155,技能参数,4,FALSE)</f>
        <v>2</v>
      </c>
      <c r="E155">
        <f>IFERROR(VLOOKUP(A155*1000+D151,学习等级编码,2),0)</f>
        <v>3507</v>
      </c>
      <c r="F155">
        <f t="shared" si="26"/>
        <v>9000</v>
      </c>
      <c r="G155">
        <f t="shared" si="27"/>
        <v>0</v>
      </c>
      <c r="H155">
        <f>INT(VLOOKUP($E155,技能升级,11,FALSE)*$C155*I155*J155)</f>
        <v>2517</v>
      </c>
      <c r="I155">
        <v>1</v>
      </c>
      <c r="J155">
        <v>1</v>
      </c>
    </row>
    <row r="156" spans="1:10" x14ac:dyDescent="0.15">
      <c r="A156">
        <v>31</v>
      </c>
      <c r="B156" t="s">
        <v>91</v>
      </c>
      <c r="C156">
        <f>INT((C151-C153*D153-C154*D154-C155*D155-C158-C159)/D156)</f>
        <v>13</v>
      </c>
      <c r="D156">
        <f>VLOOKUP(A156,技能参数,4,FALSE)</f>
        <v>0.8</v>
      </c>
      <c r="E156">
        <f>IFERROR(VLOOKUP(A156*1000+D151,学习等级编码,2),0)</f>
        <v>3115</v>
      </c>
      <c r="F156">
        <f t="shared" si="26"/>
        <v>12286</v>
      </c>
      <c r="G156">
        <f t="shared" si="27"/>
        <v>0</v>
      </c>
      <c r="H156">
        <f>INT(VLOOKUP($E156,技能升级,11,FALSE)*$C156*I156*J156)</f>
        <v>7267</v>
      </c>
      <c r="I156">
        <v>1</v>
      </c>
      <c r="J156">
        <f>VLOOKUP(A151,$A$2:$I$11,7,FALSE)</f>
        <v>0.72699999999999998</v>
      </c>
    </row>
    <row r="157" spans="1:10" x14ac:dyDescent="0.15">
      <c r="A157">
        <v>203</v>
      </c>
      <c r="B157" t="s">
        <v>340</v>
      </c>
      <c r="C157">
        <f>INT((C151-C158-C159)/3)</f>
        <v>8</v>
      </c>
      <c r="D157">
        <v>0</v>
      </c>
      <c r="E157">
        <f>IFERROR(VLOOKUP(A157*1000+D151,学习等级编码,2),0)</f>
        <v>20310</v>
      </c>
      <c r="F157">
        <f t="shared" si="26"/>
        <v>0</v>
      </c>
      <c r="G157">
        <f t="shared" si="27"/>
        <v>0</v>
      </c>
      <c r="H157">
        <f>INT((VLOOKUP(E157,技能升级,13,FALSE)*(VLOOKUP(C157,中毒数据,4)+MOD(C151,3)*VLOOKUP(C157+1,中毒数据,3))+VLOOKUP(E157,技能升级,14,FALSE)/1000*C157*IF($B151&gt;10000,VLOOKUP($B151,实战属性,12,FALSE),VLOOKUP($B151,总基本属性,6,FALSE)))*I157*J157)</f>
        <v>70132</v>
      </c>
      <c r="I157">
        <v>1</v>
      </c>
      <c r="J157">
        <f>VLOOKUP(A151,$A$2:$I$11,8,FALSE)</f>
        <v>0.79500000000000015</v>
      </c>
    </row>
    <row r="158" spans="1:10" x14ac:dyDescent="0.15">
      <c r="A158">
        <v>204</v>
      </c>
      <c r="B158" t="s">
        <v>338</v>
      </c>
      <c r="C158">
        <v>3</v>
      </c>
      <c r="D158">
        <v>0</v>
      </c>
      <c r="E158">
        <f>IFERROR(VLOOKUP(A158*1000+D151,学习等级编码,2),0)</f>
        <v>20401</v>
      </c>
      <c r="F158">
        <f t="shared" si="26"/>
        <v>0</v>
      </c>
      <c r="G158">
        <f t="shared" si="27"/>
        <v>0</v>
      </c>
      <c r="H158">
        <f>IFERROR(VLOOKUP(E158,技能升级,11,FALSE)*C158,0)</f>
        <v>0</v>
      </c>
      <c r="I158">
        <v>1</v>
      </c>
      <c r="J158">
        <v>1</v>
      </c>
    </row>
    <row r="159" spans="1:10" x14ac:dyDescent="0.15">
      <c r="B159" t="s">
        <v>342</v>
      </c>
      <c r="C159">
        <v>6</v>
      </c>
      <c r="D159">
        <v>0</v>
      </c>
      <c r="E159">
        <f>IFERROR(VLOOKUP(A159*1000+D151,学习等级编码,2),0)</f>
        <v>0</v>
      </c>
      <c r="F159">
        <f t="shared" si="26"/>
        <v>0</v>
      </c>
      <c r="G159">
        <f t="shared" si="27"/>
        <v>0</v>
      </c>
      <c r="H159">
        <f>IFERROR(VLOOKUP(E159,技能升级,11,FALSE)*C159*I159*J159,0)</f>
        <v>0</v>
      </c>
      <c r="I159">
        <v>1</v>
      </c>
      <c r="J159">
        <v>1</v>
      </c>
    </row>
    <row r="160" spans="1:10" x14ac:dyDescent="0.15">
      <c r="E160" t="s">
        <v>194</v>
      </c>
      <c r="F160">
        <f>SUM(F153:F159)/1000</f>
        <v>25.786000000000001</v>
      </c>
      <c r="G160">
        <f>SUM(G153:G159)/1000</f>
        <v>6.48</v>
      </c>
      <c r="H160">
        <f>SUM(H153:H159)</f>
        <v>84170</v>
      </c>
      <c r="I160" t="s">
        <v>196</v>
      </c>
      <c r="J160" t="s">
        <v>197</v>
      </c>
    </row>
    <row r="161" spans="5:10" x14ac:dyDescent="0.15">
      <c r="E161" t="s">
        <v>195</v>
      </c>
      <c r="F161">
        <f>INT((IF($A151&gt;10000,VLOOKUP($A151,实战属性,13,FALSE),VLOOKUP($A151,总基本属性,7,FALSE))-
IF($B151&gt;10000,VLOOKUP($B151,实战属性,15,FALSE),VLOOKUP($B151,总基本属性,9,FALSE))*$L$13)*F160)</f>
        <v>83817</v>
      </c>
      <c r="G161">
        <f>INT((IF($A151&gt;10000,VLOOKUP($A151,实战属性,14,FALSE),VLOOKUP($A151,总基本属性,8,FALSE))-
IF($B151&gt;10000,VLOOKUP($B151,实战属性,16,FALSE),VLOOKUP($B151,总基本属性,10,FALSE))*$L$13)*G160)</f>
        <v>21063</v>
      </c>
      <c r="H161">
        <f>H160+F161+G161</f>
        <v>189050</v>
      </c>
      <c r="I161">
        <f>IF($B151&gt;10000,VLOOKUP($B151,实战属性,12,FALSE),VLOOKUP($B151,总基本属性,6,FALSE))</f>
        <v>189432</v>
      </c>
      <c r="J161">
        <f>ROUND(I161/H161,2)</f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5"/>
  <sheetViews>
    <sheetView topLeftCell="A41" workbookViewId="0">
      <selection activeCell="O200" sqref="O200"/>
    </sheetView>
  </sheetViews>
  <sheetFormatPr defaultRowHeight="13.5" x14ac:dyDescent="0.15"/>
  <cols>
    <col min="16" max="16" width="14.125" bestFit="1" customWidth="1"/>
    <col min="17" max="17" width="12.125" bestFit="1" customWidth="1"/>
    <col min="18" max="18" width="8.25" bestFit="1" customWidth="1"/>
    <col min="19" max="19" width="10" bestFit="1" customWidth="1"/>
    <col min="20" max="20" width="12.25" bestFit="1" customWidth="1"/>
    <col min="22" max="22" width="10" bestFit="1" customWidth="1"/>
    <col min="23" max="23" width="9.125" bestFit="1" customWidth="1"/>
  </cols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396</v>
      </c>
      <c r="H1" t="s">
        <v>397</v>
      </c>
      <c r="I1" t="s">
        <v>400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11101</v>
      </c>
      <c r="B2">
        <v>3010</v>
      </c>
      <c r="C2">
        <f t="shared" ref="C2:C2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2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2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2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H2">
        <v>1</v>
      </c>
      <c r="I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>A2+1</f>
        <v>11102</v>
      </c>
      <c r="B3">
        <f>B2+10</f>
        <v>3020</v>
      </c>
      <c r="C3">
        <f t="shared" si="0"/>
        <v>0.01</v>
      </c>
      <c r="D3">
        <f t="shared" si="1"/>
        <v>0</v>
      </c>
      <c r="E3">
        <f t="shared" si="2"/>
        <v>0</v>
      </c>
      <c r="F3">
        <f t="shared" si="3"/>
        <v>0.01</v>
      </c>
      <c r="G3">
        <v>1</v>
      </c>
      <c r="H3">
        <v>1</v>
      </c>
      <c r="I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 t="shared" ref="A4:A11" si="4">A3+1</f>
        <v>11103</v>
      </c>
      <c r="B4">
        <f>B3+10</f>
        <v>3030</v>
      </c>
      <c r="C4">
        <f t="shared" si="0"/>
        <v>0.01</v>
      </c>
      <c r="D4">
        <f t="shared" si="1"/>
        <v>0</v>
      </c>
      <c r="E4">
        <f t="shared" si="2"/>
        <v>0</v>
      </c>
      <c r="F4">
        <f t="shared" si="3"/>
        <v>0.01</v>
      </c>
      <c r="G4">
        <v>1</v>
      </c>
      <c r="H4">
        <v>1</v>
      </c>
      <c r="I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si="4"/>
        <v>11104</v>
      </c>
      <c r="B5">
        <f t="shared" ref="B5:B11" si="5">B4+10</f>
        <v>3040</v>
      </c>
      <c r="C5">
        <f t="shared" si="0"/>
        <v>0.02</v>
      </c>
      <c r="D5">
        <f t="shared" si="1"/>
        <v>0</v>
      </c>
      <c r="E5">
        <f t="shared" si="2"/>
        <v>0</v>
      </c>
      <c r="F5">
        <f t="shared" si="3"/>
        <v>0.02</v>
      </c>
      <c r="G5">
        <v>1</v>
      </c>
      <c r="H5">
        <v>1</v>
      </c>
      <c r="I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4"/>
        <v>11105</v>
      </c>
      <c r="B6">
        <f t="shared" si="5"/>
        <v>3050</v>
      </c>
      <c r="C6">
        <f t="shared" si="0"/>
        <v>7.0000000000000007E-2</v>
      </c>
      <c r="D6">
        <f t="shared" si="1"/>
        <v>0</v>
      </c>
      <c r="E6">
        <f t="shared" si="2"/>
        <v>0.1</v>
      </c>
      <c r="F6">
        <f t="shared" si="3"/>
        <v>0.13</v>
      </c>
      <c r="G6">
        <f>C6*1.5+E6*0.3+1-C6-E6</f>
        <v>0.96499999999999997</v>
      </c>
      <c r="H6">
        <f>C6*1.5+F6*0.5+1-F6-C6</f>
        <v>0.97</v>
      </c>
      <c r="I6">
        <v>1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4"/>
        <v>11106</v>
      </c>
      <c r="B7">
        <f t="shared" si="5"/>
        <v>3060</v>
      </c>
      <c r="C7">
        <f t="shared" si="0"/>
        <v>0.11</v>
      </c>
      <c r="D7">
        <f t="shared" si="1"/>
        <v>0</v>
      </c>
      <c r="E7">
        <f t="shared" si="2"/>
        <v>0.13</v>
      </c>
      <c r="F7">
        <f t="shared" si="3"/>
        <v>0.17</v>
      </c>
      <c r="G7">
        <f t="shared" ref="G7:G10" si="6">C7*1.5+E7*0.3+1-C7-E7</f>
        <v>0.96399999999999986</v>
      </c>
      <c r="H7">
        <f t="shared" ref="H7:H11" si="7">C7*1.5+F7*0.5+1-F7-C7</f>
        <v>0.97000000000000008</v>
      </c>
      <c r="I7">
        <v>1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4"/>
        <v>11107</v>
      </c>
      <c r="B8">
        <f t="shared" si="5"/>
        <v>3070</v>
      </c>
      <c r="C8">
        <f t="shared" si="0"/>
        <v>0.15</v>
      </c>
      <c r="D8">
        <f t="shared" si="1"/>
        <v>0</v>
      </c>
      <c r="E8">
        <f t="shared" si="2"/>
        <v>0.17</v>
      </c>
      <c r="F8">
        <f t="shared" si="3"/>
        <v>0.23</v>
      </c>
      <c r="G8">
        <f>C8*1.5+E8*0.3+1-C8-E8</f>
        <v>0.95600000000000007</v>
      </c>
      <c r="H8">
        <f t="shared" si="7"/>
        <v>0.95999999999999985</v>
      </c>
      <c r="I8">
        <v>1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4"/>
        <v>11108</v>
      </c>
      <c r="B9">
        <f t="shared" si="5"/>
        <v>3080</v>
      </c>
      <c r="C9">
        <f t="shared" si="0"/>
        <v>0.2</v>
      </c>
      <c r="D9">
        <f t="shared" si="1"/>
        <v>0</v>
      </c>
      <c r="E9">
        <f t="shared" si="2"/>
        <v>0.22</v>
      </c>
      <c r="F9">
        <f t="shared" si="3"/>
        <v>0.28999999999999998</v>
      </c>
      <c r="G9">
        <f t="shared" si="6"/>
        <v>0.94600000000000017</v>
      </c>
      <c r="H9">
        <f t="shared" si="7"/>
        <v>0.95500000000000007</v>
      </c>
      <c r="I9">
        <v>1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4"/>
        <v>11109</v>
      </c>
      <c r="B10">
        <f t="shared" si="5"/>
        <v>3090</v>
      </c>
      <c r="C10">
        <f t="shared" si="0"/>
        <v>0.26</v>
      </c>
      <c r="D10">
        <f t="shared" si="1"/>
        <v>0</v>
      </c>
      <c r="E10">
        <f t="shared" si="2"/>
        <v>0.28000000000000003</v>
      </c>
      <c r="F10">
        <f t="shared" si="3"/>
        <v>0.37</v>
      </c>
      <c r="G10">
        <f t="shared" si="6"/>
        <v>0.93399999999999994</v>
      </c>
      <c r="H10">
        <f t="shared" si="7"/>
        <v>0.94500000000000006</v>
      </c>
      <c r="I10">
        <v>1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4"/>
        <v>11110</v>
      </c>
      <c r="B11">
        <f t="shared" si="5"/>
        <v>3100</v>
      </c>
      <c r="C11">
        <f t="shared" si="0"/>
        <v>0.32</v>
      </c>
      <c r="D11">
        <f t="shared" si="1"/>
        <v>0</v>
      </c>
      <c r="E11">
        <f t="shared" si="2"/>
        <v>0.35</v>
      </c>
      <c r="F11">
        <f t="shared" si="3"/>
        <v>0.44</v>
      </c>
      <c r="G11">
        <f>C11*1.5+E11*0.3+1-C11-E11</f>
        <v>0.91499999999999992</v>
      </c>
      <c r="H11">
        <f t="shared" si="7"/>
        <v>0.94</v>
      </c>
      <c r="I11">
        <v>1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A12">
        <v>3010</v>
      </c>
      <c r="B12">
        <v>11101</v>
      </c>
      <c r="C12">
        <f t="shared" si="0"/>
        <v>0</v>
      </c>
      <c r="D12">
        <f t="shared" si="1"/>
        <v>0</v>
      </c>
      <c r="E12">
        <f t="shared" si="2"/>
        <v>0.1</v>
      </c>
      <c r="F12">
        <f t="shared" si="3"/>
        <v>0</v>
      </c>
      <c r="G12">
        <v>1</v>
      </c>
      <c r="H12">
        <v>1</v>
      </c>
      <c r="I12">
        <f>E12*0.3+1-E12</f>
        <v>0.93</v>
      </c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A13">
        <f>A12+10</f>
        <v>3020</v>
      </c>
      <c r="B13">
        <f>B12+1</f>
        <v>11102</v>
      </c>
      <c r="C13">
        <f t="shared" si="0"/>
        <v>0</v>
      </c>
      <c r="D13">
        <f t="shared" si="1"/>
        <v>0</v>
      </c>
      <c r="E13">
        <f t="shared" si="2"/>
        <v>0.1</v>
      </c>
      <c r="F13">
        <f t="shared" si="3"/>
        <v>0</v>
      </c>
      <c r="G13">
        <v>1</v>
      </c>
      <c r="H13">
        <v>1</v>
      </c>
      <c r="I13">
        <f t="shared" ref="I13:I21" si="8">E13*0.3+1-E13</f>
        <v>0.93</v>
      </c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4" spans="1:24" x14ac:dyDescent="0.15">
      <c r="A14">
        <f>A13+10</f>
        <v>3030</v>
      </c>
      <c r="B14">
        <f t="shared" ref="B14:B21" si="9">B13+1</f>
        <v>11103</v>
      </c>
      <c r="C14">
        <f t="shared" si="0"/>
        <v>0</v>
      </c>
      <c r="D14">
        <f t="shared" si="1"/>
        <v>0</v>
      </c>
      <c r="E14">
        <f t="shared" si="2"/>
        <v>0.1</v>
      </c>
      <c r="F14">
        <f t="shared" si="3"/>
        <v>0</v>
      </c>
      <c r="G14">
        <v>1</v>
      </c>
      <c r="H14">
        <v>1</v>
      </c>
      <c r="I14">
        <f t="shared" si="8"/>
        <v>0.93</v>
      </c>
    </row>
    <row r="15" spans="1:24" x14ac:dyDescent="0.15">
      <c r="A15">
        <f t="shared" ref="A15:A21" si="10">A14+10</f>
        <v>3040</v>
      </c>
      <c r="B15">
        <f t="shared" si="9"/>
        <v>11104</v>
      </c>
      <c r="C15">
        <f t="shared" si="0"/>
        <v>0.01</v>
      </c>
      <c r="D15">
        <f t="shared" si="1"/>
        <v>0.01</v>
      </c>
      <c r="E15">
        <f t="shared" si="2"/>
        <v>0.1</v>
      </c>
      <c r="F15">
        <f t="shared" si="3"/>
        <v>0</v>
      </c>
      <c r="G15">
        <v>1</v>
      </c>
      <c r="H15">
        <v>1</v>
      </c>
      <c r="I15">
        <f t="shared" si="8"/>
        <v>0.93</v>
      </c>
    </row>
    <row r="16" spans="1:24" x14ac:dyDescent="0.15">
      <c r="A16">
        <f t="shared" si="10"/>
        <v>3050</v>
      </c>
      <c r="B16">
        <f t="shared" si="9"/>
        <v>11105</v>
      </c>
      <c r="C16">
        <f t="shared" si="0"/>
        <v>0.01</v>
      </c>
      <c r="D16">
        <f t="shared" si="1"/>
        <v>0.01</v>
      </c>
      <c r="E16">
        <f t="shared" si="2"/>
        <v>0.1</v>
      </c>
      <c r="F16">
        <f t="shared" si="3"/>
        <v>0</v>
      </c>
      <c r="G16">
        <v>1</v>
      </c>
      <c r="H16">
        <v>1</v>
      </c>
      <c r="I16">
        <f t="shared" si="8"/>
        <v>0.93</v>
      </c>
    </row>
    <row r="17" spans="1:10" x14ac:dyDescent="0.15">
      <c r="A17">
        <f t="shared" si="10"/>
        <v>3060</v>
      </c>
      <c r="B17">
        <f t="shared" si="9"/>
        <v>11106</v>
      </c>
      <c r="C17">
        <f t="shared" si="0"/>
        <v>0.02</v>
      </c>
      <c r="D17">
        <f t="shared" si="1"/>
        <v>0.01</v>
      </c>
      <c r="E17">
        <f t="shared" si="2"/>
        <v>0.1</v>
      </c>
      <c r="F17">
        <f t="shared" si="3"/>
        <v>0</v>
      </c>
      <c r="G17">
        <v>1</v>
      </c>
      <c r="H17">
        <v>1</v>
      </c>
      <c r="I17">
        <f t="shared" si="8"/>
        <v>0.93</v>
      </c>
    </row>
    <row r="18" spans="1:10" x14ac:dyDescent="0.15">
      <c r="A18">
        <f t="shared" si="10"/>
        <v>3070</v>
      </c>
      <c r="B18">
        <f t="shared" si="9"/>
        <v>11107</v>
      </c>
      <c r="C18">
        <f t="shared" si="0"/>
        <v>0.02</v>
      </c>
      <c r="D18">
        <f t="shared" si="1"/>
        <v>0.02</v>
      </c>
      <c r="E18">
        <f t="shared" si="2"/>
        <v>0.1</v>
      </c>
      <c r="F18">
        <f t="shared" si="3"/>
        <v>0</v>
      </c>
      <c r="G18">
        <v>1</v>
      </c>
      <c r="H18">
        <v>1</v>
      </c>
      <c r="I18">
        <f t="shared" si="8"/>
        <v>0.93</v>
      </c>
    </row>
    <row r="19" spans="1:10" x14ac:dyDescent="0.15">
      <c r="A19">
        <f t="shared" si="10"/>
        <v>3080</v>
      </c>
      <c r="B19">
        <f t="shared" si="9"/>
        <v>11108</v>
      </c>
      <c r="C19">
        <f t="shared" si="0"/>
        <v>0.03</v>
      </c>
      <c r="D19">
        <f t="shared" si="1"/>
        <v>0.02</v>
      </c>
      <c r="E19">
        <f t="shared" si="2"/>
        <v>0.1</v>
      </c>
      <c r="F19">
        <f t="shared" si="3"/>
        <v>0</v>
      </c>
      <c r="G19">
        <v>1</v>
      </c>
      <c r="H19">
        <v>1</v>
      </c>
      <c r="I19">
        <f t="shared" si="8"/>
        <v>0.93</v>
      </c>
    </row>
    <row r="20" spans="1:10" x14ac:dyDescent="0.15">
      <c r="A20">
        <f t="shared" si="10"/>
        <v>3090</v>
      </c>
      <c r="B20">
        <f t="shared" si="9"/>
        <v>11109</v>
      </c>
      <c r="C20">
        <f t="shared" si="0"/>
        <v>0.03</v>
      </c>
      <c r="D20">
        <f t="shared" si="1"/>
        <v>0.03</v>
      </c>
      <c r="E20">
        <f t="shared" si="2"/>
        <v>0.1</v>
      </c>
      <c r="F20">
        <f t="shared" si="3"/>
        <v>0</v>
      </c>
      <c r="G20">
        <v>1</v>
      </c>
      <c r="H20">
        <v>1</v>
      </c>
      <c r="I20">
        <f t="shared" si="8"/>
        <v>0.93</v>
      </c>
    </row>
    <row r="21" spans="1:10" x14ac:dyDescent="0.15">
      <c r="A21">
        <f t="shared" si="10"/>
        <v>3100</v>
      </c>
      <c r="B21">
        <f t="shared" si="9"/>
        <v>11110</v>
      </c>
      <c r="C21">
        <f t="shared" si="0"/>
        <v>0.04</v>
      </c>
      <c r="D21">
        <f t="shared" si="1"/>
        <v>0.04</v>
      </c>
      <c r="E21">
        <f t="shared" si="2"/>
        <v>0.1</v>
      </c>
      <c r="F21">
        <f t="shared" si="3"/>
        <v>0</v>
      </c>
      <c r="G21">
        <v>1</v>
      </c>
      <c r="H21">
        <v>1</v>
      </c>
      <c r="I21">
        <f t="shared" si="8"/>
        <v>0.93</v>
      </c>
    </row>
    <row r="29" spans="1:10" x14ac:dyDescent="0.15">
      <c r="A29" s="8" t="s">
        <v>2</v>
      </c>
      <c r="B29" s="8" t="s">
        <v>348</v>
      </c>
      <c r="C29" s="8" t="s">
        <v>178</v>
      </c>
      <c r="D29" s="8" t="s">
        <v>0</v>
      </c>
    </row>
    <row r="30" spans="1:10" x14ac:dyDescent="0.15">
      <c r="A30">
        <v>11101</v>
      </c>
      <c r="B30">
        <v>3010</v>
      </c>
      <c r="C30">
        <v>29</v>
      </c>
      <c r="D30">
        <f>MOD(B30,1000)</f>
        <v>10</v>
      </c>
    </row>
    <row r="31" spans="1:10" x14ac:dyDescent="0.15">
      <c r="A31" t="s">
        <v>156</v>
      </c>
      <c r="B31" t="s">
        <v>95</v>
      </c>
      <c r="C31" t="s">
        <v>177</v>
      </c>
      <c r="D31" t="s">
        <v>143</v>
      </c>
      <c r="E31" t="s">
        <v>182</v>
      </c>
      <c r="F31" t="s">
        <v>192</v>
      </c>
      <c r="G31" t="s">
        <v>193</v>
      </c>
      <c r="H31" t="s">
        <v>176</v>
      </c>
      <c r="I31" t="s">
        <v>205</v>
      </c>
      <c r="J31" t="s">
        <v>206</v>
      </c>
    </row>
    <row r="32" spans="1:10" x14ac:dyDescent="0.15">
      <c r="A32">
        <v>12</v>
      </c>
      <c r="B32" t="s">
        <v>9</v>
      </c>
      <c r="C32">
        <f>C30-C37</f>
        <v>23</v>
      </c>
      <c r="D32">
        <f>VLOOKUP(A32,技能参数,4,FALSE)</f>
        <v>0.6</v>
      </c>
      <c r="E32">
        <f>VLOOKUP(A32*1000+D30,学习等级编码,2)</f>
        <v>1201</v>
      </c>
      <c r="F32">
        <f>INT(VLOOKUP($E32,技能升级,9,FALSE)*$C32*I32*J32)</f>
        <v>0</v>
      </c>
      <c r="G32">
        <f>INT(VLOOKUP($E32,技能升级,10,FALSE)*$C32*I32*J32)</f>
        <v>23000</v>
      </c>
      <c r="H32">
        <f>VLOOKUP(E32,技能升级,11,FALSE)*C32</f>
        <v>460</v>
      </c>
      <c r="I32">
        <v>1</v>
      </c>
      <c r="J32">
        <f>VLOOKUP(A30,$A$2:$I$21,8,FALSE)</f>
        <v>1</v>
      </c>
    </row>
    <row r="33" spans="1:10" x14ac:dyDescent="0.15">
      <c r="A33">
        <v>15</v>
      </c>
      <c r="B33" t="s">
        <v>12</v>
      </c>
      <c r="C33">
        <v>1</v>
      </c>
      <c r="D33">
        <f>VLOOKUP(A33,技能参数,4,FALSE)</f>
        <v>1.5</v>
      </c>
      <c r="E33">
        <f>VLOOKUP(A33*1000+D30,学习等级编码,2)</f>
        <v>1501</v>
      </c>
      <c r="F33">
        <f>INT(VLOOKUP($E33,技能升级,9,FALSE)*$C33*I33*J33)</f>
        <v>0</v>
      </c>
      <c r="G33">
        <f>INT(VLOOKUP($E33,技能升级,10,FALSE)*$C33*I33*J33)</f>
        <v>0</v>
      </c>
      <c r="H33">
        <f>VLOOKUP(E33,技能升级,11,FALSE)*C33</f>
        <v>0</v>
      </c>
      <c r="I33">
        <v>1</v>
      </c>
      <c r="J33">
        <v>1</v>
      </c>
    </row>
    <row r="34" spans="1:10" x14ac:dyDescent="0.15">
      <c r="A34">
        <v>11</v>
      </c>
      <c r="B34" t="s">
        <v>94</v>
      </c>
      <c r="C34">
        <f>INT((C30-D32-D33-C36-C37)/D34)</f>
        <v>17</v>
      </c>
      <c r="D34">
        <f>VLOOKUP(A34,技能参数,4,FALSE)</f>
        <v>1</v>
      </c>
      <c r="E34">
        <f>VLOOKUP(A34*1000+D30,学习等级编码,2)</f>
        <v>1102</v>
      </c>
      <c r="F34">
        <f>INT(VLOOKUP($E34,技能升级,9,FALSE)*$C34*I34*J34)</f>
        <v>17340</v>
      </c>
      <c r="G34">
        <f>INT(VLOOKUP($E34,技能升级,10,FALSE)*$C34*I34*J34)</f>
        <v>0</v>
      </c>
      <c r="H34">
        <f>VLOOKUP(E34,技能升级,11,FALSE)*C34</f>
        <v>391</v>
      </c>
      <c r="I34">
        <v>1</v>
      </c>
      <c r="J34">
        <f>VLOOKUP(A30,$A$2:$I$21,7,FALSE)</f>
        <v>1</v>
      </c>
    </row>
    <row r="35" spans="1:10" x14ac:dyDescent="0.15">
      <c r="A35">
        <v>14</v>
      </c>
      <c r="B35" t="s">
        <v>11</v>
      </c>
      <c r="C35">
        <v>1</v>
      </c>
      <c r="D35">
        <v>0</v>
      </c>
      <c r="E35">
        <f>VLOOKUP(A35*1000+D30,学习等级编码,2)</f>
        <v>1401</v>
      </c>
      <c r="F35">
        <f>INT(VLOOKUP($E35,技能升级,9,FALSE)*$C35*I35*J35)</f>
        <v>0</v>
      </c>
      <c r="G35">
        <f>INT(VLOOKUP($E35,技能升级,10,FALSE)*$C35*I35*J35)</f>
        <v>0</v>
      </c>
      <c r="H35">
        <f>VLOOKUP(E35,技能升级,11,FALSE)*C35</f>
        <v>0</v>
      </c>
      <c r="I35">
        <v>1</v>
      </c>
      <c r="J35">
        <v>1</v>
      </c>
    </row>
    <row r="36" spans="1:10" x14ac:dyDescent="0.15">
      <c r="A36">
        <v>204</v>
      </c>
      <c r="B36" t="s">
        <v>338</v>
      </c>
      <c r="C36">
        <v>3</v>
      </c>
      <c r="D36">
        <v>0</v>
      </c>
      <c r="E36">
        <f>IFERROR(VLOOKUP(A36*1000+D29,学习等级编码,2),0)</f>
        <v>0</v>
      </c>
      <c r="F36">
        <f>IFERROR(INT(VLOOKUP($E36,技能升级,9,FALSE)*$C36*I36*J36),0)</f>
        <v>0</v>
      </c>
      <c r="G36">
        <f>IFERROR(INT(VLOOKUP($E36,技能升级,10,FALSE)*$C36*I36*J36),0)</f>
        <v>0</v>
      </c>
      <c r="H36">
        <f>IFERROR(VLOOKUP(E36,技能升级,11,FALSE)*C36,0)</f>
        <v>0</v>
      </c>
      <c r="I36">
        <v>1</v>
      </c>
      <c r="J36">
        <v>1</v>
      </c>
    </row>
    <row r="37" spans="1:10" x14ac:dyDescent="0.15">
      <c r="B37" t="s">
        <v>342</v>
      </c>
      <c r="C37">
        <v>6</v>
      </c>
      <c r="D37">
        <v>0</v>
      </c>
      <c r="E37">
        <f>IFERROR(VLOOKUP(A37*1000+D29,学习等级编码,2),0)</f>
        <v>0</v>
      </c>
      <c r="F37">
        <f>IFERROR(INT(VLOOKUP($E37,技能升级,9,FALSE)*$C37*I37*J37),0)</f>
        <v>0</v>
      </c>
      <c r="G37">
        <f>IFERROR(INT(VLOOKUP($E37,技能升级,10,FALSE)*$C37*I37*J37),0)</f>
        <v>0</v>
      </c>
      <c r="H37">
        <f>IFERROR(VLOOKUP(E37,技能升级,11,FALSE)*C37*I37*J37,0)</f>
        <v>0</v>
      </c>
      <c r="I37">
        <v>1</v>
      </c>
      <c r="J37">
        <v>1</v>
      </c>
    </row>
    <row r="38" spans="1:10" x14ac:dyDescent="0.15">
      <c r="E38" t="s">
        <v>194</v>
      </c>
      <c r="F38">
        <f>SUM(F32:F34)/1000</f>
        <v>17.34</v>
      </c>
      <c r="G38">
        <f>SUM(G32:G34)/1000</f>
        <v>23</v>
      </c>
      <c r="H38">
        <f>SUM(H32:H34)</f>
        <v>851</v>
      </c>
      <c r="I38" t="s">
        <v>196</v>
      </c>
      <c r="J38" t="s">
        <v>197</v>
      </c>
    </row>
    <row r="39" spans="1:10" x14ac:dyDescent="0.15">
      <c r="E39" t="s">
        <v>195</v>
      </c>
      <c r="F39">
        <f>INT((IF($A30&gt;10000,VLOOKUP($A30,实战属性,13,FALSE),VLOOKUP($A30,总基本属性,7,FALSE))-
IF($B30&gt;10000,VLOOKUP($B30,实战属性,15,FALSE),VLOOKUP($B30,总基本属性,9,FALSE))*$L$13)*F38)</f>
        <v>1612</v>
      </c>
      <c r="G39">
        <f>INT((IF($A30&gt;10000,VLOOKUP($A30,实战属性,14,FALSE),VLOOKUP($A30,总基本属性,8,FALSE))-
IF($B30&gt;10000,VLOOKUP($B30,实战属性,16,FALSE),VLOOKUP($B30,总基本属性,10,FALSE))*$L$13)*G38)</f>
        <v>1104</v>
      </c>
      <c r="H39">
        <f>H38+F39+G39</f>
        <v>3567</v>
      </c>
      <c r="I39">
        <f>IF($B30&gt;10000,VLOOKUP($B30,实战属性,12,FALSE),VLOOKUP($B30,总基本属性,6,FALSE))</f>
        <v>3695</v>
      </c>
      <c r="J39">
        <f>ROUND(I39/H39,2)</f>
        <v>1.04</v>
      </c>
    </row>
    <row r="42" spans="1:10" x14ac:dyDescent="0.15">
      <c r="A42" s="9" t="s">
        <v>349</v>
      </c>
      <c r="B42" s="9" t="s">
        <v>2</v>
      </c>
      <c r="C42" s="9" t="s">
        <v>178</v>
      </c>
      <c r="D42" s="9" t="s">
        <v>144</v>
      </c>
    </row>
    <row r="43" spans="1:10" x14ac:dyDescent="0.15">
      <c r="A43">
        <v>3010</v>
      </c>
      <c r="B43">
        <v>11101</v>
      </c>
      <c r="C43">
        <v>29</v>
      </c>
      <c r="D43">
        <f>MOD(A43,1000)</f>
        <v>10</v>
      </c>
    </row>
    <row r="44" spans="1:10" x14ac:dyDescent="0.15">
      <c r="A44" t="s">
        <v>156</v>
      </c>
      <c r="B44" t="s">
        <v>95</v>
      </c>
      <c r="C44" t="s">
        <v>142</v>
      </c>
      <c r="D44" t="s">
        <v>143</v>
      </c>
      <c r="E44" t="s">
        <v>182</v>
      </c>
      <c r="F44" t="s">
        <v>192</v>
      </c>
      <c r="G44" t="s">
        <v>193</v>
      </c>
      <c r="H44" t="s">
        <v>176</v>
      </c>
      <c r="I44" t="s">
        <v>205</v>
      </c>
      <c r="J44" t="s">
        <v>206</v>
      </c>
    </row>
    <row r="45" spans="1:10" x14ac:dyDescent="0.15">
      <c r="A45">
        <v>32</v>
      </c>
      <c r="B45" t="s">
        <v>26</v>
      </c>
      <c r="C45">
        <f>INT(C43/(VLOOKUP(A45,技能参数,5,FALSE)+2*VLOOKUP(A45,技能参数,4,FALSE))+3)</f>
        <v>4</v>
      </c>
      <c r="D45">
        <f>VLOOKUP(A45,技能参数,4,FALSE)</f>
        <v>1</v>
      </c>
      <c r="E45">
        <f>IFERROR(VLOOKUP(A45*1000+D43,学习等级编码,2),0)</f>
        <v>3201</v>
      </c>
      <c r="F45">
        <f>IFERROR(INT(VLOOKUP($E45,技能升级,9,FALSE)*$C45*I45*J45),0)</f>
        <v>0</v>
      </c>
      <c r="G45">
        <f>IFERROR(INT(VLOOKUP($E45,技能升级,10,FALSE)*$C45*I45*J45),0)</f>
        <v>4800</v>
      </c>
      <c r="H45">
        <f>INT(VLOOKUP($E45,技能升级,11,FALSE)*$C45*I45*J45)</f>
        <v>80</v>
      </c>
      <c r="I45">
        <v>1</v>
      </c>
      <c r="J45">
        <v>1</v>
      </c>
    </row>
    <row r="46" spans="1:10" x14ac:dyDescent="0.15">
      <c r="A46">
        <v>34</v>
      </c>
      <c r="B46" t="s">
        <v>34</v>
      </c>
      <c r="C46">
        <f>INT(C43/(VLOOKUP(A46,技能参数,5,FALSE)+2*VLOOKUP(A46,技能参数,4,FALSE))+1)</f>
        <v>2</v>
      </c>
      <c r="D46">
        <f>VLOOKUP(A46,技能参数,4,FALSE)</f>
        <v>1.5</v>
      </c>
      <c r="E46">
        <f>IFERROR(VLOOKUP(A46*1000+D43,学习等级编码,2),0)</f>
        <v>3401</v>
      </c>
      <c r="F46">
        <f>IFERROR(INT(VLOOKUP($E46,技能升级,9,FALSE)*$C46*I46*J46),0)</f>
        <v>3000</v>
      </c>
      <c r="G46">
        <f>IFERROR(INT(VLOOKUP($E46,技能升级,10,FALSE)*$C46*I46*J46),0)</f>
        <v>0</v>
      </c>
      <c r="H46">
        <f>INT(VLOOKUP($E46,技能升级,11,FALSE)*$C46*I46*J46)</f>
        <v>70</v>
      </c>
      <c r="I46">
        <v>1</v>
      </c>
      <c r="J46">
        <v>1</v>
      </c>
    </row>
    <row r="47" spans="1:10" x14ac:dyDescent="0.15">
      <c r="A47">
        <v>35</v>
      </c>
      <c r="B47" t="s">
        <v>141</v>
      </c>
      <c r="C47">
        <v>3</v>
      </c>
      <c r="D47">
        <f>VLOOKUP(A47,技能参数,4,FALSE)</f>
        <v>2</v>
      </c>
      <c r="E47">
        <f>IFERROR(VLOOKUP(A47*1000+D43,学习等级编码,2),0)</f>
        <v>3501</v>
      </c>
      <c r="F47">
        <f>IFERROR(INT(VLOOKUP($E47,技能升级,9,FALSE)*$C47*I47*J47),0)</f>
        <v>6000</v>
      </c>
      <c r="G47">
        <f>IFERROR(INT(VLOOKUP($E47,技能升级,10,FALSE)*$C47*I47*J47),0)</f>
        <v>0</v>
      </c>
      <c r="H47">
        <f>INT(VLOOKUP($E47,技能升级,11,FALSE)*$C47*I47*J47)</f>
        <v>138</v>
      </c>
      <c r="I47">
        <v>1</v>
      </c>
      <c r="J47">
        <v>1</v>
      </c>
    </row>
    <row r="48" spans="1:10" x14ac:dyDescent="0.15">
      <c r="A48">
        <v>31</v>
      </c>
      <c r="B48" t="s">
        <v>91</v>
      </c>
      <c r="C48">
        <f>INT((C43-C45*D45-C46*D46-C47*D47-C50-C51)/D48)</f>
        <v>20</v>
      </c>
      <c r="D48">
        <f>VLOOKUP(A48,技能参数,4,FALSE)</f>
        <v>0.8</v>
      </c>
      <c r="E48">
        <f>IFERROR(VLOOKUP(A48*1000+D43,学习等级编码,2),0)</f>
        <v>3102</v>
      </c>
      <c r="F48">
        <f>IFERROR(INT(VLOOKUP($E48,技能升级,9,FALSE)*$C48*I48*J48),0)</f>
        <v>18972</v>
      </c>
      <c r="G48">
        <f>IFERROR(INT(VLOOKUP($E48,技能升级,10,FALSE)*$C48*I48*J48),0)</f>
        <v>0</v>
      </c>
      <c r="H48">
        <f>INT(VLOOKUP($E48,技能升级,11,FALSE)*$C48*I48*J48)</f>
        <v>427</v>
      </c>
      <c r="I48">
        <v>1</v>
      </c>
      <c r="J48">
        <f>VLOOKUP(A43,$A$2:$I$21,9,FALSE)</f>
        <v>0.93</v>
      </c>
    </row>
    <row r="49" spans="1:10" x14ac:dyDescent="0.15">
      <c r="A49">
        <v>203</v>
      </c>
      <c r="B49" t="s">
        <v>340</v>
      </c>
      <c r="C49">
        <f>INT((C43)/3)</f>
        <v>9</v>
      </c>
      <c r="D49">
        <v>0</v>
      </c>
      <c r="E49">
        <f>IFERROR(VLOOKUP(A49*1000+D43,学习等级编码,2),0)</f>
        <v>20301</v>
      </c>
      <c r="F49">
        <f>IFERROR(INT(VLOOKUP($E49,技能升级,9,FALSE)*$C49*I49*J49),0)</f>
        <v>0</v>
      </c>
      <c r="G49">
        <f>IFERROR(INT(VLOOKUP($E49,技能升级,10,FALSE)*$C49*I49*J49),0)</f>
        <v>0</v>
      </c>
      <c r="H49">
        <f>INT((VLOOKUP(E49,技能升级,13,FALSE)*(VLOOKUP(C49,中毒数据,4)+MOD(C43,3)*VLOOKUP(C49+1,中毒数据,3))+VLOOKUP(E49,技能升级,14,FALSE)/1000*C49*IF($B43&gt;10000,VLOOKUP($B43,实战属性,12,FALSE),VLOOKUP($B43,总基本属性,6,FALSE)))*I49*J49)</f>
        <v>2517</v>
      </c>
      <c r="I49">
        <v>1</v>
      </c>
      <c r="J49">
        <v>1</v>
      </c>
    </row>
    <row r="50" spans="1:10" x14ac:dyDescent="0.15">
      <c r="E50" t="s">
        <v>194</v>
      </c>
      <c r="F50">
        <f>SUM(F45:F49)/1000</f>
        <v>27.972000000000001</v>
      </c>
      <c r="G50">
        <f>SUM(G45:G49)/1000</f>
        <v>4.8</v>
      </c>
      <c r="H50">
        <f>SUM(H45:H49)</f>
        <v>3232</v>
      </c>
      <c r="I50" t="s">
        <v>196</v>
      </c>
      <c r="J50" t="s">
        <v>197</v>
      </c>
    </row>
    <row r="51" spans="1:10" x14ac:dyDescent="0.15">
      <c r="E51" t="s">
        <v>195</v>
      </c>
      <c r="F51">
        <f>INT((IF($A43&gt;10000,VLOOKUP($A43,实战属性,13,FALSE),VLOOKUP($A43,总基本属性,7,FALSE))-
IF($B43&gt;10000,VLOOKUP($B43,实战属性,15,FALSE),VLOOKUP($B43,总基本属性,9,FALSE))*$L$13)*F50)</f>
        <v>1944</v>
      </c>
      <c r="G51">
        <f>INT((IF($A43&gt;10000,VLOOKUP($A43,实战属性,14,FALSE),VLOOKUP($A43,总基本属性,8,FALSE))-
IF($B43&gt;10000,VLOOKUP($B43,实战属性,16,FALSE),VLOOKUP($B43,总基本属性,10,FALSE))*$L$13)*G50)</f>
        <v>364</v>
      </c>
      <c r="H51">
        <f>H50+F51+G51</f>
        <v>5540</v>
      </c>
      <c r="I51">
        <f>IF($B43&gt;10000,VLOOKUP($B43,实战属性,12,FALSE),VLOOKUP($B43,总基本属性,6,FALSE))</f>
        <v>5484</v>
      </c>
      <c r="J51">
        <f>ROUND(I51/H51,2)</f>
        <v>0.99</v>
      </c>
    </row>
    <row r="55" spans="1:10" x14ac:dyDescent="0.15">
      <c r="A55" s="8" t="s">
        <v>2</v>
      </c>
      <c r="B55" s="8" t="s">
        <v>337</v>
      </c>
      <c r="C55" s="8" t="s">
        <v>178</v>
      </c>
      <c r="D55" s="8" t="s">
        <v>0</v>
      </c>
    </row>
    <row r="56" spans="1:10" x14ac:dyDescent="0.15">
      <c r="A56">
        <f>A30+1</f>
        <v>11102</v>
      </c>
      <c r="B56">
        <f>B30+10</f>
        <v>3020</v>
      </c>
      <c r="C56">
        <v>31</v>
      </c>
      <c r="D56">
        <f>MOD(B56,1000)</f>
        <v>20</v>
      </c>
    </row>
    <row r="57" spans="1:10" x14ac:dyDescent="0.15">
      <c r="A57" t="s">
        <v>156</v>
      </c>
      <c r="B57" t="s">
        <v>95</v>
      </c>
      <c r="C57" t="s">
        <v>177</v>
      </c>
      <c r="D57" t="s">
        <v>143</v>
      </c>
      <c r="E57" t="s">
        <v>182</v>
      </c>
      <c r="F57" t="s">
        <v>192</v>
      </c>
      <c r="G57" t="s">
        <v>193</v>
      </c>
      <c r="H57" t="s">
        <v>176</v>
      </c>
      <c r="I57" t="s">
        <v>205</v>
      </c>
      <c r="J57" t="s">
        <v>206</v>
      </c>
    </row>
    <row r="58" spans="1:10" x14ac:dyDescent="0.15">
      <c r="A58">
        <v>12</v>
      </c>
      <c r="B58" t="s">
        <v>9</v>
      </c>
      <c r="C58">
        <f>C56-C63</f>
        <v>25</v>
      </c>
      <c r="D58">
        <f>VLOOKUP(A58,技能参数,4,FALSE)</f>
        <v>0.6</v>
      </c>
      <c r="E58">
        <f>VLOOKUP(A58*1000+D56,学习等级编码,2)</f>
        <v>1202</v>
      </c>
      <c r="F58">
        <f>INT(VLOOKUP($E58,技能升级,9,FALSE)*$C58*I58*J58)</f>
        <v>0</v>
      </c>
      <c r="G58">
        <f>INT(VLOOKUP($E58,技能升级,10,FALSE)*$C58*I58*J58)</f>
        <v>25750</v>
      </c>
      <c r="H58">
        <f>VLOOKUP(E58,技能升级,11,FALSE)*C58</f>
        <v>850</v>
      </c>
      <c r="I58">
        <v>1</v>
      </c>
      <c r="J58">
        <f>VLOOKUP(A56,$A$2:$I$21,8,FALSE)</f>
        <v>1</v>
      </c>
    </row>
    <row r="59" spans="1:10" x14ac:dyDescent="0.15">
      <c r="A59">
        <v>15</v>
      </c>
      <c r="B59" t="s">
        <v>12</v>
      </c>
      <c r="C59">
        <v>1</v>
      </c>
      <c r="D59">
        <f>VLOOKUP(A59,技能参数,4,FALSE)</f>
        <v>1.5</v>
      </c>
      <c r="E59">
        <f>VLOOKUP(A59*1000+D56,学习等级编码,2)</f>
        <v>1501</v>
      </c>
      <c r="F59">
        <f>INT(VLOOKUP($E59,技能升级,9,FALSE)*$C59*I59*J59)</f>
        <v>0</v>
      </c>
      <c r="G59">
        <f>INT(VLOOKUP($E59,技能升级,10,FALSE)*$C59*I59*J59)</f>
        <v>0</v>
      </c>
      <c r="H59">
        <f>VLOOKUP(E59,技能升级,11,FALSE)*C59</f>
        <v>0</v>
      </c>
      <c r="I59">
        <v>1</v>
      </c>
      <c r="J59">
        <v>1</v>
      </c>
    </row>
    <row r="60" spans="1:10" x14ac:dyDescent="0.15">
      <c r="A60">
        <v>11</v>
      </c>
      <c r="B60" t="s">
        <v>94</v>
      </c>
      <c r="C60">
        <f>INT((C56-D58-D59-C62-C63)/D60)</f>
        <v>19</v>
      </c>
      <c r="D60">
        <f>VLOOKUP(A60,技能参数,4,FALSE)</f>
        <v>1</v>
      </c>
      <c r="E60">
        <f>VLOOKUP(A60*1000+D56,学习等级编码,2)</f>
        <v>1103</v>
      </c>
      <c r="F60">
        <f>INT(VLOOKUP($E60,技能升级,9,FALSE)*$C60*I60*J60)</f>
        <v>19760</v>
      </c>
      <c r="G60">
        <f>INT(VLOOKUP($E60,技能升级,10,FALSE)*$C60*I60*J60)</f>
        <v>0</v>
      </c>
      <c r="H60">
        <f>VLOOKUP(E60,技能升级,11,FALSE)*C60</f>
        <v>703</v>
      </c>
      <c r="I60">
        <v>1</v>
      </c>
      <c r="J60">
        <f>VLOOKUP(A56,$A$2:$I$21,7,FALSE)</f>
        <v>1</v>
      </c>
    </row>
    <row r="61" spans="1:10" x14ac:dyDescent="0.15">
      <c r="A61">
        <v>14</v>
      </c>
      <c r="B61" t="s">
        <v>11</v>
      </c>
      <c r="C61">
        <v>1</v>
      </c>
      <c r="D61">
        <v>0</v>
      </c>
      <c r="E61">
        <f>VLOOKUP(A61*1000+D56,学习等级编码,2)</f>
        <v>1402</v>
      </c>
      <c r="F61">
        <f>INT(VLOOKUP($E61,技能升级,9,FALSE)*$C61*I61*J61)</f>
        <v>0</v>
      </c>
      <c r="G61">
        <f>INT(VLOOKUP($E61,技能升级,10,FALSE)*$C61*I61*J61)</f>
        <v>0</v>
      </c>
      <c r="H61">
        <f>VLOOKUP(E61,技能升级,11,FALSE)*C61</f>
        <v>0</v>
      </c>
      <c r="I61">
        <v>1</v>
      </c>
      <c r="J61">
        <v>1</v>
      </c>
    </row>
    <row r="62" spans="1:10" x14ac:dyDescent="0.15">
      <c r="A62">
        <v>204</v>
      </c>
      <c r="B62" t="s">
        <v>338</v>
      </c>
      <c r="C62">
        <v>3</v>
      </c>
      <c r="D62">
        <v>0</v>
      </c>
      <c r="E62">
        <f>IFERROR(VLOOKUP(A62*1000+D55,学习等级编码,2),0)</f>
        <v>0</v>
      </c>
      <c r="F62">
        <f>IFERROR(INT(VLOOKUP($E62,技能升级,9,FALSE)*$C62*I62*J62),0)</f>
        <v>0</v>
      </c>
      <c r="G62">
        <f>IFERROR(INT(VLOOKUP($E62,技能升级,10,FALSE)*$C62*I62*J62),0)</f>
        <v>0</v>
      </c>
      <c r="H62">
        <f>IFERROR(VLOOKUP(E62,技能升级,11,FALSE)*C62,0)</f>
        <v>0</v>
      </c>
      <c r="I62">
        <v>1</v>
      </c>
      <c r="J62">
        <v>1</v>
      </c>
    </row>
    <row r="63" spans="1:10" x14ac:dyDescent="0.15">
      <c r="B63" t="s">
        <v>342</v>
      </c>
      <c r="C63">
        <v>6</v>
      </c>
      <c r="D63">
        <v>0</v>
      </c>
      <c r="E63">
        <f>IFERROR(VLOOKUP(A63*1000+D55,学习等级编码,2),0)</f>
        <v>0</v>
      </c>
      <c r="F63">
        <f>IFERROR(INT(VLOOKUP($E63,技能升级,9,FALSE)*$C63*I63*J63),0)</f>
        <v>0</v>
      </c>
      <c r="G63">
        <f>IFERROR(INT(VLOOKUP($E63,技能升级,10,FALSE)*$C63*I63*J63),0)</f>
        <v>0</v>
      </c>
      <c r="H63">
        <f>IFERROR(VLOOKUP(E63,技能升级,11,FALSE)*C63*I63*J63,0)</f>
        <v>0</v>
      </c>
      <c r="I63">
        <v>1</v>
      </c>
      <c r="J63">
        <v>1</v>
      </c>
    </row>
    <row r="64" spans="1:10" x14ac:dyDescent="0.15">
      <c r="E64" t="s">
        <v>194</v>
      </c>
      <c r="F64">
        <f>SUM(F58:F60)/1000</f>
        <v>19.760000000000002</v>
      </c>
      <c r="G64">
        <f>SUM(G58:G60)/1000</f>
        <v>25.75</v>
      </c>
      <c r="H64">
        <f>SUM(H58:H60)</f>
        <v>1553</v>
      </c>
      <c r="I64" t="s">
        <v>196</v>
      </c>
      <c r="J64" t="s">
        <v>197</v>
      </c>
    </row>
    <row r="65" spans="1:10" x14ac:dyDescent="0.15">
      <c r="E65" t="s">
        <v>195</v>
      </c>
      <c r="F65">
        <f>INT((IF($A56&gt;10000,VLOOKUP($A56,实战属性,13,FALSE),VLOOKUP($A56,总基本属性,7,FALSE))-
IF($B56&gt;10000,VLOOKUP($B56,实战属性,15,FALSE),VLOOKUP($B56,总基本属性,9,FALSE))*$L$13)*F64)</f>
        <v>4347</v>
      </c>
      <c r="G65">
        <f>INT((IF($A56&gt;10000,VLOOKUP($A56,实战属性,14,FALSE),VLOOKUP($A56,总基本属性,8,FALSE))-
IF($B56&gt;10000,VLOOKUP($B56,实战属性,16,FALSE),VLOOKUP($B56,总基本属性,10,FALSE))*$L$13)*G64)</f>
        <v>4969</v>
      </c>
      <c r="H65">
        <f>H64+F65+G65</f>
        <v>10869</v>
      </c>
      <c r="I65">
        <f>IF($B56&gt;10000,VLOOKUP($B56,实战属性,12,FALSE),VLOOKUP($B56,总基本属性,6,FALSE))</f>
        <v>10899</v>
      </c>
      <c r="J65">
        <f>ROUND(I65/H65,2)</f>
        <v>1</v>
      </c>
    </row>
    <row r="68" spans="1:10" x14ac:dyDescent="0.15">
      <c r="A68" s="9" t="s">
        <v>337</v>
      </c>
      <c r="B68" s="9" t="s">
        <v>2</v>
      </c>
      <c r="C68" s="9" t="s">
        <v>178</v>
      </c>
      <c r="D68" s="9" t="s">
        <v>144</v>
      </c>
    </row>
    <row r="69" spans="1:10" x14ac:dyDescent="0.15">
      <c r="A69">
        <f>A43+10</f>
        <v>3020</v>
      </c>
      <c r="B69">
        <f>B43+1</f>
        <v>11102</v>
      </c>
      <c r="C69">
        <v>31</v>
      </c>
      <c r="D69">
        <f>MOD(A69,1000)</f>
        <v>20</v>
      </c>
    </row>
    <row r="70" spans="1:10" x14ac:dyDescent="0.15">
      <c r="A70" t="s">
        <v>156</v>
      </c>
      <c r="B70" t="s">
        <v>95</v>
      </c>
      <c r="C70" t="s">
        <v>142</v>
      </c>
      <c r="D70" t="s">
        <v>143</v>
      </c>
      <c r="E70" t="s">
        <v>182</v>
      </c>
      <c r="F70" t="s">
        <v>192</v>
      </c>
      <c r="G70" t="s">
        <v>193</v>
      </c>
      <c r="H70" t="s">
        <v>176</v>
      </c>
      <c r="I70" t="s">
        <v>205</v>
      </c>
      <c r="J70" t="s">
        <v>206</v>
      </c>
    </row>
    <row r="71" spans="1:10" x14ac:dyDescent="0.15">
      <c r="A71">
        <v>32</v>
      </c>
      <c r="B71" t="s">
        <v>26</v>
      </c>
      <c r="C71">
        <f>INT(C69/(VLOOKUP(A71,技能参数,5,FALSE)+2*VLOOKUP(A71,技能参数,4,FALSE))+3)</f>
        <v>4</v>
      </c>
      <c r="D71">
        <f>VLOOKUP(A71,技能参数,4,FALSE)</f>
        <v>1</v>
      </c>
      <c r="E71">
        <f>IFERROR(VLOOKUP(A71*1000+D69,学习等级编码,2),0)</f>
        <v>3202</v>
      </c>
      <c r="F71">
        <f>IFERROR(INT(VLOOKUP($E71,技能升级,9,FALSE)*$C71*I71*J71),0)</f>
        <v>0</v>
      </c>
      <c r="G71">
        <f>IFERROR(INT(VLOOKUP($E71,技能升级,10,FALSE)*$C71*I71*J71),0)</f>
        <v>5000</v>
      </c>
      <c r="H71">
        <f>INT(VLOOKUP($E71,技能升级,11,FALSE)*$C71*I71*J71)</f>
        <v>136</v>
      </c>
      <c r="I71">
        <v>1</v>
      </c>
      <c r="J71">
        <v>1</v>
      </c>
    </row>
    <row r="72" spans="1:10" x14ac:dyDescent="0.15">
      <c r="A72">
        <v>34</v>
      </c>
      <c r="B72" t="s">
        <v>34</v>
      </c>
      <c r="C72">
        <f>INT(C69/(VLOOKUP(A72,技能参数,5,FALSE)+2*VLOOKUP(A72,技能参数,4,FALSE))+1)</f>
        <v>2</v>
      </c>
      <c r="D72">
        <f>VLOOKUP(A72,技能参数,4,FALSE)</f>
        <v>1.5</v>
      </c>
      <c r="E72">
        <f>IFERROR(VLOOKUP(A72*1000+D69,学习等级编码,2),0)</f>
        <v>3402</v>
      </c>
      <c r="F72">
        <f>IFERROR(INT(VLOOKUP($E72,技能升级,9,FALSE)*$C72*I72*J72),0)</f>
        <v>3160</v>
      </c>
      <c r="G72">
        <f>IFERROR(INT(VLOOKUP($E72,技能升级,10,FALSE)*$C72*I72*J72),0)</f>
        <v>0</v>
      </c>
      <c r="H72">
        <f>INT(VLOOKUP($E72,技能升级,11,FALSE)*$C72*I72*J72)</f>
        <v>110</v>
      </c>
      <c r="I72">
        <v>1</v>
      </c>
      <c r="J72">
        <v>1</v>
      </c>
    </row>
    <row r="73" spans="1:10" x14ac:dyDescent="0.15">
      <c r="A73">
        <v>35</v>
      </c>
      <c r="B73" t="s">
        <v>141</v>
      </c>
      <c r="C73">
        <v>3</v>
      </c>
      <c r="D73">
        <f>VLOOKUP(A73,技能参数,4,FALSE)</f>
        <v>2</v>
      </c>
      <c r="E73">
        <f>IFERROR(VLOOKUP(A73*1000+D69,学习等级编码,2),0)</f>
        <v>3501</v>
      </c>
      <c r="F73">
        <f>IFERROR(INT(VLOOKUP($E73,技能升级,9,FALSE)*$C73*I73*J73),0)</f>
        <v>6000</v>
      </c>
      <c r="G73">
        <f>IFERROR(INT(VLOOKUP($E73,技能升级,10,FALSE)*$C73*I73*J73),0)</f>
        <v>0</v>
      </c>
      <c r="H73">
        <f>INT(VLOOKUP($E73,技能升级,11,FALSE)*$C73*I73*J73)</f>
        <v>138</v>
      </c>
      <c r="I73">
        <v>1</v>
      </c>
      <c r="J73">
        <v>1</v>
      </c>
    </row>
    <row r="74" spans="1:10" x14ac:dyDescent="0.15">
      <c r="A74">
        <v>31</v>
      </c>
      <c r="B74" t="s">
        <v>91</v>
      </c>
      <c r="C74">
        <f>INT((C69-C71*D71-C72*D72-C73*D73-C76-C77)/D74)</f>
        <v>22</v>
      </c>
      <c r="D74">
        <f>VLOOKUP(A74,技能参数,4,FALSE)</f>
        <v>0.8</v>
      </c>
      <c r="E74">
        <f>IFERROR(VLOOKUP(A74*1000+D69,学习等级编码,2),0)</f>
        <v>3103</v>
      </c>
      <c r="F74">
        <f>IFERROR(INT(VLOOKUP($E74,技能升级,9,FALSE)*$C74*I74*J74),0)</f>
        <v>21278</v>
      </c>
      <c r="G74">
        <f>IFERROR(INT(VLOOKUP($E74,技能升级,10,FALSE)*$C74*I74*J74),0)</f>
        <v>0</v>
      </c>
      <c r="H74">
        <f>INT(VLOOKUP($E74,技能升级,11,FALSE)*$C74*I74*J74)</f>
        <v>757</v>
      </c>
      <c r="I74">
        <v>1</v>
      </c>
      <c r="J74">
        <f>VLOOKUP(A69,$A$2:$I$21,9,FALSE)</f>
        <v>0.93</v>
      </c>
    </row>
    <row r="75" spans="1:10" x14ac:dyDescent="0.15">
      <c r="A75">
        <v>203</v>
      </c>
      <c r="B75" t="s">
        <v>340</v>
      </c>
      <c r="C75">
        <f>INT((C69)/3)</f>
        <v>10</v>
      </c>
      <c r="D75">
        <v>0</v>
      </c>
      <c r="E75">
        <f>IFERROR(VLOOKUP(A75*1000+D69,学习等级编码,2),0)</f>
        <v>20302</v>
      </c>
      <c r="F75">
        <f>IFERROR(INT(VLOOKUP($E75,技能升级,9,FALSE)*$C75*I75*J75),0)</f>
        <v>0</v>
      </c>
      <c r="G75">
        <f>IFERROR(INT(VLOOKUP($E75,技能升级,10,FALSE)*$C75*I75*J75),0)</f>
        <v>0</v>
      </c>
      <c r="H75">
        <f>INT((VLOOKUP(E75,技能升级,13,FALSE)*(VLOOKUP(C75,中毒数据,4)+MOD(C69,3)*VLOOKUP(C75+1,中毒数据,3))+VLOOKUP(E75,技能升级,14,FALSE)/1000*C75*IF($B69&gt;10000,VLOOKUP($B69,实战属性,12,FALSE),VLOOKUP($B69,总基本属性,6,FALSE)))*I75*J75)</f>
        <v>7265</v>
      </c>
      <c r="I75">
        <v>1</v>
      </c>
      <c r="J75">
        <v>1</v>
      </c>
    </row>
    <row r="76" spans="1:10" x14ac:dyDescent="0.15">
      <c r="E76" t="s">
        <v>194</v>
      </c>
      <c r="F76">
        <f>SUM(F71:F75)/1000</f>
        <v>30.437999999999999</v>
      </c>
      <c r="G76">
        <f>SUM(G71:G75)/1000</f>
        <v>5</v>
      </c>
      <c r="H76">
        <f>SUM(H71:H75)</f>
        <v>8406</v>
      </c>
      <c r="I76" t="s">
        <v>196</v>
      </c>
      <c r="J76" t="s">
        <v>197</v>
      </c>
    </row>
    <row r="77" spans="1:10" x14ac:dyDescent="0.15">
      <c r="E77" t="s">
        <v>195</v>
      </c>
      <c r="F77">
        <f>INT((IF($A69&gt;10000,VLOOKUP($A69,实战属性,13,FALSE),VLOOKUP($A69,总基本属性,7,FALSE))-
IF($B69&gt;10000,VLOOKUP($B69,实战属性,15,FALSE),VLOOKUP($B69,总基本属性,9,FALSE))*$L$13)*F76)</f>
        <v>5676</v>
      </c>
      <c r="G77">
        <f>INT((IF($A69&gt;10000,VLOOKUP($A69,实战属性,14,FALSE),VLOOKUP($A69,总基本属性,8,FALSE))-
IF($B69&gt;10000,VLOOKUP($B69,实战属性,16,FALSE),VLOOKUP($B69,总基本属性,10,FALSE))*$L$13)*G76)</f>
        <v>990</v>
      </c>
      <c r="H77">
        <f>H76+F77+G77</f>
        <v>15072</v>
      </c>
      <c r="I77">
        <f>IF($B69&gt;10000,VLOOKUP($B69,实战属性,12,FALSE),VLOOKUP($B69,总基本属性,6,FALSE))</f>
        <v>14971</v>
      </c>
      <c r="J77">
        <f>ROUND(I77/H77,2)</f>
        <v>0.99</v>
      </c>
    </row>
    <row r="81" spans="1:10" x14ac:dyDescent="0.15">
      <c r="A81" s="8" t="s">
        <v>2</v>
      </c>
      <c r="B81" s="8" t="s">
        <v>337</v>
      </c>
      <c r="C81" s="8" t="s">
        <v>178</v>
      </c>
      <c r="D81" s="8" t="s">
        <v>0</v>
      </c>
    </row>
    <row r="82" spans="1:10" x14ac:dyDescent="0.15">
      <c r="A82">
        <f>A56+1</f>
        <v>11103</v>
      </c>
      <c r="B82">
        <f>B56+10</f>
        <v>3030</v>
      </c>
      <c r="C82">
        <v>29</v>
      </c>
      <c r="D82">
        <f>MOD(B82,1000)</f>
        <v>30</v>
      </c>
    </row>
    <row r="83" spans="1:10" x14ac:dyDescent="0.15">
      <c r="A83" t="s">
        <v>156</v>
      </c>
      <c r="B83" t="s">
        <v>95</v>
      </c>
      <c r="C83" t="s">
        <v>177</v>
      </c>
      <c r="D83" t="s">
        <v>143</v>
      </c>
      <c r="E83" t="s">
        <v>182</v>
      </c>
      <c r="F83" t="s">
        <v>192</v>
      </c>
      <c r="G83" t="s">
        <v>193</v>
      </c>
      <c r="H83" t="s">
        <v>176</v>
      </c>
      <c r="I83" t="s">
        <v>205</v>
      </c>
      <c r="J83" t="s">
        <v>206</v>
      </c>
    </row>
    <row r="84" spans="1:10" x14ac:dyDescent="0.15">
      <c r="A84">
        <v>12</v>
      </c>
      <c r="B84" t="s">
        <v>9</v>
      </c>
      <c r="C84">
        <f>C82-C89</f>
        <v>23</v>
      </c>
      <c r="D84">
        <f>VLOOKUP(A84,技能参数,4,FALSE)</f>
        <v>0.6</v>
      </c>
      <c r="E84">
        <f>VLOOKUP(A84*1000+D82,学习等级编码,2)</f>
        <v>1203</v>
      </c>
      <c r="F84">
        <f>INT(VLOOKUP($E84,技能升级,9,FALSE)*$C84*I84*J84)</f>
        <v>0</v>
      </c>
      <c r="G84">
        <f>INT(VLOOKUP($E84,技能升级,10,FALSE)*$C84*I84*J84)</f>
        <v>24610</v>
      </c>
      <c r="H84">
        <f>VLOOKUP(E84,技能升级,11,FALSE)*C84</f>
        <v>1449</v>
      </c>
      <c r="I84">
        <v>1</v>
      </c>
      <c r="J84">
        <f>VLOOKUP(A82,$A$2:$I$21,8,FALSE)</f>
        <v>1</v>
      </c>
    </row>
    <row r="85" spans="1:10" x14ac:dyDescent="0.15">
      <c r="A85">
        <v>15</v>
      </c>
      <c r="B85" t="s">
        <v>12</v>
      </c>
      <c r="C85">
        <v>1</v>
      </c>
      <c r="D85">
        <f>VLOOKUP(A85,技能参数,4,FALSE)</f>
        <v>1.5</v>
      </c>
      <c r="E85">
        <f>VLOOKUP(A85*1000+D82,学习等级编码,2)</f>
        <v>1502</v>
      </c>
      <c r="F85">
        <f>INT(VLOOKUP($E85,技能升级,9,FALSE)*$C85*I85*J85)</f>
        <v>0</v>
      </c>
      <c r="G85">
        <f>INT(VLOOKUP($E85,技能升级,10,FALSE)*$C85*I85*J85)</f>
        <v>0</v>
      </c>
      <c r="H85">
        <f>VLOOKUP(E85,技能升级,11,FALSE)*C85</f>
        <v>0</v>
      </c>
      <c r="I85">
        <v>1</v>
      </c>
      <c r="J85">
        <v>1</v>
      </c>
    </row>
    <row r="86" spans="1:10" x14ac:dyDescent="0.15">
      <c r="A86">
        <v>11</v>
      </c>
      <c r="B86" t="s">
        <v>94</v>
      </c>
      <c r="C86">
        <f>INT((C82-D84-D85-C88-C89)/D86)</f>
        <v>17</v>
      </c>
      <c r="D86">
        <f>VLOOKUP(A86,技能参数,4,FALSE)</f>
        <v>1</v>
      </c>
      <c r="E86">
        <f>VLOOKUP(A86*1000+D82,学习等级编码,2)</f>
        <v>1105</v>
      </c>
      <c r="F86">
        <f>INT(VLOOKUP($E86,技能升级,9,FALSE)*$C86*I86*J86)</f>
        <v>18530</v>
      </c>
      <c r="G86">
        <f>INT(VLOOKUP($E86,技能升级,10,FALSE)*$C86*I86*J86)</f>
        <v>0</v>
      </c>
      <c r="H86">
        <f>VLOOKUP(E86,技能升级,11,FALSE)*C86</f>
        <v>1496</v>
      </c>
      <c r="I86">
        <v>1</v>
      </c>
      <c r="J86">
        <f>VLOOKUP(A82,$A$2:$I$21,7,FALSE)</f>
        <v>1</v>
      </c>
    </row>
    <row r="87" spans="1:10" x14ac:dyDescent="0.15">
      <c r="A87">
        <v>14</v>
      </c>
      <c r="B87" t="s">
        <v>11</v>
      </c>
      <c r="C87">
        <v>1</v>
      </c>
      <c r="D87">
        <v>0</v>
      </c>
      <c r="E87">
        <f>VLOOKUP(A87*1000+D82,学习等级编码,2)</f>
        <v>1403</v>
      </c>
      <c r="F87">
        <f>INT(VLOOKUP($E87,技能升级,9,FALSE)*$C87*I87*J87)</f>
        <v>0</v>
      </c>
      <c r="G87">
        <f>INT(VLOOKUP($E87,技能升级,10,FALSE)*$C87*I87*J87)</f>
        <v>0</v>
      </c>
      <c r="H87">
        <f>VLOOKUP(E87,技能升级,11,FALSE)*C87</f>
        <v>0</v>
      </c>
      <c r="I87">
        <v>1</v>
      </c>
      <c r="J87">
        <v>1</v>
      </c>
    </row>
    <row r="88" spans="1:10" x14ac:dyDescent="0.15">
      <c r="A88">
        <v>204</v>
      </c>
      <c r="B88" t="s">
        <v>338</v>
      </c>
      <c r="C88">
        <v>3</v>
      </c>
      <c r="D88">
        <v>0</v>
      </c>
      <c r="E88">
        <f>IFERROR(VLOOKUP(A88*1000+D81,学习等级编码,2),0)</f>
        <v>0</v>
      </c>
      <c r="F88">
        <f>IFERROR(INT(VLOOKUP($E88,技能升级,9,FALSE)*$C88*I88*J88),0)</f>
        <v>0</v>
      </c>
      <c r="G88">
        <f>IFERROR(INT(VLOOKUP($E88,技能升级,10,FALSE)*$C88*I88*J88),0)</f>
        <v>0</v>
      </c>
      <c r="H88">
        <f>IFERROR(VLOOKUP(E88,技能升级,11,FALSE)*C88,0)</f>
        <v>0</v>
      </c>
      <c r="I88">
        <v>1</v>
      </c>
      <c r="J88">
        <v>1</v>
      </c>
    </row>
    <row r="89" spans="1:10" x14ac:dyDescent="0.15">
      <c r="B89" t="s">
        <v>342</v>
      </c>
      <c r="C89">
        <v>6</v>
      </c>
      <c r="D89">
        <v>0</v>
      </c>
      <c r="E89">
        <f>IFERROR(VLOOKUP(A89*1000+D81,学习等级编码,2),0)</f>
        <v>0</v>
      </c>
      <c r="F89">
        <f>IFERROR(INT(VLOOKUP($E89,技能升级,9,FALSE)*$C89*I89*J89),0)</f>
        <v>0</v>
      </c>
      <c r="G89">
        <f>IFERROR(INT(VLOOKUP($E89,技能升级,10,FALSE)*$C89*I89*J89),0)</f>
        <v>0</v>
      </c>
      <c r="H89">
        <f>IFERROR(VLOOKUP(E89,技能升级,11,FALSE)*C89*I89*J89,0)</f>
        <v>0</v>
      </c>
      <c r="I89">
        <v>1</v>
      </c>
      <c r="J89">
        <v>1</v>
      </c>
    </row>
    <row r="90" spans="1:10" x14ac:dyDescent="0.15">
      <c r="E90" t="s">
        <v>194</v>
      </c>
      <c r="F90">
        <f>SUM(F84:F86)/1000</f>
        <v>18.53</v>
      </c>
      <c r="G90">
        <f>SUM(G84:G86)/1000</f>
        <v>24.61</v>
      </c>
      <c r="H90">
        <f>SUM(H84:H86)</f>
        <v>2945</v>
      </c>
      <c r="I90" t="s">
        <v>196</v>
      </c>
      <c r="J90" t="s">
        <v>197</v>
      </c>
    </row>
    <row r="91" spans="1:10" x14ac:dyDescent="0.15">
      <c r="E91" t="s">
        <v>195</v>
      </c>
      <c r="F91">
        <f>INT((IF($A82&gt;10000,VLOOKUP($A82,实战属性,13,FALSE),VLOOKUP($A82,总基本属性,7,FALSE))-
IF($B82&gt;10000,VLOOKUP($B82,实战属性,15,FALSE),VLOOKUP($B82,总基本属性,9,FALSE))*$L$13)*F90)</f>
        <v>7865</v>
      </c>
      <c r="G91">
        <f>INT((IF($A82&gt;10000,VLOOKUP($A82,实战属性,14,FALSE),VLOOKUP($A82,总基本属性,8,FALSE))-
IF($B82&gt;10000,VLOOKUP($B82,实战属性,16,FALSE),VLOOKUP($B82,总基本属性,10,FALSE))*$L$13)*G90)</f>
        <v>9191</v>
      </c>
      <c r="H91">
        <f>H90+F91+G91</f>
        <v>20001</v>
      </c>
      <c r="I91">
        <f>IF($B82&gt;10000,VLOOKUP($B82,实战属性,12,FALSE),VLOOKUP($B82,总基本属性,6,FALSE))</f>
        <v>20298</v>
      </c>
      <c r="J91">
        <f>ROUND(I91/H91,2)</f>
        <v>1.01</v>
      </c>
    </row>
    <row r="94" spans="1:10" x14ac:dyDescent="0.15">
      <c r="A94" s="9" t="s">
        <v>337</v>
      </c>
      <c r="B94" s="9" t="s">
        <v>2</v>
      </c>
      <c r="C94" s="9" t="s">
        <v>178</v>
      </c>
      <c r="D94" s="9" t="s">
        <v>144</v>
      </c>
    </row>
    <row r="95" spans="1:10" x14ac:dyDescent="0.15">
      <c r="A95">
        <f>A69+10</f>
        <v>3030</v>
      </c>
      <c r="B95">
        <f>B69+1</f>
        <v>11103</v>
      </c>
      <c r="C95">
        <v>29</v>
      </c>
      <c r="D95">
        <f>MOD(A95,1000)</f>
        <v>30</v>
      </c>
    </row>
    <row r="96" spans="1:10" x14ac:dyDescent="0.15">
      <c r="A96" t="s">
        <v>156</v>
      </c>
      <c r="B96" t="s">
        <v>95</v>
      </c>
      <c r="C96" t="s">
        <v>142</v>
      </c>
      <c r="D96" t="s">
        <v>143</v>
      </c>
      <c r="E96" t="s">
        <v>182</v>
      </c>
      <c r="F96" t="s">
        <v>192</v>
      </c>
      <c r="G96" t="s">
        <v>193</v>
      </c>
      <c r="H96" t="s">
        <v>176</v>
      </c>
      <c r="I96" t="s">
        <v>205</v>
      </c>
      <c r="J96" t="s">
        <v>206</v>
      </c>
    </row>
    <row r="97" spans="1:10" x14ac:dyDescent="0.15">
      <c r="A97">
        <v>32</v>
      </c>
      <c r="B97" t="s">
        <v>26</v>
      </c>
      <c r="C97">
        <f>INT(C95/(VLOOKUP(A97,技能参数,5,FALSE)+2*VLOOKUP(A97,技能参数,4,FALSE))+3)</f>
        <v>4</v>
      </c>
      <c r="D97">
        <f>VLOOKUP(A97,技能参数,4,FALSE)</f>
        <v>1</v>
      </c>
      <c r="E97">
        <f>IFERROR(VLOOKUP(A97*1000+D95,学习等级编码,2),0)</f>
        <v>3203</v>
      </c>
      <c r="F97">
        <f>IFERROR(INT(VLOOKUP($E97,技能升级,9,FALSE)*$C97*I97*J97),0)</f>
        <v>0</v>
      </c>
      <c r="G97">
        <f>IFERROR(INT(VLOOKUP($E97,技能升级,10,FALSE)*$C97*I97*J97),0)</f>
        <v>5160</v>
      </c>
      <c r="H97">
        <f>INT(VLOOKUP($E97,技能升级,11,FALSE)*$C97*I97*J97)</f>
        <v>252</v>
      </c>
      <c r="I97">
        <v>1</v>
      </c>
      <c r="J97">
        <v>1</v>
      </c>
    </row>
    <row r="98" spans="1:10" x14ac:dyDescent="0.15">
      <c r="A98">
        <v>34</v>
      </c>
      <c r="B98" t="s">
        <v>34</v>
      </c>
      <c r="C98">
        <f>INT(C95/(VLOOKUP(A98,技能参数,5,FALSE)+2*VLOOKUP(A98,技能参数,4,FALSE))+1)</f>
        <v>2</v>
      </c>
      <c r="D98">
        <f>VLOOKUP(A98,技能参数,4,FALSE)</f>
        <v>1.5</v>
      </c>
      <c r="E98">
        <f>IFERROR(VLOOKUP(A98*1000+D95,学习等级编码,2),0)</f>
        <v>3403</v>
      </c>
      <c r="F98">
        <f>IFERROR(INT(VLOOKUP($E98,技能升级,9,FALSE)*$C98*I98*J98),0)</f>
        <v>3340</v>
      </c>
      <c r="G98">
        <f>IFERROR(INT(VLOOKUP($E98,技能升级,10,FALSE)*$C98*I98*J98),0)</f>
        <v>0</v>
      </c>
      <c r="H98">
        <f>INT(VLOOKUP($E98,技能升级,11,FALSE)*$C98*I98*J98)</f>
        <v>180</v>
      </c>
      <c r="I98">
        <v>1</v>
      </c>
      <c r="J98">
        <v>1</v>
      </c>
    </row>
    <row r="99" spans="1:10" x14ac:dyDescent="0.15">
      <c r="A99">
        <v>35</v>
      </c>
      <c r="B99" t="s">
        <v>141</v>
      </c>
      <c r="C99">
        <v>3</v>
      </c>
      <c r="D99">
        <f>VLOOKUP(A99,技能参数,4,FALSE)</f>
        <v>2</v>
      </c>
      <c r="E99">
        <f>IFERROR(VLOOKUP(A99*1000+D95,学习等级编码,2),0)</f>
        <v>3502</v>
      </c>
      <c r="F99">
        <f>IFERROR(INT(VLOOKUP($E99,技能升级,9,FALSE)*$C99*I99*J99),0)</f>
        <v>6510</v>
      </c>
      <c r="G99">
        <f>IFERROR(INT(VLOOKUP($E99,技能升级,10,FALSE)*$C99*I99*J99),0)</f>
        <v>0</v>
      </c>
      <c r="H99">
        <f>INT(VLOOKUP($E99,技能升级,11,FALSE)*$C99*I99*J99)</f>
        <v>249</v>
      </c>
      <c r="I99">
        <v>1</v>
      </c>
      <c r="J99">
        <v>1</v>
      </c>
    </row>
    <row r="100" spans="1:10" x14ac:dyDescent="0.15">
      <c r="A100">
        <v>31</v>
      </c>
      <c r="B100" t="s">
        <v>91</v>
      </c>
      <c r="C100">
        <f>INT((C95-C97*D97-C98*D98-C99*D99-C102-C103)/D100)</f>
        <v>20</v>
      </c>
      <c r="D100">
        <f>VLOOKUP(A100,技能参数,4,FALSE)</f>
        <v>0.8</v>
      </c>
      <c r="E100">
        <f>IFERROR(VLOOKUP(A100*1000+D95,学习等级编码,2),0)</f>
        <v>3105</v>
      </c>
      <c r="F100">
        <f>IFERROR(INT(VLOOKUP($E100,技能升级,9,FALSE)*$C100*I100*J100),0)</f>
        <v>20274</v>
      </c>
      <c r="G100">
        <f>IFERROR(INT(VLOOKUP($E100,技能升级,10,FALSE)*$C100*I100*J100),0)</f>
        <v>0</v>
      </c>
      <c r="H100">
        <f>INT(VLOOKUP($E100,技能升级,11,FALSE)*$C100*I100*J100)</f>
        <v>1636</v>
      </c>
      <c r="I100">
        <v>1</v>
      </c>
      <c r="J100">
        <f>VLOOKUP(A95,$A$2:$I$21,9,FALSE)</f>
        <v>0.93</v>
      </c>
    </row>
    <row r="101" spans="1:10" x14ac:dyDescent="0.15">
      <c r="A101">
        <v>203</v>
      </c>
      <c r="B101" t="s">
        <v>340</v>
      </c>
      <c r="C101">
        <f>INT((C95)/3)</f>
        <v>9</v>
      </c>
      <c r="D101">
        <v>0</v>
      </c>
      <c r="E101">
        <f>IFERROR(VLOOKUP(A101*1000+D95,学习等级编码,2),0)</f>
        <v>20303</v>
      </c>
      <c r="F101">
        <f>IFERROR(INT(VLOOKUP($E101,技能升级,9,FALSE)*$C101*I101*J101),0)</f>
        <v>0</v>
      </c>
      <c r="G101">
        <f>IFERROR(INT(VLOOKUP($E101,技能升级,10,FALSE)*$C101*I101*J101),0)</f>
        <v>0</v>
      </c>
      <c r="H101">
        <f>INT((VLOOKUP(E101,技能升级,13,FALSE)*(VLOOKUP(C101,中毒数据,4)+MOD(C95,3)*VLOOKUP(C101+1,中毒数据,3))+VLOOKUP(E101,技能升级,14,FALSE)/1000*C101*IF($B95&gt;10000,VLOOKUP($B95,实战属性,12,FALSE),VLOOKUP($B95,总基本属性,6,FALSE)))*I101*J101)</f>
        <v>15189</v>
      </c>
      <c r="I101">
        <v>1</v>
      </c>
      <c r="J101">
        <v>1</v>
      </c>
    </row>
    <row r="102" spans="1:10" x14ac:dyDescent="0.15">
      <c r="E102" t="s">
        <v>194</v>
      </c>
      <c r="F102">
        <f>SUM(F97:F101)/1000</f>
        <v>30.123999999999999</v>
      </c>
      <c r="G102">
        <f>SUM(G97:G101)/1000</f>
        <v>5.16</v>
      </c>
      <c r="H102">
        <f>SUM(H97:H101)</f>
        <v>17506</v>
      </c>
      <c r="I102" t="s">
        <v>196</v>
      </c>
      <c r="J102" t="s">
        <v>197</v>
      </c>
    </row>
    <row r="103" spans="1:10" x14ac:dyDescent="0.15">
      <c r="E103" t="s">
        <v>195</v>
      </c>
      <c r="F103">
        <f>INT((IF($A95&gt;10000,VLOOKUP($A95,实战属性,13,FALSE),VLOOKUP($A95,总基本属性,7,FALSE))-
IF($B95&gt;10000,VLOOKUP($B95,实战属性,15,FALSE),VLOOKUP($B95,总基本属性,9,FALSE))*$L$13)*F102)</f>
        <v>11025</v>
      </c>
      <c r="G103">
        <f>INT((IF($A95&gt;10000,VLOOKUP($A95,实战属性,14,FALSE),VLOOKUP($A95,总基本属性,8,FALSE))-
IF($B95&gt;10000,VLOOKUP($B95,实战属性,16,FALSE),VLOOKUP($B95,总基本属性,10,FALSE))*$L$13)*G102)</f>
        <v>1991</v>
      </c>
      <c r="H103">
        <f>H102+F103+G103</f>
        <v>30522</v>
      </c>
      <c r="I103">
        <f>IF($B95&gt;10000,VLOOKUP($B95,实战属性,12,FALSE),VLOOKUP($B95,总基本属性,6,FALSE))</f>
        <v>30773</v>
      </c>
      <c r="J103">
        <f>ROUND(I103/H103,2)</f>
        <v>1.01</v>
      </c>
    </row>
    <row r="107" spans="1:10" x14ac:dyDescent="0.15">
      <c r="A107" s="8" t="s">
        <v>2</v>
      </c>
      <c r="B107" s="8" t="s">
        <v>337</v>
      </c>
      <c r="C107" s="8" t="s">
        <v>178</v>
      </c>
      <c r="D107" s="8" t="s">
        <v>0</v>
      </c>
    </row>
    <row r="108" spans="1:10" x14ac:dyDescent="0.15">
      <c r="A108">
        <f>A82+1</f>
        <v>11104</v>
      </c>
      <c r="B108">
        <f>B82+10</f>
        <v>3040</v>
      </c>
      <c r="C108">
        <v>29</v>
      </c>
      <c r="D108">
        <f>MOD(B108,1000)</f>
        <v>40</v>
      </c>
    </row>
    <row r="109" spans="1:10" x14ac:dyDescent="0.15">
      <c r="A109" t="s">
        <v>156</v>
      </c>
      <c r="B109" t="s">
        <v>95</v>
      </c>
      <c r="C109" t="s">
        <v>177</v>
      </c>
      <c r="D109" t="s">
        <v>143</v>
      </c>
      <c r="E109" t="s">
        <v>182</v>
      </c>
      <c r="F109" t="s">
        <v>192</v>
      </c>
      <c r="G109" t="s">
        <v>193</v>
      </c>
      <c r="H109" t="s">
        <v>176</v>
      </c>
      <c r="I109" t="s">
        <v>205</v>
      </c>
      <c r="J109" t="s">
        <v>206</v>
      </c>
    </row>
    <row r="110" spans="1:10" x14ac:dyDescent="0.15">
      <c r="A110">
        <v>12</v>
      </c>
      <c r="B110" t="s">
        <v>9</v>
      </c>
      <c r="C110">
        <f>C108-C115</f>
        <v>23</v>
      </c>
      <c r="D110">
        <f>VLOOKUP(A110,技能参数,4,FALSE)</f>
        <v>0.6</v>
      </c>
      <c r="E110">
        <f>VLOOKUP(A110*1000+D108,学习等级编码,2)</f>
        <v>1204</v>
      </c>
      <c r="F110">
        <f>INT(VLOOKUP($E110,技能升级,9,FALSE)*$C110*I110*J110)</f>
        <v>0</v>
      </c>
      <c r="G110">
        <f>INT(VLOOKUP($E110,技能升级,10,FALSE)*$C110*I110*J110)</f>
        <v>25300</v>
      </c>
      <c r="H110">
        <f>VLOOKUP(E110,技能升级,11,FALSE)*C110</f>
        <v>2461</v>
      </c>
      <c r="I110">
        <v>1</v>
      </c>
      <c r="J110">
        <f>VLOOKUP(A108,$A$2:$I$21,8,FALSE)</f>
        <v>1</v>
      </c>
    </row>
    <row r="111" spans="1:10" x14ac:dyDescent="0.15">
      <c r="A111">
        <v>15</v>
      </c>
      <c r="B111" t="s">
        <v>12</v>
      </c>
      <c r="C111">
        <v>1</v>
      </c>
      <c r="D111">
        <f>VLOOKUP(A111,技能参数,4,FALSE)</f>
        <v>1.5</v>
      </c>
      <c r="E111">
        <f>VLOOKUP(A111*1000+D108,学习等级编码,2)</f>
        <v>1503</v>
      </c>
      <c r="F111">
        <f>INT(VLOOKUP($E111,技能升级,9,FALSE)*$C111*I111*J111)</f>
        <v>0</v>
      </c>
      <c r="G111">
        <f>INT(VLOOKUP($E111,技能升级,10,FALSE)*$C111*I111*J111)</f>
        <v>0</v>
      </c>
      <c r="H111">
        <f>VLOOKUP(E111,技能升级,11,FALSE)*C111</f>
        <v>0</v>
      </c>
      <c r="I111">
        <v>1</v>
      </c>
      <c r="J111">
        <v>1</v>
      </c>
    </row>
    <row r="112" spans="1:10" x14ac:dyDescent="0.15">
      <c r="A112">
        <v>11</v>
      </c>
      <c r="B112" t="s">
        <v>94</v>
      </c>
      <c r="C112">
        <f>INT((C108-D110-D111-C114-C115)/D112)</f>
        <v>17</v>
      </c>
      <c r="D112">
        <f>VLOOKUP(A112,技能参数,4,FALSE)</f>
        <v>1</v>
      </c>
      <c r="E112">
        <f>VLOOKUP(A112*1000+D108,学习等级编码,2)</f>
        <v>1106</v>
      </c>
      <c r="F112">
        <f>INT(VLOOKUP($E112,技能升级,9,FALSE)*$C112*I112*J112)</f>
        <v>18870</v>
      </c>
      <c r="G112">
        <f>INT(VLOOKUP($E112,技能升级,10,FALSE)*$C112*I112*J112)</f>
        <v>0</v>
      </c>
      <c r="H112">
        <f>VLOOKUP(E112,技能升级,11,FALSE)*C112</f>
        <v>2125</v>
      </c>
      <c r="I112">
        <v>1</v>
      </c>
      <c r="J112">
        <f>VLOOKUP(A108,$A$2:$I$21,7,FALSE)</f>
        <v>1</v>
      </c>
    </row>
    <row r="113" spans="1:10" x14ac:dyDescent="0.15">
      <c r="A113">
        <v>14</v>
      </c>
      <c r="B113" t="s">
        <v>11</v>
      </c>
      <c r="C113">
        <v>1</v>
      </c>
      <c r="D113">
        <v>0</v>
      </c>
      <c r="E113">
        <f>VLOOKUP(A113*1000+D108,学习等级编码,2)</f>
        <v>1404</v>
      </c>
      <c r="F113">
        <f>INT(VLOOKUP($E113,技能升级,9,FALSE)*$C113*I113*J113)</f>
        <v>0</v>
      </c>
      <c r="G113">
        <f>INT(VLOOKUP($E113,技能升级,10,FALSE)*$C113*I113*J113)</f>
        <v>0</v>
      </c>
      <c r="H113">
        <f>VLOOKUP(E113,技能升级,11,FALSE)*C113</f>
        <v>0</v>
      </c>
      <c r="I113">
        <v>1</v>
      </c>
      <c r="J113">
        <v>1</v>
      </c>
    </row>
    <row r="114" spans="1:10" x14ac:dyDescent="0.15">
      <c r="A114">
        <v>204</v>
      </c>
      <c r="B114" t="s">
        <v>338</v>
      </c>
      <c r="C114">
        <v>3</v>
      </c>
      <c r="D114">
        <v>0</v>
      </c>
      <c r="E114">
        <f>IFERROR(VLOOKUP(A114*1000+D107,学习等级编码,2),0)</f>
        <v>0</v>
      </c>
      <c r="F114">
        <f>IFERROR(INT(VLOOKUP($E114,技能升级,9,FALSE)*$C114*I114*J114),0)</f>
        <v>0</v>
      </c>
      <c r="G114">
        <f>IFERROR(INT(VLOOKUP($E114,技能升级,10,FALSE)*$C114*I114*J114),0)</f>
        <v>0</v>
      </c>
      <c r="H114">
        <f>IFERROR(VLOOKUP(E114,技能升级,11,FALSE)*C114,0)</f>
        <v>0</v>
      </c>
      <c r="I114">
        <v>1</v>
      </c>
      <c r="J114">
        <v>1</v>
      </c>
    </row>
    <row r="115" spans="1:10" x14ac:dyDescent="0.15">
      <c r="B115" t="s">
        <v>342</v>
      </c>
      <c r="C115">
        <v>6</v>
      </c>
      <c r="D115">
        <v>0</v>
      </c>
      <c r="E115">
        <f>IFERROR(VLOOKUP(A115*1000+D107,学习等级编码,2),0)</f>
        <v>0</v>
      </c>
      <c r="F115">
        <f>IFERROR(INT(VLOOKUP($E115,技能升级,9,FALSE)*$C115*I115*J115),0)</f>
        <v>0</v>
      </c>
      <c r="G115">
        <f>IFERROR(INT(VLOOKUP($E115,技能升级,10,FALSE)*$C115*I115*J115),0)</f>
        <v>0</v>
      </c>
      <c r="H115">
        <f>IFERROR(VLOOKUP(E115,技能升级,11,FALSE)*C115*I115*J115,0)</f>
        <v>0</v>
      </c>
      <c r="I115">
        <v>1</v>
      </c>
      <c r="J115">
        <v>1</v>
      </c>
    </row>
    <row r="116" spans="1:10" x14ac:dyDescent="0.15">
      <c r="E116" t="s">
        <v>194</v>
      </c>
      <c r="F116">
        <f>SUM(F110:F112)/1000</f>
        <v>18.87</v>
      </c>
      <c r="G116">
        <f>SUM(G110:G112)/1000</f>
        <v>25.3</v>
      </c>
      <c r="H116">
        <f>SUM(H110:H112)</f>
        <v>4586</v>
      </c>
      <c r="I116" t="s">
        <v>196</v>
      </c>
      <c r="J116" t="s">
        <v>197</v>
      </c>
    </row>
    <row r="117" spans="1:10" x14ac:dyDescent="0.15">
      <c r="E117" t="s">
        <v>195</v>
      </c>
      <c r="F117">
        <f>INT((IF($A108&gt;10000,VLOOKUP($A108,实战属性,13,FALSE),VLOOKUP($A108,总基本属性,7,FALSE))-
IF($B108&gt;10000,VLOOKUP($B108,实战属性,15,FALSE),VLOOKUP($B108,总基本属性,9,FALSE))*$L$13)*F116)</f>
        <v>13359</v>
      </c>
      <c r="G117">
        <f>INT((IF($A108&gt;10000,VLOOKUP($A108,实战属性,14,FALSE),VLOOKUP($A108,总基本属性,8,FALSE))-
IF($B108&gt;10000,VLOOKUP($B108,实战属性,16,FALSE),VLOOKUP($B108,总基本属性,10,FALSE))*$L$13)*G116)</f>
        <v>15736</v>
      </c>
      <c r="H117">
        <f>H116+F117+G117</f>
        <v>33681</v>
      </c>
      <c r="I117">
        <f>IF($B108&gt;10000,VLOOKUP($B108,实战属性,12,FALSE),VLOOKUP($B108,总基本属性,6,FALSE))</f>
        <v>34473</v>
      </c>
      <c r="J117">
        <f>ROUND(I117/H117,2)</f>
        <v>1.02</v>
      </c>
    </row>
    <row r="120" spans="1:10" x14ac:dyDescent="0.15">
      <c r="A120" s="9" t="s">
        <v>337</v>
      </c>
      <c r="B120" s="9" t="s">
        <v>2</v>
      </c>
      <c r="C120" s="9" t="s">
        <v>178</v>
      </c>
      <c r="D120" s="9" t="s">
        <v>144</v>
      </c>
    </row>
    <row r="121" spans="1:10" x14ac:dyDescent="0.15">
      <c r="A121">
        <f>A95+10</f>
        <v>3040</v>
      </c>
      <c r="B121">
        <f>B95+1</f>
        <v>11104</v>
      </c>
      <c r="C121">
        <v>29</v>
      </c>
      <c r="D121">
        <f>MOD(A121,1000)</f>
        <v>40</v>
      </c>
    </row>
    <row r="122" spans="1:10" x14ac:dyDescent="0.15">
      <c r="A122" t="s">
        <v>156</v>
      </c>
      <c r="B122" t="s">
        <v>95</v>
      </c>
      <c r="C122" t="s">
        <v>142</v>
      </c>
      <c r="D122" t="s">
        <v>143</v>
      </c>
      <c r="E122" t="s">
        <v>182</v>
      </c>
      <c r="F122" t="s">
        <v>192</v>
      </c>
      <c r="G122" t="s">
        <v>193</v>
      </c>
      <c r="H122" t="s">
        <v>176</v>
      </c>
      <c r="I122" t="s">
        <v>205</v>
      </c>
      <c r="J122" t="s">
        <v>206</v>
      </c>
    </row>
    <row r="123" spans="1:10" x14ac:dyDescent="0.15">
      <c r="A123">
        <v>32</v>
      </c>
      <c r="B123" t="s">
        <v>26</v>
      </c>
      <c r="C123">
        <f>INT(C121/(VLOOKUP(A123,技能参数,5,FALSE)+2*VLOOKUP(A123,技能参数,4,FALSE))+3)</f>
        <v>4</v>
      </c>
      <c r="D123">
        <f>VLOOKUP(A123,技能参数,4,FALSE)</f>
        <v>1</v>
      </c>
      <c r="E123">
        <f>IFERROR(VLOOKUP(A123*1000+D121,学习等级编码,2),0)</f>
        <v>3204</v>
      </c>
      <c r="F123">
        <f>IFERROR(INT(VLOOKUP($E123,技能升级,9,FALSE)*$C123*I123*J123),0)</f>
        <v>0</v>
      </c>
      <c r="G123">
        <f>IFERROR(INT(VLOOKUP($E123,技能升级,10,FALSE)*$C123*I123*J123),0)</f>
        <v>5360</v>
      </c>
      <c r="H123">
        <f>INT(VLOOKUP($E123,技能升级,11,FALSE)*$C123*I123*J123)</f>
        <v>428</v>
      </c>
      <c r="I123">
        <v>1</v>
      </c>
      <c r="J123">
        <v>1</v>
      </c>
    </row>
    <row r="124" spans="1:10" x14ac:dyDescent="0.15">
      <c r="A124">
        <v>34</v>
      </c>
      <c r="B124" t="s">
        <v>34</v>
      </c>
      <c r="C124">
        <f>INT(C121/(VLOOKUP(A124,技能参数,5,FALSE)+2*VLOOKUP(A124,技能参数,4,FALSE))+1)</f>
        <v>2</v>
      </c>
      <c r="D124">
        <f>VLOOKUP(A124,技能参数,4,FALSE)</f>
        <v>1.5</v>
      </c>
      <c r="E124">
        <f>IFERROR(VLOOKUP(A124*1000+D121,学习等级编码,2),0)</f>
        <v>3404</v>
      </c>
      <c r="F124">
        <f>IFERROR(INT(VLOOKUP($E124,技能升级,9,FALSE)*$C124*I124*J124),0)</f>
        <v>3500</v>
      </c>
      <c r="G124">
        <f>IFERROR(INT(VLOOKUP($E124,技能升级,10,FALSE)*$C124*I124*J124),0)</f>
        <v>0</v>
      </c>
      <c r="H124">
        <f>INT(VLOOKUP($E124,技能升级,11,FALSE)*$C124*I124*J124)</f>
        <v>280</v>
      </c>
      <c r="I124">
        <v>1</v>
      </c>
      <c r="J124">
        <v>1</v>
      </c>
    </row>
    <row r="125" spans="1:10" x14ac:dyDescent="0.15">
      <c r="A125">
        <v>35</v>
      </c>
      <c r="B125" t="s">
        <v>141</v>
      </c>
      <c r="C125">
        <v>3</v>
      </c>
      <c r="D125">
        <f>VLOOKUP(A125,技能参数,4,FALSE)</f>
        <v>2</v>
      </c>
      <c r="E125">
        <f>IFERROR(VLOOKUP(A125*1000+D121,学习等级编码,2),0)</f>
        <v>3503</v>
      </c>
      <c r="F125">
        <f>IFERROR(INT(VLOOKUP($E125,技能升级,9,FALSE)*$C125*I125*J125),0)</f>
        <v>6990</v>
      </c>
      <c r="G125">
        <f>IFERROR(INT(VLOOKUP($E125,技能升级,10,FALSE)*$C125*I125*J125),0)</f>
        <v>0</v>
      </c>
      <c r="H125">
        <f>INT(VLOOKUP($E125,技能升级,11,FALSE)*$C125*I125*J125)</f>
        <v>483</v>
      </c>
      <c r="I125">
        <v>1</v>
      </c>
      <c r="J125">
        <v>1</v>
      </c>
    </row>
    <row r="126" spans="1:10" x14ac:dyDescent="0.15">
      <c r="A126">
        <v>31</v>
      </c>
      <c r="B126" t="s">
        <v>91</v>
      </c>
      <c r="C126">
        <f>INT((C121-C123*D123-C124*D124-C125*D125-C128-C129)/D126)</f>
        <v>20</v>
      </c>
      <c r="D126">
        <f>VLOOKUP(A126,技能参数,4,FALSE)</f>
        <v>0.8</v>
      </c>
      <c r="E126">
        <f>IFERROR(VLOOKUP(A126*1000+D121,学习等级编码,2),0)</f>
        <v>3106</v>
      </c>
      <c r="F126">
        <f>IFERROR(INT(VLOOKUP($E126,技能升级,9,FALSE)*$C126*I126*J126),0)</f>
        <v>20646</v>
      </c>
      <c r="G126">
        <f>IFERROR(INT(VLOOKUP($E126,技能升级,10,FALSE)*$C126*I126*J126),0)</f>
        <v>0</v>
      </c>
      <c r="H126">
        <f>INT(VLOOKUP($E126,技能升级,11,FALSE)*$C126*I126*J126)</f>
        <v>2325</v>
      </c>
      <c r="I126">
        <v>1</v>
      </c>
      <c r="J126">
        <f>VLOOKUP(A121,$A$2:$I$21,9,FALSE)</f>
        <v>0.93</v>
      </c>
    </row>
    <row r="127" spans="1:10" x14ac:dyDescent="0.15">
      <c r="A127">
        <v>203</v>
      </c>
      <c r="B127" t="s">
        <v>340</v>
      </c>
      <c r="C127">
        <f>INT((C121)/3)</f>
        <v>9</v>
      </c>
      <c r="D127">
        <v>0</v>
      </c>
      <c r="E127">
        <f>IFERROR(VLOOKUP(A127*1000+D121,学习等级编码,2),0)</f>
        <v>20304</v>
      </c>
      <c r="F127">
        <f>IFERROR(INT(VLOOKUP($E127,技能升级,9,FALSE)*$C127*I127*J127),0)</f>
        <v>0</v>
      </c>
      <c r="G127">
        <f>IFERROR(INT(VLOOKUP($E127,技能升级,10,FALSE)*$C127*I127*J127),0)</f>
        <v>0</v>
      </c>
      <c r="H127">
        <f>INT((VLOOKUP(E127,技能升级,13,FALSE)*(VLOOKUP(C127,中毒数据,4)+MOD(C121,3)*VLOOKUP(C127+1,中毒数据,3))+VLOOKUP(E127,技能升级,14,FALSE)/1000*C127*IF($B121&gt;10000,VLOOKUP($B121,实战属性,12,FALSE),VLOOKUP($B121,总基本属性,6,FALSE)))*I127*J127)</f>
        <v>26097</v>
      </c>
      <c r="I127">
        <v>1</v>
      </c>
      <c r="J127">
        <v>1</v>
      </c>
    </row>
    <row r="128" spans="1:10" x14ac:dyDescent="0.15">
      <c r="E128" t="s">
        <v>194</v>
      </c>
      <c r="F128">
        <f>SUM(F123:F127)/1000</f>
        <v>31.135999999999999</v>
      </c>
      <c r="G128">
        <f>SUM(G123:G127)/1000</f>
        <v>5.36</v>
      </c>
      <c r="H128">
        <f>SUM(H123:H127)</f>
        <v>29613</v>
      </c>
      <c r="I128" t="s">
        <v>196</v>
      </c>
      <c r="J128" t="s">
        <v>197</v>
      </c>
    </row>
    <row r="129" spans="1:10" x14ac:dyDescent="0.15">
      <c r="E129" t="s">
        <v>195</v>
      </c>
      <c r="F129">
        <f>INT((IF($A121&gt;10000,VLOOKUP($A121,实战属性,13,FALSE),VLOOKUP($A121,总基本属性,7,FALSE))-
IF($B121&gt;10000,VLOOKUP($B121,实战属性,15,FALSE),VLOOKUP($B121,总基本属性,9,FALSE))*$L$13)*F128)</f>
        <v>18961</v>
      </c>
      <c r="G129">
        <f>INT((IF($A121&gt;10000,VLOOKUP($A121,实战属性,14,FALSE),VLOOKUP($A121,总基本属性,8,FALSE))-
IF($B121&gt;10000,VLOOKUP($B121,实战属性,16,FALSE),VLOOKUP($B121,总基本属性,10,FALSE))*$L$13)*G128)</f>
        <v>3438</v>
      </c>
      <c r="H129">
        <f>H128+F129+G129</f>
        <v>52012</v>
      </c>
      <c r="I129">
        <f>IF($B121&gt;10000,VLOOKUP($B121,实战属性,12,FALSE),VLOOKUP($B121,总基本属性,6,FALSE))</f>
        <v>52819</v>
      </c>
      <c r="J129">
        <f>ROUND(I129/H129,2)</f>
        <v>1.02</v>
      </c>
    </row>
    <row r="133" spans="1:10" x14ac:dyDescent="0.15">
      <c r="A133" s="8" t="s">
        <v>2</v>
      </c>
      <c r="B133" s="8" t="s">
        <v>337</v>
      </c>
      <c r="C133" s="8" t="s">
        <v>178</v>
      </c>
      <c r="D133" s="8" t="s">
        <v>0</v>
      </c>
    </row>
    <row r="134" spans="1:10" x14ac:dyDescent="0.15">
      <c r="A134">
        <f>A108+1</f>
        <v>11105</v>
      </c>
      <c r="B134">
        <f>B108+10</f>
        <v>3050</v>
      </c>
      <c r="C134">
        <v>29</v>
      </c>
      <c r="D134">
        <f>MOD(B134,1000)</f>
        <v>50</v>
      </c>
    </row>
    <row r="135" spans="1:10" x14ac:dyDescent="0.15">
      <c r="A135" t="s">
        <v>156</v>
      </c>
      <c r="B135" t="s">
        <v>95</v>
      </c>
      <c r="C135" t="s">
        <v>177</v>
      </c>
      <c r="D135" t="s">
        <v>143</v>
      </c>
      <c r="E135" t="s">
        <v>182</v>
      </c>
      <c r="F135" t="s">
        <v>192</v>
      </c>
      <c r="G135" t="s">
        <v>193</v>
      </c>
      <c r="H135" t="s">
        <v>176</v>
      </c>
      <c r="I135" t="s">
        <v>205</v>
      </c>
      <c r="J135" t="s">
        <v>206</v>
      </c>
    </row>
    <row r="136" spans="1:10" x14ac:dyDescent="0.15">
      <c r="A136">
        <v>12</v>
      </c>
      <c r="B136" t="s">
        <v>9</v>
      </c>
      <c r="C136">
        <f>C134-C141</f>
        <v>23</v>
      </c>
      <c r="D136">
        <f>VLOOKUP(A136,技能参数,4,FALSE)</f>
        <v>0.6</v>
      </c>
      <c r="E136">
        <f>VLOOKUP(A136*1000+D134,学习等级编码,2)</f>
        <v>1205</v>
      </c>
      <c r="F136">
        <f>INT(VLOOKUP($E136,技能升级,9,FALSE)*$C136*I136*J136)</f>
        <v>0</v>
      </c>
      <c r="G136">
        <f>INT(VLOOKUP($E136,技能升级,10,FALSE)*$C136*I136*J136)</f>
        <v>25210</v>
      </c>
      <c r="H136">
        <f>VLOOKUP(E136,技能升级,11,FALSE)*C136</f>
        <v>3818</v>
      </c>
      <c r="I136">
        <v>1</v>
      </c>
      <c r="J136">
        <f>VLOOKUP(A134,$A$2:$I$21,8,FALSE)</f>
        <v>0.97</v>
      </c>
    </row>
    <row r="137" spans="1:10" x14ac:dyDescent="0.15">
      <c r="A137">
        <v>15</v>
      </c>
      <c r="B137" t="s">
        <v>12</v>
      </c>
      <c r="C137">
        <v>1</v>
      </c>
      <c r="D137">
        <f>VLOOKUP(A137,技能参数,4,FALSE)</f>
        <v>1.5</v>
      </c>
      <c r="E137">
        <f>VLOOKUP(A137*1000+D134,学习等级编码,2)</f>
        <v>1503</v>
      </c>
      <c r="F137">
        <f>INT(VLOOKUP($E137,技能升级,9,FALSE)*$C137*I137*J137)</f>
        <v>0</v>
      </c>
      <c r="G137">
        <f>INT(VLOOKUP($E137,技能升级,10,FALSE)*$C137*I137*J137)</f>
        <v>0</v>
      </c>
      <c r="H137">
        <f>VLOOKUP(E137,技能升级,11,FALSE)*C137</f>
        <v>0</v>
      </c>
      <c r="I137">
        <v>1</v>
      </c>
      <c r="J137">
        <v>1</v>
      </c>
    </row>
    <row r="138" spans="1:10" x14ac:dyDescent="0.15">
      <c r="A138">
        <v>11</v>
      </c>
      <c r="B138" t="s">
        <v>94</v>
      </c>
      <c r="C138">
        <f>INT((C134-D136-D137-C140-C141)/D138)</f>
        <v>17</v>
      </c>
      <c r="D138">
        <f>VLOOKUP(A138,技能参数,4,FALSE)</f>
        <v>1</v>
      </c>
      <c r="E138">
        <f>VLOOKUP(A138*1000+D134,学习等级编码,2)</f>
        <v>1108</v>
      </c>
      <c r="F138">
        <f>INT(VLOOKUP($E138,技能升级,9,FALSE)*$C138*I138*J138)</f>
        <v>18865</v>
      </c>
      <c r="G138">
        <f>INT(VLOOKUP($E138,技能升级,10,FALSE)*$C138*I138*J138)</f>
        <v>0</v>
      </c>
      <c r="H138">
        <f>VLOOKUP(E138,技能升级,11,FALSE)*C138</f>
        <v>3723</v>
      </c>
      <c r="I138">
        <v>1</v>
      </c>
      <c r="J138">
        <f>VLOOKUP(A134,$A$2:$I$21,7,FALSE)</f>
        <v>0.96499999999999997</v>
      </c>
    </row>
    <row r="139" spans="1:10" x14ac:dyDescent="0.15">
      <c r="A139">
        <v>14</v>
      </c>
      <c r="B139" t="s">
        <v>11</v>
      </c>
      <c r="C139">
        <v>1</v>
      </c>
      <c r="D139">
        <v>0</v>
      </c>
      <c r="E139">
        <f>VLOOKUP(A139*1000+D134,学习等级编码,2)</f>
        <v>1405</v>
      </c>
      <c r="F139">
        <f>INT(VLOOKUP($E139,技能升级,9,FALSE)*$C139*I139*J139)</f>
        <v>0</v>
      </c>
      <c r="G139">
        <f>INT(VLOOKUP($E139,技能升级,10,FALSE)*$C139*I139*J139)</f>
        <v>0</v>
      </c>
      <c r="H139">
        <f>VLOOKUP(E139,技能升级,11,FALSE)*C139</f>
        <v>0</v>
      </c>
      <c r="I139">
        <v>1</v>
      </c>
      <c r="J139">
        <v>1</v>
      </c>
    </row>
    <row r="140" spans="1:10" x14ac:dyDescent="0.15">
      <c r="A140">
        <v>204</v>
      </c>
      <c r="B140" t="s">
        <v>338</v>
      </c>
      <c r="C140">
        <v>3</v>
      </c>
      <c r="D140">
        <v>0</v>
      </c>
      <c r="E140">
        <f>IFERROR(VLOOKUP(A140*1000+D133,学习等级编码,2),0)</f>
        <v>0</v>
      </c>
      <c r="F140">
        <f>IFERROR(INT(VLOOKUP($E140,技能升级,9,FALSE)*$C140*I140*J140),0)</f>
        <v>0</v>
      </c>
      <c r="G140">
        <f>IFERROR(INT(VLOOKUP($E140,技能升级,10,FALSE)*$C140*I140*J140),0)</f>
        <v>0</v>
      </c>
      <c r="H140">
        <f>IFERROR(VLOOKUP(E140,技能升级,11,FALSE)*C140,0)</f>
        <v>0</v>
      </c>
      <c r="I140">
        <v>1</v>
      </c>
      <c r="J140">
        <v>1</v>
      </c>
    </row>
    <row r="141" spans="1:10" x14ac:dyDescent="0.15">
      <c r="B141" t="s">
        <v>342</v>
      </c>
      <c r="C141">
        <v>6</v>
      </c>
      <c r="D141">
        <v>0</v>
      </c>
      <c r="E141">
        <f>IFERROR(VLOOKUP(A141*1000+D133,学习等级编码,2),0)</f>
        <v>0</v>
      </c>
      <c r="F141">
        <f>IFERROR(INT(VLOOKUP($E141,技能升级,9,FALSE)*$C141*I141*J141),0)</f>
        <v>0</v>
      </c>
      <c r="G141">
        <f>IFERROR(INT(VLOOKUP($E141,技能升级,10,FALSE)*$C141*I141*J141),0)</f>
        <v>0</v>
      </c>
      <c r="H141">
        <f>IFERROR(VLOOKUP(E141,技能升级,11,FALSE)*C141*I141*J141,0)</f>
        <v>0</v>
      </c>
      <c r="I141">
        <v>1</v>
      </c>
      <c r="J141">
        <v>1</v>
      </c>
    </row>
    <row r="142" spans="1:10" x14ac:dyDescent="0.15">
      <c r="E142" t="s">
        <v>194</v>
      </c>
      <c r="F142">
        <f>SUM(F136:F138)/1000</f>
        <v>18.864999999999998</v>
      </c>
      <c r="G142">
        <f>SUM(G136:G138)/1000</f>
        <v>25.21</v>
      </c>
      <c r="H142">
        <f>SUM(H136:H138)</f>
        <v>7541</v>
      </c>
      <c r="I142" t="s">
        <v>196</v>
      </c>
      <c r="J142" t="s">
        <v>197</v>
      </c>
    </row>
    <row r="143" spans="1:10" x14ac:dyDescent="0.15">
      <c r="E143" t="s">
        <v>195</v>
      </c>
      <c r="F143">
        <f>INT((IF($A134&gt;10000,VLOOKUP($A134,实战属性,13,FALSE),VLOOKUP($A134,总基本属性,7,FALSE))-
IF($B134&gt;10000,VLOOKUP($B134,实战属性,15,FALSE),VLOOKUP($B134,总基本属性,9,FALSE))*$L$13)*F142)</f>
        <v>19732</v>
      </c>
      <c r="G143">
        <f>INT((IF($A134&gt;10000,VLOOKUP($A134,实战属性,14,FALSE),VLOOKUP($A134,总基本属性,8,FALSE))-
IF($B134&gt;10000,VLOOKUP($B134,实战属性,16,FALSE),VLOOKUP($B134,总基本属性,10,FALSE))*$L$13)*G142)</f>
        <v>23319</v>
      </c>
      <c r="H143">
        <f>H142+F143+G143</f>
        <v>50592</v>
      </c>
      <c r="I143">
        <f>IF($B134&gt;10000,VLOOKUP($B134,实战属性,12,FALSE),VLOOKUP($B134,总基本属性,6,FALSE))</f>
        <v>49896</v>
      </c>
      <c r="J143">
        <f>ROUND(I143/H143,2)</f>
        <v>0.99</v>
      </c>
    </row>
    <row r="146" spans="1:10" x14ac:dyDescent="0.15">
      <c r="A146" s="9" t="s">
        <v>337</v>
      </c>
      <c r="B146" s="9" t="s">
        <v>2</v>
      </c>
      <c r="C146" s="9" t="s">
        <v>178</v>
      </c>
      <c r="D146" s="9" t="s">
        <v>144</v>
      </c>
    </row>
    <row r="147" spans="1:10" x14ac:dyDescent="0.15">
      <c r="A147">
        <f>A121+10</f>
        <v>3050</v>
      </c>
      <c r="B147">
        <f>B121+1</f>
        <v>11105</v>
      </c>
      <c r="C147">
        <v>29</v>
      </c>
      <c r="D147">
        <f>MOD(A147,1000)</f>
        <v>50</v>
      </c>
    </row>
    <row r="148" spans="1:10" x14ac:dyDescent="0.15">
      <c r="A148" t="s">
        <v>156</v>
      </c>
      <c r="B148" t="s">
        <v>95</v>
      </c>
      <c r="C148" t="s">
        <v>142</v>
      </c>
      <c r="D148" t="s">
        <v>143</v>
      </c>
      <c r="E148" t="s">
        <v>182</v>
      </c>
      <c r="F148" t="s">
        <v>192</v>
      </c>
      <c r="G148" t="s">
        <v>193</v>
      </c>
      <c r="H148" t="s">
        <v>176</v>
      </c>
      <c r="I148" t="s">
        <v>205</v>
      </c>
      <c r="J148" t="s">
        <v>206</v>
      </c>
    </row>
    <row r="149" spans="1:10" x14ac:dyDescent="0.15">
      <c r="A149">
        <v>32</v>
      </c>
      <c r="B149" t="s">
        <v>26</v>
      </c>
      <c r="C149">
        <f>INT(C147/(VLOOKUP(A149,技能参数,5,FALSE)+2*VLOOKUP(A149,技能参数,4,FALSE))+3)</f>
        <v>4</v>
      </c>
      <c r="D149">
        <f>VLOOKUP(A149,技能参数,4,FALSE)</f>
        <v>1</v>
      </c>
      <c r="E149">
        <f>IFERROR(VLOOKUP(A149*1000+D147,学习等级编码,2),0)</f>
        <v>3205</v>
      </c>
      <c r="F149">
        <f>IFERROR(INT(VLOOKUP($E149,技能升级,9,FALSE)*$C149*I149*J149),0)</f>
        <v>0</v>
      </c>
      <c r="G149">
        <f>IFERROR(INT(VLOOKUP($E149,技能升级,10,FALSE)*$C149*I149*J149),0)</f>
        <v>5560</v>
      </c>
      <c r="H149">
        <f>INT(VLOOKUP($E149,技能升级,11,FALSE)*$C149*I149*J149)</f>
        <v>664</v>
      </c>
      <c r="I149">
        <v>1</v>
      </c>
      <c r="J149">
        <v>1</v>
      </c>
    </row>
    <row r="150" spans="1:10" x14ac:dyDescent="0.15">
      <c r="A150">
        <v>34</v>
      </c>
      <c r="B150" t="s">
        <v>34</v>
      </c>
      <c r="C150">
        <f>INT(C147/(VLOOKUP(A150,技能参数,5,FALSE)+2*VLOOKUP(A150,技能参数,4,FALSE))+1)</f>
        <v>2</v>
      </c>
      <c r="D150">
        <f>VLOOKUP(A150,技能参数,4,FALSE)</f>
        <v>1.5</v>
      </c>
      <c r="E150">
        <f>IFERROR(VLOOKUP(A150*1000+D147,学习等级编码,2),0)</f>
        <v>3405</v>
      </c>
      <c r="F150">
        <f>IFERROR(INT(VLOOKUP($E150,技能升级,9,FALSE)*$C150*I150*J150),0)</f>
        <v>3660</v>
      </c>
      <c r="G150">
        <f>IFERROR(INT(VLOOKUP($E150,技能升级,10,FALSE)*$C150*I150*J150),0)</f>
        <v>0</v>
      </c>
      <c r="H150">
        <f>INT(VLOOKUP($E150,技能升级,11,FALSE)*$C150*I150*J150)</f>
        <v>410</v>
      </c>
      <c r="I150">
        <v>1</v>
      </c>
      <c r="J150">
        <v>1</v>
      </c>
    </row>
    <row r="151" spans="1:10" x14ac:dyDescent="0.15">
      <c r="A151">
        <v>35</v>
      </c>
      <c r="B151" t="s">
        <v>141</v>
      </c>
      <c r="C151">
        <v>3</v>
      </c>
      <c r="D151">
        <f>VLOOKUP(A151,技能参数,4,FALSE)</f>
        <v>2</v>
      </c>
      <c r="E151">
        <f>IFERROR(VLOOKUP(A151*1000+D147,学习等级编码,2),0)</f>
        <v>3503</v>
      </c>
      <c r="F151">
        <f>IFERROR(INT(VLOOKUP($E151,技能升级,9,FALSE)*$C151*I151*J151),0)</f>
        <v>6990</v>
      </c>
      <c r="G151">
        <f>IFERROR(INT(VLOOKUP($E151,技能升级,10,FALSE)*$C151*I151*J151),0)</f>
        <v>0</v>
      </c>
      <c r="H151">
        <f>INT(VLOOKUP($E151,技能升级,11,FALSE)*$C151*I151*J151)</f>
        <v>483</v>
      </c>
      <c r="I151">
        <v>1</v>
      </c>
      <c r="J151">
        <v>1</v>
      </c>
    </row>
    <row r="152" spans="1:10" x14ac:dyDescent="0.15">
      <c r="A152">
        <v>31</v>
      </c>
      <c r="B152" t="s">
        <v>91</v>
      </c>
      <c r="C152">
        <f>INT((C147-C149*D149-C150*D150-C151*D151-C154-C155)/D152)</f>
        <v>20</v>
      </c>
      <c r="D152">
        <f>VLOOKUP(A152,技能参数,4,FALSE)</f>
        <v>0.8</v>
      </c>
      <c r="E152">
        <f>IFERROR(VLOOKUP(A152*1000+D147,学习等级编码,2),0)</f>
        <v>3108</v>
      </c>
      <c r="F152">
        <f>IFERROR(INT(VLOOKUP($E152,技能升级,9,FALSE)*$C152*I152*J152),0)</f>
        <v>21390</v>
      </c>
      <c r="G152">
        <f>IFERROR(INT(VLOOKUP($E152,技能升级,10,FALSE)*$C152*I152*J152),0)</f>
        <v>0</v>
      </c>
      <c r="H152">
        <f>INT(VLOOKUP($E152,技能升级,11,FALSE)*$C152*I152*J152)</f>
        <v>4073</v>
      </c>
      <c r="I152">
        <v>1</v>
      </c>
      <c r="J152">
        <f>VLOOKUP(A147,$A$2:$I$21,9,FALSE)</f>
        <v>0.93</v>
      </c>
    </row>
    <row r="153" spans="1:10" x14ac:dyDescent="0.15">
      <c r="A153">
        <v>203</v>
      </c>
      <c r="B153" t="s">
        <v>340</v>
      </c>
      <c r="C153">
        <f>INT((C147)/3)</f>
        <v>9</v>
      </c>
      <c r="D153">
        <v>0</v>
      </c>
      <c r="E153">
        <f>IFERROR(VLOOKUP(A153*1000+D147,学习等级编码,2),0)</f>
        <v>20305</v>
      </c>
      <c r="F153">
        <f>IFERROR(INT(VLOOKUP($E153,技能升级,9,FALSE)*$C153*I153*J153),0)</f>
        <v>0</v>
      </c>
      <c r="G153">
        <f>IFERROR(INT(VLOOKUP($E153,技能升级,10,FALSE)*$C153*I153*J153),0)</f>
        <v>0</v>
      </c>
      <c r="H153">
        <f>INT((VLOOKUP(E153,技能升级,13,FALSE)*(VLOOKUP(C153,中毒数据,4)+MOD(C147,3)*VLOOKUP(C153+1,中毒数据,3))+VLOOKUP(E153,技能升级,14,FALSE)/1000*C153*IF($B147&gt;10000,VLOOKUP($B147,实战属性,12,FALSE),VLOOKUP($B147,总基本属性,6,FALSE)))*I153*J153)</f>
        <v>37439</v>
      </c>
      <c r="I153">
        <v>1</v>
      </c>
      <c r="J153">
        <v>1</v>
      </c>
    </row>
    <row r="154" spans="1:10" x14ac:dyDescent="0.15">
      <c r="E154" t="s">
        <v>194</v>
      </c>
      <c r="F154">
        <f>SUM(F149:F153)/1000</f>
        <v>32.04</v>
      </c>
      <c r="G154">
        <f>SUM(G149:G153)/1000</f>
        <v>5.56</v>
      </c>
      <c r="H154">
        <f>SUM(H149:H153)</f>
        <v>43069</v>
      </c>
      <c r="I154" t="s">
        <v>196</v>
      </c>
      <c r="J154" t="s">
        <v>197</v>
      </c>
    </row>
    <row r="155" spans="1:10" x14ac:dyDescent="0.15">
      <c r="E155" t="s">
        <v>195</v>
      </c>
      <c r="F155">
        <f>INT((IF($A147&gt;10000,VLOOKUP($A147,实战属性,13,FALSE),VLOOKUP($A147,总基本属性,7,FALSE))-
IF($B147&gt;10000,VLOOKUP($B147,实战属性,15,FALSE),VLOOKUP($B147,总基本属性,9,FALSE))*$L$13)*F154)</f>
        <v>29284</v>
      </c>
      <c r="G155">
        <f>INT((IF($A147&gt;10000,VLOOKUP($A147,实战属性,14,FALSE),VLOOKUP($A147,总基本属性,8,FALSE))-
IF($B147&gt;10000,VLOOKUP($B147,实战属性,16,FALSE),VLOOKUP($B147,总基本属性,10,FALSE))*$L$13)*G154)</f>
        <v>5354</v>
      </c>
      <c r="H155">
        <f>H154+F155+G155</f>
        <v>77707</v>
      </c>
      <c r="I155">
        <f>IF($B147&gt;10000,VLOOKUP($B147,实战属性,12,FALSE),VLOOKUP($B147,总基本属性,6,FALSE))</f>
        <v>78666</v>
      </c>
      <c r="J155">
        <f>ROUND(I155/H155,2)</f>
        <v>1.01</v>
      </c>
    </row>
    <row r="159" spans="1:10" x14ac:dyDescent="0.15">
      <c r="A159" s="8" t="s">
        <v>2</v>
      </c>
      <c r="B159" s="8" t="s">
        <v>337</v>
      </c>
      <c r="C159" s="8" t="s">
        <v>178</v>
      </c>
      <c r="D159" s="8" t="s">
        <v>0</v>
      </c>
    </row>
    <row r="160" spans="1:10" x14ac:dyDescent="0.15">
      <c r="A160">
        <f>A134+1</f>
        <v>11106</v>
      </c>
      <c r="B160">
        <f>B134+10</f>
        <v>3060</v>
      </c>
      <c r="C160">
        <v>30</v>
      </c>
      <c r="D160">
        <f>MOD(B160,1000)</f>
        <v>60</v>
      </c>
    </row>
    <row r="161" spans="1:10" x14ac:dyDescent="0.15">
      <c r="A161" t="s">
        <v>156</v>
      </c>
      <c r="B161" t="s">
        <v>95</v>
      </c>
      <c r="C161" t="s">
        <v>177</v>
      </c>
      <c r="D161" t="s">
        <v>143</v>
      </c>
      <c r="E161" t="s">
        <v>182</v>
      </c>
      <c r="F161" t="s">
        <v>192</v>
      </c>
      <c r="G161" t="s">
        <v>193</v>
      </c>
      <c r="H161" t="s">
        <v>176</v>
      </c>
      <c r="I161" t="s">
        <v>205</v>
      </c>
      <c r="J161" t="s">
        <v>206</v>
      </c>
    </row>
    <row r="162" spans="1:10" x14ac:dyDescent="0.15">
      <c r="A162">
        <v>12</v>
      </c>
      <c r="B162" t="s">
        <v>9</v>
      </c>
      <c r="C162">
        <f>C160-C167</f>
        <v>24</v>
      </c>
      <c r="D162">
        <f>VLOOKUP(A162,技能参数,4,FALSE)</f>
        <v>0.6</v>
      </c>
      <c r="E162">
        <f>VLOOKUP(A162*1000+D160,学习等级编码,2)</f>
        <v>1206</v>
      </c>
      <c r="F162">
        <f>INT(VLOOKUP($E162,技能升级,9,FALSE)*$C162*I162*J162)</f>
        <v>0</v>
      </c>
      <c r="G162">
        <f>INT(VLOOKUP($E162,技能升级,10,FALSE)*$C162*I162*J162)</f>
        <v>27237</v>
      </c>
      <c r="H162">
        <f>VLOOKUP(E162,技能升级,11,FALSE)*C162</f>
        <v>5760</v>
      </c>
      <c r="I162">
        <v>1</v>
      </c>
      <c r="J162">
        <f>VLOOKUP(A160,$A$2:$I$21,8,FALSE)</f>
        <v>0.97000000000000008</v>
      </c>
    </row>
    <row r="163" spans="1:10" x14ac:dyDescent="0.15">
      <c r="A163">
        <v>15</v>
      </c>
      <c r="B163" t="s">
        <v>12</v>
      </c>
      <c r="C163">
        <v>1</v>
      </c>
      <c r="D163">
        <f>VLOOKUP(A163,技能参数,4,FALSE)</f>
        <v>1.5</v>
      </c>
      <c r="E163">
        <f>VLOOKUP(A163*1000+D160,学习等级编码,2)</f>
        <v>1504</v>
      </c>
      <c r="F163">
        <f>INT(VLOOKUP($E163,技能升级,9,FALSE)*$C163*I163*J163)</f>
        <v>0</v>
      </c>
      <c r="G163">
        <f>INT(VLOOKUP($E163,技能升级,10,FALSE)*$C163*I163*J163)</f>
        <v>0</v>
      </c>
      <c r="H163">
        <f>VLOOKUP(E163,技能升级,11,FALSE)*C163</f>
        <v>0</v>
      </c>
      <c r="I163">
        <v>1</v>
      </c>
      <c r="J163">
        <v>1</v>
      </c>
    </row>
    <row r="164" spans="1:10" x14ac:dyDescent="0.15">
      <c r="A164">
        <v>11</v>
      </c>
      <c r="B164" t="s">
        <v>94</v>
      </c>
      <c r="C164">
        <f>INT((C160-D162-D163-C166-C167)/D164)</f>
        <v>18</v>
      </c>
      <c r="D164">
        <f>VLOOKUP(A164,技能参数,4,FALSE)</f>
        <v>1</v>
      </c>
      <c r="E164">
        <f>VLOOKUP(A164*1000+D160,学习等级编码,2)</f>
        <v>1109</v>
      </c>
      <c r="F164">
        <f>INT(VLOOKUP($E164,技能升级,9,FALSE)*$C164*I164*J164)</f>
        <v>20301</v>
      </c>
      <c r="G164">
        <f>INT(VLOOKUP($E164,技能升级,10,FALSE)*$C164*I164*J164)</f>
        <v>0</v>
      </c>
      <c r="H164">
        <f>VLOOKUP(E164,技能升级,11,FALSE)*C164</f>
        <v>4860</v>
      </c>
      <c r="I164">
        <v>1</v>
      </c>
      <c r="J164">
        <f>VLOOKUP(A160,$A$2:$I$21,7,FALSE)</f>
        <v>0.96399999999999986</v>
      </c>
    </row>
    <row r="165" spans="1:10" x14ac:dyDescent="0.15">
      <c r="A165">
        <v>14</v>
      </c>
      <c r="B165" t="s">
        <v>11</v>
      </c>
      <c r="C165">
        <v>1</v>
      </c>
      <c r="D165">
        <v>0</v>
      </c>
      <c r="E165">
        <f>VLOOKUP(A165*1000+D160,学习等级编码,2)</f>
        <v>1406</v>
      </c>
      <c r="F165">
        <f>INT(VLOOKUP($E165,技能升级,9,FALSE)*$C165*I165*J165)</f>
        <v>0</v>
      </c>
      <c r="G165">
        <f>INT(VLOOKUP($E165,技能升级,10,FALSE)*$C165*I165*J165)</f>
        <v>0</v>
      </c>
      <c r="H165">
        <f>VLOOKUP(E165,技能升级,11,FALSE)*C165</f>
        <v>0</v>
      </c>
      <c r="I165">
        <v>1</v>
      </c>
      <c r="J165">
        <v>1</v>
      </c>
    </row>
    <row r="166" spans="1:10" x14ac:dyDescent="0.15">
      <c r="A166">
        <v>204</v>
      </c>
      <c r="B166" t="s">
        <v>338</v>
      </c>
      <c r="C166">
        <v>3</v>
      </c>
      <c r="D166">
        <v>0</v>
      </c>
      <c r="E166">
        <f>IFERROR(VLOOKUP(A166*1000+D159,学习等级编码,2),0)</f>
        <v>0</v>
      </c>
      <c r="F166">
        <f>IFERROR(INT(VLOOKUP($E166,技能升级,9,FALSE)*$C166*I166*J166),0)</f>
        <v>0</v>
      </c>
      <c r="G166">
        <f>IFERROR(INT(VLOOKUP($E166,技能升级,10,FALSE)*$C166*I166*J166),0)</f>
        <v>0</v>
      </c>
      <c r="H166">
        <f>IFERROR(VLOOKUP(E166,技能升级,11,FALSE)*C166,0)</f>
        <v>0</v>
      </c>
      <c r="I166">
        <v>1</v>
      </c>
      <c r="J166">
        <v>1</v>
      </c>
    </row>
    <row r="167" spans="1:10" x14ac:dyDescent="0.15">
      <c r="B167" t="s">
        <v>342</v>
      </c>
      <c r="C167">
        <v>6</v>
      </c>
      <c r="D167">
        <v>0</v>
      </c>
      <c r="E167">
        <f>IFERROR(VLOOKUP(A167*1000+D159,学习等级编码,2),0)</f>
        <v>0</v>
      </c>
      <c r="F167">
        <f>IFERROR(INT(VLOOKUP($E167,技能升级,9,FALSE)*$C167*I167*J167),0)</f>
        <v>0</v>
      </c>
      <c r="G167">
        <f>IFERROR(INT(VLOOKUP($E167,技能升级,10,FALSE)*$C167*I167*J167),0)</f>
        <v>0</v>
      </c>
      <c r="H167">
        <f>IFERROR(VLOOKUP(E167,技能升级,11,FALSE)*C167*I167*J167,0)</f>
        <v>0</v>
      </c>
      <c r="I167">
        <v>1</v>
      </c>
      <c r="J167">
        <v>1</v>
      </c>
    </row>
    <row r="168" spans="1:10" x14ac:dyDescent="0.15">
      <c r="E168" t="s">
        <v>194</v>
      </c>
      <c r="F168">
        <f>SUM(F162:F164)/1000</f>
        <v>20.300999999999998</v>
      </c>
      <c r="G168">
        <f>SUM(G162:G164)/1000</f>
        <v>27.236999999999998</v>
      </c>
      <c r="H168">
        <f>SUM(H162:H164)</f>
        <v>10620</v>
      </c>
      <c r="I168" t="s">
        <v>196</v>
      </c>
      <c r="J168" t="s">
        <v>197</v>
      </c>
    </row>
    <row r="169" spans="1:10" x14ac:dyDescent="0.15">
      <c r="E169" t="s">
        <v>195</v>
      </c>
      <c r="F169">
        <f>INT((IF($A160&gt;10000,VLOOKUP($A160,实战属性,13,FALSE),VLOOKUP($A160,总基本属性,7,FALSE))-
IF($B160&gt;10000,VLOOKUP($B160,实战属性,15,FALSE),VLOOKUP($B160,总基本属性,9,FALSE))*$L$13)*F168)</f>
        <v>29974</v>
      </c>
      <c r="G169">
        <f>INT((IF($A160&gt;10000,VLOOKUP($A160,实战属性,14,FALSE),VLOOKUP($A160,总基本属性,8,FALSE))-
IF($B160&gt;10000,VLOOKUP($B160,实战属性,16,FALSE),VLOOKUP($B160,总基本属性,10,FALSE))*$L$13)*G168)</f>
        <v>30519</v>
      </c>
      <c r="H169">
        <f>H168+F169+G169</f>
        <v>71113</v>
      </c>
      <c r="I169">
        <f>IF($B160&gt;10000,VLOOKUP($B160,实战属性,12,FALSE),VLOOKUP($B160,总基本属性,6,FALSE))</f>
        <v>70632</v>
      </c>
      <c r="J169">
        <f>ROUND(I169/H169,2)</f>
        <v>0.99</v>
      </c>
    </row>
    <row r="172" spans="1:10" x14ac:dyDescent="0.15">
      <c r="A172" s="9" t="s">
        <v>337</v>
      </c>
      <c r="B172" s="9" t="s">
        <v>2</v>
      </c>
      <c r="C172" s="9" t="s">
        <v>178</v>
      </c>
      <c r="D172" s="9" t="s">
        <v>144</v>
      </c>
    </row>
    <row r="173" spans="1:10" x14ac:dyDescent="0.15">
      <c r="A173">
        <f>A147+10</f>
        <v>3060</v>
      </c>
      <c r="B173">
        <f>B147+1</f>
        <v>11106</v>
      </c>
      <c r="C173">
        <v>30</v>
      </c>
      <c r="D173">
        <f>MOD(A173,1000)</f>
        <v>60</v>
      </c>
    </row>
    <row r="174" spans="1:10" x14ac:dyDescent="0.15">
      <c r="A174" t="s">
        <v>156</v>
      </c>
      <c r="B174" t="s">
        <v>95</v>
      </c>
      <c r="C174" t="s">
        <v>142</v>
      </c>
      <c r="D174" t="s">
        <v>143</v>
      </c>
      <c r="E174" t="s">
        <v>182</v>
      </c>
      <c r="F174" t="s">
        <v>192</v>
      </c>
      <c r="G174" t="s">
        <v>193</v>
      </c>
      <c r="H174" t="s">
        <v>176</v>
      </c>
      <c r="I174" t="s">
        <v>205</v>
      </c>
      <c r="J174" t="s">
        <v>206</v>
      </c>
    </row>
    <row r="175" spans="1:10" x14ac:dyDescent="0.15">
      <c r="A175">
        <v>32</v>
      </c>
      <c r="B175" t="s">
        <v>26</v>
      </c>
      <c r="C175">
        <f>INT(C173/(VLOOKUP(A175,技能参数,5,FALSE)+2*VLOOKUP(A175,技能参数,4,FALSE))+3)</f>
        <v>4</v>
      </c>
      <c r="D175">
        <f>VLOOKUP(A175,技能参数,4,FALSE)</f>
        <v>1</v>
      </c>
      <c r="E175">
        <f>IFERROR(VLOOKUP(A175*1000+D173,学习等级编码,2),0)</f>
        <v>3206</v>
      </c>
      <c r="F175">
        <f>IFERROR(INT(VLOOKUP($E175,技能升级,9,FALSE)*$C175*I175*J175),0)</f>
        <v>0</v>
      </c>
      <c r="G175">
        <f>IFERROR(INT(VLOOKUP($E175,技能升级,10,FALSE)*$C175*I175*J175),0)</f>
        <v>5720</v>
      </c>
      <c r="H175">
        <f>INT(VLOOKUP($E175,技能升级,11,FALSE)*$C175*I175*J175)</f>
        <v>960</v>
      </c>
      <c r="I175">
        <v>1</v>
      </c>
      <c r="J175">
        <v>1</v>
      </c>
    </row>
    <row r="176" spans="1:10" x14ac:dyDescent="0.15">
      <c r="A176">
        <v>34</v>
      </c>
      <c r="B176" t="s">
        <v>34</v>
      </c>
      <c r="C176">
        <f>INT(C173/(VLOOKUP(A176,技能参数,5,FALSE)+2*VLOOKUP(A176,技能参数,4,FALSE))+1)</f>
        <v>2</v>
      </c>
      <c r="D176">
        <f>VLOOKUP(A176,技能参数,4,FALSE)</f>
        <v>1.5</v>
      </c>
      <c r="E176">
        <f>IFERROR(VLOOKUP(A176*1000+D173,学习等级编码,2),0)</f>
        <v>3406</v>
      </c>
      <c r="F176">
        <f>IFERROR(INT(VLOOKUP($E176,技能升级,9,FALSE)*$C176*I176*J176),0)</f>
        <v>3840</v>
      </c>
      <c r="G176">
        <f>IFERROR(INT(VLOOKUP($E176,技能升级,10,FALSE)*$C176*I176*J176),0)</f>
        <v>0</v>
      </c>
      <c r="H176">
        <f>INT(VLOOKUP($E176,技能升级,11,FALSE)*$C176*I176*J176)</f>
        <v>570</v>
      </c>
      <c r="I176">
        <v>1</v>
      </c>
      <c r="J176">
        <v>1</v>
      </c>
    </row>
    <row r="177" spans="1:10" x14ac:dyDescent="0.15">
      <c r="A177">
        <v>35</v>
      </c>
      <c r="B177" t="s">
        <v>141</v>
      </c>
      <c r="C177">
        <v>3</v>
      </c>
      <c r="D177">
        <f>VLOOKUP(A177,技能参数,4,FALSE)</f>
        <v>2</v>
      </c>
      <c r="E177">
        <f>IFERROR(VLOOKUP(A177*1000+D173,学习等级编码,2),0)</f>
        <v>3504</v>
      </c>
      <c r="F177">
        <f>IFERROR(INT(VLOOKUP($E177,技能升级,9,FALSE)*$C177*I177*J177),0)</f>
        <v>7500</v>
      </c>
      <c r="G177">
        <f>IFERROR(INT(VLOOKUP($E177,技能升级,10,FALSE)*$C177*I177*J177),0)</f>
        <v>0</v>
      </c>
      <c r="H177">
        <f>INT(VLOOKUP($E177,技能升级,11,FALSE)*$C177*I177*J177)</f>
        <v>834</v>
      </c>
      <c r="I177">
        <v>1</v>
      </c>
      <c r="J177">
        <v>1</v>
      </c>
    </row>
    <row r="178" spans="1:10" x14ac:dyDescent="0.15">
      <c r="A178">
        <v>31</v>
      </c>
      <c r="B178" t="s">
        <v>91</v>
      </c>
      <c r="C178">
        <f>INT((C173-C175*D175-C176*D176-C177*D177-C180-C181)/D178)</f>
        <v>21</v>
      </c>
      <c r="D178">
        <f>VLOOKUP(A178,技能参数,4,FALSE)</f>
        <v>0.8</v>
      </c>
      <c r="E178">
        <f>IFERROR(VLOOKUP(A178*1000+D173,学习等级编码,2),0)</f>
        <v>3109</v>
      </c>
      <c r="F178">
        <f>IFERROR(INT(VLOOKUP($E178,技能升级,9,FALSE)*$C178*I178*J178),0)</f>
        <v>22850</v>
      </c>
      <c r="G178">
        <f>IFERROR(INT(VLOOKUP($E178,技能升级,10,FALSE)*$C178*I178*J178),0)</f>
        <v>0</v>
      </c>
      <c r="H178">
        <f>INT(VLOOKUP($E178,技能升级,11,FALSE)*$C178*I178*J178)</f>
        <v>5273</v>
      </c>
      <c r="I178">
        <v>1</v>
      </c>
      <c r="J178">
        <f>VLOOKUP(A173,$A$2:$I$21,9,FALSE)</f>
        <v>0.93</v>
      </c>
    </row>
    <row r="179" spans="1:10" x14ac:dyDescent="0.15">
      <c r="A179">
        <v>203</v>
      </c>
      <c r="B179" t="s">
        <v>340</v>
      </c>
      <c r="C179">
        <f>INT((C173)/3)</f>
        <v>10</v>
      </c>
      <c r="D179">
        <v>0</v>
      </c>
      <c r="E179">
        <f>IFERROR(VLOOKUP(A179*1000+D173,学习等级编码,2),0)</f>
        <v>20306</v>
      </c>
      <c r="F179">
        <f>IFERROR(INT(VLOOKUP($E179,技能升级,9,FALSE)*$C179*I179*J179),0)</f>
        <v>0</v>
      </c>
      <c r="G179">
        <f>IFERROR(INT(VLOOKUP($E179,技能升级,10,FALSE)*$C179*I179*J179),0)</f>
        <v>0</v>
      </c>
      <c r="H179">
        <f>INT((VLOOKUP(E179,技能升级,13,FALSE)*(VLOOKUP(C179,中毒数据,4)+MOD(C173,3)*VLOOKUP(C179+1,中毒数据,3))+VLOOKUP(E179,技能升级,14,FALSE)/1000*C179*IF($B173&gt;10000,VLOOKUP($B173,实战属性,12,FALSE),VLOOKUP($B173,总基本属性,6,FALSE)))*I179*J179)</f>
        <v>51221</v>
      </c>
      <c r="I179">
        <v>1</v>
      </c>
      <c r="J179">
        <v>1</v>
      </c>
    </row>
    <row r="180" spans="1:10" x14ac:dyDescent="0.15">
      <c r="E180" t="s">
        <v>194</v>
      </c>
      <c r="F180">
        <f>SUM(F175:F179)/1000</f>
        <v>34.19</v>
      </c>
      <c r="G180">
        <f>SUM(G175:G179)/1000</f>
        <v>5.72</v>
      </c>
      <c r="H180">
        <f>SUM(H175:H179)</f>
        <v>58858</v>
      </c>
      <c r="I180" t="s">
        <v>196</v>
      </c>
      <c r="J180" t="s">
        <v>197</v>
      </c>
    </row>
    <row r="181" spans="1:10" x14ac:dyDescent="0.15">
      <c r="E181" t="s">
        <v>195</v>
      </c>
      <c r="F181">
        <f>INT((IF($A173&gt;10000,VLOOKUP($A173,实战属性,13,FALSE),VLOOKUP($A173,总基本属性,7,FALSE))-
IF($B173&gt;10000,VLOOKUP($B173,实战属性,15,FALSE),VLOOKUP($B173,总基本属性,9,FALSE))*$L$13)*F180)</f>
        <v>43848</v>
      </c>
      <c r="G181">
        <f>INT((IF($A173&gt;10000,VLOOKUP($A173,实战属性,14,FALSE),VLOOKUP($A173,总基本属性,8,FALSE))-
IF($B173&gt;10000,VLOOKUP($B173,实战属性,16,FALSE),VLOOKUP($B173,总基本属性,10,FALSE))*$L$13)*G180)</f>
        <v>7730</v>
      </c>
      <c r="H181">
        <f>H180+F181+G181</f>
        <v>110436</v>
      </c>
      <c r="I181">
        <f>IF($B173&gt;10000,VLOOKUP($B173,实战属性,12,FALSE),VLOOKUP($B173,总基本属性,6,FALSE))</f>
        <v>112468</v>
      </c>
      <c r="J181">
        <f>ROUND(I181/H181,2)</f>
        <v>1.02</v>
      </c>
    </row>
    <row r="185" spans="1:10" x14ac:dyDescent="0.15">
      <c r="A185" s="8" t="s">
        <v>2</v>
      </c>
      <c r="B185" s="8" t="s">
        <v>337</v>
      </c>
      <c r="C185" s="8" t="s">
        <v>178</v>
      </c>
      <c r="D185" s="8" t="s">
        <v>0</v>
      </c>
    </row>
    <row r="186" spans="1:10" x14ac:dyDescent="0.15">
      <c r="A186">
        <f>A160+1</f>
        <v>11107</v>
      </c>
      <c r="B186">
        <f>B160+10</f>
        <v>3070</v>
      </c>
      <c r="C186">
        <v>31</v>
      </c>
      <c r="D186">
        <f>MOD(B186,1000)</f>
        <v>70</v>
      </c>
    </row>
    <row r="187" spans="1:10" x14ac:dyDescent="0.15">
      <c r="A187" t="s">
        <v>156</v>
      </c>
      <c r="B187" t="s">
        <v>95</v>
      </c>
      <c r="C187" t="s">
        <v>177</v>
      </c>
      <c r="D187" t="s">
        <v>143</v>
      </c>
      <c r="E187" t="s">
        <v>182</v>
      </c>
      <c r="F187" t="s">
        <v>192</v>
      </c>
      <c r="G187" t="s">
        <v>193</v>
      </c>
      <c r="H187" t="s">
        <v>176</v>
      </c>
      <c r="I187" t="s">
        <v>205</v>
      </c>
      <c r="J187" t="s">
        <v>206</v>
      </c>
    </row>
    <row r="188" spans="1:10" x14ac:dyDescent="0.15">
      <c r="A188">
        <v>12</v>
      </c>
      <c r="B188" t="s">
        <v>9</v>
      </c>
      <c r="C188">
        <f>C186-C193</f>
        <v>25</v>
      </c>
      <c r="D188">
        <f>VLOOKUP(A188,技能参数,4,FALSE)</f>
        <v>0.6</v>
      </c>
      <c r="E188">
        <f>VLOOKUP(A188*1000+D186,学习等级编码,2)</f>
        <v>1207</v>
      </c>
      <c r="F188">
        <f>INT(VLOOKUP($E188,技能升级,9,FALSE)*$C188*I188*J188)</f>
        <v>0</v>
      </c>
      <c r="G188">
        <f>INT(VLOOKUP($E188,技能升级,10,FALSE)*$C188*I188*J188)</f>
        <v>28800</v>
      </c>
      <c r="H188">
        <f>VLOOKUP(E188,技能升级,11,FALSE)*C188</f>
        <v>8225</v>
      </c>
      <c r="I188">
        <v>1</v>
      </c>
      <c r="J188">
        <f>VLOOKUP(A186,$A$2:$I$21,8,FALSE)</f>
        <v>0.95999999999999985</v>
      </c>
    </row>
    <row r="189" spans="1:10" x14ac:dyDescent="0.15">
      <c r="A189">
        <v>15</v>
      </c>
      <c r="B189" t="s">
        <v>12</v>
      </c>
      <c r="C189">
        <v>1</v>
      </c>
      <c r="D189">
        <f>VLOOKUP(A189,技能参数,4,FALSE)</f>
        <v>1.5</v>
      </c>
      <c r="E189">
        <f>VLOOKUP(A189*1000+D186,学习等级编码,2)</f>
        <v>1505</v>
      </c>
      <c r="F189">
        <f>INT(VLOOKUP($E189,技能升级,9,FALSE)*$C189*I189*J189)</f>
        <v>0</v>
      </c>
      <c r="G189">
        <f>INT(VLOOKUP($E189,技能升级,10,FALSE)*$C189*I189*J189)</f>
        <v>0</v>
      </c>
      <c r="H189">
        <f>VLOOKUP(E189,技能升级,11,FALSE)*C189</f>
        <v>0</v>
      </c>
      <c r="I189">
        <v>1</v>
      </c>
      <c r="J189">
        <v>1</v>
      </c>
    </row>
    <row r="190" spans="1:10" x14ac:dyDescent="0.15">
      <c r="A190">
        <v>11</v>
      </c>
      <c r="B190" t="s">
        <v>94</v>
      </c>
      <c r="C190">
        <f>INT((C186-D188-D189-C192-C193)/D190)</f>
        <v>19</v>
      </c>
      <c r="D190">
        <f>VLOOKUP(A190,技能参数,4,FALSE)</f>
        <v>1</v>
      </c>
      <c r="E190">
        <f>VLOOKUP(A190*1000+D186,学习等级编码,2)</f>
        <v>1111</v>
      </c>
      <c r="F190">
        <f>INT(VLOOKUP($E190,技能升级,9,FALSE)*$C190*I190*J190)</f>
        <v>21978</v>
      </c>
      <c r="G190">
        <f>INT(VLOOKUP($E190,技能升级,10,FALSE)*$C190*I190*J190)</f>
        <v>0</v>
      </c>
      <c r="H190">
        <f>VLOOKUP(E190,技能升级,11,FALSE)*C190</f>
        <v>7714</v>
      </c>
      <c r="I190">
        <v>1</v>
      </c>
      <c r="J190">
        <f>VLOOKUP(A186,$A$2:$I$21,7,FALSE)</f>
        <v>0.95600000000000007</v>
      </c>
    </row>
    <row r="191" spans="1:10" x14ac:dyDescent="0.15">
      <c r="A191">
        <v>14</v>
      </c>
      <c r="B191" t="s">
        <v>11</v>
      </c>
      <c r="C191">
        <v>1</v>
      </c>
      <c r="D191">
        <v>0</v>
      </c>
      <c r="E191">
        <f>VLOOKUP(A191*1000+D186,学习等级编码,2)</f>
        <v>1407</v>
      </c>
      <c r="F191">
        <f>INT(VLOOKUP($E191,技能升级,9,FALSE)*$C191*I191*J191)</f>
        <v>0</v>
      </c>
      <c r="G191">
        <f>INT(VLOOKUP($E191,技能升级,10,FALSE)*$C191*I191*J191)</f>
        <v>0</v>
      </c>
      <c r="H191">
        <f>VLOOKUP(E191,技能升级,11,FALSE)*C191</f>
        <v>0</v>
      </c>
      <c r="I191">
        <v>1</v>
      </c>
      <c r="J191">
        <v>1</v>
      </c>
    </row>
    <row r="192" spans="1:10" x14ac:dyDescent="0.15">
      <c r="A192">
        <v>204</v>
      </c>
      <c r="B192" t="s">
        <v>338</v>
      </c>
      <c r="C192">
        <v>3</v>
      </c>
      <c r="D192">
        <v>0</v>
      </c>
      <c r="E192">
        <f>IFERROR(VLOOKUP(A192*1000+D185,学习等级编码,2),0)</f>
        <v>0</v>
      </c>
      <c r="F192">
        <f>IFERROR(INT(VLOOKUP($E192,技能升级,9,FALSE)*$C192*I192*J192),0)</f>
        <v>0</v>
      </c>
      <c r="G192">
        <f>IFERROR(INT(VLOOKUP($E192,技能升级,10,FALSE)*$C192*I192*J192),0)</f>
        <v>0</v>
      </c>
      <c r="H192">
        <f>IFERROR(VLOOKUP(E192,技能升级,11,FALSE)*C192,0)</f>
        <v>0</v>
      </c>
      <c r="I192">
        <v>1</v>
      </c>
      <c r="J192">
        <v>1</v>
      </c>
    </row>
    <row r="193" spans="1:10" x14ac:dyDescent="0.15">
      <c r="B193" t="s">
        <v>342</v>
      </c>
      <c r="C193">
        <v>6</v>
      </c>
      <c r="D193">
        <v>0</v>
      </c>
      <c r="E193">
        <f>IFERROR(VLOOKUP(A193*1000+D185,学习等级编码,2),0)</f>
        <v>0</v>
      </c>
      <c r="F193">
        <f>IFERROR(INT(VLOOKUP($E193,技能升级,9,FALSE)*$C193*I193*J193),0)</f>
        <v>0</v>
      </c>
      <c r="G193">
        <f>IFERROR(INT(VLOOKUP($E193,技能升级,10,FALSE)*$C193*I193*J193),0)</f>
        <v>0</v>
      </c>
      <c r="H193">
        <f>IFERROR(VLOOKUP(E193,技能升级,11,FALSE)*C193*I193*J193,0)</f>
        <v>0</v>
      </c>
      <c r="I193">
        <v>1</v>
      </c>
      <c r="J193">
        <v>1</v>
      </c>
    </row>
    <row r="194" spans="1:10" x14ac:dyDescent="0.15">
      <c r="E194" t="s">
        <v>194</v>
      </c>
      <c r="F194">
        <f>SUM(F188:F190)/1000</f>
        <v>21.978000000000002</v>
      </c>
      <c r="G194">
        <f>SUM(G188:G190)/1000</f>
        <v>28.8</v>
      </c>
      <c r="H194">
        <f>SUM(H188:H190)</f>
        <v>15939</v>
      </c>
      <c r="I194" t="s">
        <v>196</v>
      </c>
      <c r="J194" t="s">
        <v>197</v>
      </c>
    </row>
    <row r="195" spans="1:10" x14ac:dyDescent="0.15">
      <c r="E195" t="s">
        <v>195</v>
      </c>
      <c r="F195">
        <f>INT((IF($A186&gt;10000,VLOOKUP($A186,实战属性,13,FALSE),VLOOKUP($A186,总基本属性,7,FALSE))-
IF($B186&gt;10000,VLOOKUP($B186,实战属性,15,FALSE),VLOOKUP($B186,总基本属性,9,FALSE))*$L$13)*F194)</f>
        <v>43527</v>
      </c>
      <c r="G195">
        <f>INT((IF($A186&gt;10000,VLOOKUP($A186,实战属性,14,FALSE),VLOOKUP($A186,总基本属性,8,FALSE))-
IF($B186&gt;10000,VLOOKUP($B186,实战属性,16,FALSE),VLOOKUP($B186,总基本属性,10,FALSE))*$L$13)*G194)</f>
        <v>36216</v>
      </c>
      <c r="H195">
        <f>H194+F195+G195</f>
        <v>95682</v>
      </c>
      <c r="I195">
        <f>IF($B186&gt;10000,VLOOKUP($B186,实战属性,12,FALSE),VLOOKUP($B186,总基本属性,6,FALSE))</f>
        <v>94932</v>
      </c>
      <c r="J195">
        <f>ROUND(I195/H195,2)</f>
        <v>0.99</v>
      </c>
    </row>
    <row r="198" spans="1:10" x14ac:dyDescent="0.15">
      <c r="A198" s="9" t="s">
        <v>337</v>
      </c>
      <c r="B198" s="9" t="s">
        <v>2</v>
      </c>
      <c r="C198" s="9" t="s">
        <v>178</v>
      </c>
      <c r="D198" s="9" t="s">
        <v>144</v>
      </c>
    </row>
    <row r="199" spans="1:10" x14ac:dyDescent="0.15">
      <c r="A199">
        <f>A173+10</f>
        <v>3070</v>
      </c>
      <c r="B199">
        <f>B173+1</f>
        <v>11107</v>
      </c>
      <c r="C199">
        <v>31</v>
      </c>
      <c r="D199">
        <f>MOD(A199,1000)</f>
        <v>70</v>
      </c>
    </row>
    <row r="200" spans="1:10" x14ac:dyDescent="0.15">
      <c r="A200" t="s">
        <v>156</v>
      </c>
      <c r="B200" t="s">
        <v>95</v>
      </c>
      <c r="C200" t="s">
        <v>142</v>
      </c>
      <c r="D200" t="s">
        <v>143</v>
      </c>
      <c r="E200" t="s">
        <v>182</v>
      </c>
      <c r="F200" t="s">
        <v>192</v>
      </c>
      <c r="G200" t="s">
        <v>193</v>
      </c>
      <c r="H200" t="s">
        <v>176</v>
      </c>
      <c r="I200" t="s">
        <v>205</v>
      </c>
      <c r="J200" t="s">
        <v>206</v>
      </c>
    </row>
    <row r="201" spans="1:10" x14ac:dyDescent="0.15">
      <c r="A201">
        <v>32</v>
      </c>
      <c r="B201" t="s">
        <v>26</v>
      </c>
      <c r="C201">
        <f>INT(C199/(VLOOKUP(A201,技能参数,5,FALSE)+2*VLOOKUP(A201,技能参数,4,FALSE))+3)</f>
        <v>4</v>
      </c>
      <c r="D201">
        <f>VLOOKUP(A201,技能参数,4,FALSE)</f>
        <v>1</v>
      </c>
      <c r="E201">
        <f>IFERROR(VLOOKUP(A201*1000+D199,学习等级编码,2),0)</f>
        <v>3207</v>
      </c>
      <c r="F201">
        <f>IFERROR(INT(VLOOKUP($E201,技能升级,9,FALSE)*$C201*I201*J201),0)</f>
        <v>0</v>
      </c>
      <c r="G201">
        <f>IFERROR(INT(VLOOKUP($E201,技能升级,10,FALSE)*$C201*I201*J201),0)</f>
        <v>5920</v>
      </c>
      <c r="H201">
        <f>INT(VLOOKUP($E201,技能升级,11,FALSE)*$C201*I201*J201)</f>
        <v>1316</v>
      </c>
      <c r="I201">
        <v>1</v>
      </c>
      <c r="J201">
        <v>1</v>
      </c>
    </row>
    <row r="202" spans="1:10" x14ac:dyDescent="0.15">
      <c r="A202">
        <v>34</v>
      </c>
      <c r="B202" t="s">
        <v>34</v>
      </c>
      <c r="C202">
        <f>INT(C199/(VLOOKUP(A202,技能参数,5,FALSE)+2*VLOOKUP(A202,技能参数,4,FALSE))+1)</f>
        <v>2</v>
      </c>
      <c r="D202">
        <f>VLOOKUP(A202,技能参数,4,FALSE)</f>
        <v>1.5</v>
      </c>
      <c r="E202">
        <f>IFERROR(VLOOKUP(A202*1000+D199,学习等级编码,2),0)</f>
        <v>3407</v>
      </c>
      <c r="F202">
        <f>IFERROR(INT(VLOOKUP($E202,技能升级,9,FALSE)*$C202*I202*J202),0)</f>
        <v>4000</v>
      </c>
      <c r="G202">
        <f>IFERROR(INT(VLOOKUP($E202,技能升级,10,FALSE)*$C202*I202*J202),0)</f>
        <v>0</v>
      </c>
      <c r="H202">
        <f>INT(VLOOKUP($E202,技能升级,11,FALSE)*$C202*I202*J202)</f>
        <v>760</v>
      </c>
      <c r="I202">
        <v>1</v>
      </c>
      <c r="J202">
        <v>1</v>
      </c>
    </row>
    <row r="203" spans="1:10" x14ac:dyDescent="0.15">
      <c r="A203">
        <v>35</v>
      </c>
      <c r="B203" t="s">
        <v>141</v>
      </c>
      <c r="C203">
        <v>3</v>
      </c>
      <c r="D203">
        <f>VLOOKUP(A203,技能参数,4,FALSE)</f>
        <v>2</v>
      </c>
      <c r="E203">
        <f>IFERROR(VLOOKUP(A203*1000+D199,学习等级编码,2),0)</f>
        <v>3505</v>
      </c>
      <c r="F203">
        <f>IFERROR(INT(VLOOKUP($E203,技能升级,9,FALSE)*$C203*I203*J203),0)</f>
        <v>8010</v>
      </c>
      <c r="G203">
        <f>IFERROR(INT(VLOOKUP($E203,技能升级,10,FALSE)*$C203*I203*J203),0)</f>
        <v>0</v>
      </c>
      <c r="H203">
        <f>INT(VLOOKUP($E203,技能升级,11,FALSE)*$C203*I203*J203)</f>
        <v>1263</v>
      </c>
      <c r="I203">
        <v>1</v>
      </c>
      <c r="J203">
        <v>1</v>
      </c>
    </row>
    <row r="204" spans="1:10" x14ac:dyDescent="0.15">
      <c r="A204">
        <v>31</v>
      </c>
      <c r="B204" t="s">
        <v>91</v>
      </c>
      <c r="C204">
        <f>INT((C199-C201*D201-C202*D202-C203*D203-C206-C207)/D204)</f>
        <v>22</v>
      </c>
      <c r="D204">
        <f>VLOOKUP(A204,技能参数,4,FALSE)</f>
        <v>0.8</v>
      </c>
      <c r="E204">
        <f>IFERROR(VLOOKUP(A204*1000+D199,学习等级编码,2),0)</f>
        <v>3111</v>
      </c>
      <c r="F204">
        <f>IFERROR(INT(VLOOKUP($E204,技能升级,9,FALSE)*$C204*I204*J204),0)</f>
        <v>24756</v>
      </c>
      <c r="G204">
        <f>IFERROR(INT(VLOOKUP($E204,技能升级,10,FALSE)*$C204*I204*J204),0)</f>
        <v>0</v>
      </c>
      <c r="H204">
        <f>INT(VLOOKUP($E204,技能升级,11,FALSE)*$C204*I204*J204)</f>
        <v>8306</v>
      </c>
      <c r="I204">
        <v>1</v>
      </c>
      <c r="J204">
        <f>VLOOKUP(A199,$A$2:$I$21,9,FALSE)</f>
        <v>0.93</v>
      </c>
    </row>
    <row r="205" spans="1:10" x14ac:dyDescent="0.15">
      <c r="A205">
        <v>203</v>
      </c>
      <c r="B205" t="s">
        <v>340</v>
      </c>
      <c r="C205">
        <f>INT((C199)/3)</f>
        <v>10</v>
      </c>
      <c r="D205">
        <v>0</v>
      </c>
      <c r="E205">
        <f>IFERROR(VLOOKUP(A205*1000+D199,学习等级编码,2),0)</f>
        <v>20307</v>
      </c>
      <c r="F205">
        <f>IFERROR(INT(VLOOKUP($E205,技能升级,9,FALSE)*$C205*I205*J205),0)</f>
        <v>0</v>
      </c>
      <c r="G205">
        <f>IFERROR(INT(VLOOKUP($E205,技能升级,10,FALSE)*$C205*I205*J205),0)</f>
        <v>0</v>
      </c>
      <c r="H205">
        <f>INT((VLOOKUP(E205,技能升级,13,FALSE)*(VLOOKUP(C205,中毒数据,4)+MOD(C199,3)*VLOOKUP(C205+1,中毒数据,3))+VLOOKUP(E205,技能升级,14,FALSE)/1000*C205*IF($B199&gt;10000,VLOOKUP($B199,实战属性,12,FALSE),VLOOKUP($B199,总基本属性,6,FALSE)))*I205*J205)</f>
        <v>68777</v>
      </c>
      <c r="I205">
        <v>1</v>
      </c>
      <c r="J205">
        <v>1</v>
      </c>
    </row>
    <row r="206" spans="1:10" x14ac:dyDescent="0.15">
      <c r="E206" t="s">
        <v>194</v>
      </c>
      <c r="F206">
        <f>SUM(F201:F205)/1000</f>
        <v>36.765999999999998</v>
      </c>
      <c r="G206">
        <f>SUM(G201:G205)/1000</f>
        <v>5.92</v>
      </c>
      <c r="H206">
        <f>SUM(H201:H205)</f>
        <v>80422</v>
      </c>
      <c r="I206" t="s">
        <v>196</v>
      </c>
      <c r="J206" t="s">
        <v>197</v>
      </c>
    </row>
    <row r="207" spans="1:10" x14ac:dyDescent="0.15">
      <c r="E207" t="s">
        <v>195</v>
      </c>
      <c r="F207">
        <f>INT((IF($A199&gt;10000,VLOOKUP($A199,实战属性,13,FALSE),VLOOKUP($A199,总基本属性,7,FALSE))-
IF($B199&gt;10000,VLOOKUP($B199,实战属性,15,FALSE),VLOOKUP($B199,总基本属性,9,FALSE))*$L$13)*F206)</f>
        <v>62998</v>
      </c>
      <c r="G207">
        <f>INT((IF($A199&gt;10000,VLOOKUP($A199,实战属性,14,FALSE),VLOOKUP($A199,总基本属性,8,FALSE))-
IF($B199&gt;10000,VLOOKUP($B199,实战属性,16,FALSE),VLOOKUP($B199,总基本属性,10,FALSE))*$L$13)*G206)</f>
        <v>10691</v>
      </c>
      <c r="H207">
        <f>H206+F207+G207</f>
        <v>154111</v>
      </c>
      <c r="I207">
        <f>IF($B199&gt;10000,VLOOKUP($B199,实战属性,12,FALSE),VLOOKUP($B199,总基本属性,6,FALSE))</f>
        <v>152179</v>
      </c>
      <c r="J207">
        <f>ROUND(I207/H207,2)</f>
        <v>0.99</v>
      </c>
    </row>
    <row r="211" spans="1:10" x14ac:dyDescent="0.15">
      <c r="A211" s="8" t="s">
        <v>2</v>
      </c>
      <c r="B211" s="8" t="s">
        <v>337</v>
      </c>
      <c r="C211" s="8" t="s">
        <v>178</v>
      </c>
      <c r="D211" s="8" t="s">
        <v>0</v>
      </c>
    </row>
    <row r="212" spans="1:10" x14ac:dyDescent="0.15">
      <c r="A212">
        <f>A186+1</f>
        <v>11108</v>
      </c>
      <c r="B212">
        <f>B186+10</f>
        <v>3080</v>
      </c>
      <c r="C212">
        <v>32</v>
      </c>
      <c r="D212">
        <f>MOD(B212,1000)</f>
        <v>80</v>
      </c>
    </row>
    <row r="213" spans="1:10" x14ac:dyDescent="0.15">
      <c r="A213" t="s">
        <v>156</v>
      </c>
      <c r="B213" t="s">
        <v>95</v>
      </c>
      <c r="C213" t="s">
        <v>177</v>
      </c>
      <c r="D213" t="s">
        <v>143</v>
      </c>
      <c r="E213" t="s">
        <v>182</v>
      </c>
      <c r="F213" t="s">
        <v>192</v>
      </c>
      <c r="G213" t="s">
        <v>193</v>
      </c>
      <c r="H213" t="s">
        <v>176</v>
      </c>
      <c r="I213" t="s">
        <v>205</v>
      </c>
      <c r="J213" t="s">
        <v>206</v>
      </c>
    </row>
    <row r="214" spans="1:10" x14ac:dyDescent="0.15">
      <c r="A214">
        <v>12</v>
      </c>
      <c r="B214" t="s">
        <v>9</v>
      </c>
      <c r="C214">
        <f>C212-C219</f>
        <v>26</v>
      </c>
      <c r="D214">
        <f>VLOOKUP(A214,技能参数,4,FALSE)</f>
        <v>0.6</v>
      </c>
      <c r="E214">
        <f>VLOOKUP(A214*1000+D212,学习等级编码,2)</f>
        <v>1208</v>
      </c>
      <c r="F214">
        <f>INT(VLOOKUP($E214,技能升级,9,FALSE)*$C214*I214*J214)</f>
        <v>0</v>
      </c>
      <c r="G214">
        <f>INT(VLOOKUP($E214,技能升级,10,FALSE)*$C214*I214*J214)</f>
        <v>30540</v>
      </c>
      <c r="H214">
        <f>VLOOKUP(E214,技能升级,11,FALSE)*C214</f>
        <v>11258</v>
      </c>
      <c r="I214">
        <v>1</v>
      </c>
      <c r="J214">
        <f>VLOOKUP(A212,$A$2:$I$21,8,FALSE)</f>
        <v>0.95500000000000007</v>
      </c>
    </row>
    <row r="215" spans="1:10" x14ac:dyDescent="0.15">
      <c r="A215">
        <v>15</v>
      </c>
      <c r="B215" t="s">
        <v>12</v>
      </c>
      <c r="C215">
        <v>1</v>
      </c>
      <c r="D215">
        <f>VLOOKUP(A215,技能参数,4,FALSE)</f>
        <v>1.5</v>
      </c>
      <c r="E215">
        <f>VLOOKUP(A215*1000+D212,学习等级编码,2)</f>
        <v>1505</v>
      </c>
      <c r="F215">
        <f>INT(VLOOKUP($E215,技能升级,9,FALSE)*$C215*I215*J215)</f>
        <v>0</v>
      </c>
      <c r="G215">
        <f>INT(VLOOKUP($E215,技能升级,10,FALSE)*$C215*I215*J215)</f>
        <v>0</v>
      </c>
      <c r="H215">
        <f>VLOOKUP(E215,技能升级,11,FALSE)*C215</f>
        <v>0</v>
      </c>
      <c r="I215">
        <v>1</v>
      </c>
      <c r="J215">
        <v>1</v>
      </c>
    </row>
    <row r="216" spans="1:10" x14ac:dyDescent="0.15">
      <c r="A216">
        <v>11</v>
      </c>
      <c r="B216" t="s">
        <v>94</v>
      </c>
      <c r="C216">
        <f>INT((C212-D214-D215-C218-C219)/D216)</f>
        <v>20</v>
      </c>
      <c r="D216">
        <f>VLOOKUP(A216,技能参数,4,FALSE)</f>
        <v>1</v>
      </c>
      <c r="E216">
        <f>VLOOKUP(A216*1000+D212,学习等级编码,2)</f>
        <v>1112</v>
      </c>
      <c r="F216">
        <f>INT(VLOOKUP($E216,技能升级,9,FALSE)*$C216*I216*J216)</f>
        <v>23460</v>
      </c>
      <c r="G216">
        <f>INT(VLOOKUP($E216,技能升级,10,FALSE)*$C216*I216*J216)</f>
        <v>0</v>
      </c>
      <c r="H216">
        <f>VLOOKUP(E216,技能升级,11,FALSE)*C216</f>
        <v>9740</v>
      </c>
      <c r="I216">
        <v>1</v>
      </c>
      <c r="J216">
        <f>VLOOKUP(A212,$A$2:$I$21,7,FALSE)</f>
        <v>0.94600000000000017</v>
      </c>
    </row>
    <row r="217" spans="1:10" x14ac:dyDescent="0.15">
      <c r="A217">
        <v>14</v>
      </c>
      <c r="B217" t="s">
        <v>11</v>
      </c>
      <c r="C217">
        <v>1</v>
      </c>
      <c r="D217">
        <v>0</v>
      </c>
      <c r="E217">
        <f>VLOOKUP(A217*1000+D212,学习等级编码,2)</f>
        <v>1408</v>
      </c>
      <c r="F217">
        <f>INT(VLOOKUP($E217,技能升级,9,FALSE)*$C217*I217*J217)</f>
        <v>0</v>
      </c>
      <c r="G217">
        <f>INT(VLOOKUP($E217,技能升级,10,FALSE)*$C217*I217*J217)</f>
        <v>0</v>
      </c>
      <c r="H217">
        <f>VLOOKUP(E217,技能升级,11,FALSE)*C217</f>
        <v>0</v>
      </c>
      <c r="I217">
        <v>1</v>
      </c>
      <c r="J217">
        <v>1</v>
      </c>
    </row>
    <row r="218" spans="1:10" x14ac:dyDescent="0.15">
      <c r="A218">
        <v>204</v>
      </c>
      <c r="B218" t="s">
        <v>338</v>
      </c>
      <c r="C218">
        <v>3</v>
      </c>
      <c r="D218">
        <v>0</v>
      </c>
      <c r="E218">
        <f>IFERROR(VLOOKUP(A218*1000+D211,学习等级编码,2),0)</f>
        <v>0</v>
      </c>
      <c r="F218">
        <f>IFERROR(INT(VLOOKUP($E218,技能升级,9,FALSE)*$C218*I218*J218),0)</f>
        <v>0</v>
      </c>
      <c r="G218">
        <f>IFERROR(INT(VLOOKUP($E218,技能升级,10,FALSE)*$C218*I218*J218),0)</f>
        <v>0</v>
      </c>
      <c r="H218">
        <f>IFERROR(VLOOKUP(E218,技能升级,11,FALSE)*C218,0)</f>
        <v>0</v>
      </c>
      <c r="I218">
        <v>1</v>
      </c>
      <c r="J218">
        <v>1</v>
      </c>
    </row>
    <row r="219" spans="1:10" x14ac:dyDescent="0.15">
      <c r="B219" t="s">
        <v>342</v>
      </c>
      <c r="C219">
        <v>6</v>
      </c>
      <c r="D219">
        <v>0</v>
      </c>
      <c r="E219">
        <f>IFERROR(VLOOKUP(A219*1000+D211,学习等级编码,2),0)</f>
        <v>0</v>
      </c>
      <c r="F219">
        <f>IFERROR(INT(VLOOKUP($E219,技能升级,9,FALSE)*$C219*I219*J219),0)</f>
        <v>0</v>
      </c>
      <c r="G219">
        <f>IFERROR(INT(VLOOKUP($E219,技能升级,10,FALSE)*$C219*I219*J219),0)</f>
        <v>0</v>
      </c>
      <c r="H219">
        <f>IFERROR(VLOOKUP(E219,技能升级,11,FALSE)*C219*I219*J219,0)</f>
        <v>0</v>
      </c>
      <c r="I219">
        <v>1</v>
      </c>
      <c r="J219">
        <v>1</v>
      </c>
    </row>
    <row r="220" spans="1:10" x14ac:dyDescent="0.15">
      <c r="E220" t="s">
        <v>194</v>
      </c>
      <c r="F220">
        <f>SUM(F214:F216)/1000</f>
        <v>23.46</v>
      </c>
      <c r="G220">
        <f>SUM(G214:G216)/1000</f>
        <v>30.54</v>
      </c>
      <c r="H220">
        <f>SUM(H214:H216)</f>
        <v>20998</v>
      </c>
      <c r="I220" t="s">
        <v>196</v>
      </c>
      <c r="J220" t="s">
        <v>197</v>
      </c>
    </row>
    <row r="221" spans="1:10" x14ac:dyDescent="0.15">
      <c r="E221" t="s">
        <v>195</v>
      </c>
      <c r="F221">
        <f>INT((IF($A212&gt;10000,VLOOKUP($A212,实战属性,13,FALSE),VLOOKUP($A212,总基本属性,7,FALSE))-
IF($B212&gt;10000,VLOOKUP($B212,实战属性,15,FALSE),VLOOKUP($B212,总基本属性,9,FALSE))*$L$13)*F220)</f>
        <v>59330</v>
      </c>
      <c r="G221">
        <f>INT((IF($A212&gt;10000,VLOOKUP($A212,实战属性,14,FALSE),VLOOKUP($A212,总基本属性,8,FALSE))-
IF($B212&gt;10000,VLOOKUP($B212,实战属性,16,FALSE),VLOOKUP($B212,总基本属性,10,FALSE))*$L$13)*G220)</f>
        <v>43305</v>
      </c>
      <c r="H221">
        <f>H220+F221+G221</f>
        <v>123633</v>
      </c>
      <c r="I221">
        <f>IF($B212&gt;10000,VLOOKUP($B212,实战属性,12,FALSE),VLOOKUP($B212,总基本属性,6,FALSE))</f>
        <v>122796</v>
      </c>
      <c r="J221">
        <f>ROUND(I221/H221,2)</f>
        <v>0.99</v>
      </c>
    </row>
    <row r="224" spans="1:10" x14ac:dyDescent="0.15">
      <c r="A224" s="9" t="s">
        <v>337</v>
      </c>
      <c r="B224" s="9" t="s">
        <v>2</v>
      </c>
      <c r="C224" s="9" t="s">
        <v>178</v>
      </c>
      <c r="D224" s="9" t="s">
        <v>144</v>
      </c>
    </row>
    <row r="225" spans="1:10" x14ac:dyDescent="0.15">
      <c r="A225">
        <f>A199+10</f>
        <v>3080</v>
      </c>
      <c r="B225">
        <f>B199+1</f>
        <v>11108</v>
      </c>
      <c r="C225">
        <v>32</v>
      </c>
      <c r="D225">
        <f>MOD(A225,1000)</f>
        <v>80</v>
      </c>
    </row>
    <row r="226" spans="1:10" x14ac:dyDescent="0.15">
      <c r="A226" t="s">
        <v>156</v>
      </c>
      <c r="B226" t="s">
        <v>95</v>
      </c>
      <c r="C226" t="s">
        <v>142</v>
      </c>
      <c r="D226" t="s">
        <v>143</v>
      </c>
      <c r="E226" t="s">
        <v>182</v>
      </c>
      <c r="F226" t="s">
        <v>192</v>
      </c>
      <c r="G226" t="s">
        <v>193</v>
      </c>
      <c r="H226" t="s">
        <v>176</v>
      </c>
      <c r="I226" t="s">
        <v>205</v>
      </c>
      <c r="J226" t="s">
        <v>206</v>
      </c>
    </row>
    <row r="227" spans="1:10" x14ac:dyDescent="0.15">
      <c r="A227">
        <v>32</v>
      </c>
      <c r="B227" t="s">
        <v>26</v>
      </c>
      <c r="C227">
        <f>INT(C225/(VLOOKUP(A227,技能参数,5,FALSE)+2*VLOOKUP(A227,技能参数,4,FALSE))+3)</f>
        <v>4</v>
      </c>
      <c r="D227">
        <f>VLOOKUP(A227,技能参数,4,FALSE)</f>
        <v>1</v>
      </c>
      <c r="E227">
        <f>IFERROR(VLOOKUP(A227*1000+D225,学习等级编码,2),0)</f>
        <v>3208</v>
      </c>
      <c r="F227">
        <f>IFERROR(INT(VLOOKUP($E227,技能升级,9,FALSE)*$C227*I227*J227),0)</f>
        <v>0</v>
      </c>
      <c r="G227">
        <f>IFERROR(INT(VLOOKUP($E227,技能升级,10,FALSE)*$C227*I227*J227),0)</f>
        <v>6120</v>
      </c>
      <c r="H227">
        <f>INT(VLOOKUP($E227,技能升级,11,FALSE)*$C227*I227*J227)</f>
        <v>1732</v>
      </c>
      <c r="I227">
        <v>1</v>
      </c>
      <c r="J227">
        <v>1</v>
      </c>
    </row>
    <row r="228" spans="1:10" x14ac:dyDescent="0.15">
      <c r="A228">
        <v>34</v>
      </c>
      <c r="B228" t="s">
        <v>34</v>
      </c>
      <c r="C228">
        <f>INT(C225/(VLOOKUP(A228,技能参数,5,FALSE)+2*VLOOKUP(A228,技能参数,4,FALSE))+1)</f>
        <v>2</v>
      </c>
      <c r="D228">
        <f>VLOOKUP(A228,技能参数,4,FALSE)</f>
        <v>1.5</v>
      </c>
      <c r="E228">
        <f>IFERROR(VLOOKUP(A228*1000+D225,学习等级编码,2),0)</f>
        <v>3408</v>
      </c>
      <c r="F228">
        <f>IFERROR(INT(VLOOKUP($E228,技能升级,9,FALSE)*$C228*I228*J228),0)</f>
        <v>4160</v>
      </c>
      <c r="G228">
        <f>IFERROR(INT(VLOOKUP($E228,技能升级,10,FALSE)*$C228*I228*J228),0)</f>
        <v>0</v>
      </c>
      <c r="H228">
        <f>INT(VLOOKUP($E228,技能升级,11,FALSE)*$C228*I228*J228)</f>
        <v>980</v>
      </c>
      <c r="I228">
        <v>1</v>
      </c>
      <c r="J228">
        <v>1</v>
      </c>
    </row>
    <row r="229" spans="1:10" x14ac:dyDescent="0.15">
      <c r="A229">
        <v>35</v>
      </c>
      <c r="B229" t="s">
        <v>141</v>
      </c>
      <c r="C229">
        <v>3</v>
      </c>
      <c r="D229">
        <f>VLOOKUP(A229,技能参数,4,FALSE)</f>
        <v>2</v>
      </c>
      <c r="E229">
        <f>IFERROR(VLOOKUP(A229*1000+D225,学习等级编码,2),0)</f>
        <v>3505</v>
      </c>
      <c r="F229">
        <f>IFERROR(INT(VLOOKUP($E229,技能升级,9,FALSE)*$C229*I229*J229),0)</f>
        <v>8010</v>
      </c>
      <c r="G229">
        <f>IFERROR(INT(VLOOKUP($E229,技能升级,10,FALSE)*$C229*I229*J229),0)</f>
        <v>0</v>
      </c>
      <c r="H229">
        <f>INT(VLOOKUP($E229,技能升级,11,FALSE)*$C229*I229*J229)</f>
        <v>1263</v>
      </c>
      <c r="I229">
        <v>1</v>
      </c>
      <c r="J229">
        <v>1</v>
      </c>
    </row>
    <row r="230" spans="1:10" x14ac:dyDescent="0.15">
      <c r="A230">
        <v>31</v>
      </c>
      <c r="B230" t="s">
        <v>91</v>
      </c>
      <c r="C230">
        <f>INT((C225-C227*D227-C228*D228-C229*D229-C232-C233)/D230)</f>
        <v>23</v>
      </c>
      <c r="D230">
        <f>VLOOKUP(A230,技能参数,4,FALSE)</f>
        <v>0.8</v>
      </c>
      <c r="E230">
        <f>IFERROR(VLOOKUP(A230*1000+D225,学习等级编码,2),0)</f>
        <v>3112</v>
      </c>
      <c r="F230">
        <f>IFERROR(INT(VLOOKUP($E230,技能升级,9,FALSE)*$C230*I230*J230),0)</f>
        <v>26523</v>
      </c>
      <c r="G230">
        <f>IFERROR(INT(VLOOKUP($E230,技能升级,10,FALSE)*$C230*I230*J230),0)</f>
        <v>0</v>
      </c>
      <c r="H230">
        <f>INT(VLOOKUP($E230,技能升级,11,FALSE)*$C230*I230*J230)</f>
        <v>10416</v>
      </c>
      <c r="I230">
        <v>1</v>
      </c>
      <c r="J230">
        <f>VLOOKUP(A225,$A$2:$I$21,9,FALSE)</f>
        <v>0.93</v>
      </c>
    </row>
    <row r="231" spans="1:10" x14ac:dyDescent="0.15">
      <c r="A231">
        <v>203</v>
      </c>
      <c r="B231" t="s">
        <v>340</v>
      </c>
      <c r="C231">
        <f>INT((C225)/3)</f>
        <v>10</v>
      </c>
      <c r="D231">
        <v>0</v>
      </c>
      <c r="E231">
        <f>IFERROR(VLOOKUP(A231*1000+D225,学习等级编码,2),0)</f>
        <v>20308</v>
      </c>
      <c r="F231">
        <f>IFERROR(INT(VLOOKUP($E231,技能升级,9,FALSE)*$C231*I231*J231),0)</f>
        <v>0</v>
      </c>
      <c r="G231">
        <f>IFERROR(INT(VLOOKUP($E231,技能升级,10,FALSE)*$C231*I231*J231),0)</f>
        <v>0</v>
      </c>
      <c r="H231">
        <f>INT((VLOOKUP(E231,技能升级,13,FALSE)*(VLOOKUP(C231,中毒数据,4)+MOD(C225,3)*VLOOKUP(C231+1,中毒数据,3))+VLOOKUP(E231,技能升级,14,FALSE)/1000*C231*IF($B225&gt;10000,VLOOKUP($B225,实战属性,12,FALSE),VLOOKUP($B225,总基本属性,6,FALSE)))*I231*J231)</f>
        <v>85949</v>
      </c>
      <c r="I231">
        <v>1</v>
      </c>
      <c r="J231">
        <v>1</v>
      </c>
    </row>
    <row r="232" spans="1:10" x14ac:dyDescent="0.15">
      <c r="E232" t="s">
        <v>194</v>
      </c>
      <c r="F232">
        <f>SUM(F227:F231)/1000</f>
        <v>38.692999999999998</v>
      </c>
      <c r="G232">
        <f>SUM(G227:G231)/1000</f>
        <v>6.12</v>
      </c>
      <c r="H232">
        <f>SUM(H227:H231)</f>
        <v>100340</v>
      </c>
      <c r="I232" t="s">
        <v>196</v>
      </c>
      <c r="J232" t="s">
        <v>197</v>
      </c>
    </row>
    <row r="233" spans="1:10" x14ac:dyDescent="0.15">
      <c r="E233" t="s">
        <v>195</v>
      </c>
      <c r="F233">
        <f>INT((IF($A225&gt;10000,VLOOKUP($A225,实战属性,13,FALSE),VLOOKUP($A225,总基本属性,7,FALSE))-
IF($B225&gt;10000,VLOOKUP($B225,实战属性,15,FALSE),VLOOKUP($B225,总基本属性,9,FALSE))*$L$13)*F232)</f>
        <v>85395</v>
      </c>
      <c r="G233">
        <f>INT((IF($A225&gt;10000,VLOOKUP($A225,实战属性,14,FALSE),VLOOKUP($A225,总基本属性,8,FALSE))-
IF($B225&gt;10000,VLOOKUP($B225,实战属性,16,FALSE),VLOOKUP($B225,总基本属性,10,FALSE))*$L$13)*G232)</f>
        <v>14241</v>
      </c>
      <c r="H233">
        <f>H232+F233+G233</f>
        <v>199976</v>
      </c>
      <c r="I233">
        <f>IF($B225&gt;10000,VLOOKUP($B225,实战属性,12,FALSE),VLOOKUP($B225,总基本属性,6,FALSE))</f>
        <v>194386</v>
      </c>
      <c r="J233">
        <f>ROUND(I233/H233,2)</f>
        <v>0.97</v>
      </c>
    </row>
    <row r="237" spans="1:10" x14ac:dyDescent="0.15">
      <c r="A237" s="8" t="s">
        <v>2</v>
      </c>
      <c r="B237" s="8" t="s">
        <v>337</v>
      </c>
      <c r="C237" s="8" t="s">
        <v>178</v>
      </c>
      <c r="D237" s="8" t="s">
        <v>0</v>
      </c>
    </row>
    <row r="238" spans="1:10" x14ac:dyDescent="0.15">
      <c r="A238">
        <f>A212+1</f>
        <v>11109</v>
      </c>
      <c r="B238">
        <f>B212+10</f>
        <v>3090</v>
      </c>
      <c r="C238">
        <v>32</v>
      </c>
      <c r="D238">
        <f>MOD(B238,1000)</f>
        <v>90</v>
      </c>
    </row>
    <row r="239" spans="1:10" x14ac:dyDescent="0.15">
      <c r="A239" t="s">
        <v>156</v>
      </c>
      <c r="B239" t="s">
        <v>95</v>
      </c>
      <c r="C239" t="s">
        <v>177</v>
      </c>
      <c r="D239" t="s">
        <v>143</v>
      </c>
      <c r="E239" t="s">
        <v>182</v>
      </c>
      <c r="F239" t="s">
        <v>192</v>
      </c>
      <c r="G239" t="s">
        <v>193</v>
      </c>
      <c r="H239" t="s">
        <v>176</v>
      </c>
      <c r="I239" t="s">
        <v>205</v>
      </c>
      <c r="J239" t="s">
        <v>206</v>
      </c>
    </row>
    <row r="240" spans="1:10" x14ac:dyDescent="0.15">
      <c r="A240">
        <v>12</v>
      </c>
      <c r="B240" t="s">
        <v>9</v>
      </c>
      <c r="C240">
        <f>C238-C245</f>
        <v>26</v>
      </c>
      <c r="D240">
        <f>VLOOKUP(A240,技能参数,4,FALSE)</f>
        <v>0.6</v>
      </c>
      <c r="E240">
        <f>VLOOKUP(A240*1000+D238,学习等级编码,2)</f>
        <v>1209</v>
      </c>
      <c r="F240">
        <f>INT(VLOOKUP($E240,技能升级,9,FALSE)*$C240*I240*J240)</f>
        <v>0</v>
      </c>
      <c r="G240">
        <f>INT(VLOOKUP($E240,技能升级,10,FALSE)*$C240*I240*J240)</f>
        <v>31203</v>
      </c>
      <c r="H240">
        <f>VLOOKUP(E240,技能升级,11,FALSE)*C240</f>
        <v>14352</v>
      </c>
      <c r="I240">
        <v>1</v>
      </c>
      <c r="J240">
        <f>VLOOKUP(A238,$A$2:$I$21,8,FALSE)</f>
        <v>0.94500000000000006</v>
      </c>
    </row>
    <row r="241" spans="1:10" x14ac:dyDescent="0.15">
      <c r="A241">
        <v>15</v>
      </c>
      <c r="B241" t="s">
        <v>12</v>
      </c>
      <c r="C241">
        <v>1</v>
      </c>
      <c r="D241">
        <f>VLOOKUP(A241,技能参数,4,FALSE)</f>
        <v>1.5</v>
      </c>
      <c r="E241">
        <f>VLOOKUP(A241*1000+D238,学习等级编码,2)</f>
        <v>1506</v>
      </c>
      <c r="F241">
        <f>INT(VLOOKUP($E241,技能升级,9,FALSE)*$C241*I241*J241)</f>
        <v>0</v>
      </c>
      <c r="G241">
        <f>INT(VLOOKUP($E241,技能升级,10,FALSE)*$C241*I241*J241)</f>
        <v>0</v>
      </c>
      <c r="H241">
        <f>VLOOKUP(E241,技能升级,11,FALSE)*C241</f>
        <v>0</v>
      </c>
      <c r="I241">
        <v>1</v>
      </c>
      <c r="J241">
        <v>1</v>
      </c>
    </row>
    <row r="242" spans="1:10" x14ac:dyDescent="0.15">
      <c r="A242">
        <v>11</v>
      </c>
      <c r="B242" t="s">
        <v>94</v>
      </c>
      <c r="C242">
        <f>INT((C238-D240-D241-C244-C245)/D242)</f>
        <v>20</v>
      </c>
      <c r="D242">
        <f>VLOOKUP(A242,技能参数,4,FALSE)</f>
        <v>1</v>
      </c>
      <c r="E242">
        <f>VLOOKUP(A242*1000+D238,学习等级编码,2)</f>
        <v>1114</v>
      </c>
      <c r="F242">
        <f>INT(VLOOKUP($E242,技能升级,9,FALSE)*$C242*I242*J242)</f>
        <v>23910</v>
      </c>
      <c r="G242">
        <f>INT(VLOOKUP($E242,技能升级,10,FALSE)*$C242*I242*J242)</f>
        <v>0</v>
      </c>
      <c r="H242">
        <f>VLOOKUP(E242,技能升级,11,FALSE)*C242</f>
        <v>13340</v>
      </c>
      <c r="I242">
        <v>1</v>
      </c>
      <c r="J242">
        <f>VLOOKUP(A238,$A$2:$I$21,7,FALSE)</f>
        <v>0.93399999999999994</v>
      </c>
    </row>
    <row r="243" spans="1:10" x14ac:dyDescent="0.15">
      <c r="A243">
        <v>14</v>
      </c>
      <c r="B243" t="s">
        <v>11</v>
      </c>
      <c r="C243">
        <v>1</v>
      </c>
      <c r="D243">
        <v>0</v>
      </c>
      <c r="E243">
        <f>VLOOKUP(A243*1000+D238,学习等级编码,2)</f>
        <v>1409</v>
      </c>
      <c r="F243">
        <f>INT(VLOOKUP($E243,技能升级,9,FALSE)*$C243*I243*J243)</f>
        <v>0</v>
      </c>
      <c r="G243">
        <f>INT(VLOOKUP($E243,技能升级,10,FALSE)*$C243*I243*J243)</f>
        <v>0</v>
      </c>
      <c r="H243">
        <f>VLOOKUP(E243,技能升级,11,FALSE)*C243</f>
        <v>0</v>
      </c>
      <c r="I243">
        <v>1</v>
      </c>
      <c r="J243">
        <v>1</v>
      </c>
    </row>
    <row r="244" spans="1:10" x14ac:dyDescent="0.15">
      <c r="A244">
        <v>204</v>
      </c>
      <c r="B244" t="s">
        <v>338</v>
      </c>
      <c r="C244">
        <v>3</v>
      </c>
      <c r="D244">
        <v>0</v>
      </c>
      <c r="E244">
        <f>IFERROR(VLOOKUP(A244*1000+D237,学习等级编码,2),0)</f>
        <v>0</v>
      </c>
      <c r="F244">
        <f>IFERROR(INT(VLOOKUP($E244,技能升级,9,FALSE)*$C244*I244*J244),0)</f>
        <v>0</v>
      </c>
      <c r="G244">
        <f>IFERROR(INT(VLOOKUP($E244,技能升级,10,FALSE)*$C244*I244*J244),0)</f>
        <v>0</v>
      </c>
      <c r="H244">
        <f>IFERROR(VLOOKUP(E244,技能升级,11,FALSE)*C244,0)</f>
        <v>0</v>
      </c>
      <c r="I244">
        <v>1</v>
      </c>
      <c r="J244">
        <v>1</v>
      </c>
    </row>
    <row r="245" spans="1:10" x14ac:dyDescent="0.15">
      <c r="B245" t="s">
        <v>342</v>
      </c>
      <c r="C245">
        <v>6</v>
      </c>
      <c r="D245">
        <v>0</v>
      </c>
      <c r="E245">
        <f>IFERROR(VLOOKUP(A245*1000+D237,学习等级编码,2),0)</f>
        <v>0</v>
      </c>
      <c r="F245">
        <f>IFERROR(INT(VLOOKUP($E245,技能升级,9,FALSE)*$C245*I245*J245),0)</f>
        <v>0</v>
      </c>
      <c r="G245">
        <f>IFERROR(INT(VLOOKUP($E245,技能升级,10,FALSE)*$C245*I245*J245),0)</f>
        <v>0</v>
      </c>
      <c r="H245">
        <f>IFERROR(VLOOKUP(E245,技能升级,11,FALSE)*C245*I245*J245,0)</f>
        <v>0</v>
      </c>
      <c r="I245">
        <v>1</v>
      </c>
      <c r="J245">
        <v>1</v>
      </c>
    </row>
    <row r="246" spans="1:10" x14ac:dyDescent="0.15">
      <c r="E246" t="s">
        <v>194</v>
      </c>
      <c r="F246">
        <f>SUM(F240:F242)/1000</f>
        <v>23.91</v>
      </c>
      <c r="G246">
        <f>SUM(G240:G242)/1000</f>
        <v>31.202999999999999</v>
      </c>
      <c r="H246">
        <f>SUM(H240:H242)</f>
        <v>27692</v>
      </c>
      <c r="I246" t="s">
        <v>196</v>
      </c>
      <c r="J246" t="s">
        <v>197</v>
      </c>
    </row>
    <row r="247" spans="1:10" x14ac:dyDescent="0.15">
      <c r="E247" t="s">
        <v>195</v>
      </c>
      <c r="F247">
        <f>INT((IF($A238&gt;10000,VLOOKUP($A238,实战属性,13,FALSE),VLOOKUP($A238,总基本属性,7,FALSE))-
IF($B238&gt;10000,VLOOKUP($B238,实战属性,15,FALSE),VLOOKUP($B238,总基本属性,9,FALSE))*$L$13)*F246)</f>
        <v>76093</v>
      </c>
      <c r="G247">
        <f>INT((IF($A238&gt;10000,VLOOKUP($A238,实战属性,14,FALSE),VLOOKUP($A238,总基本属性,8,FALSE))-
IF($B238&gt;10000,VLOOKUP($B238,实战属性,16,FALSE),VLOOKUP($B238,总基本属性,10,FALSE))*$L$13)*G246)</f>
        <v>50814</v>
      </c>
      <c r="H247">
        <f>H246+F247+G247</f>
        <v>154599</v>
      </c>
      <c r="I247">
        <f>IF($B238&gt;10000,VLOOKUP($B238,实战属性,12,FALSE),VLOOKUP($B238,总基本属性,6,FALSE))</f>
        <v>154332</v>
      </c>
      <c r="J247">
        <f>ROUND(I247/H247,2)</f>
        <v>1</v>
      </c>
    </row>
    <row r="250" spans="1:10" x14ac:dyDescent="0.15">
      <c r="A250" s="9" t="s">
        <v>337</v>
      </c>
      <c r="B250" s="9" t="s">
        <v>2</v>
      </c>
      <c r="C250" s="9" t="s">
        <v>178</v>
      </c>
      <c r="D250" s="9" t="s">
        <v>144</v>
      </c>
    </row>
    <row r="251" spans="1:10" x14ac:dyDescent="0.15">
      <c r="A251">
        <f>A225+10</f>
        <v>3090</v>
      </c>
      <c r="B251">
        <f>B225+1</f>
        <v>11109</v>
      </c>
      <c r="C251">
        <v>32</v>
      </c>
      <c r="D251">
        <f>MOD(A251,1000)</f>
        <v>90</v>
      </c>
    </row>
    <row r="252" spans="1:10" x14ac:dyDescent="0.15">
      <c r="A252" t="s">
        <v>156</v>
      </c>
      <c r="B252" t="s">
        <v>95</v>
      </c>
      <c r="C252" t="s">
        <v>142</v>
      </c>
      <c r="D252" t="s">
        <v>143</v>
      </c>
      <c r="E252" t="s">
        <v>182</v>
      </c>
      <c r="F252" t="s">
        <v>192</v>
      </c>
      <c r="G252" t="s">
        <v>193</v>
      </c>
      <c r="H252" t="s">
        <v>176</v>
      </c>
      <c r="I252" t="s">
        <v>205</v>
      </c>
      <c r="J252" t="s">
        <v>206</v>
      </c>
    </row>
    <row r="253" spans="1:10" x14ac:dyDescent="0.15">
      <c r="A253">
        <v>32</v>
      </c>
      <c r="B253" t="s">
        <v>26</v>
      </c>
      <c r="C253">
        <f>INT(C251/(VLOOKUP(A253,技能参数,5,FALSE)+2*VLOOKUP(A253,技能参数,4,FALSE))+3)</f>
        <v>4</v>
      </c>
      <c r="D253">
        <f>VLOOKUP(A253,技能参数,4,FALSE)</f>
        <v>1</v>
      </c>
      <c r="E253">
        <f>IFERROR(VLOOKUP(A253*1000+D251,学习等级编码,2),0)</f>
        <v>3209</v>
      </c>
      <c r="F253">
        <f>IFERROR(INT(VLOOKUP($E253,技能升级,9,FALSE)*$C253*I253*J253),0)</f>
        <v>0</v>
      </c>
      <c r="G253">
        <f>IFERROR(INT(VLOOKUP($E253,技能升级,10,FALSE)*$C253*I253*J253),0)</f>
        <v>6280</v>
      </c>
      <c r="H253">
        <f>INT(VLOOKUP($E253,技能升级,11,FALSE)*$C253*I253*J253)</f>
        <v>2208</v>
      </c>
      <c r="I253">
        <v>1</v>
      </c>
      <c r="J253">
        <v>1</v>
      </c>
    </row>
    <row r="254" spans="1:10" x14ac:dyDescent="0.15">
      <c r="A254">
        <v>34</v>
      </c>
      <c r="B254" t="s">
        <v>34</v>
      </c>
      <c r="C254">
        <f>INT(C251/(VLOOKUP(A254,技能参数,5,FALSE)+2*VLOOKUP(A254,技能参数,4,FALSE))+1)</f>
        <v>2</v>
      </c>
      <c r="D254">
        <f>VLOOKUP(A254,技能参数,4,FALSE)</f>
        <v>1.5</v>
      </c>
      <c r="E254">
        <f>IFERROR(VLOOKUP(A254*1000+D251,学习等级编码,2),0)</f>
        <v>3409</v>
      </c>
      <c r="F254">
        <f>IFERROR(INT(VLOOKUP($E254,技能升级,9,FALSE)*$C254*I254*J254),0)</f>
        <v>4340</v>
      </c>
      <c r="G254">
        <f>IFERROR(INT(VLOOKUP($E254,技能升级,10,FALSE)*$C254*I254*J254),0)</f>
        <v>0</v>
      </c>
      <c r="H254">
        <f>INT(VLOOKUP($E254,技能升级,11,FALSE)*$C254*I254*J254)</f>
        <v>1230</v>
      </c>
      <c r="I254">
        <v>1</v>
      </c>
      <c r="J254">
        <v>1</v>
      </c>
    </row>
    <row r="255" spans="1:10" x14ac:dyDescent="0.15">
      <c r="A255">
        <v>35</v>
      </c>
      <c r="B255" t="s">
        <v>141</v>
      </c>
      <c r="C255">
        <v>3</v>
      </c>
      <c r="D255">
        <f>VLOOKUP(A255,技能参数,4,FALSE)</f>
        <v>2</v>
      </c>
      <c r="E255">
        <f>IFERROR(VLOOKUP(A255*1000+D251,学习等级编码,2),0)</f>
        <v>3506</v>
      </c>
      <c r="F255">
        <f>IFERROR(INT(VLOOKUP($E255,技能升级,9,FALSE)*$C255*I255*J255),0)</f>
        <v>8490</v>
      </c>
      <c r="G255">
        <f>IFERROR(INT(VLOOKUP($E255,技能升级,10,FALSE)*$C255*I255*J255),0)</f>
        <v>0</v>
      </c>
      <c r="H255">
        <f>INT(VLOOKUP($E255,技能升级,11,FALSE)*$C255*I255*J255)</f>
        <v>1836</v>
      </c>
      <c r="I255">
        <v>1</v>
      </c>
      <c r="J255">
        <v>1</v>
      </c>
    </row>
    <row r="256" spans="1:10" x14ac:dyDescent="0.15">
      <c r="A256">
        <v>31</v>
      </c>
      <c r="B256" t="s">
        <v>91</v>
      </c>
      <c r="C256">
        <f>INT((C251-C253*D253-C254*D254-C255*D255-C258-C259)/D256)</f>
        <v>23</v>
      </c>
      <c r="D256">
        <f>VLOOKUP(A256,技能参数,4,FALSE)</f>
        <v>0.8</v>
      </c>
      <c r="E256">
        <f>IFERROR(VLOOKUP(A256*1000+D251,学习等级编码,2),0)</f>
        <v>3114</v>
      </c>
      <c r="F256">
        <f>IFERROR(INT(VLOOKUP($E256,技能升级,9,FALSE)*$C256*I256*J256),0)</f>
        <v>27379</v>
      </c>
      <c r="G256">
        <f>IFERROR(INT(VLOOKUP($E256,技能升级,10,FALSE)*$C256*I256*J256),0)</f>
        <v>0</v>
      </c>
      <c r="H256">
        <f>INT(VLOOKUP($E256,技能升级,11,FALSE)*$C256*I256*J256)</f>
        <v>14267</v>
      </c>
      <c r="I256">
        <v>1</v>
      </c>
      <c r="J256">
        <f>VLOOKUP(A251,$A$2:$I$21,9,FALSE)</f>
        <v>0.93</v>
      </c>
    </row>
    <row r="257" spans="1:10" x14ac:dyDescent="0.15">
      <c r="A257">
        <v>203</v>
      </c>
      <c r="B257" t="s">
        <v>340</v>
      </c>
      <c r="C257">
        <f>INT((C251)/3)</f>
        <v>10</v>
      </c>
      <c r="D257">
        <v>0</v>
      </c>
      <c r="E257">
        <f>IFERROR(VLOOKUP(A257*1000+D251,学习等级编码,2),0)</f>
        <v>20309</v>
      </c>
      <c r="F257">
        <f>IFERROR(INT(VLOOKUP($E257,技能升级,9,FALSE)*$C257*I257*J257),0)</f>
        <v>0</v>
      </c>
      <c r="G257">
        <f>IFERROR(INT(VLOOKUP($E257,技能升级,10,FALSE)*$C257*I257*J257),0)</f>
        <v>0</v>
      </c>
      <c r="H257">
        <f>INT((VLOOKUP(E257,技能升级,13,FALSE)*(VLOOKUP(C257,中毒数据,4)+MOD(C251,3)*VLOOKUP(C257+1,中毒数据,3))+VLOOKUP(E257,技能升级,14,FALSE)/1000*C257*IF($B251&gt;10000,VLOOKUP($B251,实战属性,12,FALSE),VLOOKUP($B251,总基本属性,6,FALSE)))*I257*J257)</f>
        <v>115252</v>
      </c>
      <c r="I257">
        <v>1</v>
      </c>
      <c r="J257">
        <v>1</v>
      </c>
    </row>
    <row r="258" spans="1:10" x14ac:dyDescent="0.15">
      <c r="E258" t="s">
        <v>194</v>
      </c>
      <c r="F258">
        <f>SUM(F253:F257)/1000</f>
        <v>40.209000000000003</v>
      </c>
      <c r="G258">
        <f>SUM(G253:G257)/1000</f>
        <v>6.28</v>
      </c>
      <c r="H258">
        <f>SUM(H253:H257)</f>
        <v>134793</v>
      </c>
      <c r="I258" t="s">
        <v>196</v>
      </c>
      <c r="J258" t="s">
        <v>197</v>
      </c>
    </row>
    <row r="259" spans="1:10" x14ac:dyDescent="0.15">
      <c r="E259" t="s">
        <v>195</v>
      </c>
      <c r="F259">
        <f>INT((IF($A251&gt;10000,VLOOKUP($A251,实战属性,13,FALSE),VLOOKUP($A251,总基本属性,7,FALSE))-
IF($B251&gt;10000,VLOOKUP($B251,实战属性,15,FALSE),VLOOKUP($B251,总基本属性,9,FALSE))*$L$13)*F258)</f>
        <v>111117</v>
      </c>
      <c r="G259">
        <f>INT((IF($A251&gt;10000,VLOOKUP($A251,实战属性,14,FALSE),VLOOKUP($A251,总基本属性,8,FALSE))-
IF($B251&gt;10000,VLOOKUP($B251,实战属性,16,FALSE),VLOOKUP($B251,总基本属性,10,FALSE))*$L$13)*G258)</f>
        <v>18306</v>
      </c>
      <c r="H259">
        <f>H258+F259+G259</f>
        <v>264216</v>
      </c>
      <c r="I259">
        <f>IF($B251&gt;10000,VLOOKUP($B251,实战属性,12,FALSE),VLOOKUP($B251,总基本属性,6,FALSE))</f>
        <v>256315</v>
      </c>
      <c r="J259">
        <f>ROUND(I259/H259,2)</f>
        <v>0.97</v>
      </c>
    </row>
    <row r="263" spans="1:10" x14ac:dyDescent="0.15">
      <c r="A263" s="8" t="s">
        <v>2</v>
      </c>
      <c r="B263" s="8" t="s">
        <v>337</v>
      </c>
      <c r="C263" s="8" t="s">
        <v>178</v>
      </c>
      <c r="D263" s="8" t="s">
        <v>0</v>
      </c>
    </row>
    <row r="264" spans="1:10" x14ac:dyDescent="0.15">
      <c r="A264">
        <f>A238+1</f>
        <v>11110</v>
      </c>
      <c r="B264">
        <f>B238+10</f>
        <v>3100</v>
      </c>
      <c r="C264">
        <v>32</v>
      </c>
      <c r="D264">
        <f>MOD(B264,1000)</f>
        <v>100</v>
      </c>
    </row>
    <row r="265" spans="1:10" x14ac:dyDescent="0.15">
      <c r="A265" t="s">
        <v>156</v>
      </c>
      <c r="B265" t="s">
        <v>95</v>
      </c>
      <c r="C265" t="s">
        <v>177</v>
      </c>
      <c r="D265" t="s">
        <v>143</v>
      </c>
      <c r="E265" t="s">
        <v>182</v>
      </c>
      <c r="F265" t="s">
        <v>192</v>
      </c>
      <c r="G265" t="s">
        <v>193</v>
      </c>
      <c r="H265" t="s">
        <v>176</v>
      </c>
      <c r="I265" t="s">
        <v>205</v>
      </c>
      <c r="J265" t="s">
        <v>206</v>
      </c>
    </row>
    <row r="266" spans="1:10" x14ac:dyDescent="0.15">
      <c r="A266">
        <v>12</v>
      </c>
      <c r="B266" t="s">
        <v>9</v>
      </c>
      <c r="C266">
        <f>C264-C271</f>
        <v>26</v>
      </c>
      <c r="D266">
        <f>VLOOKUP(A266,技能参数,4,FALSE)</f>
        <v>0.6</v>
      </c>
      <c r="E266">
        <f>VLOOKUP(A266*1000+D264,学习等级编码,2)</f>
        <v>1210</v>
      </c>
      <c r="F266">
        <f>INT(VLOOKUP($E266,技能升级,9,FALSE)*$C266*I266*J266)</f>
        <v>0</v>
      </c>
      <c r="G266">
        <f>INT(VLOOKUP($E266,技能升级,10,FALSE)*$C266*I266*J266)</f>
        <v>31772</v>
      </c>
      <c r="H266">
        <f>VLOOKUP(E266,技能升级,11,FALSE)*C266</f>
        <v>17836</v>
      </c>
      <c r="I266">
        <v>1</v>
      </c>
      <c r="J266">
        <f>VLOOKUP(A264,$A$2:$I$21,8,FALSE)</f>
        <v>0.94</v>
      </c>
    </row>
    <row r="267" spans="1:10" x14ac:dyDescent="0.15">
      <c r="A267">
        <v>15</v>
      </c>
      <c r="B267" t="s">
        <v>12</v>
      </c>
      <c r="C267">
        <v>1</v>
      </c>
      <c r="D267">
        <f>VLOOKUP(A267,技能参数,4,FALSE)</f>
        <v>1.5</v>
      </c>
      <c r="E267">
        <f>VLOOKUP(A267*1000+D264,学习等级编码,2)</f>
        <v>1507</v>
      </c>
      <c r="F267">
        <f>INT(VLOOKUP($E267,技能升级,9,FALSE)*$C267*I267*J267)</f>
        <v>0</v>
      </c>
      <c r="G267">
        <f>INT(VLOOKUP($E267,技能升级,10,FALSE)*$C267*I267*J267)</f>
        <v>0</v>
      </c>
      <c r="H267">
        <f>VLOOKUP(E267,技能升级,11,FALSE)*C267</f>
        <v>0</v>
      </c>
      <c r="I267">
        <v>1</v>
      </c>
      <c r="J267">
        <v>1</v>
      </c>
    </row>
    <row r="268" spans="1:10" x14ac:dyDescent="0.15">
      <c r="A268">
        <v>11</v>
      </c>
      <c r="B268" t="s">
        <v>94</v>
      </c>
      <c r="C268">
        <f>INT((C264-D266-D267-C270-C271)/D268)</f>
        <v>20</v>
      </c>
      <c r="D268">
        <f>VLOOKUP(A268,技能参数,4,FALSE)</f>
        <v>1</v>
      </c>
      <c r="E268">
        <f>VLOOKUP(A268*1000+D264,学习等级编码,2)</f>
        <v>1115</v>
      </c>
      <c r="F268">
        <f>INT(VLOOKUP($E268,技能升级,9,FALSE)*$C268*I268*J268)</f>
        <v>23790</v>
      </c>
      <c r="G268">
        <f>INT(VLOOKUP($E268,技能升级,10,FALSE)*$C268*I268*J268)</f>
        <v>0</v>
      </c>
      <c r="H268">
        <f>VLOOKUP(E268,技能升级,11,FALSE)*C268</f>
        <v>15380</v>
      </c>
      <c r="I268">
        <v>1</v>
      </c>
      <c r="J268">
        <f>VLOOKUP(A264,$A$2:$I$21,7,FALSE)</f>
        <v>0.91499999999999992</v>
      </c>
    </row>
    <row r="269" spans="1:10" x14ac:dyDescent="0.15">
      <c r="A269">
        <v>14</v>
      </c>
      <c r="B269" t="s">
        <v>11</v>
      </c>
      <c r="C269">
        <v>1</v>
      </c>
      <c r="D269">
        <v>0</v>
      </c>
      <c r="E269">
        <f>VLOOKUP(A269*1000+D264,学习等级编码,2)</f>
        <v>1410</v>
      </c>
      <c r="F269">
        <f>INT(VLOOKUP($E269,技能升级,9,FALSE)*$C269*I269*J269)</f>
        <v>0</v>
      </c>
      <c r="G269">
        <f>INT(VLOOKUP($E269,技能升级,10,FALSE)*$C269*I269*J269)</f>
        <v>0</v>
      </c>
      <c r="H269">
        <f>VLOOKUP(E269,技能升级,11,FALSE)*C269</f>
        <v>0</v>
      </c>
      <c r="I269">
        <v>1</v>
      </c>
      <c r="J269">
        <v>1</v>
      </c>
    </row>
    <row r="270" spans="1:10" x14ac:dyDescent="0.15">
      <c r="A270">
        <v>204</v>
      </c>
      <c r="B270" t="s">
        <v>338</v>
      </c>
      <c r="C270">
        <v>3</v>
      </c>
      <c r="D270">
        <v>0</v>
      </c>
      <c r="E270">
        <f>IFERROR(VLOOKUP(A270*1000+D263,学习等级编码,2),0)</f>
        <v>0</v>
      </c>
      <c r="F270">
        <f>IFERROR(INT(VLOOKUP($E270,技能升级,9,FALSE)*$C270*I270*J270),0)</f>
        <v>0</v>
      </c>
      <c r="G270">
        <f>IFERROR(INT(VLOOKUP($E270,技能升级,10,FALSE)*$C270*I270*J270),0)</f>
        <v>0</v>
      </c>
      <c r="H270">
        <f>IFERROR(VLOOKUP(E270,技能升级,11,FALSE)*C270,0)</f>
        <v>0</v>
      </c>
      <c r="I270">
        <v>1</v>
      </c>
      <c r="J270">
        <v>1</v>
      </c>
    </row>
    <row r="271" spans="1:10" x14ac:dyDescent="0.15">
      <c r="B271" t="s">
        <v>342</v>
      </c>
      <c r="C271">
        <v>6</v>
      </c>
      <c r="D271">
        <v>0</v>
      </c>
      <c r="E271">
        <f>IFERROR(VLOOKUP(A271*1000+D263,学习等级编码,2),0)</f>
        <v>0</v>
      </c>
      <c r="F271">
        <f>IFERROR(INT(VLOOKUP($E271,技能升级,9,FALSE)*$C271*I271*J271),0)</f>
        <v>0</v>
      </c>
      <c r="G271">
        <f>IFERROR(INT(VLOOKUP($E271,技能升级,10,FALSE)*$C271*I271*J271),0)</f>
        <v>0</v>
      </c>
      <c r="H271">
        <f>IFERROR(VLOOKUP(E271,技能升级,11,FALSE)*C271*I271*J271,0)</f>
        <v>0</v>
      </c>
      <c r="I271">
        <v>1</v>
      </c>
      <c r="J271">
        <v>1</v>
      </c>
    </row>
    <row r="272" spans="1:10" x14ac:dyDescent="0.15">
      <c r="E272" t="s">
        <v>194</v>
      </c>
      <c r="F272">
        <f>SUM(F266:F268)/1000</f>
        <v>23.79</v>
      </c>
      <c r="G272">
        <f>SUM(G266:G268)/1000</f>
        <v>31.771999999999998</v>
      </c>
      <c r="H272">
        <f>SUM(H266:H268)</f>
        <v>33216</v>
      </c>
      <c r="I272" t="s">
        <v>196</v>
      </c>
      <c r="J272" t="s">
        <v>197</v>
      </c>
    </row>
    <row r="273" spans="1:10" x14ac:dyDescent="0.15">
      <c r="E273" t="s">
        <v>195</v>
      </c>
      <c r="F273">
        <f>INT((IF($A264&gt;10000,VLOOKUP($A264,实战属性,13,FALSE),VLOOKUP($A264,总基本属性,7,FALSE))-
IF($B264&gt;10000,VLOOKUP($B264,实战属性,15,FALSE),VLOOKUP($B264,总基本属性,9,FALSE))*$L$13)*F272)</f>
        <v>93102</v>
      </c>
      <c r="G273">
        <f>INT((IF($A264&gt;10000,VLOOKUP($A264,实战属性,14,FALSE),VLOOKUP($A264,总基本属性,8,FALSE))-
IF($B264&gt;10000,VLOOKUP($B264,实战属性,16,FALSE),VLOOKUP($B264,总基本属性,10,FALSE))*$L$13)*G272)</f>
        <v>63623</v>
      </c>
      <c r="H273">
        <f>H272+F273+G273</f>
        <v>189941</v>
      </c>
      <c r="I273">
        <f>IF($B264&gt;10000,VLOOKUP($B264,实战属性,12,FALSE),VLOOKUP($B264,总基本属性,6,FALSE))</f>
        <v>189432</v>
      </c>
      <c r="J273">
        <f>ROUND(I273/H273,2)</f>
        <v>1</v>
      </c>
    </row>
    <row r="276" spans="1:10" x14ac:dyDescent="0.15">
      <c r="A276" s="9" t="s">
        <v>337</v>
      </c>
      <c r="B276" s="9" t="s">
        <v>2</v>
      </c>
      <c r="C276" s="9" t="s">
        <v>178</v>
      </c>
      <c r="D276" s="9" t="s">
        <v>144</v>
      </c>
    </row>
    <row r="277" spans="1:10" x14ac:dyDescent="0.15">
      <c r="A277">
        <f>A251+10</f>
        <v>3100</v>
      </c>
      <c r="B277">
        <f>B251+1</f>
        <v>11110</v>
      </c>
      <c r="C277">
        <v>32</v>
      </c>
      <c r="D277">
        <f>MOD(A277,1000)</f>
        <v>100</v>
      </c>
    </row>
    <row r="278" spans="1:10" x14ac:dyDescent="0.15">
      <c r="A278" t="s">
        <v>156</v>
      </c>
      <c r="B278" t="s">
        <v>95</v>
      </c>
      <c r="C278" t="s">
        <v>142</v>
      </c>
      <c r="D278" t="s">
        <v>143</v>
      </c>
      <c r="E278" t="s">
        <v>182</v>
      </c>
      <c r="F278" t="s">
        <v>192</v>
      </c>
      <c r="G278" t="s">
        <v>193</v>
      </c>
      <c r="H278" t="s">
        <v>176</v>
      </c>
      <c r="I278" t="s">
        <v>205</v>
      </c>
      <c r="J278" t="s">
        <v>206</v>
      </c>
    </row>
    <row r="279" spans="1:10" x14ac:dyDescent="0.15">
      <c r="A279">
        <v>32</v>
      </c>
      <c r="B279" t="s">
        <v>26</v>
      </c>
      <c r="C279">
        <f>INT(C277/(VLOOKUP(A279,技能参数,5,FALSE)+2*VLOOKUP(A279,技能参数,4,FALSE))+3)</f>
        <v>4</v>
      </c>
      <c r="D279">
        <f>VLOOKUP(A279,技能参数,4,FALSE)</f>
        <v>1</v>
      </c>
      <c r="E279">
        <f>IFERROR(VLOOKUP(A279*1000+D277,学习等级编码,2),0)</f>
        <v>3210</v>
      </c>
      <c r="F279">
        <f>IFERROR(INT(VLOOKUP($E279,技能升级,9,FALSE)*$C279*I279*J279),0)</f>
        <v>0</v>
      </c>
      <c r="G279">
        <f>IFERROR(INT(VLOOKUP($E279,技能升级,10,FALSE)*$C279*I279*J279),0)</f>
        <v>6480</v>
      </c>
      <c r="H279">
        <f>INT(VLOOKUP($E279,技能升级,11,FALSE)*$C279*I279*J279)</f>
        <v>2744</v>
      </c>
      <c r="I279">
        <v>1</v>
      </c>
      <c r="J279">
        <v>1</v>
      </c>
    </row>
    <row r="280" spans="1:10" x14ac:dyDescent="0.15">
      <c r="A280">
        <v>34</v>
      </c>
      <c r="B280" t="s">
        <v>34</v>
      </c>
      <c r="C280">
        <f>INT(C277/(VLOOKUP(A280,技能参数,5,FALSE)+2*VLOOKUP(A280,技能参数,4,FALSE))+1)</f>
        <v>2</v>
      </c>
      <c r="D280">
        <f>VLOOKUP(A280,技能参数,4,FALSE)</f>
        <v>1.5</v>
      </c>
      <c r="E280">
        <f>IFERROR(VLOOKUP(A280*1000+D277,学习等级编码,2),0)</f>
        <v>3410</v>
      </c>
      <c r="F280">
        <f>IFERROR(INT(VLOOKUP($E280,技能升级,9,FALSE)*$C280*I280*J280),0)</f>
        <v>4500</v>
      </c>
      <c r="G280">
        <f>IFERROR(INT(VLOOKUP($E280,技能升级,10,FALSE)*$C280*I280*J280),0)</f>
        <v>0</v>
      </c>
      <c r="H280">
        <f>INT(VLOOKUP($E280,技能升级,11,FALSE)*$C280*I280*J280)</f>
        <v>1510</v>
      </c>
      <c r="I280">
        <v>1</v>
      </c>
      <c r="J280">
        <v>1</v>
      </c>
    </row>
    <row r="281" spans="1:10" x14ac:dyDescent="0.15">
      <c r="A281">
        <v>35</v>
      </c>
      <c r="B281" t="s">
        <v>141</v>
      </c>
      <c r="C281">
        <v>3</v>
      </c>
      <c r="D281">
        <f>VLOOKUP(A281,技能参数,4,FALSE)</f>
        <v>2</v>
      </c>
      <c r="E281">
        <f>IFERROR(VLOOKUP(A281*1000+D277,学习等级编码,2),0)</f>
        <v>3507</v>
      </c>
      <c r="F281">
        <f>IFERROR(INT(VLOOKUP($E281,技能升级,9,FALSE)*$C281*I281*J281),0)</f>
        <v>9000</v>
      </c>
      <c r="G281">
        <f>IFERROR(INT(VLOOKUP($E281,技能升级,10,FALSE)*$C281*I281*J281),0)</f>
        <v>0</v>
      </c>
      <c r="H281">
        <f>INT(VLOOKUP($E281,技能升级,11,FALSE)*$C281*I281*J281)</f>
        <v>2517</v>
      </c>
      <c r="I281">
        <v>1</v>
      </c>
      <c r="J281">
        <v>1</v>
      </c>
    </row>
    <row r="282" spans="1:10" x14ac:dyDescent="0.15">
      <c r="A282">
        <v>31</v>
      </c>
      <c r="B282" t="s">
        <v>91</v>
      </c>
      <c r="C282">
        <f>INT((C277-C279*D279-C280*D280-C281*D281-C284-C285)/D282)</f>
        <v>23</v>
      </c>
      <c r="D282">
        <f>VLOOKUP(A282,技能参数,4,FALSE)</f>
        <v>0.8</v>
      </c>
      <c r="E282">
        <f>IFERROR(VLOOKUP(A282*1000+D277,学习等级编码,2),0)</f>
        <v>3115</v>
      </c>
      <c r="F282">
        <f>IFERROR(INT(VLOOKUP($E282,技能升级,9,FALSE)*$C282*I282*J282),0)</f>
        <v>27807</v>
      </c>
      <c r="G282">
        <f>IFERROR(INT(VLOOKUP($E282,技能升级,10,FALSE)*$C282*I282*J282),0)</f>
        <v>0</v>
      </c>
      <c r="H282">
        <f>INT(VLOOKUP($E282,技能升级,11,FALSE)*$C282*I282*J282)</f>
        <v>16448</v>
      </c>
      <c r="I282">
        <v>1</v>
      </c>
      <c r="J282">
        <f>VLOOKUP(A277,$A$2:$I$21,9,FALSE)</f>
        <v>0.93</v>
      </c>
    </row>
    <row r="283" spans="1:10" x14ac:dyDescent="0.15">
      <c r="A283">
        <v>203</v>
      </c>
      <c r="B283" t="s">
        <v>340</v>
      </c>
      <c r="C283">
        <f>INT((C277)/3)</f>
        <v>10</v>
      </c>
      <c r="D283">
        <v>0</v>
      </c>
      <c r="E283">
        <f>IFERROR(VLOOKUP(A283*1000+D277,学习等级编码,2),0)</f>
        <v>20310</v>
      </c>
      <c r="F283">
        <f>IFERROR(INT(VLOOKUP($E283,技能升级,9,FALSE)*$C283*I283*J283),0)</f>
        <v>0</v>
      </c>
      <c r="G283">
        <f>IFERROR(INT(VLOOKUP($E283,技能升级,10,FALSE)*$C283*I283*J283),0)</f>
        <v>0</v>
      </c>
      <c r="H283">
        <f>INT((VLOOKUP(E283,技能升级,13,FALSE)*(VLOOKUP(C283,中毒数据,4)+MOD(C277,3)*VLOOKUP(C283+1,中毒数据,3))+VLOOKUP(E283,技能升级,14,FALSE)/1000*C283*IF($B277&gt;10000,VLOOKUP($B277,实战属性,12,FALSE),VLOOKUP($B277,总基本属性,6,FALSE)))*I283*J283)</f>
        <v>153424</v>
      </c>
      <c r="I283">
        <v>1</v>
      </c>
      <c r="J283">
        <v>1</v>
      </c>
    </row>
    <row r="284" spans="1:10" x14ac:dyDescent="0.15">
      <c r="E284" t="s">
        <v>194</v>
      </c>
      <c r="F284">
        <f>SUM(F279:F283)/1000</f>
        <v>41.307000000000002</v>
      </c>
      <c r="G284">
        <f>SUM(G279:G283)/1000</f>
        <v>6.48</v>
      </c>
      <c r="H284">
        <f>SUM(H279:H283)</f>
        <v>176643</v>
      </c>
      <c r="I284" t="s">
        <v>196</v>
      </c>
      <c r="J284" t="s">
        <v>197</v>
      </c>
    </row>
    <row r="285" spans="1:10" x14ac:dyDescent="0.15">
      <c r="E285" t="s">
        <v>195</v>
      </c>
      <c r="F285">
        <f>INT((IF($A277&gt;10000,VLOOKUP($A277,实战属性,13,FALSE),VLOOKUP($A277,总基本属性,7,FALSE))-
IF($B277&gt;10000,VLOOKUP($B277,实战属性,15,FALSE),VLOOKUP($B277,总基本属性,9,FALSE))*$L$13)*F284)</f>
        <v>139741</v>
      </c>
      <c r="G285">
        <f>INT((IF($A277&gt;10000,VLOOKUP($A277,实战属性,14,FALSE),VLOOKUP($A277,总基本属性,8,FALSE))-
IF($B277&gt;10000,VLOOKUP($B277,实战属性,16,FALSE),VLOOKUP($B277,总基本属性,10,FALSE))*$L$13)*G284)</f>
        <v>23130</v>
      </c>
      <c r="H285">
        <f>H284+F285+G285</f>
        <v>339514</v>
      </c>
      <c r="I285">
        <f>IF($B277&gt;10000,VLOOKUP($B277,实战属性,12,FALSE),VLOOKUP($B277,总基本属性,6,FALSE))</f>
        <v>333153</v>
      </c>
      <c r="J285">
        <f>ROUND(I285/H285,2)</f>
        <v>0.98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5"/>
  <sheetViews>
    <sheetView topLeftCell="A25" workbookViewId="0">
      <selection activeCell="L56" sqref="L56"/>
    </sheetView>
  </sheetViews>
  <sheetFormatPr defaultRowHeight="13.5" x14ac:dyDescent="0.15"/>
  <cols>
    <col min="16" max="16" width="14.125" bestFit="1" customWidth="1"/>
    <col min="17" max="17" width="12.125" bestFit="1" customWidth="1"/>
    <col min="18" max="18" width="8.25" bestFit="1" customWidth="1"/>
    <col min="19" max="19" width="10" bestFit="1" customWidth="1"/>
    <col min="20" max="20" width="12.25" bestFit="1" customWidth="1"/>
    <col min="22" max="22" width="10" bestFit="1" customWidth="1"/>
    <col min="23" max="23" width="9.125" bestFit="1" customWidth="1"/>
  </cols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400</v>
      </c>
      <c r="H1" t="s">
        <v>401</v>
      </c>
      <c r="I1" t="s">
        <v>398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3010</v>
      </c>
      <c r="B2">
        <v>5010</v>
      </c>
      <c r="C2">
        <f t="shared" ref="C2:C2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2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2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2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H2">
        <v>1</v>
      </c>
      <c r="I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>A2+10</f>
        <v>3020</v>
      </c>
      <c r="B3">
        <f>B2+10</f>
        <v>5020</v>
      </c>
      <c r="C3">
        <f t="shared" si="0"/>
        <v>0</v>
      </c>
      <c r="D3">
        <f t="shared" si="1"/>
        <v>0</v>
      </c>
      <c r="E3">
        <f t="shared" si="2"/>
        <v>0.01</v>
      </c>
      <c r="F3">
        <f t="shared" si="3"/>
        <v>0.01</v>
      </c>
      <c r="G3">
        <v>1</v>
      </c>
      <c r="H3">
        <v>1</v>
      </c>
      <c r="I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 t="shared" ref="A4:A11" si="4">A3+10</f>
        <v>3030</v>
      </c>
      <c r="B4">
        <f t="shared" ref="B4:B11" si="5">B3+10</f>
        <v>5030</v>
      </c>
      <c r="C4">
        <f t="shared" si="0"/>
        <v>0</v>
      </c>
      <c r="D4">
        <f t="shared" si="1"/>
        <v>0</v>
      </c>
      <c r="E4">
        <f t="shared" si="2"/>
        <v>0.01</v>
      </c>
      <c r="F4">
        <f t="shared" si="3"/>
        <v>0.02</v>
      </c>
      <c r="G4">
        <v>1</v>
      </c>
      <c r="H4">
        <v>1</v>
      </c>
      <c r="I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si="4"/>
        <v>3040</v>
      </c>
      <c r="B5">
        <f t="shared" si="5"/>
        <v>5040</v>
      </c>
      <c r="C5">
        <f t="shared" si="0"/>
        <v>0</v>
      </c>
      <c r="D5">
        <f t="shared" si="1"/>
        <v>0</v>
      </c>
      <c r="E5">
        <f t="shared" si="2"/>
        <v>0.02</v>
      </c>
      <c r="F5">
        <f t="shared" si="3"/>
        <v>0.03</v>
      </c>
      <c r="G5">
        <v>1</v>
      </c>
      <c r="H5">
        <v>1</v>
      </c>
      <c r="I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4"/>
        <v>3050</v>
      </c>
      <c r="B6">
        <f t="shared" si="5"/>
        <v>5050</v>
      </c>
      <c r="C6">
        <f t="shared" si="0"/>
        <v>0</v>
      </c>
      <c r="D6">
        <f t="shared" si="1"/>
        <v>0</v>
      </c>
      <c r="E6">
        <f t="shared" si="2"/>
        <v>0.04</v>
      </c>
      <c r="F6">
        <f t="shared" si="3"/>
        <v>0.14000000000000001</v>
      </c>
      <c r="G6">
        <v>1</v>
      </c>
      <c r="H6">
        <f>F6*0.5+1-F6</f>
        <v>0.93</v>
      </c>
      <c r="I6">
        <v>1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4"/>
        <v>3060</v>
      </c>
      <c r="B7">
        <f t="shared" si="5"/>
        <v>5060</v>
      </c>
      <c r="C7">
        <f t="shared" si="0"/>
        <v>0</v>
      </c>
      <c r="D7">
        <f t="shared" si="1"/>
        <v>0</v>
      </c>
      <c r="E7">
        <f t="shared" si="2"/>
        <v>0.05</v>
      </c>
      <c r="F7">
        <f t="shared" si="3"/>
        <v>0.18</v>
      </c>
      <c r="G7">
        <f>E7*0.3+1-E7</f>
        <v>0.96499999999999986</v>
      </c>
      <c r="H7">
        <f>F7*0.5+1-F7</f>
        <v>0.91000000000000014</v>
      </c>
      <c r="I7">
        <v>1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4"/>
        <v>3070</v>
      </c>
      <c r="B8">
        <f t="shared" si="5"/>
        <v>5070</v>
      </c>
      <c r="C8">
        <f t="shared" si="0"/>
        <v>0</v>
      </c>
      <c r="D8">
        <f t="shared" si="1"/>
        <v>0</v>
      </c>
      <c r="E8">
        <f t="shared" si="2"/>
        <v>7.0000000000000007E-2</v>
      </c>
      <c r="F8">
        <f t="shared" si="3"/>
        <v>0.24</v>
      </c>
      <c r="G8">
        <f t="shared" ref="G8:G11" si="6">E8*0.3+1-E8</f>
        <v>0.95099999999999985</v>
      </c>
      <c r="H8">
        <f t="shared" ref="H8:H11" si="7">F8*0.5+1-F8</f>
        <v>0.88000000000000012</v>
      </c>
      <c r="I8">
        <v>1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4"/>
        <v>3080</v>
      </c>
      <c r="B9">
        <f t="shared" si="5"/>
        <v>5080</v>
      </c>
      <c r="C9">
        <f t="shared" si="0"/>
        <v>0</v>
      </c>
      <c r="D9">
        <f t="shared" si="1"/>
        <v>0</v>
      </c>
      <c r="E9">
        <f t="shared" si="2"/>
        <v>0.09</v>
      </c>
      <c r="F9">
        <f t="shared" si="3"/>
        <v>0.31</v>
      </c>
      <c r="G9">
        <f t="shared" si="6"/>
        <v>0.93699999999999994</v>
      </c>
      <c r="H9">
        <f t="shared" si="7"/>
        <v>0.84499999999999997</v>
      </c>
      <c r="I9">
        <v>1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4"/>
        <v>3090</v>
      </c>
      <c r="B10">
        <f t="shared" si="5"/>
        <v>5090</v>
      </c>
      <c r="C10">
        <f t="shared" si="0"/>
        <v>0</v>
      </c>
      <c r="D10">
        <f t="shared" si="1"/>
        <v>0</v>
      </c>
      <c r="E10">
        <f t="shared" si="2"/>
        <v>0.11</v>
      </c>
      <c r="F10">
        <f t="shared" si="3"/>
        <v>0.39</v>
      </c>
      <c r="G10">
        <f t="shared" si="6"/>
        <v>0.92299999999999993</v>
      </c>
      <c r="H10">
        <f t="shared" si="7"/>
        <v>0.80500000000000005</v>
      </c>
      <c r="I10">
        <v>1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4"/>
        <v>3100</v>
      </c>
      <c r="B11">
        <f t="shared" si="5"/>
        <v>5100</v>
      </c>
      <c r="C11">
        <f t="shared" si="0"/>
        <v>0</v>
      </c>
      <c r="D11">
        <f t="shared" si="1"/>
        <v>0</v>
      </c>
      <c r="E11">
        <f t="shared" si="2"/>
        <v>0.14000000000000001</v>
      </c>
      <c r="F11">
        <f t="shared" si="3"/>
        <v>0.46</v>
      </c>
      <c r="G11">
        <f t="shared" si="6"/>
        <v>0.90200000000000002</v>
      </c>
      <c r="H11">
        <f t="shared" si="7"/>
        <v>0.77</v>
      </c>
      <c r="I11">
        <v>1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A12">
        <v>5010</v>
      </c>
      <c r="B12">
        <v>3010</v>
      </c>
      <c r="C12">
        <f t="shared" si="0"/>
        <v>0</v>
      </c>
      <c r="D12">
        <f t="shared" si="1"/>
        <v>0.2</v>
      </c>
      <c r="E12">
        <f t="shared" si="2"/>
        <v>0</v>
      </c>
      <c r="F12">
        <f t="shared" si="3"/>
        <v>0</v>
      </c>
      <c r="G12">
        <v>1</v>
      </c>
      <c r="H12">
        <v>1</v>
      </c>
      <c r="I12">
        <f>D12*2+E12*0.3+1-D12-E12</f>
        <v>1.2</v>
      </c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A13">
        <f>A12+10</f>
        <v>5020</v>
      </c>
      <c r="B13">
        <f>B12+10</f>
        <v>3020</v>
      </c>
      <c r="C13">
        <f t="shared" si="0"/>
        <v>0</v>
      </c>
      <c r="D13">
        <f t="shared" si="1"/>
        <v>0.22</v>
      </c>
      <c r="E13">
        <f t="shared" si="2"/>
        <v>0.01</v>
      </c>
      <c r="F13">
        <f t="shared" si="3"/>
        <v>0.01</v>
      </c>
      <c r="G13">
        <v>1</v>
      </c>
      <c r="H13">
        <v>1</v>
      </c>
      <c r="I13">
        <f t="shared" ref="I13:I21" si="8">D13*2+E13*0.3+1-D13-E13</f>
        <v>1.2130000000000001</v>
      </c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4" spans="1:24" x14ac:dyDescent="0.15">
      <c r="A14">
        <f t="shared" ref="A14:B21" si="9">A13+10</f>
        <v>5030</v>
      </c>
      <c r="B14">
        <f>B13+10</f>
        <v>3030</v>
      </c>
      <c r="C14">
        <f t="shared" si="0"/>
        <v>0</v>
      </c>
      <c r="D14">
        <f t="shared" si="1"/>
        <v>0.25</v>
      </c>
      <c r="E14">
        <f t="shared" si="2"/>
        <v>0.01</v>
      </c>
      <c r="F14">
        <f t="shared" si="3"/>
        <v>0.01</v>
      </c>
      <c r="G14">
        <v>1</v>
      </c>
      <c r="H14">
        <v>1</v>
      </c>
      <c r="I14">
        <f t="shared" si="8"/>
        <v>1.2430000000000001</v>
      </c>
    </row>
    <row r="15" spans="1:24" x14ac:dyDescent="0.15">
      <c r="A15">
        <f t="shared" si="9"/>
        <v>5040</v>
      </c>
      <c r="B15">
        <f t="shared" si="9"/>
        <v>3040</v>
      </c>
      <c r="C15">
        <f t="shared" si="0"/>
        <v>0</v>
      </c>
      <c r="D15">
        <f t="shared" si="1"/>
        <v>0.28999999999999998</v>
      </c>
      <c r="E15">
        <f t="shared" si="2"/>
        <v>0.02</v>
      </c>
      <c r="F15">
        <f t="shared" si="3"/>
        <v>0.02</v>
      </c>
      <c r="G15">
        <v>1</v>
      </c>
      <c r="H15">
        <v>1</v>
      </c>
      <c r="I15">
        <f t="shared" si="8"/>
        <v>1.2759999999999998</v>
      </c>
    </row>
    <row r="16" spans="1:24" x14ac:dyDescent="0.15">
      <c r="A16">
        <f t="shared" si="9"/>
        <v>5050</v>
      </c>
      <c r="B16">
        <f t="shared" si="9"/>
        <v>3050</v>
      </c>
      <c r="C16">
        <f t="shared" si="0"/>
        <v>0</v>
      </c>
      <c r="D16">
        <f t="shared" si="1"/>
        <v>0.32</v>
      </c>
      <c r="E16">
        <f t="shared" si="2"/>
        <v>0.12</v>
      </c>
      <c r="F16">
        <f t="shared" si="3"/>
        <v>0.13</v>
      </c>
      <c r="G16">
        <v>1</v>
      </c>
      <c r="H16">
        <v>1</v>
      </c>
      <c r="I16">
        <f t="shared" si="8"/>
        <v>1.2360000000000002</v>
      </c>
    </row>
    <row r="17" spans="1:10" x14ac:dyDescent="0.15">
      <c r="A17">
        <f t="shared" si="9"/>
        <v>5060</v>
      </c>
      <c r="B17">
        <f t="shared" si="9"/>
        <v>3060</v>
      </c>
      <c r="C17">
        <f t="shared" si="0"/>
        <v>0</v>
      </c>
      <c r="D17">
        <f t="shared" si="1"/>
        <v>0.36</v>
      </c>
      <c r="E17">
        <f t="shared" si="2"/>
        <v>0.16</v>
      </c>
      <c r="F17">
        <f t="shared" si="3"/>
        <v>0.17</v>
      </c>
      <c r="G17">
        <v>1</v>
      </c>
      <c r="H17">
        <v>1</v>
      </c>
      <c r="I17">
        <f t="shared" si="8"/>
        <v>1.248</v>
      </c>
    </row>
    <row r="18" spans="1:10" x14ac:dyDescent="0.15">
      <c r="A18">
        <f t="shared" si="9"/>
        <v>5070</v>
      </c>
      <c r="B18">
        <f t="shared" si="9"/>
        <v>3070</v>
      </c>
      <c r="C18">
        <f t="shared" si="0"/>
        <v>0</v>
      </c>
      <c r="D18">
        <f t="shared" si="1"/>
        <v>0.4</v>
      </c>
      <c r="E18">
        <f t="shared" si="2"/>
        <v>0.21</v>
      </c>
      <c r="F18">
        <f t="shared" si="3"/>
        <v>0.23</v>
      </c>
      <c r="G18">
        <v>1</v>
      </c>
      <c r="H18">
        <v>1</v>
      </c>
      <c r="I18">
        <f t="shared" si="8"/>
        <v>1.2530000000000001</v>
      </c>
    </row>
    <row r="19" spans="1:10" x14ac:dyDescent="0.15">
      <c r="A19">
        <f t="shared" si="9"/>
        <v>5080</v>
      </c>
      <c r="B19">
        <f t="shared" si="9"/>
        <v>3080</v>
      </c>
      <c r="C19">
        <f t="shared" si="0"/>
        <v>0</v>
      </c>
      <c r="D19">
        <f t="shared" si="1"/>
        <v>0.43</v>
      </c>
      <c r="E19">
        <f t="shared" si="2"/>
        <v>0.28000000000000003</v>
      </c>
      <c r="F19">
        <f t="shared" si="3"/>
        <v>0.28999999999999998</v>
      </c>
      <c r="G19">
        <v>1</v>
      </c>
      <c r="H19">
        <v>1</v>
      </c>
      <c r="I19">
        <f t="shared" si="8"/>
        <v>1.234</v>
      </c>
    </row>
    <row r="20" spans="1:10" x14ac:dyDescent="0.15">
      <c r="A20">
        <f t="shared" si="9"/>
        <v>5090</v>
      </c>
      <c r="B20">
        <f t="shared" si="9"/>
        <v>3090</v>
      </c>
      <c r="C20">
        <f t="shared" si="0"/>
        <v>0</v>
      </c>
      <c r="D20">
        <f t="shared" si="1"/>
        <v>0.47</v>
      </c>
      <c r="E20">
        <f t="shared" si="2"/>
        <v>0.35</v>
      </c>
      <c r="F20">
        <f t="shared" si="3"/>
        <v>0.37</v>
      </c>
      <c r="G20">
        <v>1</v>
      </c>
      <c r="H20">
        <v>1</v>
      </c>
      <c r="I20">
        <f t="shared" si="8"/>
        <v>1.2250000000000001</v>
      </c>
    </row>
    <row r="21" spans="1:10" x14ac:dyDescent="0.15">
      <c r="A21">
        <f t="shared" si="9"/>
        <v>5100</v>
      </c>
      <c r="B21">
        <f t="shared" si="9"/>
        <v>3100</v>
      </c>
      <c r="C21">
        <f t="shared" si="0"/>
        <v>0</v>
      </c>
      <c r="D21">
        <f t="shared" si="1"/>
        <v>0.51</v>
      </c>
      <c r="E21">
        <f t="shared" si="2"/>
        <v>0.41</v>
      </c>
      <c r="F21">
        <f t="shared" si="3"/>
        <v>0.44</v>
      </c>
      <c r="G21">
        <v>1</v>
      </c>
      <c r="H21">
        <v>1</v>
      </c>
      <c r="I21">
        <f t="shared" si="8"/>
        <v>1.2229999999999999</v>
      </c>
    </row>
    <row r="29" spans="1:10" x14ac:dyDescent="0.15">
      <c r="A29" s="8" t="s">
        <v>4</v>
      </c>
      <c r="B29" s="8" t="s">
        <v>6</v>
      </c>
      <c r="C29" s="8" t="s">
        <v>178</v>
      </c>
      <c r="D29" s="8" t="s">
        <v>0</v>
      </c>
    </row>
    <row r="30" spans="1:10" x14ac:dyDescent="0.15">
      <c r="A30">
        <v>3010</v>
      </c>
      <c r="B30">
        <v>5010</v>
      </c>
      <c r="C30">
        <v>16</v>
      </c>
      <c r="D30">
        <f>MOD(A30,1000)</f>
        <v>10</v>
      </c>
    </row>
    <row r="31" spans="1:10" x14ac:dyDescent="0.15">
      <c r="A31" t="s">
        <v>156</v>
      </c>
      <c r="B31" t="s">
        <v>95</v>
      </c>
      <c r="C31" t="s">
        <v>142</v>
      </c>
      <c r="D31" t="s">
        <v>143</v>
      </c>
      <c r="E31" t="s">
        <v>182</v>
      </c>
      <c r="F31" t="s">
        <v>192</v>
      </c>
      <c r="G31" t="s">
        <v>193</v>
      </c>
      <c r="H31" t="s">
        <v>176</v>
      </c>
      <c r="I31" t="s">
        <v>205</v>
      </c>
      <c r="J31" t="s">
        <v>206</v>
      </c>
    </row>
    <row r="32" spans="1:10" x14ac:dyDescent="0.15">
      <c r="A32">
        <v>32</v>
      </c>
      <c r="B32" t="s">
        <v>26</v>
      </c>
      <c r="C32">
        <f>INT(C30/(VLOOKUP(A32,技能参数,5,FALSE)+2*VLOOKUP(A32,技能参数,4,FALSE))+3)</f>
        <v>3</v>
      </c>
      <c r="D32">
        <f>VLOOKUP(A32,技能参数,4,FALSE)</f>
        <v>1</v>
      </c>
      <c r="E32">
        <f>IFERROR(VLOOKUP(A32*1000+D30,学习等级编码,2),0)</f>
        <v>3201</v>
      </c>
      <c r="F32">
        <f>IFERROR(INT(VLOOKUP($E32,技能升级,9,FALSE)*$C32*I32*J32),0)</f>
        <v>0</v>
      </c>
      <c r="G32">
        <f>IFERROR(INT(VLOOKUP($E32,技能升级,10,FALSE)*$C32*I32*J32),0)</f>
        <v>3600</v>
      </c>
      <c r="H32">
        <f>INT(VLOOKUP($E32,技能升级,11,FALSE)*$C32*I32*J32)</f>
        <v>60</v>
      </c>
      <c r="I32">
        <v>1</v>
      </c>
      <c r="J32">
        <v>1</v>
      </c>
    </row>
    <row r="33" spans="1:21" x14ac:dyDescent="0.15">
      <c r="A33">
        <v>34</v>
      </c>
      <c r="B33" t="s">
        <v>34</v>
      </c>
      <c r="C33">
        <f>INT(C30/(VLOOKUP(A33,技能参数,5,FALSE)+2*VLOOKUP(A33,技能参数,4,FALSE))+1)</f>
        <v>1</v>
      </c>
      <c r="D33">
        <f>VLOOKUP(A33,技能参数,4,FALSE)</f>
        <v>1.5</v>
      </c>
      <c r="E33">
        <f>IFERROR(VLOOKUP(A33*1000+D30,学习等级编码,2),0)</f>
        <v>3401</v>
      </c>
      <c r="F33">
        <f>IFERROR(INT(VLOOKUP($E33,技能升级,9,FALSE)*$C33*I33*J33),0)</f>
        <v>1500</v>
      </c>
      <c r="G33">
        <f>IFERROR(INT(VLOOKUP($E33,技能升级,10,FALSE)*$C33*I33*J33),0)</f>
        <v>0</v>
      </c>
      <c r="H33">
        <f>INT(VLOOKUP($E33,技能升级,11,FALSE)*$C33*I33*J33)</f>
        <v>35</v>
      </c>
      <c r="I33">
        <v>1</v>
      </c>
      <c r="J33">
        <v>1</v>
      </c>
    </row>
    <row r="34" spans="1:21" x14ac:dyDescent="0.15">
      <c r="A34">
        <v>35</v>
      </c>
      <c r="B34" t="s">
        <v>28</v>
      </c>
      <c r="C34">
        <v>3</v>
      </c>
      <c r="D34">
        <f>VLOOKUP(A34,技能参数,4,FALSE)</f>
        <v>2</v>
      </c>
      <c r="E34">
        <f>IFERROR(VLOOKUP(A34*1000+D30,学习等级编码,2),0)</f>
        <v>3501</v>
      </c>
      <c r="F34">
        <f>IFERROR(INT(VLOOKUP($E34,技能升级,9,FALSE)*$C34*I34*J34),0)</f>
        <v>6000</v>
      </c>
      <c r="G34">
        <f>IFERROR(INT(VLOOKUP($E34,技能升级,10,FALSE)*$C34*I34*J34),0)</f>
        <v>0</v>
      </c>
      <c r="H34">
        <f>INT(VLOOKUP($E34,技能升级,11,FALSE)*$C34*I34*J34)</f>
        <v>138</v>
      </c>
      <c r="I34">
        <v>1</v>
      </c>
      <c r="J34">
        <v>1</v>
      </c>
    </row>
    <row r="35" spans="1:21" x14ac:dyDescent="0.15">
      <c r="A35">
        <v>31</v>
      </c>
      <c r="B35" t="s">
        <v>91</v>
      </c>
      <c r="C35">
        <f>INT((C30-C32*D32-C33*D33-C34*D34-C37)/D35)</f>
        <v>6</v>
      </c>
      <c r="D35">
        <f>VLOOKUP(A35,技能参数,4,FALSE)</f>
        <v>0.8</v>
      </c>
      <c r="E35">
        <f>IFERROR(VLOOKUP(A35*1000+D30,学习等级编码,2),0)</f>
        <v>3102</v>
      </c>
      <c r="F35">
        <f>IFERROR(INT(VLOOKUP($E35,技能升级,9,FALSE)*$C35*I35*J35),0)</f>
        <v>6120</v>
      </c>
      <c r="G35">
        <f>IFERROR(INT(VLOOKUP($E35,技能升级,10,FALSE)*$C35*I35*J35),0)</f>
        <v>0</v>
      </c>
      <c r="H35">
        <f>INT(VLOOKUP($E35,技能升级,11,FALSE)*$C35*I35*J35)</f>
        <v>138</v>
      </c>
      <c r="I35">
        <v>1</v>
      </c>
      <c r="J35">
        <f>VLOOKUP(A30,$A$2:$I$21,7,FALSE)</f>
        <v>1</v>
      </c>
    </row>
    <row r="36" spans="1:21" x14ac:dyDescent="0.15">
      <c r="A36">
        <v>203</v>
      </c>
      <c r="B36" t="s">
        <v>340</v>
      </c>
      <c r="C36">
        <f>INT((C30)/3)</f>
        <v>5</v>
      </c>
      <c r="D36">
        <v>0</v>
      </c>
      <c r="E36">
        <f>IFERROR(VLOOKUP(A36*1000+D30,学习等级编码,2),0)</f>
        <v>20301</v>
      </c>
      <c r="F36">
        <f>IFERROR(INT(VLOOKUP($E36,技能升级,9,FALSE)*$C36*I36*J36),0)</f>
        <v>0</v>
      </c>
      <c r="G36">
        <f>IFERROR(INT(VLOOKUP($E36,技能升级,10,FALSE)*$C36*I36*J36),0)</f>
        <v>0</v>
      </c>
      <c r="H36">
        <f>INT((VLOOKUP(E36,技能升级,13,FALSE)*(VLOOKUP(C36,中毒数据,4)+MOD(C30,3)*VLOOKUP(C36+1,中毒数据,3))+VLOOKUP(E36,技能升级,14,FALSE)/1000*C36*IF($B30&gt;10000,VLOOKUP($B30,实战属性,12,FALSE),VLOOKUP($B30,总基本属性,6,FALSE)))*I36*J36)</f>
        <v>876</v>
      </c>
      <c r="I36">
        <v>1</v>
      </c>
      <c r="J36">
        <f>VLOOKUP(A30,$A$2:$I$21,8,FALSE)</f>
        <v>1</v>
      </c>
    </row>
    <row r="37" spans="1:21" x14ac:dyDescent="0.15">
      <c r="B37" t="s">
        <v>402</v>
      </c>
      <c r="C37">
        <v>0</v>
      </c>
      <c r="K37" t="s">
        <v>419</v>
      </c>
    </row>
    <row r="38" spans="1:21" x14ac:dyDescent="0.15">
      <c r="E38" t="s">
        <v>194</v>
      </c>
      <c r="F38">
        <f>SUM(F32:F36)/1000</f>
        <v>13.62</v>
      </c>
      <c r="G38">
        <f>SUM(G32:G36)/1000</f>
        <v>3.6</v>
      </c>
      <c r="H38">
        <f>SUM(H32:H36)</f>
        <v>1247</v>
      </c>
      <c r="I38" t="s">
        <v>196</v>
      </c>
      <c r="J38" t="s">
        <v>197</v>
      </c>
    </row>
    <row r="39" spans="1:21" x14ac:dyDescent="0.15">
      <c r="E39" t="s">
        <v>195</v>
      </c>
      <c r="F39">
        <f>INT((IF($A30&gt;10000,VLOOKUP($A30,实战属性,13,FALSE),VLOOKUP($A30,总基本属性,7,FALSE))-
IF($B30&gt;10000,VLOOKUP($B30,实战属性,15,FALSE),VLOOKUP($B30,总基本属性,9,FALSE))*$L$13)*F38)</f>
        <v>1123</v>
      </c>
      <c r="G39">
        <f>INT((IF($A30&gt;10000,VLOOKUP($A30,实战属性,14,FALSE),VLOOKUP($A30,总基本属性,8,FALSE))-
IF($B30&gt;10000,VLOOKUP($B30,实战属性,16,FALSE),VLOOKUP($B30,总基本属性,10,FALSE))*$L$13)*G38)</f>
        <v>297</v>
      </c>
      <c r="H39">
        <f>H38+F39+G39</f>
        <v>2667</v>
      </c>
      <c r="I39">
        <f>IF($B30&gt;10000,VLOOKUP($B30,实战属性,12,FALSE),VLOOKUP($B30,总基本属性,6,FALSE))</f>
        <v>2784</v>
      </c>
      <c r="J39">
        <f>ROUND(I39/H39,2)</f>
        <v>1.04</v>
      </c>
    </row>
    <row r="42" spans="1:21" x14ac:dyDescent="0.15">
      <c r="A42" s="9" t="s">
        <v>198</v>
      </c>
      <c r="B42" s="9" t="s">
        <v>350</v>
      </c>
      <c r="C42" s="9" t="s">
        <v>178</v>
      </c>
      <c r="D42" s="9" t="s">
        <v>144</v>
      </c>
      <c r="L42" s="9" t="s">
        <v>6</v>
      </c>
      <c r="M42" s="9" t="s">
        <v>4</v>
      </c>
      <c r="N42" s="9" t="s">
        <v>178</v>
      </c>
      <c r="O42" s="9" t="s">
        <v>0</v>
      </c>
    </row>
    <row r="43" spans="1:21" x14ac:dyDescent="0.15">
      <c r="A43">
        <v>5010</v>
      </c>
      <c r="B43">
        <v>3010</v>
      </c>
      <c r="C43">
        <v>21</v>
      </c>
      <c r="D43">
        <f>MOD(A43,1000)</f>
        <v>10</v>
      </c>
      <c r="L43">
        <f>A43</f>
        <v>5010</v>
      </c>
      <c r="M43">
        <f>B43</f>
        <v>3010</v>
      </c>
      <c r="N43">
        <v>12</v>
      </c>
      <c r="O43">
        <f>MOD(L43,1000)</f>
        <v>10</v>
      </c>
    </row>
    <row r="44" spans="1:21" x14ac:dyDescent="0.15">
      <c r="A44" t="s">
        <v>156</v>
      </c>
      <c r="B44" t="s">
        <v>95</v>
      </c>
      <c r="C44" t="s">
        <v>142</v>
      </c>
      <c r="D44" t="s">
        <v>143</v>
      </c>
      <c r="E44" t="s">
        <v>182</v>
      </c>
      <c r="F44" t="s">
        <v>192</v>
      </c>
      <c r="G44" t="s">
        <v>193</v>
      </c>
      <c r="H44" t="s">
        <v>176</v>
      </c>
      <c r="I44" t="s">
        <v>205</v>
      </c>
      <c r="J44" t="s">
        <v>206</v>
      </c>
      <c r="L44" t="s">
        <v>156</v>
      </c>
      <c r="M44" t="s">
        <v>95</v>
      </c>
      <c r="N44" t="s">
        <v>142</v>
      </c>
      <c r="O44" t="s">
        <v>143</v>
      </c>
      <c r="P44" t="s">
        <v>182</v>
      </c>
      <c r="Q44" t="s">
        <v>192</v>
      </c>
      <c r="R44" t="s">
        <v>193</v>
      </c>
      <c r="S44" t="s">
        <v>176</v>
      </c>
      <c r="T44" t="s">
        <v>205</v>
      </c>
      <c r="U44" t="s">
        <v>206</v>
      </c>
    </row>
    <row r="45" spans="1:21" x14ac:dyDescent="0.15">
      <c r="A45">
        <v>52</v>
      </c>
      <c r="B45" t="s">
        <v>44</v>
      </c>
      <c r="C45">
        <f>INT(C43/(VLOOKUP(A45,技能参数,5,FALSE)+2*VLOOKUP(A45,技能参数,4,FALSE))+1)</f>
        <v>2</v>
      </c>
      <c r="D45">
        <f>VLOOKUP(A45,技能参数,4,FALSE)</f>
        <v>1.5</v>
      </c>
      <c r="E45">
        <f>VLOOKUP(A45*1000+D43,学习等级编码,2)</f>
        <v>5201</v>
      </c>
      <c r="F45">
        <f>INT(VLOOKUP(E45,技能升级,9,FALSE)*C45*I45*J45)</f>
        <v>5000</v>
      </c>
      <c r="G45">
        <f>INT(VLOOKUP(E45,技能升级,10,FALSE)*C45*I45*J45)</f>
        <v>0</v>
      </c>
      <c r="H45">
        <f>INT(VLOOKUP(E45,技能升级,11,FALSE)*C45*I45*J45)</f>
        <v>60</v>
      </c>
      <c r="I45">
        <v>1</v>
      </c>
      <c r="J45">
        <v>1</v>
      </c>
      <c r="L45">
        <v>52</v>
      </c>
      <c r="M45" t="s">
        <v>44</v>
      </c>
      <c r="N45">
        <v>0</v>
      </c>
      <c r="O45">
        <f>VLOOKUP(L45,技能参数,4,FALSE)</f>
        <v>1.5</v>
      </c>
      <c r="P45">
        <f>VLOOKUP(L45*1000+O43,学习等级编码,2)</f>
        <v>5201</v>
      </c>
      <c r="Q45">
        <f>INT(VLOOKUP(P45,技能升级,9,FALSE)*N45*T45*U45)</f>
        <v>0</v>
      </c>
      <c r="R45">
        <f>INT(VLOOKUP(P45,技能升级,10,FALSE)*N45*T45*U45)</f>
        <v>0</v>
      </c>
      <c r="S45">
        <f>INT(VLOOKUP(P45,技能升级,11,FALSE)*N45*T45*U45)</f>
        <v>0</v>
      </c>
      <c r="T45">
        <v>1</v>
      </c>
      <c r="U45">
        <v>1</v>
      </c>
    </row>
    <row r="46" spans="1:21" x14ac:dyDescent="0.15">
      <c r="A46">
        <v>54</v>
      </c>
      <c r="B46" t="s">
        <v>40</v>
      </c>
      <c r="C46">
        <f>INT(C43/(VLOOKUP(A46,技能参数,5,FALSE)+2*VLOOKUP(A46,技能参数,4,FALSE))+1)</f>
        <v>1</v>
      </c>
      <c r="D46">
        <f>VLOOKUP(A46,技能参数,4,FALSE)</f>
        <v>1.2</v>
      </c>
      <c r="E46">
        <f>VLOOKUP(A46*1000+D43,学习等级编码,2)</f>
        <v>5401</v>
      </c>
      <c r="F46">
        <f>INT(VLOOKUP(E46,技能升级,9,FALSE)*C46*I46*J46)</f>
        <v>2000</v>
      </c>
      <c r="G46">
        <f>INT(VLOOKUP(E46,技能升级,10,FALSE)*C46*I46*J46)</f>
        <v>0</v>
      </c>
      <c r="H46">
        <f>INT(VLOOKUP(E46,技能升级,11,FALSE)*C46*I46*J46)</f>
        <v>35</v>
      </c>
      <c r="I46">
        <v>1</v>
      </c>
      <c r="J46">
        <v>1</v>
      </c>
      <c r="L46">
        <v>54</v>
      </c>
      <c r="M46" t="s">
        <v>40</v>
      </c>
      <c r="N46">
        <v>0</v>
      </c>
      <c r="O46">
        <f>VLOOKUP(L46,技能参数,4,FALSE)</f>
        <v>1.2</v>
      </c>
      <c r="P46">
        <f>VLOOKUP(L46*1000+O43,学习等级编码,2)</f>
        <v>5401</v>
      </c>
      <c r="Q46">
        <f>INT(VLOOKUP(P46,技能升级,9,FALSE)*N46*T46*U46)</f>
        <v>0</v>
      </c>
      <c r="R46">
        <f>INT(VLOOKUP(P46,技能升级,10,FALSE)*N46*T46*U46)</f>
        <v>0</v>
      </c>
      <c r="S46">
        <f>INT(VLOOKUP(P46,技能升级,11,FALSE)*N46*T46*U46)</f>
        <v>0</v>
      </c>
      <c r="T46">
        <v>1</v>
      </c>
      <c r="U46">
        <v>1</v>
      </c>
    </row>
    <row r="47" spans="1:21" x14ac:dyDescent="0.15">
      <c r="A47">
        <v>51</v>
      </c>
      <c r="B47" t="s">
        <v>203</v>
      </c>
      <c r="C47">
        <v>2</v>
      </c>
      <c r="D47">
        <f>VLOOKUP(A47,技能参数,4,FALSE)</f>
        <v>0.9</v>
      </c>
      <c r="E47">
        <f>VLOOKUP(A47*1000+D43,学习等级编码,2)</f>
        <v>5102</v>
      </c>
      <c r="F47">
        <f>INT(VLOOKUP(E47,技能升级,9,FALSE)*C47*I47*J47)</f>
        <v>2540</v>
      </c>
      <c r="G47">
        <f>INT(VLOOKUP(E47,技能升级,10,FALSE)*C47*I47*J47)</f>
        <v>0</v>
      </c>
      <c r="H47">
        <f>INT(VLOOKUP(E47,技能升级,11,FALSE)*C47*I47*J47)</f>
        <v>46</v>
      </c>
      <c r="I47">
        <v>1</v>
      </c>
      <c r="J47">
        <v>1</v>
      </c>
      <c r="L47">
        <v>51</v>
      </c>
      <c r="M47" t="s">
        <v>203</v>
      </c>
      <c r="N47">
        <v>2</v>
      </c>
      <c r="O47">
        <f>VLOOKUP(L47,技能参数,4,FALSE)</f>
        <v>0.9</v>
      </c>
      <c r="P47">
        <f>VLOOKUP(L47*1000+O43,学习等级编码,2)</f>
        <v>5102</v>
      </c>
      <c r="Q47">
        <f>INT(VLOOKUP(P47,技能升级,9,FALSE)*N47*T47*U47)</f>
        <v>2540</v>
      </c>
      <c r="R47">
        <f>INT(VLOOKUP(P47,技能升级,10,FALSE)*N47*T47*U47)</f>
        <v>0</v>
      </c>
      <c r="S47">
        <f>INT(VLOOKUP(P47,技能升级,11,FALSE)*N47*T47*U47)</f>
        <v>46</v>
      </c>
      <c r="T47">
        <v>1</v>
      </c>
      <c r="U47">
        <v>1</v>
      </c>
    </row>
    <row r="48" spans="1:21" x14ac:dyDescent="0.15">
      <c r="A48">
        <v>51</v>
      </c>
      <c r="B48" t="s">
        <v>204</v>
      </c>
      <c r="C48">
        <f>INT((C43-C45*D45-C46*D46-D47*C47-C50-C51)/D48*3)</f>
        <v>20</v>
      </c>
      <c r="D48">
        <f>VLOOKUP(A48,技能参数,4,FALSE)</f>
        <v>0.9</v>
      </c>
      <c r="E48">
        <f>VLOOKUP(A48*1000+D43,学习等级编码,2)</f>
        <v>5102</v>
      </c>
      <c r="F48">
        <f>INT(VLOOKUP(E48,技能升级,9,FALSE)*C48*I48*J48)</f>
        <v>12192</v>
      </c>
      <c r="G48">
        <f>INT(VLOOKUP(E48,技能升级,10,FALSE)*C48*I48*J48)</f>
        <v>0</v>
      </c>
      <c r="H48">
        <f>INT(VLOOKUP(E48,技能升级,11,FALSE)*C48*I48*J48)</f>
        <v>220</v>
      </c>
      <c r="I48">
        <f>F49/1000</f>
        <v>0.4</v>
      </c>
      <c r="J48">
        <f>VLOOKUP(A43,$A$2:$I$21,9,FALSE)</f>
        <v>1.2</v>
      </c>
      <c r="L48">
        <v>51</v>
      </c>
      <c r="M48" t="s">
        <v>204</v>
      </c>
      <c r="N48">
        <f>INT((N43-N45*O45-N46*O46-O47*N47-N50-N51)/O48*3)</f>
        <v>34</v>
      </c>
      <c r="O48">
        <f>VLOOKUP(L48,技能参数,4,FALSE)</f>
        <v>0.9</v>
      </c>
      <c r="P48">
        <f>VLOOKUP(L48*1000+O43,学习等级编码,2)</f>
        <v>5102</v>
      </c>
      <c r="Q48">
        <f>INT(VLOOKUP(P48,技能升级,9,FALSE)*N48*T48*U48)</f>
        <v>20726</v>
      </c>
      <c r="R48">
        <f>INT(VLOOKUP(P48,技能升级,10,FALSE)*N48*T48*U48)</f>
        <v>0</v>
      </c>
      <c r="S48">
        <f>INT(VLOOKUP(P48,技能升级,11,FALSE)*N48*T48*U48)</f>
        <v>375</v>
      </c>
      <c r="T48">
        <f>Q49/1000</f>
        <v>0.4</v>
      </c>
      <c r="U48">
        <f>VLOOKUP(L43,$A$2:$I$21,9,FALSE)</f>
        <v>1.2</v>
      </c>
    </row>
    <row r="49" spans="1:21" x14ac:dyDescent="0.15">
      <c r="A49">
        <v>55</v>
      </c>
      <c r="B49" t="s">
        <v>271</v>
      </c>
      <c r="C49">
        <v>1</v>
      </c>
      <c r="D49">
        <v>0</v>
      </c>
      <c r="E49">
        <f>VLOOKUP(A49*1000+D43,学习等级编码,2)</f>
        <v>5501</v>
      </c>
      <c r="F49">
        <f>INT(VLOOKUP(E49,技能升级,9,FALSE)*C49*I49*J49)</f>
        <v>400</v>
      </c>
      <c r="G49">
        <f>INT(VLOOKUP($E49,技能升级,10,FALSE)*$C49*I49)</f>
        <v>0</v>
      </c>
      <c r="H49">
        <f>IFERROR(VLOOKUP(E49,技能升级,11,FALSE)*C49*I49*J49,0)</f>
        <v>0</v>
      </c>
      <c r="I49">
        <v>1</v>
      </c>
      <c r="J49">
        <v>1</v>
      </c>
      <c r="L49">
        <v>55</v>
      </c>
      <c r="M49" t="s">
        <v>46</v>
      </c>
      <c r="N49">
        <v>1</v>
      </c>
      <c r="O49">
        <v>0</v>
      </c>
      <c r="P49">
        <f>VLOOKUP(L49*1000+O43,学习等级编码,2)</f>
        <v>5501</v>
      </c>
      <c r="Q49">
        <f>INT(VLOOKUP(P49,技能升级,9,FALSE)*N49*T49*U49)</f>
        <v>400</v>
      </c>
      <c r="R49">
        <f>INT(VLOOKUP($E49,技能升级,10,FALSE)*$C49*T49)</f>
        <v>0</v>
      </c>
      <c r="S49">
        <f>IFERROR(VLOOKUP(P49,技能升级,11,FALSE)*N49*T49*U49,0)</f>
        <v>0</v>
      </c>
      <c r="T49">
        <v>1</v>
      </c>
      <c r="U49">
        <v>1</v>
      </c>
    </row>
    <row r="50" spans="1:21" x14ac:dyDescent="0.15">
      <c r="A50">
        <v>204</v>
      </c>
      <c r="B50" t="s">
        <v>338</v>
      </c>
      <c r="C50">
        <v>3</v>
      </c>
      <c r="D50">
        <v>0</v>
      </c>
      <c r="E50">
        <f>IFERROR(VLOOKUP(A50*1000+D43,学习等级编码,2),0)</f>
        <v>20401</v>
      </c>
      <c r="F50">
        <f>IFERROR(INT(VLOOKUP(E50,技能升级,9,FALSE)*C50*I50*J50),0)</f>
        <v>0</v>
      </c>
      <c r="G50">
        <f>IFERROR(INT(VLOOKUP(E50,技能升级,10,FALSE)*C50*I50*J50),0)</f>
        <v>0</v>
      </c>
      <c r="H50">
        <f>IFERROR(VLOOKUP(E50,技能升级,11,FALSE)*C50*I50*J50,0)</f>
        <v>0</v>
      </c>
      <c r="I50">
        <v>1</v>
      </c>
      <c r="J50">
        <v>1</v>
      </c>
      <c r="L50">
        <v>204</v>
      </c>
      <c r="M50" t="s">
        <v>338</v>
      </c>
      <c r="N50">
        <v>0</v>
      </c>
      <c r="O50">
        <v>0</v>
      </c>
      <c r="P50">
        <f>IFERROR(VLOOKUP(L50*1000+O43,学习等级编码,2),0)</f>
        <v>20401</v>
      </c>
      <c r="Q50">
        <f>IFERROR(INT(VLOOKUP(P50,技能升级,9,FALSE)*N50*T50*U50),0)</f>
        <v>0</v>
      </c>
      <c r="R50">
        <f>IFERROR(INT(VLOOKUP(P50,技能升级,10,FALSE)*N50*T50*U50),0)</f>
        <v>0</v>
      </c>
      <c r="S50">
        <f>IFERROR(VLOOKUP(P50,技能升级,11,FALSE)*N50*T50*U50,0)</f>
        <v>0</v>
      </c>
      <c r="T50">
        <v>1</v>
      </c>
      <c r="U50">
        <v>1</v>
      </c>
    </row>
    <row r="51" spans="1:21" x14ac:dyDescent="0.15">
      <c r="B51" t="s">
        <v>342</v>
      </c>
      <c r="C51">
        <v>6</v>
      </c>
      <c r="D51">
        <v>0</v>
      </c>
      <c r="E51">
        <f>IFERROR(VLOOKUP(A51*1000+D43,学习等级编码,2),0)</f>
        <v>0</v>
      </c>
      <c r="F51">
        <f>IFERROR(INT(VLOOKUP(E51,技能升级,9,FALSE)*C51*I51*J51),0)</f>
        <v>0</v>
      </c>
      <c r="G51">
        <f>IFERROR(INT(VLOOKUP(E51,技能升级,10,FALSE)*C51*I51*J51),0)</f>
        <v>0</v>
      </c>
      <c r="H51">
        <f>IFERROR(VLOOKUP(E51,技能升级,11,FALSE)*C51*I51*J51,0)</f>
        <v>0</v>
      </c>
      <c r="I51">
        <v>1</v>
      </c>
      <c r="J51">
        <v>1</v>
      </c>
      <c r="M51" t="s">
        <v>342</v>
      </c>
      <c r="N51">
        <v>0</v>
      </c>
      <c r="O51">
        <v>0</v>
      </c>
      <c r="P51">
        <f>IFERROR(VLOOKUP(L51*1000+O43,学习等级编码,2),0)</f>
        <v>0</v>
      </c>
      <c r="Q51">
        <f>IFERROR(INT(VLOOKUP(P51,技能升级,9,FALSE)*N51*T51*U51),0)</f>
        <v>0</v>
      </c>
      <c r="R51">
        <f>IFERROR(INT(VLOOKUP(P51,技能升级,10,FALSE)*N51*T51*U51),0)</f>
        <v>0</v>
      </c>
      <c r="S51">
        <f>IFERROR(VLOOKUP(P51,技能升级,11,FALSE)*N51*T51*U51,0)</f>
        <v>0</v>
      </c>
      <c r="T51">
        <v>1</v>
      </c>
      <c r="U51">
        <v>1</v>
      </c>
    </row>
    <row r="52" spans="1:21" x14ac:dyDescent="0.15">
      <c r="E52" t="s">
        <v>194</v>
      </c>
      <c r="F52">
        <f>SUM(F45:F48)/1000</f>
        <v>21.731999999999999</v>
      </c>
      <c r="G52">
        <f>SUM(G45:G48)/1000</f>
        <v>0</v>
      </c>
      <c r="H52">
        <f>SUM(H45:H48)</f>
        <v>361</v>
      </c>
      <c r="I52" t="s">
        <v>196</v>
      </c>
      <c r="J52" t="s">
        <v>197</v>
      </c>
      <c r="P52" t="s">
        <v>194</v>
      </c>
      <c r="Q52">
        <f>SUM(Q45:Q48)/1000</f>
        <v>23.265999999999998</v>
      </c>
      <c r="R52">
        <f>SUM(R45:R48)/1000</f>
        <v>0</v>
      </c>
      <c r="S52">
        <f>SUM(S45:S48)</f>
        <v>421</v>
      </c>
      <c r="T52" t="s">
        <v>196</v>
      </c>
      <c r="U52" t="s">
        <v>197</v>
      </c>
    </row>
    <row r="53" spans="1:21" x14ac:dyDescent="0.15">
      <c r="E53" t="s">
        <v>195</v>
      </c>
      <c r="F53">
        <f>INT((IF($A43&gt;10000,VLOOKUP($A43,实战属性,13,FALSE),VLOOKUP($A43,总基本属性,7,FALSE))-
IF($B43&gt;10000,VLOOKUP($B43,实战属性,15,FALSE),VLOOKUP($B43,总基本属性,9,FALSE))*$L$13)*F52)</f>
        <v>3238</v>
      </c>
      <c r="G53">
        <f>INT((IF($A43&gt;10000,VLOOKUP($A43,实战属性,14,FALSE),VLOOKUP($A43,总基本属性,8,FALSE))-
IF($B43&gt;10000,VLOOKUP($B43,实战属性,16,FALSE),VLOOKUP($B43,总基本属性,10,FALSE))*$L$13)*G52)</f>
        <v>0</v>
      </c>
      <c r="H53">
        <f>H52+F53+G53</f>
        <v>3599</v>
      </c>
      <c r="I53">
        <f>IF($B43&gt;10000,VLOOKUP($B43,实战属性,12,FALSE),VLOOKUP($B43,总基本属性,6,FALSE))</f>
        <v>3695</v>
      </c>
      <c r="J53">
        <f>ROUND(I53/H53,2)</f>
        <v>1.03</v>
      </c>
      <c r="P53" t="s">
        <v>195</v>
      </c>
      <c r="Q53">
        <f>INT((IF($A43&gt;10000,VLOOKUP($A43,实战属性,13,FALSE),VLOOKUP($A43,总基本属性,7,FALSE))-
IF($B43&gt;10000,VLOOKUP($B43,实战属性,15,FALSE),VLOOKUP($B43,总基本属性,9,FALSE))*$L$13)*Q52)</f>
        <v>3466</v>
      </c>
      <c r="R53">
        <f>INT((IF($A43&gt;10000,VLOOKUP($A43,实战属性,14,FALSE),VLOOKUP($A43,总基本属性,8,FALSE))-
IF($B43&gt;10000,VLOOKUP($B43,实战属性,16,FALSE),VLOOKUP($B43,总基本属性,10,FALSE))*$L$13)*R52)</f>
        <v>0</v>
      </c>
      <c r="S53">
        <f>S52+Q53+R53</f>
        <v>3887</v>
      </c>
      <c r="T53">
        <f>IF($B43&gt;10000,VLOOKUP($B43,实战属性,12,FALSE),VLOOKUP($B43,总基本属性,6,FALSE))</f>
        <v>3695</v>
      </c>
      <c r="U53">
        <f>ROUND(T53/S53,2)</f>
        <v>0.95</v>
      </c>
    </row>
    <row r="57" spans="1:21" x14ac:dyDescent="0.15">
      <c r="A57" s="8" t="s">
        <v>4</v>
      </c>
      <c r="B57" s="8" t="s">
        <v>6</v>
      </c>
      <c r="C57" s="8" t="s">
        <v>178</v>
      </c>
      <c r="D57" s="8" t="s">
        <v>0</v>
      </c>
    </row>
    <row r="58" spans="1:21" x14ac:dyDescent="0.15">
      <c r="A58">
        <f>A30+10</f>
        <v>3020</v>
      </c>
      <c r="B58">
        <f>B30+10</f>
        <v>5020</v>
      </c>
      <c r="C58">
        <v>19</v>
      </c>
      <c r="D58">
        <f>MOD(A58,1000)</f>
        <v>20</v>
      </c>
    </row>
    <row r="59" spans="1:21" x14ac:dyDescent="0.15">
      <c r="A59" t="s">
        <v>156</v>
      </c>
      <c r="B59" t="s">
        <v>95</v>
      </c>
      <c r="C59" t="s">
        <v>142</v>
      </c>
      <c r="D59" t="s">
        <v>143</v>
      </c>
      <c r="E59" t="s">
        <v>182</v>
      </c>
      <c r="F59" t="s">
        <v>192</v>
      </c>
      <c r="G59" t="s">
        <v>193</v>
      </c>
      <c r="H59" t="s">
        <v>176</v>
      </c>
      <c r="I59" t="s">
        <v>205</v>
      </c>
      <c r="J59" t="s">
        <v>206</v>
      </c>
    </row>
    <row r="60" spans="1:21" x14ac:dyDescent="0.15">
      <c r="A60">
        <v>32</v>
      </c>
      <c r="B60" t="s">
        <v>26</v>
      </c>
      <c r="C60">
        <f>INT(C58/(VLOOKUP(A60,技能参数,5,FALSE)+2*VLOOKUP(A60,技能参数,4,FALSE))+3)</f>
        <v>3</v>
      </c>
      <c r="D60">
        <f>VLOOKUP(A60,技能参数,4,FALSE)</f>
        <v>1</v>
      </c>
      <c r="E60">
        <f>IFERROR(VLOOKUP(A60*1000+D58,学习等级编码,2),0)</f>
        <v>3202</v>
      </c>
      <c r="F60">
        <f>IFERROR(INT(VLOOKUP($E60,技能升级,9,FALSE)*$C60*I60*J60),0)</f>
        <v>0</v>
      </c>
      <c r="G60">
        <f>IFERROR(INT(VLOOKUP($E60,技能升级,10,FALSE)*$C60*I60*J60),0)</f>
        <v>3750</v>
      </c>
      <c r="H60">
        <f>INT(VLOOKUP($E60,技能升级,11,FALSE)*$C60*I60*J60)</f>
        <v>102</v>
      </c>
      <c r="I60">
        <v>1</v>
      </c>
      <c r="J60">
        <v>1</v>
      </c>
    </row>
    <row r="61" spans="1:21" x14ac:dyDescent="0.15">
      <c r="A61">
        <v>34</v>
      </c>
      <c r="B61" t="s">
        <v>34</v>
      </c>
      <c r="C61">
        <f>INT(C58/(VLOOKUP(A61,技能参数,5,FALSE)+2*VLOOKUP(A61,技能参数,4,FALSE))+1)</f>
        <v>1</v>
      </c>
      <c r="D61">
        <f>VLOOKUP(A61,技能参数,4,FALSE)</f>
        <v>1.5</v>
      </c>
      <c r="E61">
        <f>IFERROR(VLOOKUP(A61*1000+D58,学习等级编码,2),0)</f>
        <v>3402</v>
      </c>
      <c r="F61">
        <f>IFERROR(INT(VLOOKUP($E61,技能升级,9,FALSE)*$C61*I61*J61),0)</f>
        <v>1580</v>
      </c>
      <c r="G61">
        <f>IFERROR(INT(VLOOKUP($E61,技能升级,10,FALSE)*$C61*I61*J61),0)</f>
        <v>0</v>
      </c>
      <c r="H61">
        <f>INT(VLOOKUP($E61,技能升级,11,FALSE)*$C61*I61*J61)</f>
        <v>55</v>
      </c>
      <c r="I61">
        <v>1</v>
      </c>
      <c r="J61">
        <v>1</v>
      </c>
    </row>
    <row r="62" spans="1:21" x14ac:dyDescent="0.15">
      <c r="A62">
        <v>35</v>
      </c>
      <c r="B62" t="s">
        <v>28</v>
      </c>
      <c r="C62">
        <v>3</v>
      </c>
      <c r="D62">
        <f>VLOOKUP(A62,技能参数,4,FALSE)</f>
        <v>2</v>
      </c>
      <c r="E62">
        <f>IFERROR(VLOOKUP(A62*1000+D58,学习等级编码,2),0)</f>
        <v>3501</v>
      </c>
      <c r="F62">
        <f>IFERROR(INT(VLOOKUP($E62,技能升级,9,FALSE)*$C62*I62*J62),0)</f>
        <v>6000</v>
      </c>
      <c r="G62">
        <f>IFERROR(INT(VLOOKUP($E62,技能升级,10,FALSE)*$C62*I62*J62),0)</f>
        <v>0</v>
      </c>
      <c r="H62">
        <f>INT(VLOOKUP($E62,技能升级,11,FALSE)*$C62*I62*J62)</f>
        <v>138</v>
      </c>
      <c r="I62">
        <v>1</v>
      </c>
      <c r="J62">
        <v>1</v>
      </c>
    </row>
    <row r="63" spans="1:21" x14ac:dyDescent="0.15">
      <c r="A63">
        <v>31</v>
      </c>
      <c r="B63" t="s">
        <v>91</v>
      </c>
      <c r="C63">
        <f>INT((C58-C60*D60-C61*D61-C62*D62-C65)/D63)</f>
        <v>10</v>
      </c>
      <c r="D63">
        <f>VLOOKUP(A63,技能参数,4,FALSE)</f>
        <v>0.8</v>
      </c>
      <c r="E63">
        <f>IFERROR(VLOOKUP(A63*1000+D58,学习等级编码,2),0)</f>
        <v>3103</v>
      </c>
      <c r="F63">
        <f>IFERROR(INT(VLOOKUP($E63,技能升级,9,FALSE)*$C63*I63*J63),0)</f>
        <v>10400</v>
      </c>
      <c r="G63">
        <f>IFERROR(INT(VLOOKUP($E63,技能升级,10,FALSE)*$C63*I63*J63),0)</f>
        <v>0</v>
      </c>
      <c r="H63">
        <f>INT(VLOOKUP($E63,技能升级,11,FALSE)*$C63*I63*J63)</f>
        <v>370</v>
      </c>
      <c r="I63">
        <v>1</v>
      </c>
      <c r="J63">
        <f>VLOOKUP(A58,$A$2:$I$21,7,FALSE)</f>
        <v>1</v>
      </c>
    </row>
    <row r="64" spans="1:21" x14ac:dyDescent="0.15">
      <c r="A64">
        <v>203</v>
      </c>
      <c r="B64" t="s">
        <v>340</v>
      </c>
      <c r="C64">
        <f>INT((C58)/3)</f>
        <v>6</v>
      </c>
      <c r="D64">
        <v>0</v>
      </c>
      <c r="E64">
        <f>IFERROR(VLOOKUP(A64*1000+D58,学习等级编码,2),0)</f>
        <v>20302</v>
      </c>
      <c r="F64">
        <f>IFERROR(INT(VLOOKUP($E64,技能升级,9,FALSE)*$C64*I64*J64),0)</f>
        <v>0</v>
      </c>
      <c r="G64">
        <f>IFERROR(INT(VLOOKUP($E64,技能升级,10,FALSE)*$C64*I64*J64),0)</f>
        <v>0</v>
      </c>
      <c r="H64">
        <f>INT((VLOOKUP(E64,技能升级,13,FALSE)*(VLOOKUP(C64,中毒数据,4)+MOD(C58,3)*VLOOKUP(C64+1,中毒数据,3))+VLOOKUP(E64,技能升级,14,FALSE)/1000*C64*IF($B58&gt;10000,VLOOKUP($B58,实战属性,12,FALSE),VLOOKUP($B58,总基本属性,6,FALSE)))*I64*J64)</f>
        <v>2993</v>
      </c>
      <c r="I64">
        <v>1</v>
      </c>
      <c r="J64">
        <f>VLOOKUP(A58,$A$2:$I$21,8,FALSE)</f>
        <v>1</v>
      </c>
    </row>
    <row r="65" spans="1:21" x14ac:dyDescent="0.15">
      <c r="B65" t="s">
        <v>402</v>
      </c>
      <c r="C65">
        <v>0</v>
      </c>
    </row>
    <row r="66" spans="1:21" x14ac:dyDescent="0.15">
      <c r="E66" t="s">
        <v>194</v>
      </c>
      <c r="F66">
        <f>SUM(F60:F64)/1000</f>
        <v>17.98</v>
      </c>
      <c r="G66">
        <f>SUM(G60:G64)/1000</f>
        <v>3.75</v>
      </c>
      <c r="H66">
        <f>SUM(H60:H64)</f>
        <v>3658</v>
      </c>
      <c r="I66" t="s">
        <v>196</v>
      </c>
      <c r="J66" t="s">
        <v>197</v>
      </c>
    </row>
    <row r="67" spans="1:21" x14ac:dyDescent="0.15">
      <c r="E67" t="s">
        <v>195</v>
      </c>
      <c r="F67">
        <f>INT((IF($A58&gt;10000,VLOOKUP($A58,实战属性,13,FALSE),VLOOKUP($A58,总基本属性,7,FALSE))-
IF($B58&gt;10000,VLOOKUP($B58,实战属性,15,FALSE),VLOOKUP($B58,总基本属性,9,FALSE))*$L$13)*F66)</f>
        <v>3874</v>
      </c>
      <c r="G67">
        <f>INT((IF($A58&gt;10000,VLOOKUP($A58,实战属性,14,FALSE),VLOOKUP($A58,总基本属性,8,FALSE))-
IF($B58&gt;10000,VLOOKUP($B58,实战属性,16,FALSE),VLOOKUP($B58,总基本属性,10,FALSE))*$L$13)*G66)</f>
        <v>808</v>
      </c>
      <c r="H67">
        <f>H66+F67+G67</f>
        <v>8340</v>
      </c>
      <c r="I67">
        <f>IF($B58&gt;10000,VLOOKUP($B58,实战属性,12,FALSE),VLOOKUP($B58,总基本属性,6,FALSE))</f>
        <v>8352</v>
      </c>
      <c r="J67">
        <f>ROUND(I67/H67,2)</f>
        <v>1</v>
      </c>
    </row>
    <row r="70" spans="1:21" x14ac:dyDescent="0.15">
      <c r="A70" s="9" t="s">
        <v>198</v>
      </c>
      <c r="B70" s="9" t="s">
        <v>337</v>
      </c>
      <c r="C70" s="9" t="s">
        <v>178</v>
      </c>
      <c r="D70" s="9" t="s">
        <v>144</v>
      </c>
      <c r="L70" s="9" t="s">
        <v>6</v>
      </c>
      <c r="M70" s="9" t="s">
        <v>4</v>
      </c>
      <c r="N70" s="9" t="s">
        <v>178</v>
      </c>
      <c r="O70" s="9" t="s">
        <v>0</v>
      </c>
    </row>
    <row r="71" spans="1:21" x14ac:dyDescent="0.15">
      <c r="A71">
        <f>A43+10</f>
        <v>5020</v>
      </c>
      <c r="B71">
        <f>B43+10</f>
        <v>3020</v>
      </c>
      <c r="C71">
        <v>24</v>
      </c>
      <c r="D71">
        <f>MOD(A71,1000)</f>
        <v>20</v>
      </c>
      <c r="L71">
        <f>A71</f>
        <v>5020</v>
      </c>
      <c r="M71">
        <f>B71</f>
        <v>3020</v>
      </c>
      <c r="N71">
        <v>14</v>
      </c>
      <c r="O71">
        <f>MOD(L71,1000)</f>
        <v>20</v>
      </c>
    </row>
    <row r="72" spans="1:21" x14ac:dyDescent="0.15">
      <c r="A72" t="s">
        <v>156</v>
      </c>
      <c r="B72" t="s">
        <v>95</v>
      </c>
      <c r="C72" t="s">
        <v>142</v>
      </c>
      <c r="D72" t="s">
        <v>143</v>
      </c>
      <c r="E72" t="s">
        <v>182</v>
      </c>
      <c r="F72" t="s">
        <v>192</v>
      </c>
      <c r="G72" t="s">
        <v>193</v>
      </c>
      <c r="H72" t="s">
        <v>176</v>
      </c>
      <c r="I72" t="s">
        <v>205</v>
      </c>
      <c r="J72" t="s">
        <v>206</v>
      </c>
      <c r="L72" t="s">
        <v>156</v>
      </c>
      <c r="M72" t="s">
        <v>95</v>
      </c>
      <c r="N72" t="s">
        <v>142</v>
      </c>
      <c r="O72" t="s">
        <v>143</v>
      </c>
      <c r="P72" t="s">
        <v>182</v>
      </c>
      <c r="Q72" t="s">
        <v>192</v>
      </c>
      <c r="R72" t="s">
        <v>193</v>
      </c>
      <c r="S72" t="s">
        <v>176</v>
      </c>
      <c r="T72" t="s">
        <v>205</v>
      </c>
      <c r="U72" t="s">
        <v>206</v>
      </c>
    </row>
    <row r="73" spans="1:21" x14ac:dyDescent="0.15">
      <c r="A73">
        <v>52</v>
      </c>
      <c r="B73" t="s">
        <v>44</v>
      </c>
      <c r="C73">
        <f>INT(C71/(VLOOKUP(A73,技能参数,5,FALSE)+2*VLOOKUP(A73,技能参数,4,FALSE))+1)</f>
        <v>2</v>
      </c>
      <c r="D73">
        <f>VLOOKUP(A73,技能参数,4,FALSE)</f>
        <v>1.5</v>
      </c>
      <c r="E73">
        <f>VLOOKUP(A73*1000+D71,学习等级编码,2)</f>
        <v>5202</v>
      </c>
      <c r="F73">
        <f>INT(VLOOKUP($E73,技能升级,9,FALSE)*$C73*I73*J73)</f>
        <v>5160</v>
      </c>
      <c r="G73">
        <f>INT(VLOOKUP($E73,技能升级,10,FALSE)*$C73*I73*J73)</f>
        <v>0</v>
      </c>
      <c r="H73">
        <f>VLOOKUP($E73,技能升级,11,FALSE)*$C73</f>
        <v>88</v>
      </c>
      <c r="I73">
        <v>1</v>
      </c>
      <c r="J73">
        <v>1</v>
      </c>
      <c r="L73">
        <v>52</v>
      </c>
      <c r="M73" t="s">
        <v>44</v>
      </c>
      <c r="N73">
        <v>0</v>
      </c>
      <c r="O73">
        <f>VLOOKUP(L73,技能参数,4,FALSE)</f>
        <v>1.5</v>
      </c>
      <c r="P73">
        <f>VLOOKUP(L73*1000+O71,学习等级编码,2)</f>
        <v>5202</v>
      </c>
      <c r="Q73">
        <f>INT(VLOOKUP(P73,技能升级,9,FALSE)*N73*T73*U73)</f>
        <v>0</v>
      </c>
      <c r="R73">
        <f>INT(VLOOKUP(P73,技能升级,10,FALSE)*N73*T73*U73)</f>
        <v>0</v>
      </c>
      <c r="S73">
        <f>INT(VLOOKUP(P73,技能升级,11,FALSE)*N73*T73*U73)</f>
        <v>0</v>
      </c>
      <c r="T73">
        <v>1</v>
      </c>
      <c r="U73">
        <v>1</v>
      </c>
    </row>
    <row r="74" spans="1:21" x14ac:dyDescent="0.15">
      <c r="A74">
        <v>54</v>
      </c>
      <c r="B74" t="s">
        <v>40</v>
      </c>
      <c r="C74">
        <f>INT(C71/(VLOOKUP(A74,技能参数,5,FALSE)+2*VLOOKUP(A74,技能参数,4,FALSE))+1)</f>
        <v>2</v>
      </c>
      <c r="D74">
        <f>VLOOKUP(A74,技能参数,4,FALSE)</f>
        <v>1.2</v>
      </c>
      <c r="E74">
        <f>VLOOKUP(A74*1000+D71,学习等级编码,2)</f>
        <v>5402</v>
      </c>
      <c r="F74">
        <f>INT(VLOOKUP($E74,技能升级,9,FALSE)*$C74*I74*J74)</f>
        <v>4140</v>
      </c>
      <c r="G74">
        <f>INT(VLOOKUP($E74,技能升级,10,FALSE)*$C74*I74*J74)</f>
        <v>0</v>
      </c>
      <c r="H74">
        <f>VLOOKUP($E74,技能升级,11,FALSE)*$C74</f>
        <v>110</v>
      </c>
      <c r="I74">
        <v>1</v>
      </c>
      <c r="J74">
        <v>1</v>
      </c>
      <c r="L74">
        <v>54</v>
      </c>
      <c r="M74" t="s">
        <v>40</v>
      </c>
      <c r="N74">
        <v>0</v>
      </c>
      <c r="O74">
        <f>VLOOKUP(L74,技能参数,4,FALSE)</f>
        <v>1.2</v>
      </c>
      <c r="P74">
        <f>VLOOKUP(L74*1000+O71,学习等级编码,2)</f>
        <v>5402</v>
      </c>
      <c r="Q74">
        <f>INT(VLOOKUP(P74,技能升级,9,FALSE)*N74*T74*U74)</f>
        <v>0</v>
      </c>
      <c r="R74">
        <f>INT(VLOOKUP(P74,技能升级,10,FALSE)*N74*T74*U74)</f>
        <v>0</v>
      </c>
      <c r="S74">
        <f>INT(VLOOKUP(P74,技能升级,11,FALSE)*N74*T74*U74)</f>
        <v>0</v>
      </c>
      <c r="T74">
        <v>1</v>
      </c>
      <c r="U74">
        <v>1</v>
      </c>
    </row>
    <row r="75" spans="1:21" x14ac:dyDescent="0.15">
      <c r="A75">
        <v>51</v>
      </c>
      <c r="B75" t="s">
        <v>203</v>
      </c>
      <c r="C75">
        <v>2</v>
      </c>
      <c r="D75">
        <f>VLOOKUP(A75,技能参数,4,FALSE)</f>
        <v>0.9</v>
      </c>
      <c r="E75">
        <f>VLOOKUP(A75*1000+D71,学习等级编码,2)</f>
        <v>5103</v>
      </c>
      <c r="F75">
        <f>INT(VLOOKUP($E75,技能升级,9,FALSE)*$C75*I75*J75)</f>
        <v>2580</v>
      </c>
      <c r="G75">
        <f>INT(VLOOKUP($E75,技能升级,10,FALSE)*$C75*I75*J75)</f>
        <v>0</v>
      </c>
      <c r="H75">
        <f>VLOOKUP($E75,技能升级,11,FALSE)*$C75</f>
        <v>74</v>
      </c>
      <c r="I75">
        <v>1</v>
      </c>
      <c r="J75">
        <v>1</v>
      </c>
      <c r="L75">
        <v>51</v>
      </c>
      <c r="M75" t="s">
        <v>203</v>
      </c>
      <c r="N75">
        <v>2</v>
      </c>
      <c r="O75">
        <f>VLOOKUP(L75,技能参数,4,FALSE)</f>
        <v>0.9</v>
      </c>
      <c r="P75">
        <f>VLOOKUP(L75*1000+O71,学习等级编码,2)</f>
        <v>5103</v>
      </c>
      <c r="Q75">
        <f>INT(VLOOKUP(P75,技能升级,9,FALSE)*N75*T75*U75)</f>
        <v>2580</v>
      </c>
      <c r="R75">
        <f>INT(VLOOKUP(P75,技能升级,10,FALSE)*N75*T75*U75)</f>
        <v>0</v>
      </c>
      <c r="S75">
        <f>INT(VLOOKUP(P75,技能升级,11,FALSE)*N75*T75*U75)</f>
        <v>74</v>
      </c>
      <c r="T75">
        <v>1</v>
      </c>
      <c r="U75">
        <v>1</v>
      </c>
    </row>
    <row r="76" spans="1:21" x14ac:dyDescent="0.15">
      <c r="A76">
        <v>51</v>
      </c>
      <c r="B76" t="s">
        <v>204</v>
      </c>
      <c r="C76">
        <f>INT((C71-C73*D73-C74*D74-D75*C75-C78-C79)/D76*3)</f>
        <v>26</v>
      </c>
      <c r="D76">
        <f>VLOOKUP(A76,技能参数,4,FALSE)</f>
        <v>0.9</v>
      </c>
      <c r="E76">
        <f>VLOOKUP(A76*1000+D71,学习等级编码,2)</f>
        <v>5103</v>
      </c>
      <c r="F76">
        <f>INT(VLOOKUP($E76,技能升级,9,FALSE)*$C76*I76*J76)</f>
        <v>16273</v>
      </c>
      <c r="G76">
        <f>INT(VLOOKUP($E76,技能升级,10,FALSE)*$C76*I76*J76)</f>
        <v>0</v>
      </c>
      <c r="H76">
        <f>INT(VLOOKUP($E76,技能升级,11,FALSE)*$C76*I76*J76)</f>
        <v>466</v>
      </c>
      <c r="I76">
        <f>F77/1000</f>
        <v>0.4</v>
      </c>
      <c r="J76">
        <f>VLOOKUP(A71,$A$2:$I$21,9,FALSE)</f>
        <v>1.2130000000000001</v>
      </c>
      <c r="L76">
        <v>51</v>
      </c>
      <c r="M76" t="s">
        <v>204</v>
      </c>
      <c r="N76">
        <f>INT((N71-N73*O73-N74*O74-O75*N75-N78-N79)/O76*3)</f>
        <v>40</v>
      </c>
      <c r="O76">
        <f>VLOOKUP(L76,技能参数,4,FALSE)</f>
        <v>0.9</v>
      </c>
      <c r="P76">
        <f>VLOOKUP(L76*1000+O71,学习等级编码,2)</f>
        <v>5103</v>
      </c>
      <c r="Q76">
        <f>INT(VLOOKUP(P76,技能升级,9,FALSE)*N76*T76*U76)</f>
        <v>25036</v>
      </c>
      <c r="R76">
        <f>INT(VLOOKUP(P76,技能升级,10,FALSE)*N76*T76*U76)</f>
        <v>0</v>
      </c>
      <c r="S76">
        <f>INT(VLOOKUP(P76,技能升级,11,FALSE)*N76*T76*U76)</f>
        <v>718</v>
      </c>
      <c r="T76">
        <f>Q77/1000</f>
        <v>0.4</v>
      </c>
      <c r="U76">
        <f>VLOOKUP(L71,$A$2:$I$21,9,FALSE)</f>
        <v>1.2130000000000001</v>
      </c>
    </row>
    <row r="77" spans="1:21" x14ac:dyDescent="0.15">
      <c r="A77">
        <v>55</v>
      </c>
      <c r="B77" t="s">
        <v>271</v>
      </c>
      <c r="C77">
        <v>1</v>
      </c>
      <c r="D77">
        <v>0</v>
      </c>
      <c r="E77">
        <f>VLOOKUP(A77*1000+D71,学习等级编码,2)</f>
        <v>5501</v>
      </c>
      <c r="F77">
        <f>INT(VLOOKUP($E77,技能升级,14,FALSE)*$C77*I77)</f>
        <v>400</v>
      </c>
      <c r="G77">
        <f>INT(VLOOKUP($E77,技能升级,10,FALSE)*$C77*I77)</f>
        <v>0</v>
      </c>
      <c r="H77">
        <f>VLOOKUP($E77,技能升级,11,FALSE)*$C77</f>
        <v>0</v>
      </c>
      <c r="I77">
        <v>1</v>
      </c>
      <c r="J77">
        <v>1</v>
      </c>
      <c r="L77">
        <v>55</v>
      </c>
      <c r="M77" t="s">
        <v>46</v>
      </c>
      <c r="N77">
        <v>1</v>
      </c>
      <c r="O77">
        <v>0</v>
      </c>
      <c r="P77">
        <f>VLOOKUP(L77*1000+O71,学习等级编码,2)</f>
        <v>5501</v>
      </c>
      <c r="Q77">
        <f>INT(VLOOKUP(P77,技能升级,9,FALSE)*N77*T77*U77)</f>
        <v>400</v>
      </c>
      <c r="R77">
        <f>INT(VLOOKUP($E77,技能升级,10,FALSE)*$C77*T77)</f>
        <v>0</v>
      </c>
      <c r="S77">
        <f>IFERROR(VLOOKUP(P77,技能升级,11,FALSE)*N77*T77*U77,0)</f>
        <v>0</v>
      </c>
      <c r="T77">
        <v>1</v>
      </c>
      <c r="U77">
        <v>1</v>
      </c>
    </row>
    <row r="78" spans="1:21" x14ac:dyDescent="0.15">
      <c r="A78">
        <v>204</v>
      </c>
      <c r="B78" t="s">
        <v>338</v>
      </c>
      <c r="C78">
        <v>3</v>
      </c>
      <c r="D78">
        <v>0</v>
      </c>
      <c r="E78">
        <f>IFERROR(VLOOKUP(A78*1000+D71,学习等级编码,2),0)</f>
        <v>20401</v>
      </c>
      <c r="F78">
        <f>IFERROR(INT(VLOOKUP($E78,技能升级,9,FALSE)*$C78*I78*J78),0)</f>
        <v>0</v>
      </c>
      <c r="G78">
        <f>IFERROR(INT(VLOOKUP($E78,技能升级,10,FALSE)*$C78*I78*J78),0)</f>
        <v>0</v>
      </c>
      <c r="H78">
        <f>IFERROR(VLOOKUP(E78,技能升级,11,FALSE)*C78,0)</f>
        <v>0</v>
      </c>
      <c r="I78">
        <v>1</v>
      </c>
      <c r="J78">
        <v>1</v>
      </c>
      <c r="L78">
        <v>204</v>
      </c>
      <c r="M78" t="s">
        <v>338</v>
      </c>
      <c r="N78">
        <v>0</v>
      </c>
      <c r="O78">
        <v>0</v>
      </c>
      <c r="P78">
        <f>IFERROR(VLOOKUP(L78*1000+O71,学习等级编码,2),0)</f>
        <v>20401</v>
      </c>
      <c r="Q78">
        <f>IFERROR(INT(VLOOKUP(P78,技能升级,9,FALSE)*N78*T78*U78),0)</f>
        <v>0</v>
      </c>
      <c r="R78">
        <f>IFERROR(INT(VLOOKUP(P78,技能升级,10,FALSE)*N78*T78*U78),0)</f>
        <v>0</v>
      </c>
      <c r="S78">
        <f>IFERROR(VLOOKUP(P78,技能升级,11,FALSE)*N78*T78*U78,0)</f>
        <v>0</v>
      </c>
      <c r="T78">
        <v>1</v>
      </c>
      <c r="U78">
        <v>1</v>
      </c>
    </row>
    <row r="79" spans="1:21" x14ac:dyDescent="0.15">
      <c r="B79" t="s">
        <v>342</v>
      </c>
      <c r="C79">
        <v>6</v>
      </c>
      <c r="D79">
        <v>0</v>
      </c>
      <c r="E79">
        <f>IFERROR(VLOOKUP(A79*1000+D71,学习等级编码,2),0)</f>
        <v>0</v>
      </c>
      <c r="F79">
        <f>IFERROR(INT(VLOOKUP($E79,技能升级,9,FALSE)*$C79*I79*J79),0)</f>
        <v>0</v>
      </c>
      <c r="G79">
        <f>IFERROR(INT(VLOOKUP($E79,技能升级,10,FALSE)*$C79*I79*J79),0)</f>
        <v>0</v>
      </c>
      <c r="H79">
        <f>IFERROR(VLOOKUP(E79,技能升级,11,FALSE)*C79*I79*J79,0)</f>
        <v>0</v>
      </c>
      <c r="I79">
        <v>1</v>
      </c>
      <c r="J79">
        <v>1</v>
      </c>
      <c r="M79" t="s">
        <v>342</v>
      </c>
      <c r="N79">
        <v>0</v>
      </c>
      <c r="O79">
        <v>0</v>
      </c>
      <c r="P79">
        <f>IFERROR(VLOOKUP(L79*1000+O71,学习等级编码,2),0)</f>
        <v>0</v>
      </c>
      <c r="Q79">
        <f>IFERROR(INT(VLOOKUP(P79,技能升级,9,FALSE)*N79*T79*U79),0)</f>
        <v>0</v>
      </c>
      <c r="R79">
        <f>IFERROR(INT(VLOOKUP(P79,技能升级,10,FALSE)*N79*T79*U79),0)</f>
        <v>0</v>
      </c>
      <c r="S79">
        <f>IFERROR(VLOOKUP(P79,技能升级,11,FALSE)*N79*T79*U79,0)</f>
        <v>0</v>
      </c>
      <c r="T79">
        <v>1</v>
      </c>
      <c r="U79">
        <v>1</v>
      </c>
    </row>
    <row r="80" spans="1:21" x14ac:dyDescent="0.15">
      <c r="E80" t="s">
        <v>194</v>
      </c>
      <c r="F80">
        <f>SUM(F73:F76)/1000</f>
        <v>28.152999999999999</v>
      </c>
      <c r="G80">
        <f>SUM(G73:G76)/1000</f>
        <v>0</v>
      </c>
      <c r="H80">
        <f>SUM(H73:H76)</f>
        <v>738</v>
      </c>
      <c r="I80" t="s">
        <v>196</v>
      </c>
      <c r="J80" t="s">
        <v>197</v>
      </c>
      <c r="P80" t="s">
        <v>194</v>
      </c>
      <c r="Q80">
        <f>SUM(Q73:Q76)/1000</f>
        <v>27.616</v>
      </c>
      <c r="R80">
        <f>SUM(R73:R76)/1000</f>
        <v>0</v>
      </c>
      <c r="S80">
        <f>SUM(S73:S76)</f>
        <v>792</v>
      </c>
      <c r="T80" t="s">
        <v>196</v>
      </c>
      <c r="U80" t="s">
        <v>197</v>
      </c>
    </row>
    <row r="81" spans="1:21" x14ac:dyDescent="0.15">
      <c r="E81" t="s">
        <v>195</v>
      </c>
      <c r="F81">
        <f>INT((IF($A71&gt;10000,VLOOKUP($A71,实战属性,13,FALSE),VLOOKUP($A71,总基本属性,7,FALSE))-
IF($B71&gt;10000,VLOOKUP($B71,实战属性,15,FALSE),VLOOKUP($B71,总基本属性,9,FALSE))*$L$13)*F80)</f>
        <v>10641</v>
      </c>
      <c r="G81">
        <f>INT((IF($A71&gt;10000,VLOOKUP($A71,实战属性,14,FALSE),VLOOKUP($A71,总基本属性,8,FALSE))-
IF($B71&gt;10000,VLOOKUP($B71,实战属性,16,FALSE),VLOOKUP($B71,总基本属性,10,FALSE))*$L$13)*G80)</f>
        <v>0</v>
      </c>
      <c r="H81">
        <f>H80+F81+G81</f>
        <v>11379</v>
      </c>
      <c r="I81">
        <f>IF($B71&gt;10000,VLOOKUP($B71,实战属性,12,FALSE),VLOOKUP($B71,总基本属性,6,FALSE))</f>
        <v>10899</v>
      </c>
      <c r="J81">
        <f>ROUND(I81/H81,2)</f>
        <v>0.96</v>
      </c>
      <c r="P81" t="s">
        <v>195</v>
      </c>
      <c r="Q81">
        <f>INT((IF($A71&gt;10000,VLOOKUP($A71,实战属性,13,FALSE),VLOOKUP($A71,总基本属性,7,FALSE))-
IF($B71&gt;10000,VLOOKUP($B71,实战属性,15,FALSE),VLOOKUP($B71,总基本属性,9,FALSE))*$L$13)*Q80)</f>
        <v>10438</v>
      </c>
      <c r="R81">
        <f>INT((IF($A71&gt;10000,VLOOKUP($A71,实战属性,14,FALSE),VLOOKUP($A71,总基本属性,8,FALSE))-
IF($B71&gt;10000,VLOOKUP($B71,实战属性,16,FALSE),VLOOKUP($B71,总基本属性,10,FALSE))*$L$13)*R80)</f>
        <v>0</v>
      </c>
      <c r="S81">
        <f>S80+Q81+R81</f>
        <v>11230</v>
      </c>
      <c r="T81">
        <f>IF($B71&gt;10000,VLOOKUP($B71,实战属性,12,FALSE),VLOOKUP($B71,总基本属性,6,FALSE))</f>
        <v>10899</v>
      </c>
      <c r="U81">
        <f>ROUND(T81/S81,2)</f>
        <v>0.97</v>
      </c>
    </row>
    <row r="85" spans="1:21" x14ac:dyDescent="0.15">
      <c r="A85" s="8" t="s">
        <v>4</v>
      </c>
      <c r="B85" s="8" t="s">
        <v>6</v>
      </c>
      <c r="C85" s="8" t="s">
        <v>178</v>
      </c>
      <c r="D85" s="8" t="s">
        <v>0</v>
      </c>
    </row>
    <row r="86" spans="1:21" x14ac:dyDescent="0.15">
      <c r="A86">
        <f>A58+10</f>
        <v>3030</v>
      </c>
      <c r="B86">
        <f>B58+10</f>
        <v>5030</v>
      </c>
      <c r="C86">
        <v>18</v>
      </c>
      <c r="D86">
        <f>MOD(A86,1000)</f>
        <v>30</v>
      </c>
    </row>
    <row r="87" spans="1:21" x14ac:dyDescent="0.15">
      <c r="A87" t="s">
        <v>156</v>
      </c>
      <c r="B87" t="s">
        <v>95</v>
      </c>
      <c r="C87" t="s">
        <v>142</v>
      </c>
      <c r="D87" t="s">
        <v>143</v>
      </c>
      <c r="E87" t="s">
        <v>182</v>
      </c>
      <c r="F87" t="s">
        <v>192</v>
      </c>
      <c r="G87" t="s">
        <v>193</v>
      </c>
      <c r="H87" t="s">
        <v>176</v>
      </c>
      <c r="I87" t="s">
        <v>205</v>
      </c>
      <c r="J87" t="s">
        <v>206</v>
      </c>
    </row>
    <row r="88" spans="1:21" x14ac:dyDescent="0.15">
      <c r="A88">
        <v>32</v>
      </c>
      <c r="B88" t="s">
        <v>26</v>
      </c>
      <c r="C88">
        <f>INT(C86/(VLOOKUP(A88,技能参数,5,FALSE)+2*VLOOKUP(A88,技能参数,4,FALSE))+3)</f>
        <v>3</v>
      </c>
      <c r="D88">
        <f>VLOOKUP(A88,技能参数,4,FALSE)</f>
        <v>1</v>
      </c>
      <c r="E88">
        <f>IFERROR(VLOOKUP(A88*1000+D86,学习等级编码,2),0)</f>
        <v>3203</v>
      </c>
      <c r="F88">
        <f>IFERROR(INT(VLOOKUP($E88,技能升级,9,FALSE)*$C88*I88*J88),0)</f>
        <v>0</v>
      </c>
      <c r="G88">
        <f>IFERROR(INT(VLOOKUP($E88,技能升级,10,FALSE)*$C88*I88*J88),0)</f>
        <v>3870</v>
      </c>
      <c r="H88">
        <f>INT(VLOOKUP($E88,技能升级,11,FALSE)*$C88*I88*J88)</f>
        <v>189</v>
      </c>
      <c r="I88">
        <v>1</v>
      </c>
      <c r="J88">
        <v>1</v>
      </c>
    </row>
    <row r="89" spans="1:21" x14ac:dyDescent="0.15">
      <c r="A89">
        <v>34</v>
      </c>
      <c r="B89" t="s">
        <v>34</v>
      </c>
      <c r="C89">
        <f>INT(C86/(VLOOKUP(A89,技能参数,5,FALSE)+2*VLOOKUP(A89,技能参数,4,FALSE))+1)</f>
        <v>1</v>
      </c>
      <c r="D89">
        <f>VLOOKUP(A89,技能参数,4,FALSE)</f>
        <v>1.5</v>
      </c>
      <c r="E89">
        <f>IFERROR(VLOOKUP(A89*1000+D86,学习等级编码,2),0)</f>
        <v>3403</v>
      </c>
      <c r="F89">
        <f>IFERROR(INT(VLOOKUP($E89,技能升级,9,FALSE)*$C89*I89*J89),0)</f>
        <v>1670</v>
      </c>
      <c r="G89">
        <f>IFERROR(INT(VLOOKUP($E89,技能升级,10,FALSE)*$C89*I89*J89),0)</f>
        <v>0</v>
      </c>
      <c r="H89">
        <f>INT(VLOOKUP($E89,技能升级,11,FALSE)*$C89*I89*J89)</f>
        <v>90</v>
      </c>
      <c r="I89">
        <v>1</v>
      </c>
      <c r="J89">
        <v>1</v>
      </c>
    </row>
    <row r="90" spans="1:21" x14ac:dyDescent="0.15">
      <c r="A90">
        <v>35</v>
      </c>
      <c r="B90" t="s">
        <v>28</v>
      </c>
      <c r="C90">
        <v>3</v>
      </c>
      <c r="D90">
        <f>VLOOKUP(A90,技能参数,4,FALSE)</f>
        <v>2</v>
      </c>
      <c r="E90">
        <f>IFERROR(VLOOKUP(A90*1000+D86,学习等级编码,2),0)</f>
        <v>3502</v>
      </c>
      <c r="F90">
        <f>IFERROR(INT(VLOOKUP($E90,技能升级,9,FALSE)*$C90*I90*J90),0)</f>
        <v>6510</v>
      </c>
      <c r="G90">
        <f>IFERROR(INT(VLOOKUP($E90,技能升级,10,FALSE)*$C90*I90*J90),0)</f>
        <v>0</v>
      </c>
      <c r="H90">
        <f>INT(VLOOKUP($E90,技能升级,11,FALSE)*$C90*I90*J90)</f>
        <v>249</v>
      </c>
      <c r="I90">
        <v>1</v>
      </c>
      <c r="J90">
        <v>1</v>
      </c>
    </row>
    <row r="91" spans="1:21" x14ac:dyDescent="0.15">
      <c r="A91">
        <v>31</v>
      </c>
      <c r="B91" t="s">
        <v>91</v>
      </c>
      <c r="C91">
        <f>INT((C86-C88*D88-C89*D89-C90*D90-C93)/D91)</f>
        <v>9</v>
      </c>
      <c r="D91">
        <f>VLOOKUP(A91,技能参数,4,FALSE)</f>
        <v>0.8</v>
      </c>
      <c r="E91">
        <f>IFERROR(VLOOKUP(A91*1000+D86,学习等级编码,2),0)</f>
        <v>3105</v>
      </c>
      <c r="F91">
        <f>IFERROR(INT(VLOOKUP($E91,技能升级,9,FALSE)*$C91*I91*J91),0)</f>
        <v>9810</v>
      </c>
      <c r="G91">
        <f>IFERROR(INT(VLOOKUP($E91,技能升级,10,FALSE)*$C91*I91*J91),0)</f>
        <v>0</v>
      </c>
      <c r="H91">
        <f>INT(VLOOKUP($E91,技能升级,11,FALSE)*$C91*I91*J91)</f>
        <v>792</v>
      </c>
      <c r="I91">
        <v>1</v>
      </c>
      <c r="J91">
        <f>VLOOKUP(A86,$A$2:$I$21,7,FALSE)</f>
        <v>1</v>
      </c>
    </row>
    <row r="92" spans="1:21" x14ac:dyDescent="0.15">
      <c r="A92">
        <v>203</v>
      </c>
      <c r="B92" t="s">
        <v>340</v>
      </c>
      <c r="C92">
        <f>INT((C86)/3)</f>
        <v>6</v>
      </c>
      <c r="D92">
        <v>0</v>
      </c>
      <c r="E92">
        <f>IFERROR(VLOOKUP(A92*1000+D86,学习等级编码,2),0)</f>
        <v>20303</v>
      </c>
      <c r="F92">
        <f>IFERROR(INT(VLOOKUP($E92,技能升级,9,FALSE)*$C92*I92*J92),0)</f>
        <v>0</v>
      </c>
      <c r="G92">
        <f>IFERROR(INT(VLOOKUP($E92,技能升级,10,FALSE)*$C92*I92*J92),0)</f>
        <v>0</v>
      </c>
      <c r="H92">
        <f>INT((VLOOKUP(E92,技能升级,13,FALSE)*(VLOOKUP(C92,中毒数据,4)+MOD(C86,3)*VLOOKUP(C92+1,中毒数据,3))+VLOOKUP(E92,技能升级,14,FALSE)/1000*C92*IF($B86&gt;10000,VLOOKUP($B86,实战属性,12,FALSE),VLOOKUP($B86,总基本属性,6,FALSE)))*I92*J92)</f>
        <v>6498</v>
      </c>
      <c r="I92">
        <v>1</v>
      </c>
      <c r="J92">
        <f>VLOOKUP(A86,$A$2:$I$21,8,FALSE)</f>
        <v>1</v>
      </c>
    </row>
    <row r="93" spans="1:21" x14ac:dyDescent="0.15">
      <c r="B93" t="s">
        <v>402</v>
      </c>
      <c r="C93">
        <v>0</v>
      </c>
    </row>
    <row r="94" spans="1:21" x14ac:dyDescent="0.15">
      <c r="E94" t="s">
        <v>194</v>
      </c>
      <c r="F94">
        <f>SUM(F88:F92)/1000</f>
        <v>17.989999999999998</v>
      </c>
      <c r="G94">
        <f>SUM(G88:G92)/1000</f>
        <v>3.87</v>
      </c>
      <c r="H94">
        <f>SUM(H88:H92)</f>
        <v>7818</v>
      </c>
      <c r="I94" t="s">
        <v>196</v>
      </c>
      <c r="J94" t="s">
        <v>197</v>
      </c>
    </row>
    <row r="95" spans="1:21" x14ac:dyDescent="0.15">
      <c r="E95" t="s">
        <v>195</v>
      </c>
      <c r="F95">
        <f>INT((IF($A86&gt;10000,VLOOKUP($A86,实战属性,13,FALSE),VLOOKUP($A86,总基本属性,7,FALSE))-
IF($B86&gt;10000,VLOOKUP($B86,实战属性,15,FALSE),VLOOKUP($B86,总基本属性,9,FALSE))*$L$13)*F94)</f>
        <v>7564</v>
      </c>
      <c r="G95">
        <f>INT((IF($A86&gt;10000,VLOOKUP($A86,实战属性,14,FALSE),VLOOKUP($A86,总基本属性,8,FALSE))-
IF($B86&gt;10000,VLOOKUP($B86,实战属性,16,FALSE),VLOOKUP($B86,总基本属性,10,FALSE))*$L$13)*G94)</f>
        <v>1627</v>
      </c>
      <c r="H95">
        <f>H94+F95+G95</f>
        <v>17009</v>
      </c>
      <c r="I95">
        <f>IF($B86&gt;10000,VLOOKUP($B86,实战属性,12,FALSE),VLOOKUP($B86,总基本属性,6,FALSE))</f>
        <v>17184</v>
      </c>
      <c r="J95">
        <f>ROUND(I95/H95,2)</f>
        <v>1.01</v>
      </c>
    </row>
    <row r="98" spans="1:21" x14ac:dyDescent="0.15">
      <c r="A98" s="9" t="s">
        <v>198</v>
      </c>
      <c r="B98" s="9" t="s">
        <v>337</v>
      </c>
      <c r="C98" s="9" t="s">
        <v>178</v>
      </c>
      <c r="D98" s="9" t="s">
        <v>144</v>
      </c>
      <c r="L98" s="9" t="s">
        <v>6</v>
      </c>
      <c r="M98" s="9" t="s">
        <v>4</v>
      </c>
      <c r="N98" s="9" t="s">
        <v>178</v>
      </c>
      <c r="O98" s="9" t="s">
        <v>0</v>
      </c>
    </row>
    <row r="99" spans="1:21" x14ac:dyDescent="0.15">
      <c r="A99">
        <f>A71+10</f>
        <v>5030</v>
      </c>
      <c r="B99">
        <f>B71+10</f>
        <v>3030</v>
      </c>
      <c r="C99">
        <v>23</v>
      </c>
      <c r="D99">
        <f>MOD(A99,1000)</f>
        <v>30</v>
      </c>
      <c r="L99">
        <f>A99</f>
        <v>5030</v>
      </c>
      <c r="M99">
        <f>B99</f>
        <v>3030</v>
      </c>
      <c r="N99">
        <v>13</v>
      </c>
      <c r="O99">
        <f>MOD(L99,1000)</f>
        <v>30</v>
      </c>
    </row>
    <row r="100" spans="1:21" x14ac:dyDescent="0.15">
      <c r="A100" t="s">
        <v>156</v>
      </c>
      <c r="B100" t="s">
        <v>95</v>
      </c>
      <c r="C100" t="s">
        <v>142</v>
      </c>
      <c r="D100" t="s">
        <v>143</v>
      </c>
      <c r="E100" t="s">
        <v>182</v>
      </c>
      <c r="F100" t="s">
        <v>192</v>
      </c>
      <c r="G100" t="s">
        <v>193</v>
      </c>
      <c r="H100" t="s">
        <v>176</v>
      </c>
      <c r="I100" t="s">
        <v>205</v>
      </c>
      <c r="J100" t="s">
        <v>206</v>
      </c>
      <c r="L100" t="s">
        <v>156</v>
      </c>
      <c r="M100" t="s">
        <v>95</v>
      </c>
      <c r="N100" t="s">
        <v>142</v>
      </c>
      <c r="O100" t="s">
        <v>143</v>
      </c>
      <c r="P100" t="s">
        <v>182</v>
      </c>
      <c r="Q100" t="s">
        <v>192</v>
      </c>
      <c r="R100" t="s">
        <v>193</v>
      </c>
      <c r="S100" t="s">
        <v>176</v>
      </c>
      <c r="T100" t="s">
        <v>205</v>
      </c>
      <c r="U100" t="s">
        <v>206</v>
      </c>
    </row>
    <row r="101" spans="1:21" x14ac:dyDescent="0.15">
      <c r="A101">
        <v>52</v>
      </c>
      <c r="B101" t="s">
        <v>44</v>
      </c>
      <c r="C101">
        <f>INT(C99/(VLOOKUP(A101,技能参数,5,FALSE)+2*VLOOKUP(A101,技能参数,4,FALSE))+1)</f>
        <v>2</v>
      </c>
      <c r="D101">
        <f>VLOOKUP(A101,技能参数,4,FALSE)</f>
        <v>1.5</v>
      </c>
      <c r="E101">
        <f>VLOOKUP(A101*1000+D99,学习等级编码,2)</f>
        <v>5203</v>
      </c>
      <c r="F101">
        <f>INT(VLOOKUP($E101,技能升级,9,FALSE)*$C101*I101*J101)</f>
        <v>5340</v>
      </c>
      <c r="G101">
        <f>INT(VLOOKUP($E101,技能升级,10,FALSE)*$C101*I101*J101)</f>
        <v>0</v>
      </c>
      <c r="H101">
        <f>VLOOKUP($E101,技能升级,11,FALSE)*$C101</f>
        <v>146</v>
      </c>
      <c r="I101">
        <v>1</v>
      </c>
      <c r="J101">
        <v>1</v>
      </c>
      <c r="L101">
        <v>52</v>
      </c>
      <c r="M101" t="s">
        <v>44</v>
      </c>
      <c r="N101">
        <v>0</v>
      </c>
      <c r="O101">
        <f>VLOOKUP(L101,技能参数,4,FALSE)</f>
        <v>1.5</v>
      </c>
      <c r="P101">
        <f>VLOOKUP(L101*1000+O99,学习等级编码,2)</f>
        <v>5203</v>
      </c>
      <c r="Q101">
        <f>INT(VLOOKUP(P101,技能升级,9,FALSE)*N101*T101*U101)</f>
        <v>0</v>
      </c>
      <c r="R101">
        <f>INT(VLOOKUP(P101,技能升级,10,FALSE)*N101*T101*U101)</f>
        <v>0</v>
      </c>
      <c r="S101">
        <f>INT(VLOOKUP(P101,技能升级,11,FALSE)*N101*T101*U101)</f>
        <v>0</v>
      </c>
      <c r="T101">
        <v>1</v>
      </c>
      <c r="U101">
        <v>1</v>
      </c>
    </row>
    <row r="102" spans="1:21" x14ac:dyDescent="0.15">
      <c r="A102">
        <v>54</v>
      </c>
      <c r="B102" t="s">
        <v>40</v>
      </c>
      <c r="C102">
        <f>INT(C99/(VLOOKUP(A102,技能参数,5,FALSE)+2*VLOOKUP(A102,技能参数,4,FALSE))+1)</f>
        <v>2</v>
      </c>
      <c r="D102">
        <f>VLOOKUP(A102,技能参数,4,FALSE)</f>
        <v>1.2</v>
      </c>
      <c r="E102">
        <f>VLOOKUP(A102*1000+D99,学习等级编码,2)</f>
        <v>5403</v>
      </c>
      <c r="F102">
        <f>INT(VLOOKUP($E102,技能升级,9,FALSE)*$C102*I102*J102)</f>
        <v>4260</v>
      </c>
      <c r="G102">
        <f>INT(VLOOKUP($E102,技能升级,10,FALSE)*$C102*I102*J102)</f>
        <v>0</v>
      </c>
      <c r="H102">
        <f>VLOOKUP($E102,技能升级,11,FALSE)*$C102</f>
        <v>180</v>
      </c>
      <c r="I102">
        <v>1</v>
      </c>
      <c r="J102">
        <v>1</v>
      </c>
      <c r="L102">
        <v>54</v>
      </c>
      <c r="M102" t="s">
        <v>40</v>
      </c>
      <c r="N102">
        <v>0</v>
      </c>
      <c r="O102">
        <f>VLOOKUP(L102,技能参数,4,FALSE)</f>
        <v>1.2</v>
      </c>
      <c r="P102">
        <f>VLOOKUP(L102*1000+O99,学习等级编码,2)</f>
        <v>5403</v>
      </c>
      <c r="Q102">
        <f>INT(VLOOKUP(P102,技能升级,9,FALSE)*N102*T102*U102)</f>
        <v>0</v>
      </c>
      <c r="R102">
        <f>INT(VLOOKUP(P102,技能升级,10,FALSE)*N102*T102*U102)</f>
        <v>0</v>
      </c>
      <c r="S102">
        <f>INT(VLOOKUP(P102,技能升级,11,FALSE)*N102*T102*U102)</f>
        <v>0</v>
      </c>
      <c r="T102">
        <v>1</v>
      </c>
      <c r="U102">
        <v>1</v>
      </c>
    </row>
    <row r="103" spans="1:21" x14ac:dyDescent="0.15">
      <c r="A103">
        <v>51</v>
      </c>
      <c r="B103" t="s">
        <v>203</v>
      </c>
      <c r="C103">
        <v>2</v>
      </c>
      <c r="D103">
        <f>VLOOKUP(A103,技能参数,4,FALSE)</f>
        <v>0.9</v>
      </c>
      <c r="E103">
        <f>VLOOKUP(A103*1000+D99,学习等级编码,2)</f>
        <v>5105</v>
      </c>
      <c r="F103">
        <f>INT(VLOOKUP($E103,技能升级,9,FALSE)*$C103*I103*J103)</f>
        <v>2680</v>
      </c>
      <c r="G103">
        <f>INT(VLOOKUP($E103,技能升级,10,FALSE)*$C103*I103*J103)</f>
        <v>0</v>
      </c>
      <c r="H103">
        <f>VLOOKUP($E103,技能升级,11,FALSE)*$C103</f>
        <v>176</v>
      </c>
      <c r="I103">
        <v>1</v>
      </c>
      <c r="J103">
        <v>1</v>
      </c>
      <c r="L103">
        <v>51</v>
      </c>
      <c r="M103" t="s">
        <v>203</v>
      </c>
      <c r="N103">
        <v>2</v>
      </c>
      <c r="O103">
        <f>VLOOKUP(L103,技能参数,4,FALSE)</f>
        <v>0.9</v>
      </c>
      <c r="P103">
        <f>VLOOKUP(L103*1000+O99,学习等级编码,2)</f>
        <v>5105</v>
      </c>
      <c r="Q103">
        <f>INT(VLOOKUP(P103,技能升级,9,FALSE)*N103*T103*U103)</f>
        <v>2680</v>
      </c>
      <c r="R103">
        <f>INT(VLOOKUP(P103,技能升级,10,FALSE)*N103*T103*U103)</f>
        <v>0</v>
      </c>
      <c r="S103">
        <f>INT(VLOOKUP(P103,技能升级,11,FALSE)*N103*T103*U103)</f>
        <v>176</v>
      </c>
      <c r="T103">
        <v>1</v>
      </c>
      <c r="U103">
        <v>1</v>
      </c>
    </row>
    <row r="104" spans="1:21" x14ac:dyDescent="0.15">
      <c r="A104">
        <v>51</v>
      </c>
      <c r="B104" t="s">
        <v>204</v>
      </c>
      <c r="C104">
        <f>INT((C99-C101*D101-C102*D102-D103*C103-C106-C107)/D104*3)</f>
        <v>22</v>
      </c>
      <c r="D104">
        <f>VLOOKUP(A104,技能参数,4,FALSE)</f>
        <v>0.9</v>
      </c>
      <c r="E104">
        <f>VLOOKUP(A104*1000+D99,学习等级编码,2)</f>
        <v>5105</v>
      </c>
      <c r="F104">
        <f>INT(VLOOKUP($E104,技能升级,9,FALSE)*$C104*I104*J104)</f>
        <v>15390</v>
      </c>
      <c r="G104">
        <f>INT(VLOOKUP($E104,技能升级,10,FALSE)*$C104*I104*J104)</f>
        <v>0</v>
      </c>
      <c r="H104">
        <f>INT(VLOOKUP($E104,技能升级,11,FALSE)*$C104*I104*J104)</f>
        <v>1010</v>
      </c>
      <c r="I104">
        <f>F105/1000</f>
        <v>0.42</v>
      </c>
      <c r="J104">
        <f>VLOOKUP(A99,$A$2:$I$21,9,FALSE)</f>
        <v>1.2430000000000001</v>
      </c>
      <c r="L104">
        <v>51</v>
      </c>
      <c r="M104" t="s">
        <v>204</v>
      </c>
      <c r="N104">
        <f>INT((N99-N101*O101-N102*O102-O103*N103-N106-N107)/O104*3)</f>
        <v>37</v>
      </c>
      <c r="O104">
        <f>VLOOKUP(L104,技能参数,4,FALSE)</f>
        <v>0.9</v>
      </c>
      <c r="P104">
        <f>VLOOKUP(L104*1000+O99,学习等级编码,2)</f>
        <v>5105</v>
      </c>
      <c r="Q104">
        <f>INT(VLOOKUP(P104,技能升级,9,FALSE)*N104*T104*U104)</f>
        <v>25883</v>
      </c>
      <c r="R104">
        <f>INT(VLOOKUP(P104,技能升级,10,FALSE)*N104*T104*U104)</f>
        <v>0</v>
      </c>
      <c r="S104">
        <f>INT(VLOOKUP(P104,技能升级,11,FALSE)*N104*T104*U104)</f>
        <v>1699</v>
      </c>
      <c r="T104">
        <f>Q105/1000</f>
        <v>0.42</v>
      </c>
      <c r="U104">
        <f>VLOOKUP(L99,$A$2:$I$21,9,FALSE)</f>
        <v>1.2430000000000001</v>
      </c>
    </row>
    <row r="105" spans="1:21" x14ac:dyDescent="0.15">
      <c r="A105">
        <v>55</v>
      </c>
      <c r="B105" t="s">
        <v>271</v>
      </c>
      <c r="C105">
        <v>1</v>
      </c>
      <c r="D105">
        <v>0</v>
      </c>
      <c r="E105">
        <f>VLOOKUP(A105*1000+D99,学习等级编码,2)</f>
        <v>5502</v>
      </c>
      <c r="F105">
        <f>INT(VLOOKUP($E105,技能升级,14,FALSE)*$C105*I105)</f>
        <v>420</v>
      </c>
      <c r="G105">
        <f>INT(VLOOKUP($E105,技能升级,10,FALSE)*$C105*I105)</f>
        <v>0</v>
      </c>
      <c r="H105">
        <f>VLOOKUP($E105,技能升级,11,FALSE)*$C105</f>
        <v>0</v>
      </c>
      <c r="I105">
        <v>1</v>
      </c>
      <c r="J105">
        <v>1</v>
      </c>
      <c r="L105">
        <v>55</v>
      </c>
      <c r="M105" t="s">
        <v>46</v>
      </c>
      <c r="N105">
        <v>1</v>
      </c>
      <c r="O105">
        <v>0</v>
      </c>
      <c r="P105">
        <f>VLOOKUP(L105*1000+O99,学习等级编码,2)</f>
        <v>5502</v>
      </c>
      <c r="Q105">
        <f>INT(VLOOKUP(P105,技能升级,9,FALSE)*N105*T105*U105)</f>
        <v>420</v>
      </c>
      <c r="R105">
        <f>INT(VLOOKUP($E105,技能升级,10,FALSE)*$C105*T105)</f>
        <v>0</v>
      </c>
      <c r="S105">
        <f>IFERROR(VLOOKUP(P105,技能升级,11,FALSE)*N105*T105*U105,0)</f>
        <v>0</v>
      </c>
      <c r="T105">
        <v>1</v>
      </c>
      <c r="U105">
        <v>1</v>
      </c>
    </row>
    <row r="106" spans="1:21" x14ac:dyDescent="0.15">
      <c r="A106">
        <v>204</v>
      </c>
      <c r="B106" t="s">
        <v>338</v>
      </c>
      <c r="C106">
        <v>3</v>
      </c>
      <c r="D106">
        <v>0</v>
      </c>
      <c r="E106">
        <f>IFERROR(VLOOKUP(A106*1000+D99,学习等级编码,2),0)</f>
        <v>20401</v>
      </c>
      <c r="F106">
        <f>IFERROR(INT(VLOOKUP($E106,技能升级,9,FALSE)*$C106*I106*J106),0)</f>
        <v>0</v>
      </c>
      <c r="G106">
        <f>IFERROR(INT(VLOOKUP($E106,技能升级,10,FALSE)*$C106*I106*J106),0)</f>
        <v>0</v>
      </c>
      <c r="H106">
        <f>IFERROR(VLOOKUP(E106,技能升级,11,FALSE)*C106,0)</f>
        <v>0</v>
      </c>
      <c r="I106">
        <v>1</v>
      </c>
      <c r="J106">
        <v>1</v>
      </c>
      <c r="L106">
        <v>204</v>
      </c>
      <c r="M106" t="s">
        <v>338</v>
      </c>
      <c r="N106">
        <v>0</v>
      </c>
      <c r="O106">
        <v>0</v>
      </c>
      <c r="P106">
        <f>IFERROR(VLOOKUP(L106*1000+O99,学习等级编码,2),0)</f>
        <v>20401</v>
      </c>
      <c r="Q106">
        <f>IFERROR(INT(VLOOKUP(P106,技能升级,9,FALSE)*N106*T106*U106),0)</f>
        <v>0</v>
      </c>
      <c r="R106">
        <f>IFERROR(INT(VLOOKUP(P106,技能升级,10,FALSE)*N106*T106*U106),0)</f>
        <v>0</v>
      </c>
      <c r="S106">
        <f>IFERROR(VLOOKUP(P106,技能升级,11,FALSE)*N106*T106*U106,0)</f>
        <v>0</v>
      </c>
      <c r="T106">
        <v>1</v>
      </c>
      <c r="U106">
        <v>1</v>
      </c>
    </row>
    <row r="107" spans="1:21" x14ac:dyDescent="0.15">
      <c r="B107" t="s">
        <v>342</v>
      </c>
      <c r="C107">
        <v>6</v>
      </c>
      <c r="D107">
        <v>0</v>
      </c>
      <c r="E107">
        <f>IFERROR(VLOOKUP(A107*1000+D99,学习等级编码,2),0)</f>
        <v>0</v>
      </c>
      <c r="F107">
        <f>IFERROR(INT(VLOOKUP($E107,技能升级,9,FALSE)*$C107*I107*J107),0)</f>
        <v>0</v>
      </c>
      <c r="G107">
        <f>IFERROR(INT(VLOOKUP($E107,技能升级,10,FALSE)*$C107*I107*J107),0)</f>
        <v>0</v>
      </c>
      <c r="H107">
        <f>IFERROR(VLOOKUP(E107,技能升级,11,FALSE)*C107*I107*J107,0)</f>
        <v>0</v>
      </c>
      <c r="I107">
        <v>1</v>
      </c>
      <c r="J107">
        <v>1</v>
      </c>
      <c r="M107" t="s">
        <v>342</v>
      </c>
      <c r="N107">
        <v>0</v>
      </c>
      <c r="O107">
        <v>0</v>
      </c>
      <c r="P107">
        <f>IFERROR(VLOOKUP(L107*1000+O99,学习等级编码,2),0)</f>
        <v>0</v>
      </c>
      <c r="Q107">
        <f>IFERROR(INT(VLOOKUP(P107,技能升级,9,FALSE)*N107*T107*U107),0)</f>
        <v>0</v>
      </c>
      <c r="R107">
        <f>IFERROR(INT(VLOOKUP(P107,技能升级,10,FALSE)*N107*T107*U107),0)</f>
        <v>0</v>
      </c>
      <c r="S107">
        <f>IFERROR(VLOOKUP(P107,技能升级,11,FALSE)*N107*T107*U107,0)</f>
        <v>0</v>
      </c>
      <c r="T107">
        <v>1</v>
      </c>
      <c r="U107">
        <v>1</v>
      </c>
    </row>
    <row r="108" spans="1:21" x14ac:dyDescent="0.15">
      <c r="E108" t="s">
        <v>194</v>
      </c>
      <c r="F108">
        <f>SUM(F101:F104)/1000</f>
        <v>27.67</v>
      </c>
      <c r="G108">
        <f>SUM(G101:G104)/1000</f>
        <v>0</v>
      </c>
      <c r="H108">
        <f>SUM(H101:H104)</f>
        <v>1512</v>
      </c>
      <c r="I108" t="s">
        <v>196</v>
      </c>
      <c r="J108" t="s">
        <v>197</v>
      </c>
      <c r="P108" t="s">
        <v>194</v>
      </c>
      <c r="Q108">
        <f>SUM(Q101:Q104)/1000</f>
        <v>28.562999999999999</v>
      </c>
      <c r="R108">
        <f>SUM(R101:R104)/1000</f>
        <v>0</v>
      </c>
      <c r="S108">
        <f>SUM(S101:S104)</f>
        <v>1875</v>
      </c>
      <c r="T108" t="s">
        <v>196</v>
      </c>
      <c r="U108" t="s">
        <v>197</v>
      </c>
    </row>
    <row r="109" spans="1:21" x14ac:dyDescent="0.15">
      <c r="E109" t="s">
        <v>195</v>
      </c>
      <c r="F109">
        <f>INT((IF($A99&gt;10000,VLOOKUP($A99,实战属性,13,FALSE),VLOOKUP($A99,总基本属性,7,FALSE))-
IF($B99&gt;10000,VLOOKUP($B99,实战属性,15,FALSE),VLOOKUP($B99,总基本属性,9,FALSE))*$L$13)*F108)</f>
        <v>18857</v>
      </c>
      <c r="G109">
        <f>INT((IF($A99&gt;10000,VLOOKUP($A99,实战属性,14,FALSE),VLOOKUP($A99,总基本属性,8,FALSE))-
IF($B99&gt;10000,VLOOKUP($B99,实战属性,16,FALSE),VLOOKUP($B99,总基本属性,10,FALSE))*$L$13)*G108)</f>
        <v>0</v>
      </c>
      <c r="H109">
        <f>H108+F109+G109</f>
        <v>20369</v>
      </c>
      <c r="I109">
        <f>IF($B99&gt;10000,VLOOKUP($B99,实战属性,12,FALSE),VLOOKUP($B99,总基本属性,6,FALSE))</f>
        <v>20298</v>
      </c>
      <c r="J109">
        <f>ROUND(I109/H109,2)</f>
        <v>1</v>
      </c>
      <c r="P109" t="s">
        <v>195</v>
      </c>
      <c r="Q109">
        <f>INT((IF($A99&gt;10000,VLOOKUP($A99,实战属性,13,FALSE),VLOOKUP($A99,总基本属性,7,FALSE))-
IF($B99&gt;10000,VLOOKUP($B99,实战属性,15,FALSE),VLOOKUP($B99,总基本属性,9,FALSE))*$L$13)*Q108)</f>
        <v>19465</v>
      </c>
      <c r="R109">
        <f>INT((IF($A99&gt;10000,VLOOKUP($A99,实战属性,14,FALSE),VLOOKUP($A99,总基本属性,8,FALSE))-
IF($B99&gt;10000,VLOOKUP($B99,实战属性,16,FALSE),VLOOKUP($B99,总基本属性,10,FALSE))*$L$13)*R108)</f>
        <v>0</v>
      </c>
      <c r="S109">
        <f>S108+Q109+R109</f>
        <v>21340</v>
      </c>
      <c r="T109">
        <f>IF($B99&gt;10000,VLOOKUP($B99,实战属性,12,FALSE),VLOOKUP($B99,总基本属性,6,FALSE))</f>
        <v>20298</v>
      </c>
      <c r="U109">
        <f>ROUND(T109/S109,2)</f>
        <v>0.95</v>
      </c>
    </row>
    <row r="113" spans="1:21" x14ac:dyDescent="0.15">
      <c r="A113" s="8" t="s">
        <v>4</v>
      </c>
      <c r="B113" s="8" t="s">
        <v>6</v>
      </c>
      <c r="C113" s="8" t="s">
        <v>178</v>
      </c>
      <c r="D113" s="8" t="s">
        <v>0</v>
      </c>
    </row>
    <row r="114" spans="1:21" x14ac:dyDescent="0.15">
      <c r="A114">
        <f>A86+10</f>
        <v>3040</v>
      </c>
      <c r="B114">
        <f>B86+10</f>
        <v>5040</v>
      </c>
      <c r="C114">
        <v>18</v>
      </c>
      <c r="D114">
        <f>MOD(A114,1000)</f>
        <v>40</v>
      </c>
    </row>
    <row r="115" spans="1:21" x14ac:dyDescent="0.15">
      <c r="A115" t="s">
        <v>156</v>
      </c>
      <c r="B115" t="s">
        <v>95</v>
      </c>
      <c r="C115" t="s">
        <v>142</v>
      </c>
      <c r="D115" t="s">
        <v>143</v>
      </c>
      <c r="E115" t="s">
        <v>182</v>
      </c>
      <c r="F115" t="s">
        <v>192</v>
      </c>
      <c r="G115" t="s">
        <v>193</v>
      </c>
      <c r="H115" t="s">
        <v>176</v>
      </c>
      <c r="I115" t="s">
        <v>205</v>
      </c>
      <c r="J115" t="s">
        <v>206</v>
      </c>
    </row>
    <row r="116" spans="1:21" x14ac:dyDescent="0.15">
      <c r="A116">
        <v>32</v>
      </c>
      <c r="B116" t="s">
        <v>26</v>
      </c>
      <c r="C116">
        <f>INT(C114/(VLOOKUP(A116,技能参数,5,FALSE)+2*VLOOKUP(A116,技能参数,4,FALSE))+3)</f>
        <v>3</v>
      </c>
      <c r="D116">
        <f>VLOOKUP(A116,技能参数,4,FALSE)</f>
        <v>1</v>
      </c>
      <c r="E116">
        <f>IFERROR(VLOOKUP(A116*1000+D114,学习等级编码,2),0)</f>
        <v>3204</v>
      </c>
      <c r="F116">
        <f>IFERROR(INT(VLOOKUP($E116,技能升级,9,FALSE)*$C116*I116*J116),0)</f>
        <v>0</v>
      </c>
      <c r="G116">
        <f>IFERROR(INT(VLOOKUP($E116,技能升级,10,FALSE)*$C116*I116*J116),0)</f>
        <v>4020</v>
      </c>
      <c r="H116">
        <f>INT(VLOOKUP($E116,技能升级,11,FALSE)*$C116*I116*J116)</f>
        <v>321</v>
      </c>
      <c r="I116">
        <v>1</v>
      </c>
      <c r="J116">
        <v>1</v>
      </c>
    </row>
    <row r="117" spans="1:21" x14ac:dyDescent="0.15">
      <c r="A117">
        <v>34</v>
      </c>
      <c r="B117" t="s">
        <v>34</v>
      </c>
      <c r="C117">
        <f>INT(C114/(VLOOKUP(A117,技能参数,5,FALSE)+2*VLOOKUP(A117,技能参数,4,FALSE))+1)</f>
        <v>1</v>
      </c>
      <c r="D117">
        <f>VLOOKUP(A117,技能参数,4,FALSE)</f>
        <v>1.5</v>
      </c>
      <c r="E117">
        <f>IFERROR(VLOOKUP(A117*1000+D114,学习等级编码,2),0)</f>
        <v>3404</v>
      </c>
      <c r="F117">
        <f>IFERROR(INT(VLOOKUP($E117,技能升级,9,FALSE)*$C117*I117*J117),0)</f>
        <v>1750</v>
      </c>
      <c r="G117">
        <f>IFERROR(INT(VLOOKUP($E117,技能升级,10,FALSE)*$C117*I117*J117),0)</f>
        <v>0</v>
      </c>
      <c r="H117">
        <f>INT(VLOOKUP($E117,技能升级,11,FALSE)*$C117*I117*J117)</f>
        <v>140</v>
      </c>
      <c r="I117">
        <v>1</v>
      </c>
      <c r="J117">
        <v>1</v>
      </c>
    </row>
    <row r="118" spans="1:21" x14ac:dyDescent="0.15">
      <c r="A118">
        <v>35</v>
      </c>
      <c r="B118" t="s">
        <v>28</v>
      </c>
      <c r="C118">
        <v>3</v>
      </c>
      <c r="D118">
        <f>VLOOKUP(A118,技能参数,4,FALSE)</f>
        <v>2</v>
      </c>
      <c r="E118">
        <f>IFERROR(VLOOKUP(A118*1000+D114,学习等级编码,2),0)</f>
        <v>3503</v>
      </c>
      <c r="F118">
        <f>IFERROR(INT(VLOOKUP($E118,技能升级,9,FALSE)*$C118*I118*J118),0)</f>
        <v>6990</v>
      </c>
      <c r="G118">
        <f>IFERROR(INT(VLOOKUP($E118,技能升级,10,FALSE)*$C118*I118*J118),0)</f>
        <v>0</v>
      </c>
      <c r="H118">
        <f>INT(VLOOKUP($E118,技能升级,11,FALSE)*$C118*I118*J118)</f>
        <v>483</v>
      </c>
      <c r="I118">
        <v>1</v>
      </c>
      <c r="J118">
        <v>1</v>
      </c>
    </row>
    <row r="119" spans="1:21" x14ac:dyDescent="0.15">
      <c r="A119">
        <v>31</v>
      </c>
      <c r="B119" t="s">
        <v>91</v>
      </c>
      <c r="C119">
        <f>INT((C114-C116*D116-C117*D117-C118*D118-C121)/D119)</f>
        <v>9</v>
      </c>
      <c r="D119">
        <f>VLOOKUP(A119,技能参数,4,FALSE)</f>
        <v>0.8</v>
      </c>
      <c r="E119">
        <f>IFERROR(VLOOKUP(A119*1000+D114,学习等级编码,2),0)</f>
        <v>3106</v>
      </c>
      <c r="F119">
        <f>IFERROR(INT(VLOOKUP($E119,技能升级,9,FALSE)*$C119*I119*J119),0)</f>
        <v>9990</v>
      </c>
      <c r="G119">
        <f>IFERROR(INT(VLOOKUP($E119,技能升级,10,FALSE)*$C119*I119*J119),0)</f>
        <v>0</v>
      </c>
      <c r="H119">
        <f>INT(VLOOKUP($E119,技能升级,11,FALSE)*$C119*I119*J119)</f>
        <v>1125</v>
      </c>
      <c r="I119">
        <v>1</v>
      </c>
      <c r="J119">
        <f>VLOOKUP(A114,$A$2:$I$21,7,FALSE)</f>
        <v>1</v>
      </c>
    </row>
    <row r="120" spans="1:21" x14ac:dyDescent="0.15">
      <c r="A120">
        <v>203</v>
      </c>
      <c r="B120" t="s">
        <v>340</v>
      </c>
      <c r="C120">
        <f>INT((C114)/3)</f>
        <v>6</v>
      </c>
      <c r="D120">
        <v>0</v>
      </c>
      <c r="E120">
        <f>IFERROR(VLOOKUP(A120*1000+D114,学习等级编码,2),0)</f>
        <v>20304</v>
      </c>
      <c r="F120">
        <f>IFERROR(INT(VLOOKUP($E120,技能升级,9,FALSE)*$C120*I120*J120),0)</f>
        <v>0</v>
      </c>
      <c r="G120">
        <f>IFERROR(INT(VLOOKUP($E120,技能升级,10,FALSE)*$C120*I120*J120),0)</f>
        <v>0</v>
      </c>
      <c r="H120">
        <f>INT((VLOOKUP(E120,技能升级,13,FALSE)*(VLOOKUP(C120,中毒数据,4)+MOD(C114,3)*VLOOKUP(C120+1,中毒数据,3))+VLOOKUP(E120,技能升级,14,FALSE)/1000*C120*IF($B114&gt;10000,VLOOKUP($B114,实战属性,12,FALSE),VLOOKUP($B114,总基本属性,6,FALSE)))*I120*J120)</f>
        <v>11147</v>
      </c>
      <c r="I120">
        <v>1</v>
      </c>
      <c r="J120">
        <f>VLOOKUP(A114,$A$2:$I$21,8,FALSE)</f>
        <v>1</v>
      </c>
    </row>
    <row r="121" spans="1:21" x14ac:dyDescent="0.15">
      <c r="B121" t="s">
        <v>402</v>
      </c>
      <c r="C121">
        <v>0</v>
      </c>
    </row>
    <row r="122" spans="1:21" x14ac:dyDescent="0.15">
      <c r="E122" t="s">
        <v>194</v>
      </c>
      <c r="F122">
        <f>SUM(F116:F120)/1000</f>
        <v>18.73</v>
      </c>
      <c r="G122">
        <f>SUM(G116:G120)/1000</f>
        <v>4.0199999999999996</v>
      </c>
      <c r="H122">
        <f>SUM(H116:H120)</f>
        <v>13216</v>
      </c>
      <c r="I122" t="s">
        <v>196</v>
      </c>
      <c r="J122" t="s">
        <v>197</v>
      </c>
    </row>
    <row r="123" spans="1:21" x14ac:dyDescent="0.15">
      <c r="E123" t="s">
        <v>195</v>
      </c>
      <c r="F123">
        <f>INT((IF($A114&gt;10000,VLOOKUP($A114,实战属性,13,FALSE),VLOOKUP($A114,总基本属性,7,FALSE))-
IF($B114&gt;10000,VLOOKUP($B114,实战属性,15,FALSE),VLOOKUP($B114,总基本属性,9,FALSE))*$L$13)*F122)</f>
        <v>13082</v>
      </c>
      <c r="G123">
        <f>INT((IF($A114&gt;10000,VLOOKUP($A114,实战属性,14,FALSE),VLOOKUP($A114,总基本属性,8,FALSE))-
IF($B114&gt;10000,VLOOKUP($B114,实战属性,16,FALSE),VLOOKUP($B114,总基本属性,10,FALSE))*$L$13)*G122)</f>
        <v>2807</v>
      </c>
      <c r="H123">
        <f>H122+F123+G123</f>
        <v>29105</v>
      </c>
      <c r="I123">
        <f>IF($B114&gt;10000,VLOOKUP($B114,实战属性,12,FALSE),VLOOKUP($B114,总基本属性,6,FALSE))</f>
        <v>29184</v>
      </c>
      <c r="J123">
        <f>ROUND(I123/H123,2)</f>
        <v>1</v>
      </c>
    </row>
    <row r="126" spans="1:21" x14ac:dyDescent="0.15">
      <c r="A126" s="9" t="s">
        <v>198</v>
      </c>
      <c r="B126" s="9" t="s">
        <v>337</v>
      </c>
      <c r="C126" s="9" t="s">
        <v>178</v>
      </c>
      <c r="D126" s="9" t="s">
        <v>144</v>
      </c>
      <c r="L126" s="9" t="s">
        <v>6</v>
      </c>
      <c r="M126" s="9" t="s">
        <v>4</v>
      </c>
      <c r="N126" s="9" t="s">
        <v>178</v>
      </c>
      <c r="O126" s="9" t="s">
        <v>0</v>
      </c>
    </row>
    <row r="127" spans="1:21" x14ac:dyDescent="0.15">
      <c r="A127">
        <f>A99+10</f>
        <v>5040</v>
      </c>
      <c r="B127">
        <f>B99+10</f>
        <v>3040</v>
      </c>
      <c r="C127">
        <v>23</v>
      </c>
      <c r="D127">
        <f>MOD(A127,1000)</f>
        <v>40</v>
      </c>
      <c r="L127">
        <f>A127</f>
        <v>5040</v>
      </c>
      <c r="M127">
        <f>B127</f>
        <v>3040</v>
      </c>
      <c r="N127">
        <v>13</v>
      </c>
      <c r="O127">
        <f>MOD(L127,1000)</f>
        <v>40</v>
      </c>
    </row>
    <row r="128" spans="1:21" x14ac:dyDescent="0.15">
      <c r="A128" t="s">
        <v>156</v>
      </c>
      <c r="B128" t="s">
        <v>95</v>
      </c>
      <c r="C128" t="s">
        <v>142</v>
      </c>
      <c r="D128" t="s">
        <v>143</v>
      </c>
      <c r="E128" t="s">
        <v>182</v>
      </c>
      <c r="F128" t="s">
        <v>192</v>
      </c>
      <c r="G128" t="s">
        <v>193</v>
      </c>
      <c r="H128" t="s">
        <v>176</v>
      </c>
      <c r="I128" t="s">
        <v>205</v>
      </c>
      <c r="J128" t="s">
        <v>206</v>
      </c>
      <c r="L128" t="s">
        <v>156</v>
      </c>
      <c r="M128" t="s">
        <v>95</v>
      </c>
      <c r="N128" t="s">
        <v>142</v>
      </c>
      <c r="O128" t="s">
        <v>143</v>
      </c>
      <c r="P128" t="s">
        <v>182</v>
      </c>
      <c r="Q128" t="s">
        <v>192</v>
      </c>
      <c r="R128" t="s">
        <v>193</v>
      </c>
      <c r="S128" t="s">
        <v>176</v>
      </c>
      <c r="T128" t="s">
        <v>205</v>
      </c>
      <c r="U128" t="s">
        <v>206</v>
      </c>
    </row>
    <row r="129" spans="1:21" x14ac:dyDescent="0.15">
      <c r="A129">
        <v>52</v>
      </c>
      <c r="B129" t="s">
        <v>44</v>
      </c>
      <c r="C129">
        <f>INT(C127/(VLOOKUP(A129,技能参数,5,FALSE)+2*VLOOKUP(A129,技能参数,4,FALSE))+1)</f>
        <v>2</v>
      </c>
      <c r="D129">
        <f>VLOOKUP(A129,技能参数,4,FALSE)</f>
        <v>1.5</v>
      </c>
      <c r="E129">
        <f>VLOOKUP(A129*1000+D127,学习等级编码,2)</f>
        <v>5204</v>
      </c>
      <c r="F129">
        <f>INT(VLOOKUP($E129,技能升级,9,FALSE)*$C129*I129*J129)</f>
        <v>5500</v>
      </c>
      <c r="G129">
        <f>INT(VLOOKUP($E129,技能升级,10,FALSE)*$C129*I129*J129)</f>
        <v>0</v>
      </c>
      <c r="H129">
        <f>VLOOKUP($E129,技能升级,11,FALSE)*$C129</f>
        <v>234</v>
      </c>
      <c r="I129">
        <v>1</v>
      </c>
      <c r="J129">
        <v>1</v>
      </c>
      <c r="L129">
        <v>52</v>
      </c>
      <c r="M129" t="s">
        <v>44</v>
      </c>
      <c r="N129">
        <v>0</v>
      </c>
      <c r="O129">
        <f>VLOOKUP(L129,技能参数,4,FALSE)</f>
        <v>1.5</v>
      </c>
      <c r="P129">
        <f>VLOOKUP(L129*1000+O127,学习等级编码,2)</f>
        <v>5204</v>
      </c>
      <c r="Q129">
        <f>INT(VLOOKUP(P129,技能升级,9,FALSE)*N129*T129*U129)</f>
        <v>0</v>
      </c>
      <c r="R129">
        <f>INT(VLOOKUP(P129,技能升级,10,FALSE)*N129*T129*U129)</f>
        <v>0</v>
      </c>
      <c r="S129">
        <f>INT(VLOOKUP(P129,技能升级,11,FALSE)*N129*T129*U129)</f>
        <v>0</v>
      </c>
      <c r="T129">
        <v>1</v>
      </c>
      <c r="U129">
        <v>1</v>
      </c>
    </row>
    <row r="130" spans="1:21" x14ac:dyDescent="0.15">
      <c r="A130">
        <v>54</v>
      </c>
      <c r="B130" t="s">
        <v>40</v>
      </c>
      <c r="C130">
        <f>INT(C127/(VLOOKUP(A130,技能参数,5,FALSE)+2*VLOOKUP(A130,技能参数,4,FALSE))+1)</f>
        <v>2</v>
      </c>
      <c r="D130">
        <f>VLOOKUP(A130,技能参数,4,FALSE)</f>
        <v>1.2</v>
      </c>
      <c r="E130">
        <f>VLOOKUP(A130*1000+D127,学习等级编码,2)</f>
        <v>5404</v>
      </c>
      <c r="F130">
        <f>INT(VLOOKUP($E130,技能升级,9,FALSE)*$C130*I130*J130)</f>
        <v>4400</v>
      </c>
      <c r="G130">
        <f>INT(VLOOKUP($E130,技能升级,10,FALSE)*$C130*I130*J130)</f>
        <v>0</v>
      </c>
      <c r="H130">
        <f>VLOOKUP($E130,技能升级,11,FALSE)*$C130</f>
        <v>280</v>
      </c>
      <c r="I130">
        <v>1</v>
      </c>
      <c r="J130">
        <v>1</v>
      </c>
      <c r="L130">
        <v>54</v>
      </c>
      <c r="M130" t="s">
        <v>40</v>
      </c>
      <c r="N130">
        <v>0</v>
      </c>
      <c r="O130">
        <f>VLOOKUP(L130,技能参数,4,FALSE)</f>
        <v>1.2</v>
      </c>
      <c r="P130">
        <f>VLOOKUP(L130*1000+O127,学习等级编码,2)</f>
        <v>5404</v>
      </c>
      <c r="Q130">
        <f>INT(VLOOKUP(P130,技能升级,9,FALSE)*N130*T130*U130)</f>
        <v>0</v>
      </c>
      <c r="R130">
        <f>INT(VLOOKUP(P130,技能升级,10,FALSE)*N130*T130*U130)</f>
        <v>0</v>
      </c>
      <c r="S130">
        <f>INT(VLOOKUP(P130,技能升级,11,FALSE)*N130*T130*U130)</f>
        <v>0</v>
      </c>
      <c r="T130">
        <v>1</v>
      </c>
      <c r="U130">
        <v>1</v>
      </c>
    </row>
    <row r="131" spans="1:21" x14ac:dyDescent="0.15">
      <c r="A131">
        <v>51</v>
      </c>
      <c r="B131" t="s">
        <v>203</v>
      </c>
      <c r="C131">
        <v>2</v>
      </c>
      <c r="D131">
        <f>VLOOKUP(A131,技能参数,4,FALSE)</f>
        <v>0.9</v>
      </c>
      <c r="E131">
        <f>VLOOKUP(A131*1000+D127,学习等级编码,2)</f>
        <v>5106</v>
      </c>
      <c r="F131">
        <f>INT(VLOOKUP($E131,技能升级,9,FALSE)*$C131*I131*J131)</f>
        <v>2720</v>
      </c>
      <c r="G131">
        <f>INT(VLOOKUP($E131,技能升级,10,FALSE)*$C131*I131*J131)</f>
        <v>0</v>
      </c>
      <c r="H131">
        <f>VLOOKUP($E131,技能升级,11,FALSE)*$C131</f>
        <v>250</v>
      </c>
      <c r="I131">
        <v>1</v>
      </c>
      <c r="J131">
        <v>1</v>
      </c>
      <c r="L131">
        <v>51</v>
      </c>
      <c r="M131" t="s">
        <v>203</v>
      </c>
      <c r="N131">
        <v>2</v>
      </c>
      <c r="O131">
        <f>VLOOKUP(L131,技能参数,4,FALSE)</f>
        <v>0.9</v>
      </c>
      <c r="P131">
        <f>VLOOKUP(L131*1000+O127,学习等级编码,2)</f>
        <v>5106</v>
      </c>
      <c r="Q131">
        <f>INT(VLOOKUP(P131,技能升级,9,FALSE)*N131*T131*U131)</f>
        <v>2720</v>
      </c>
      <c r="R131">
        <f>INT(VLOOKUP(P131,技能升级,10,FALSE)*N131*T131*U131)</f>
        <v>0</v>
      </c>
      <c r="S131">
        <f>INT(VLOOKUP(P131,技能升级,11,FALSE)*N131*T131*U131)</f>
        <v>250</v>
      </c>
      <c r="T131">
        <v>1</v>
      </c>
      <c r="U131">
        <v>1</v>
      </c>
    </row>
    <row r="132" spans="1:21" x14ac:dyDescent="0.15">
      <c r="A132">
        <v>51</v>
      </c>
      <c r="B132" t="s">
        <v>204</v>
      </c>
      <c r="C132">
        <f>INT((C127-C129*D129-C130*D130-D131*C131-C134-C135)/D132*3)</f>
        <v>22</v>
      </c>
      <c r="D132">
        <f>VLOOKUP(A132,技能参数,4,FALSE)</f>
        <v>0.9</v>
      </c>
      <c r="E132">
        <f>VLOOKUP(A132*1000+D127,学习等级编码,2)</f>
        <v>5106</v>
      </c>
      <c r="F132">
        <f>INT(VLOOKUP($E132,技能升级,9,FALSE)*$C132*I132*J132)</f>
        <v>17180</v>
      </c>
      <c r="G132">
        <f>INT(VLOOKUP($E132,技能升级,10,FALSE)*$C132*I132*J132)</f>
        <v>0</v>
      </c>
      <c r="H132">
        <f>INT(VLOOKUP($E132,技能升级,11,FALSE)*$C132*I132*J132)</f>
        <v>1579</v>
      </c>
      <c r="I132">
        <f>F133/1000</f>
        <v>0.45</v>
      </c>
      <c r="J132">
        <f>VLOOKUP(A127,$A$2:$I$21,9,FALSE)</f>
        <v>1.2759999999999998</v>
      </c>
      <c r="L132">
        <v>51</v>
      </c>
      <c r="M132" t="s">
        <v>204</v>
      </c>
      <c r="N132">
        <f>INT((N127-N129*O129-N130*O130-O131*N131-N134-N135)/O132*3)</f>
        <v>37</v>
      </c>
      <c r="O132">
        <f>VLOOKUP(L132,技能参数,4,FALSE)</f>
        <v>0.9</v>
      </c>
      <c r="P132">
        <f>VLOOKUP(L132*1000+O127,学习等级编码,2)</f>
        <v>5106</v>
      </c>
      <c r="Q132">
        <f>INT(VLOOKUP(P132,技能升级,9,FALSE)*N132*T132*U132)</f>
        <v>28893</v>
      </c>
      <c r="R132">
        <f>INT(VLOOKUP(P132,技能升级,10,FALSE)*N132*T132*U132)</f>
        <v>0</v>
      </c>
      <c r="S132">
        <f>INT(VLOOKUP(P132,技能升级,11,FALSE)*N132*T132*U132)</f>
        <v>2655</v>
      </c>
      <c r="T132">
        <f>Q133/1000</f>
        <v>0.45</v>
      </c>
      <c r="U132">
        <f>VLOOKUP(L127,$A$2:$I$21,9,FALSE)</f>
        <v>1.2759999999999998</v>
      </c>
    </row>
    <row r="133" spans="1:21" x14ac:dyDescent="0.15">
      <c r="A133">
        <v>55</v>
      </c>
      <c r="B133" t="s">
        <v>271</v>
      </c>
      <c r="C133">
        <v>1</v>
      </c>
      <c r="D133">
        <v>0</v>
      </c>
      <c r="E133">
        <f>VLOOKUP(A133*1000+D127,学习等级编码,2)</f>
        <v>5503</v>
      </c>
      <c r="F133">
        <f>INT(VLOOKUP($E133,技能升级,14,FALSE)*$C133*I133)</f>
        <v>450</v>
      </c>
      <c r="G133">
        <f>INT(VLOOKUP($E133,技能升级,10,FALSE)*$C133*I133)</f>
        <v>0</v>
      </c>
      <c r="H133">
        <f>VLOOKUP($E133,技能升级,11,FALSE)*$C133</f>
        <v>0</v>
      </c>
      <c r="I133">
        <v>1</v>
      </c>
      <c r="J133">
        <v>1</v>
      </c>
      <c r="L133">
        <v>55</v>
      </c>
      <c r="M133" t="s">
        <v>46</v>
      </c>
      <c r="N133">
        <v>1</v>
      </c>
      <c r="O133">
        <v>0</v>
      </c>
      <c r="P133">
        <f>VLOOKUP(L133*1000+O127,学习等级编码,2)</f>
        <v>5503</v>
      </c>
      <c r="Q133">
        <f>INT(VLOOKUP(P133,技能升级,9,FALSE)*N133*T133*U133)</f>
        <v>450</v>
      </c>
      <c r="R133">
        <f>INT(VLOOKUP($E133,技能升级,10,FALSE)*$C133*T133)</f>
        <v>0</v>
      </c>
      <c r="S133">
        <f>IFERROR(VLOOKUP(P133,技能升级,11,FALSE)*N133*T133*U133,0)</f>
        <v>0</v>
      </c>
      <c r="T133">
        <v>1</v>
      </c>
      <c r="U133">
        <v>1</v>
      </c>
    </row>
    <row r="134" spans="1:21" x14ac:dyDescent="0.15">
      <c r="A134">
        <v>204</v>
      </c>
      <c r="B134" t="s">
        <v>338</v>
      </c>
      <c r="C134">
        <v>3</v>
      </c>
      <c r="D134">
        <v>0</v>
      </c>
      <c r="E134">
        <f>IFERROR(VLOOKUP(A134*1000+D127,学习等级编码,2),0)</f>
        <v>20401</v>
      </c>
      <c r="F134">
        <f>IFERROR(INT(VLOOKUP($E134,技能升级,9,FALSE)*$C134*I134*J134),0)</f>
        <v>0</v>
      </c>
      <c r="G134">
        <f>IFERROR(INT(VLOOKUP($E134,技能升级,10,FALSE)*$C134*I134*J134),0)</f>
        <v>0</v>
      </c>
      <c r="H134">
        <f>IFERROR(VLOOKUP(E134,技能升级,11,FALSE)*C134,0)</f>
        <v>0</v>
      </c>
      <c r="I134">
        <v>1</v>
      </c>
      <c r="J134">
        <v>1</v>
      </c>
      <c r="L134">
        <v>204</v>
      </c>
      <c r="M134" t="s">
        <v>338</v>
      </c>
      <c r="N134">
        <v>0</v>
      </c>
      <c r="O134">
        <v>0</v>
      </c>
      <c r="P134">
        <f>IFERROR(VLOOKUP(L134*1000+O127,学习等级编码,2),0)</f>
        <v>20401</v>
      </c>
      <c r="Q134">
        <f>IFERROR(INT(VLOOKUP(P134,技能升级,9,FALSE)*N134*T134*U134),0)</f>
        <v>0</v>
      </c>
      <c r="R134">
        <f>IFERROR(INT(VLOOKUP(P134,技能升级,10,FALSE)*N134*T134*U134),0)</f>
        <v>0</v>
      </c>
      <c r="S134">
        <f>IFERROR(VLOOKUP(P134,技能升级,11,FALSE)*N134*T134*U134,0)</f>
        <v>0</v>
      </c>
      <c r="T134">
        <v>1</v>
      </c>
      <c r="U134">
        <v>1</v>
      </c>
    </row>
    <row r="135" spans="1:21" x14ac:dyDescent="0.15">
      <c r="B135" t="s">
        <v>342</v>
      </c>
      <c r="C135">
        <v>6</v>
      </c>
      <c r="D135">
        <v>0</v>
      </c>
      <c r="E135">
        <f>IFERROR(VLOOKUP(A135*1000+D127,学习等级编码,2),0)</f>
        <v>0</v>
      </c>
      <c r="F135">
        <f>IFERROR(INT(VLOOKUP($E135,技能升级,9,FALSE)*$C135*I135*J135),0)</f>
        <v>0</v>
      </c>
      <c r="G135">
        <f>IFERROR(INT(VLOOKUP($E135,技能升级,10,FALSE)*$C135*I135*J135),0)</f>
        <v>0</v>
      </c>
      <c r="H135">
        <f>IFERROR(VLOOKUP(E135,技能升级,11,FALSE)*C135*I135*J135,0)</f>
        <v>0</v>
      </c>
      <c r="I135">
        <v>1</v>
      </c>
      <c r="J135">
        <v>1</v>
      </c>
      <c r="M135" t="s">
        <v>342</v>
      </c>
      <c r="N135">
        <v>0</v>
      </c>
      <c r="O135">
        <v>0</v>
      </c>
      <c r="P135">
        <f>IFERROR(VLOOKUP(L135*1000+O127,学习等级编码,2),0)</f>
        <v>0</v>
      </c>
      <c r="Q135">
        <f>IFERROR(INT(VLOOKUP(P135,技能升级,9,FALSE)*N135*T135*U135),0)</f>
        <v>0</v>
      </c>
      <c r="R135">
        <f>IFERROR(INT(VLOOKUP(P135,技能升级,10,FALSE)*N135*T135*U135),0)</f>
        <v>0</v>
      </c>
      <c r="S135">
        <f>IFERROR(VLOOKUP(P135,技能升级,11,FALSE)*N135*T135*U135,0)</f>
        <v>0</v>
      </c>
      <c r="T135">
        <v>1</v>
      </c>
      <c r="U135">
        <v>1</v>
      </c>
    </row>
    <row r="136" spans="1:21" x14ac:dyDescent="0.15">
      <c r="E136" t="s">
        <v>194</v>
      </c>
      <c r="F136">
        <f>SUM(F129:F132)/1000</f>
        <v>29.8</v>
      </c>
      <c r="G136">
        <f>SUM(G129:G132)/1000</f>
        <v>0</v>
      </c>
      <c r="H136">
        <f>SUM(H129:H132)</f>
        <v>2343</v>
      </c>
      <c r="I136" t="s">
        <v>196</v>
      </c>
      <c r="J136" t="s">
        <v>197</v>
      </c>
      <c r="P136" t="s">
        <v>194</v>
      </c>
      <c r="Q136">
        <f>SUM(Q129:Q132)/1000</f>
        <v>31.613</v>
      </c>
      <c r="R136">
        <f>SUM(R129:R132)/1000</f>
        <v>0</v>
      </c>
      <c r="S136">
        <f>SUM(S129:S132)</f>
        <v>2905</v>
      </c>
      <c r="T136" t="s">
        <v>196</v>
      </c>
      <c r="U136" t="s">
        <v>197</v>
      </c>
    </row>
    <row r="137" spans="1:21" x14ac:dyDescent="0.15">
      <c r="E137" t="s">
        <v>195</v>
      </c>
      <c r="F137">
        <f>INT((IF($A127&gt;10000,VLOOKUP($A127,实战属性,13,FALSE),VLOOKUP($A127,总基本属性,7,FALSE))-
IF($B127&gt;10000,VLOOKUP($B127,实战属性,15,FALSE),VLOOKUP($B127,总基本属性,9,FALSE))*$L$13)*F136)</f>
        <v>31707</v>
      </c>
      <c r="G137">
        <f>INT((IF($A127&gt;10000,VLOOKUP($A127,实战属性,14,FALSE),VLOOKUP($A127,总基本属性,8,FALSE))-
IF($B127&gt;10000,VLOOKUP($B127,实战属性,16,FALSE),VLOOKUP($B127,总基本属性,10,FALSE))*$L$13)*G136)</f>
        <v>0</v>
      </c>
      <c r="H137">
        <f>H136+F137+G137</f>
        <v>34050</v>
      </c>
      <c r="I137">
        <f>IF($B127&gt;10000,VLOOKUP($B127,实战属性,12,FALSE),VLOOKUP($B127,总基本属性,6,FALSE))</f>
        <v>34473</v>
      </c>
      <c r="J137">
        <f>ROUND(I137/H137,2)</f>
        <v>1.01</v>
      </c>
      <c r="P137" t="s">
        <v>195</v>
      </c>
      <c r="Q137">
        <f>INT((IF($A127&gt;10000,VLOOKUP($A127,实战属性,13,FALSE),VLOOKUP($A127,总基本属性,7,FALSE))-
IF($B127&gt;10000,VLOOKUP($B127,实战属性,15,FALSE),VLOOKUP($B127,总基本属性,9,FALSE))*$L$13)*Q136)</f>
        <v>33636</v>
      </c>
      <c r="R137">
        <f>INT((IF($A127&gt;10000,VLOOKUP($A127,实战属性,14,FALSE),VLOOKUP($A127,总基本属性,8,FALSE))-
IF($B127&gt;10000,VLOOKUP($B127,实战属性,16,FALSE),VLOOKUP($B127,总基本属性,10,FALSE))*$L$13)*R136)</f>
        <v>0</v>
      </c>
      <c r="S137">
        <f>S136+Q137+R137</f>
        <v>36541</v>
      </c>
      <c r="T137">
        <f>IF($B127&gt;10000,VLOOKUP($B127,实战属性,12,FALSE),VLOOKUP($B127,总基本属性,6,FALSE))</f>
        <v>34473</v>
      </c>
      <c r="U137">
        <f>ROUND(T137/S137,2)</f>
        <v>0.94</v>
      </c>
    </row>
    <row r="141" spans="1:21" x14ac:dyDescent="0.15">
      <c r="A141" s="8" t="s">
        <v>4</v>
      </c>
      <c r="B141" s="8" t="s">
        <v>6</v>
      </c>
      <c r="C141" s="8" t="s">
        <v>178</v>
      </c>
      <c r="D141" s="8" t="s">
        <v>0</v>
      </c>
    </row>
    <row r="142" spans="1:21" x14ac:dyDescent="0.15">
      <c r="A142">
        <f>A114+10</f>
        <v>3050</v>
      </c>
      <c r="B142">
        <f>B114+10</f>
        <v>5050</v>
      </c>
      <c r="C142">
        <v>19</v>
      </c>
      <c r="D142">
        <f>MOD(A142,1000)</f>
        <v>50</v>
      </c>
    </row>
    <row r="143" spans="1:21" x14ac:dyDescent="0.15">
      <c r="A143" t="s">
        <v>156</v>
      </c>
      <c r="B143" t="s">
        <v>95</v>
      </c>
      <c r="C143" t="s">
        <v>142</v>
      </c>
      <c r="D143" t="s">
        <v>143</v>
      </c>
      <c r="E143" t="s">
        <v>182</v>
      </c>
      <c r="F143" t="s">
        <v>192</v>
      </c>
      <c r="G143" t="s">
        <v>193</v>
      </c>
      <c r="H143" t="s">
        <v>176</v>
      </c>
      <c r="I143" t="s">
        <v>205</v>
      </c>
      <c r="J143" t="s">
        <v>206</v>
      </c>
    </row>
    <row r="144" spans="1:21" x14ac:dyDescent="0.15">
      <c r="A144">
        <v>32</v>
      </c>
      <c r="B144" t="s">
        <v>26</v>
      </c>
      <c r="C144">
        <f>INT(C142/(VLOOKUP(A144,技能参数,5,FALSE)+2*VLOOKUP(A144,技能参数,4,FALSE))+3)</f>
        <v>3</v>
      </c>
      <c r="D144">
        <f>VLOOKUP(A144,技能参数,4,FALSE)</f>
        <v>1</v>
      </c>
      <c r="E144">
        <f>IFERROR(VLOOKUP(A144*1000+D142,学习等级编码,2),0)</f>
        <v>3205</v>
      </c>
      <c r="F144">
        <f>IFERROR(INT(VLOOKUP($E144,技能升级,9,FALSE)*$C144*I144*J144),0)</f>
        <v>0</v>
      </c>
      <c r="G144">
        <f>IFERROR(INT(VLOOKUP($E144,技能升级,10,FALSE)*$C144*I144*J144),0)</f>
        <v>4170</v>
      </c>
      <c r="H144">
        <f>INT(VLOOKUP($E144,技能升级,11,FALSE)*$C144*I144*J144)</f>
        <v>498</v>
      </c>
      <c r="I144">
        <v>1</v>
      </c>
      <c r="J144">
        <v>1</v>
      </c>
    </row>
    <row r="145" spans="1:21" x14ac:dyDescent="0.15">
      <c r="A145">
        <v>34</v>
      </c>
      <c r="B145" t="s">
        <v>34</v>
      </c>
      <c r="C145">
        <f>INT(C142/(VLOOKUP(A145,技能参数,5,FALSE)+2*VLOOKUP(A145,技能参数,4,FALSE))+1)</f>
        <v>1</v>
      </c>
      <c r="D145">
        <f>VLOOKUP(A145,技能参数,4,FALSE)</f>
        <v>1.5</v>
      </c>
      <c r="E145">
        <f>IFERROR(VLOOKUP(A145*1000+D142,学习等级编码,2),0)</f>
        <v>3405</v>
      </c>
      <c r="F145">
        <f>IFERROR(INT(VLOOKUP($E145,技能升级,9,FALSE)*$C145*I145*J145),0)</f>
        <v>1830</v>
      </c>
      <c r="G145">
        <f>IFERROR(INT(VLOOKUP($E145,技能升级,10,FALSE)*$C145*I145*J145),0)</f>
        <v>0</v>
      </c>
      <c r="H145">
        <f>INT(VLOOKUP($E145,技能升级,11,FALSE)*$C145*I145*J145)</f>
        <v>205</v>
      </c>
      <c r="I145">
        <v>1</v>
      </c>
      <c r="J145">
        <v>1</v>
      </c>
    </row>
    <row r="146" spans="1:21" x14ac:dyDescent="0.15">
      <c r="A146">
        <v>35</v>
      </c>
      <c r="B146" t="s">
        <v>28</v>
      </c>
      <c r="C146">
        <v>3</v>
      </c>
      <c r="D146">
        <f>VLOOKUP(A146,技能参数,4,FALSE)</f>
        <v>2</v>
      </c>
      <c r="E146">
        <f>IFERROR(VLOOKUP(A146*1000+D142,学习等级编码,2),0)</f>
        <v>3503</v>
      </c>
      <c r="F146">
        <f>IFERROR(INT(VLOOKUP($E146,技能升级,9,FALSE)*$C146*I146*J146),0)</f>
        <v>6990</v>
      </c>
      <c r="G146">
        <f>IFERROR(INT(VLOOKUP($E146,技能升级,10,FALSE)*$C146*I146*J146),0)</f>
        <v>0</v>
      </c>
      <c r="H146">
        <f>INT(VLOOKUP($E146,技能升级,11,FALSE)*$C146*I146*J146)</f>
        <v>483</v>
      </c>
      <c r="I146">
        <v>1</v>
      </c>
      <c r="J146">
        <v>1</v>
      </c>
    </row>
    <row r="147" spans="1:21" x14ac:dyDescent="0.15">
      <c r="A147">
        <v>31</v>
      </c>
      <c r="B147" t="s">
        <v>91</v>
      </c>
      <c r="C147">
        <f>INT((C142-C144*D144-C145*D145-C146*D146-C149)/D147)</f>
        <v>10</v>
      </c>
      <c r="D147">
        <f>VLOOKUP(A147,技能参数,4,FALSE)</f>
        <v>0.8</v>
      </c>
      <c r="E147">
        <f>IFERROR(VLOOKUP(A147*1000+D142,学习等级编码,2),0)</f>
        <v>3108</v>
      </c>
      <c r="F147">
        <f>IFERROR(INT(VLOOKUP($E147,技能升级,9,FALSE)*$C147*I147*J147),0)</f>
        <v>11500</v>
      </c>
      <c r="G147">
        <f>IFERROR(INT(VLOOKUP($E147,技能升级,10,FALSE)*$C147*I147*J147),0)</f>
        <v>0</v>
      </c>
      <c r="H147">
        <f>INT(VLOOKUP($E147,技能升级,11,FALSE)*$C147*I147*J147)</f>
        <v>2190</v>
      </c>
      <c r="I147">
        <v>1</v>
      </c>
      <c r="J147">
        <f>VLOOKUP(A142,$A$2:$I$21,7,FALSE)</f>
        <v>1</v>
      </c>
    </row>
    <row r="148" spans="1:21" x14ac:dyDescent="0.15">
      <c r="A148">
        <v>203</v>
      </c>
      <c r="B148" t="s">
        <v>340</v>
      </c>
      <c r="C148">
        <f>INT((C142)/3)</f>
        <v>6</v>
      </c>
      <c r="D148">
        <v>0</v>
      </c>
      <c r="E148">
        <f>IFERROR(VLOOKUP(A148*1000+D142,学习等级编码,2),0)</f>
        <v>20305</v>
      </c>
      <c r="F148">
        <f>IFERROR(INT(VLOOKUP($E148,技能升级,9,FALSE)*$C148*I148*J148),0)</f>
        <v>0</v>
      </c>
      <c r="G148">
        <f>IFERROR(INT(VLOOKUP($E148,技能升级,10,FALSE)*$C148*I148*J148),0)</f>
        <v>0</v>
      </c>
      <c r="H148">
        <f>INT((VLOOKUP(E148,技能升级,13,FALSE)*(VLOOKUP(C148,中毒数据,4)+MOD(C142,3)*VLOOKUP(C148+1,中毒数据,3))+VLOOKUP(E148,技能升级,14,FALSE)/1000*C148*IF($B142&gt;10000,VLOOKUP($B142,实战属性,12,FALSE),VLOOKUP($B142,总基本属性,6,FALSE)))*I148*J148)</f>
        <v>16131</v>
      </c>
      <c r="I148">
        <v>1</v>
      </c>
      <c r="J148">
        <f>VLOOKUP(A142,$A$2:$I$21,8,FALSE)</f>
        <v>0.93</v>
      </c>
    </row>
    <row r="149" spans="1:21" x14ac:dyDescent="0.15">
      <c r="B149" t="s">
        <v>402</v>
      </c>
      <c r="C149">
        <v>0</v>
      </c>
    </row>
    <row r="150" spans="1:21" x14ac:dyDescent="0.15">
      <c r="E150" t="s">
        <v>194</v>
      </c>
      <c r="F150">
        <f>SUM(F144:F148)/1000</f>
        <v>20.32</v>
      </c>
      <c r="G150">
        <f>SUM(G144:G148)/1000</f>
        <v>4.17</v>
      </c>
      <c r="H150">
        <f>SUM(H144:H148)</f>
        <v>19507</v>
      </c>
      <c r="I150" t="s">
        <v>196</v>
      </c>
      <c r="J150" t="s">
        <v>197</v>
      </c>
    </row>
    <row r="151" spans="1:21" x14ac:dyDescent="0.15">
      <c r="E151" t="s">
        <v>195</v>
      </c>
      <c r="F151">
        <f>INT((IF($A142&gt;10000,VLOOKUP($A142,实战属性,13,FALSE),VLOOKUP($A142,总基本属性,7,FALSE))-
IF($B142&gt;10000,VLOOKUP($B142,实战属性,15,FALSE),VLOOKUP($B142,总基本属性,9,FALSE))*$L$13)*F150)</f>
        <v>21315</v>
      </c>
      <c r="G151">
        <f>INT((IF($A142&gt;10000,VLOOKUP($A142,实战属性,14,FALSE),VLOOKUP($A142,总基本属性,8,FALSE))-
IF($B142&gt;10000,VLOOKUP($B142,实战属性,16,FALSE),VLOOKUP($B142,总基本属性,10,FALSE))*$L$13)*G150)</f>
        <v>4374</v>
      </c>
      <c r="H151">
        <f>H150+F151+G151</f>
        <v>45196</v>
      </c>
      <c r="I151">
        <f>IF($B142&gt;10000,VLOOKUP($B142,实战属性,12,FALSE),VLOOKUP($B142,总基本属性,6,FALSE))</f>
        <v>44352</v>
      </c>
      <c r="J151">
        <f>ROUND(I151/H151,2)</f>
        <v>0.98</v>
      </c>
    </row>
    <row r="154" spans="1:21" x14ac:dyDescent="0.15">
      <c r="A154" s="9" t="s">
        <v>198</v>
      </c>
      <c r="B154" s="9" t="s">
        <v>337</v>
      </c>
      <c r="C154" s="9" t="s">
        <v>178</v>
      </c>
      <c r="D154" s="9" t="s">
        <v>144</v>
      </c>
      <c r="L154" s="9" t="s">
        <v>6</v>
      </c>
      <c r="M154" s="9" t="s">
        <v>4</v>
      </c>
      <c r="N154" s="9" t="s">
        <v>178</v>
      </c>
      <c r="O154" s="9" t="s">
        <v>0</v>
      </c>
    </row>
    <row r="155" spans="1:21" x14ac:dyDescent="0.15">
      <c r="A155">
        <f>A127+10</f>
        <v>5050</v>
      </c>
      <c r="B155">
        <f>B127+10</f>
        <v>3050</v>
      </c>
      <c r="C155">
        <v>23</v>
      </c>
      <c r="D155">
        <f>MOD(A155,1000)</f>
        <v>50</v>
      </c>
      <c r="L155">
        <f>A155</f>
        <v>5050</v>
      </c>
      <c r="M155">
        <f>B155</f>
        <v>3050</v>
      </c>
      <c r="N155">
        <v>13</v>
      </c>
      <c r="O155">
        <f>MOD(L155,1000)</f>
        <v>50</v>
      </c>
    </row>
    <row r="156" spans="1:21" x14ac:dyDescent="0.15">
      <c r="A156" t="s">
        <v>156</v>
      </c>
      <c r="B156" t="s">
        <v>95</v>
      </c>
      <c r="C156" t="s">
        <v>142</v>
      </c>
      <c r="D156" t="s">
        <v>143</v>
      </c>
      <c r="E156" t="s">
        <v>182</v>
      </c>
      <c r="F156" t="s">
        <v>192</v>
      </c>
      <c r="G156" t="s">
        <v>193</v>
      </c>
      <c r="H156" t="s">
        <v>176</v>
      </c>
      <c r="I156" t="s">
        <v>205</v>
      </c>
      <c r="J156" t="s">
        <v>206</v>
      </c>
      <c r="L156" t="s">
        <v>156</v>
      </c>
      <c r="M156" t="s">
        <v>95</v>
      </c>
      <c r="N156" t="s">
        <v>142</v>
      </c>
      <c r="O156" t="s">
        <v>143</v>
      </c>
      <c r="P156" t="s">
        <v>182</v>
      </c>
      <c r="Q156" t="s">
        <v>192</v>
      </c>
      <c r="R156" t="s">
        <v>193</v>
      </c>
      <c r="S156" t="s">
        <v>176</v>
      </c>
      <c r="T156" t="s">
        <v>205</v>
      </c>
      <c r="U156" t="s">
        <v>206</v>
      </c>
    </row>
    <row r="157" spans="1:21" x14ac:dyDescent="0.15">
      <c r="A157">
        <v>52</v>
      </c>
      <c r="B157" t="s">
        <v>44</v>
      </c>
      <c r="C157">
        <f>INT(C155/(VLOOKUP(A157,技能参数,5,FALSE)+2*VLOOKUP(A157,技能参数,4,FALSE))+1)</f>
        <v>2</v>
      </c>
      <c r="D157">
        <f>VLOOKUP(A157,技能参数,4,FALSE)</f>
        <v>1.5</v>
      </c>
      <c r="E157">
        <f>VLOOKUP(A157*1000+D155,学习等级编码,2)</f>
        <v>5205</v>
      </c>
      <c r="F157">
        <f>INT(VLOOKUP($E157,技能升级,9,FALSE)*$C157*I157*J157)</f>
        <v>5660</v>
      </c>
      <c r="G157">
        <f>INT(VLOOKUP($E157,技能升级,10,FALSE)*$C157*I157*J157)</f>
        <v>0</v>
      </c>
      <c r="H157">
        <f>VLOOKUP($E157,技能升级,11,FALSE)*$C157</f>
        <v>352</v>
      </c>
      <c r="I157">
        <v>1</v>
      </c>
      <c r="J157">
        <v>1</v>
      </c>
      <c r="L157">
        <v>52</v>
      </c>
      <c r="M157" t="s">
        <v>44</v>
      </c>
      <c r="N157">
        <v>0</v>
      </c>
      <c r="O157">
        <f>VLOOKUP(L157,技能参数,4,FALSE)</f>
        <v>1.5</v>
      </c>
      <c r="P157">
        <f>VLOOKUP(L157*1000+O155,学习等级编码,2)</f>
        <v>5205</v>
      </c>
      <c r="Q157">
        <f>INT(VLOOKUP(P157,技能升级,9,FALSE)*N157*T157*U157)</f>
        <v>0</v>
      </c>
      <c r="R157">
        <f>INT(VLOOKUP(P157,技能升级,10,FALSE)*N157*T157*U157)</f>
        <v>0</v>
      </c>
      <c r="S157">
        <f>INT(VLOOKUP(P157,技能升级,11,FALSE)*N157*T157*U157)</f>
        <v>0</v>
      </c>
      <c r="T157">
        <v>1</v>
      </c>
      <c r="U157">
        <v>1</v>
      </c>
    </row>
    <row r="158" spans="1:21" x14ac:dyDescent="0.15">
      <c r="A158">
        <v>54</v>
      </c>
      <c r="B158" t="s">
        <v>40</v>
      </c>
      <c r="C158">
        <f>INT(C155/(VLOOKUP(A158,技能参数,5,FALSE)+2*VLOOKUP(A158,技能参数,4,FALSE))+1)</f>
        <v>2</v>
      </c>
      <c r="D158">
        <f>VLOOKUP(A158,技能参数,4,FALSE)</f>
        <v>1.2</v>
      </c>
      <c r="E158">
        <f>VLOOKUP(A158*1000+D155,学习等级编码,2)</f>
        <v>5405</v>
      </c>
      <c r="F158">
        <f>INT(VLOOKUP($E158,技能升级,9,FALSE)*$C158*I158*J158)</f>
        <v>4540</v>
      </c>
      <c r="G158">
        <f>INT(VLOOKUP($E158,技能升级,10,FALSE)*$C158*I158*J158)</f>
        <v>0</v>
      </c>
      <c r="H158">
        <f>VLOOKUP($E158,技能升级,11,FALSE)*$C158</f>
        <v>410</v>
      </c>
      <c r="I158">
        <v>1</v>
      </c>
      <c r="J158">
        <v>1</v>
      </c>
      <c r="L158">
        <v>54</v>
      </c>
      <c r="M158" t="s">
        <v>40</v>
      </c>
      <c r="N158">
        <v>0</v>
      </c>
      <c r="O158">
        <f>VLOOKUP(L158,技能参数,4,FALSE)</f>
        <v>1.2</v>
      </c>
      <c r="P158">
        <f>VLOOKUP(L158*1000+O155,学习等级编码,2)</f>
        <v>5405</v>
      </c>
      <c r="Q158">
        <f>INT(VLOOKUP(P158,技能升级,9,FALSE)*N158*T158*U158)</f>
        <v>0</v>
      </c>
      <c r="R158">
        <f>INT(VLOOKUP(P158,技能升级,10,FALSE)*N158*T158*U158)</f>
        <v>0</v>
      </c>
      <c r="S158">
        <f>INT(VLOOKUP(P158,技能升级,11,FALSE)*N158*T158*U158)</f>
        <v>0</v>
      </c>
      <c r="T158">
        <v>1</v>
      </c>
      <c r="U158">
        <v>1</v>
      </c>
    </row>
    <row r="159" spans="1:21" x14ac:dyDescent="0.15">
      <c r="A159">
        <v>51</v>
      </c>
      <c r="B159" t="s">
        <v>203</v>
      </c>
      <c r="C159">
        <v>2</v>
      </c>
      <c r="D159">
        <f>VLOOKUP(A159,技能参数,4,FALSE)</f>
        <v>0.9</v>
      </c>
      <c r="E159">
        <f>VLOOKUP(A159*1000+D155,学习等级编码,2)</f>
        <v>5108</v>
      </c>
      <c r="F159">
        <f>INT(VLOOKUP($E159,技能升级,9,FALSE)*$C159*I159*J159)</f>
        <v>2820</v>
      </c>
      <c r="G159">
        <f>INT(VLOOKUP($E159,技能升级,10,FALSE)*$C159*I159*J159)</f>
        <v>0</v>
      </c>
      <c r="H159">
        <f>VLOOKUP($E159,技能升级,11,FALSE)*$C159</f>
        <v>438</v>
      </c>
      <c r="I159">
        <v>1</v>
      </c>
      <c r="J159">
        <v>1</v>
      </c>
      <c r="L159">
        <v>51</v>
      </c>
      <c r="M159" t="s">
        <v>203</v>
      </c>
      <c r="N159">
        <v>2</v>
      </c>
      <c r="O159">
        <f>VLOOKUP(L159,技能参数,4,FALSE)</f>
        <v>0.9</v>
      </c>
      <c r="P159">
        <f>VLOOKUP(L159*1000+O155,学习等级编码,2)</f>
        <v>5108</v>
      </c>
      <c r="Q159">
        <f>INT(VLOOKUP(P159,技能升级,9,FALSE)*N159*T159*U159)</f>
        <v>2820</v>
      </c>
      <c r="R159">
        <f>INT(VLOOKUP(P159,技能升级,10,FALSE)*N159*T159*U159)</f>
        <v>0</v>
      </c>
      <c r="S159">
        <f>INT(VLOOKUP(P159,技能升级,11,FALSE)*N159*T159*U159)</f>
        <v>438</v>
      </c>
      <c r="T159">
        <v>1</v>
      </c>
      <c r="U159">
        <v>1</v>
      </c>
    </row>
    <row r="160" spans="1:21" x14ac:dyDescent="0.15">
      <c r="A160">
        <v>51</v>
      </c>
      <c r="B160" t="s">
        <v>204</v>
      </c>
      <c r="C160">
        <f>INT((C155-C157*D157-C158*D158-D159*C159-C162-C163)/D160*3)</f>
        <v>22</v>
      </c>
      <c r="D160">
        <f>VLOOKUP(A160,技能参数,4,FALSE)</f>
        <v>0.9</v>
      </c>
      <c r="E160">
        <f>VLOOKUP(A160*1000+D155,学习等级编码,2)</f>
        <v>5108</v>
      </c>
      <c r="F160">
        <f>INT(VLOOKUP($E160,技能升级,9,FALSE)*$C160*I160*J160)</f>
        <v>17253</v>
      </c>
      <c r="G160">
        <f>INT(VLOOKUP($E160,技能升级,10,FALSE)*$C160*I160*J160)</f>
        <v>0</v>
      </c>
      <c r="H160">
        <f>INT(VLOOKUP($E160,技能升级,11,FALSE)*$C160*I160*J160)</f>
        <v>2679</v>
      </c>
      <c r="I160">
        <f>F161/1000</f>
        <v>0.45</v>
      </c>
      <c r="J160">
        <f>VLOOKUP(A155,$A$2:$I$21,9,FALSE)</f>
        <v>1.2360000000000002</v>
      </c>
      <c r="L160">
        <v>51</v>
      </c>
      <c r="M160" t="s">
        <v>204</v>
      </c>
      <c r="N160">
        <f>INT((N155-N157*O157-N158*O158-O159*N159-N162-N163)/O160*3)</f>
        <v>37</v>
      </c>
      <c r="O160">
        <f>VLOOKUP(L160,技能参数,4,FALSE)</f>
        <v>0.9</v>
      </c>
      <c r="P160">
        <f>VLOOKUP(L160*1000+O155,学习等级编码,2)</f>
        <v>5108</v>
      </c>
      <c r="Q160">
        <f>INT(VLOOKUP(P160,技能升级,9,FALSE)*N160*T160*U160)</f>
        <v>29016</v>
      </c>
      <c r="R160">
        <f>INT(VLOOKUP(P160,技能升级,10,FALSE)*N160*T160*U160)</f>
        <v>0</v>
      </c>
      <c r="S160">
        <f>INT(VLOOKUP(P160,技能升级,11,FALSE)*N160*T160*U160)</f>
        <v>4506</v>
      </c>
      <c r="T160">
        <f>Q161/1000</f>
        <v>0.45</v>
      </c>
      <c r="U160">
        <f>VLOOKUP(L155,$A$2:$I$21,9,FALSE)</f>
        <v>1.2360000000000002</v>
      </c>
    </row>
    <row r="161" spans="1:21" x14ac:dyDescent="0.15">
      <c r="A161">
        <v>55</v>
      </c>
      <c r="B161" t="s">
        <v>271</v>
      </c>
      <c r="C161">
        <v>1</v>
      </c>
      <c r="D161">
        <v>0</v>
      </c>
      <c r="E161">
        <f>VLOOKUP(A161*1000+D155,学习等级编码,2)</f>
        <v>5503</v>
      </c>
      <c r="F161">
        <f>INT(VLOOKUP($E161,技能升级,14,FALSE)*$C161*I161)</f>
        <v>450</v>
      </c>
      <c r="G161">
        <f>INT(VLOOKUP($E161,技能升级,10,FALSE)*$C161*I161)</f>
        <v>0</v>
      </c>
      <c r="H161">
        <f>VLOOKUP($E161,技能升级,11,FALSE)*$C161</f>
        <v>0</v>
      </c>
      <c r="I161">
        <v>1</v>
      </c>
      <c r="J161">
        <v>1</v>
      </c>
      <c r="L161">
        <v>55</v>
      </c>
      <c r="M161" t="s">
        <v>46</v>
      </c>
      <c r="N161">
        <v>1</v>
      </c>
      <c r="O161">
        <v>0</v>
      </c>
      <c r="P161">
        <f>VLOOKUP(L161*1000+O155,学习等级编码,2)</f>
        <v>5503</v>
      </c>
      <c r="Q161">
        <f>INT(VLOOKUP(P161,技能升级,9,FALSE)*N161*T161*U161)</f>
        <v>450</v>
      </c>
      <c r="R161">
        <f>INT(VLOOKUP($E161,技能升级,10,FALSE)*$C161*T161)</f>
        <v>0</v>
      </c>
      <c r="S161">
        <f>IFERROR(VLOOKUP(P161,技能升级,11,FALSE)*N161*T161*U161,0)</f>
        <v>0</v>
      </c>
      <c r="T161">
        <v>1</v>
      </c>
      <c r="U161">
        <v>1</v>
      </c>
    </row>
    <row r="162" spans="1:21" x14ac:dyDescent="0.15">
      <c r="A162">
        <v>204</v>
      </c>
      <c r="B162" t="s">
        <v>338</v>
      </c>
      <c r="C162">
        <v>3</v>
      </c>
      <c r="D162">
        <v>0</v>
      </c>
      <c r="E162">
        <f>IFERROR(VLOOKUP(A162*1000+D155,学习等级编码,2),0)</f>
        <v>20401</v>
      </c>
      <c r="F162">
        <f>IFERROR(INT(VLOOKUP($E162,技能升级,9,FALSE)*$C162*I162*J162),0)</f>
        <v>0</v>
      </c>
      <c r="G162">
        <f>IFERROR(INT(VLOOKUP($E162,技能升级,10,FALSE)*$C162*I162*J162),0)</f>
        <v>0</v>
      </c>
      <c r="H162">
        <f>IFERROR(VLOOKUP(E162,技能升级,11,FALSE)*C162,0)</f>
        <v>0</v>
      </c>
      <c r="I162">
        <v>1</v>
      </c>
      <c r="J162">
        <v>1</v>
      </c>
      <c r="L162">
        <v>204</v>
      </c>
      <c r="M162" t="s">
        <v>338</v>
      </c>
      <c r="N162">
        <v>0</v>
      </c>
      <c r="O162">
        <v>0</v>
      </c>
      <c r="P162">
        <f>IFERROR(VLOOKUP(L162*1000+O155,学习等级编码,2),0)</f>
        <v>20401</v>
      </c>
      <c r="Q162">
        <f>IFERROR(INT(VLOOKUP(P162,技能升级,9,FALSE)*N162*T162*U162),0)</f>
        <v>0</v>
      </c>
      <c r="R162">
        <f>IFERROR(INT(VLOOKUP(P162,技能升级,10,FALSE)*N162*T162*U162),0)</f>
        <v>0</v>
      </c>
      <c r="S162">
        <f>IFERROR(VLOOKUP(P162,技能升级,11,FALSE)*N162*T162*U162,0)</f>
        <v>0</v>
      </c>
      <c r="T162">
        <v>1</v>
      </c>
      <c r="U162">
        <v>1</v>
      </c>
    </row>
    <row r="163" spans="1:21" x14ac:dyDescent="0.15">
      <c r="B163" t="s">
        <v>342</v>
      </c>
      <c r="C163">
        <v>6</v>
      </c>
      <c r="D163">
        <v>0</v>
      </c>
      <c r="E163">
        <f>IFERROR(VLOOKUP(A163*1000+D155,学习等级编码,2),0)</f>
        <v>0</v>
      </c>
      <c r="F163">
        <f>IFERROR(INT(VLOOKUP($E163,技能升级,9,FALSE)*$C163*I163*J163),0)</f>
        <v>0</v>
      </c>
      <c r="G163">
        <f>IFERROR(INT(VLOOKUP($E163,技能升级,10,FALSE)*$C163*I163*J163),0)</f>
        <v>0</v>
      </c>
      <c r="H163">
        <f>IFERROR(VLOOKUP(E163,技能升级,11,FALSE)*C163*I163*J163,0)</f>
        <v>0</v>
      </c>
      <c r="I163">
        <v>1</v>
      </c>
      <c r="J163">
        <v>1</v>
      </c>
      <c r="M163" t="s">
        <v>342</v>
      </c>
      <c r="N163">
        <v>0</v>
      </c>
      <c r="O163">
        <v>0</v>
      </c>
      <c r="P163">
        <f>IFERROR(VLOOKUP(L163*1000+O155,学习等级编码,2),0)</f>
        <v>0</v>
      </c>
      <c r="Q163">
        <f>IFERROR(INT(VLOOKUP(P163,技能升级,9,FALSE)*N163*T163*U163),0)</f>
        <v>0</v>
      </c>
      <c r="R163">
        <f>IFERROR(INT(VLOOKUP(P163,技能升级,10,FALSE)*N163*T163*U163),0)</f>
        <v>0</v>
      </c>
      <c r="S163">
        <f>IFERROR(VLOOKUP(P163,技能升级,11,FALSE)*N163*T163*U163,0)</f>
        <v>0</v>
      </c>
      <c r="T163">
        <v>1</v>
      </c>
      <c r="U163">
        <v>1</v>
      </c>
    </row>
    <row r="164" spans="1:21" x14ac:dyDescent="0.15">
      <c r="E164" t="s">
        <v>194</v>
      </c>
      <c r="F164">
        <f>SUM(F157:F160)/1000</f>
        <v>30.273</v>
      </c>
      <c r="G164">
        <f>SUM(G157:G160)/1000</f>
        <v>0</v>
      </c>
      <c r="H164">
        <f>SUM(H157:H160)</f>
        <v>3879</v>
      </c>
      <c r="I164" t="s">
        <v>196</v>
      </c>
      <c r="J164" t="s">
        <v>197</v>
      </c>
      <c r="P164" t="s">
        <v>194</v>
      </c>
      <c r="Q164">
        <f>SUM(Q157:Q160)/1000</f>
        <v>31.835999999999999</v>
      </c>
      <c r="R164">
        <f>SUM(R157:R160)/1000</f>
        <v>0</v>
      </c>
      <c r="S164">
        <f>SUM(S157:S160)</f>
        <v>4944</v>
      </c>
      <c r="T164" t="s">
        <v>196</v>
      </c>
      <c r="U164" t="s">
        <v>197</v>
      </c>
    </row>
    <row r="165" spans="1:21" x14ac:dyDescent="0.15">
      <c r="E165" t="s">
        <v>195</v>
      </c>
      <c r="F165">
        <f>INT((IF($A155&gt;10000,VLOOKUP($A155,实战属性,13,FALSE),VLOOKUP($A155,总基本属性,7,FALSE))-
IF($B155&gt;10000,VLOOKUP($B155,实战属性,15,FALSE),VLOOKUP($B155,总基本属性,9,FALSE))*$L$13)*F164)</f>
        <v>44652</v>
      </c>
      <c r="G165">
        <f>INT((IF($A155&gt;10000,VLOOKUP($A155,实战属性,14,FALSE),VLOOKUP($A155,总基本属性,8,FALSE))-
IF($B155&gt;10000,VLOOKUP($B155,实战属性,16,FALSE),VLOOKUP($B155,总基本属性,10,FALSE))*$L$13)*G164)</f>
        <v>0</v>
      </c>
      <c r="H165">
        <f>H164+F165+G165</f>
        <v>48531</v>
      </c>
      <c r="I165">
        <f>IF($B155&gt;10000,VLOOKUP($B155,实战属性,12,FALSE),VLOOKUP($B155,总基本属性,6,FALSE))</f>
        <v>49896</v>
      </c>
      <c r="J165">
        <f>ROUND(I165/H165,2)</f>
        <v>1.03</v>
      </c>
      <c r="P165" t="s">
        <v>195</v>
      </c>
      <c r="Q165">
        <f>INT((IF($A155&gt;10000,VLOOKUP($A155,实战属性,13,FALSE),VLOOKUP($A155,总基本属性,7,FALSE))-
IF($B155&gt;10000,VLOOKUP($B155,实战属性,15,FALSE),VLOOKUP($B155,总基本属性,9,FALSE))*$L$13)*Q164)</f>
        <v>46958</v>
      </c>
      <c r="R165">
        <f>INT((IF($A155&gt;10000,VLOOKUP($A155,实战属性,14,FALSE),VLOOKUP($A155,总基本属性,8,FALSE))-
IF($B155&gt;10000,VLOOKUP($B155,实战属性,16,FALSE),VLOOKUP($B155,总基本属性,10,FALSE))*$L$13)*R164)</f>
        <v>0</v>
      </c>
      <c r="S165">
        <f>S164+Q165+R165</f>
        <v>51902</v>
      </c>
      <c r="T165">
        <f>IF($B155&gt;10000,VLOOKUP($B155,实战属性,12,FALSE),VLOOKUP($B155,总基本属性,6,FALSE))</f>
        <v>49896</v>
      </c>
      <c r="U165">
        <f>ROUND(T165/S165,2)</f>
        <v>0.96</v>
      </c>
    </row>
    <row r="169" spans="1:21" x14ac:dyDescent="0.15">
      <c r="A169" s="8" t="s">
        <v>4</v>
      </c>
      <c r="B169" s="8" t="s">
        <v>6</v>
      </c>
      <c r="C169" s="8" t="s">
        <v>178</v>
      </c>
      <c r="D169" s="8" t="s">
        <v>0</v>
      </c>
    </row>
    <row r="170" spans="1:21" x14ac:dyDescent="0.15">
      <c r="A170">
        <f>A142+10</f>
        <v>3060</v>
      </c>
      <c r="B170">
        <f>B142+10</f>
        <v>5060</v>
      </c>
      <c r="C170">
        <v>20</v>
      </c>
      <c r="D170">
        <f>MOD(A170,1000)</f>
        <v>60</v>
      </c>
    </row>
    <row r="171" spans="1:21" x14ac:dyDescent="0.15">
      <c r="A171" t="s">
        <v>156</v>
      </c>
      <c r="B171" t="s">
        <v>95</v>
      </c>
      <c r="C171" t="s">
        <v>142</v>
      </c>
      <c r="D171" t="s">
        <v>143</v>
      </c>
      <c r="E171" t="s">
        <v>182</v>
      </c>
      <c r="F171" t="s">
        <v>192</v>
      </c>
      <c r="G171" t="s">
        <v>193</v>
      </c>
      <c r="H171" t="s">
        <v>176</v>
      </c>
      <c r="I171" t="s">
        <v>205</v>
      </c>
      <c r="J171" t="s">
        <v>206</v>
      </c>
    </row>
    <row r="172" spans="1:21" x14ac:dyDescent="0.15">
      <c r="A172">
        <v>32</v>
      </c>
      <c r="B172" t="s">
        <v>26</v>
      </c>
      <c r="C172">
        <f>INT(C170/(VLOOKUP(A172,技能参数,5,FALSE)+2*VLOOKUP(A172,技能参数,4,FALSE))+3)</f>
        <v>3</v>
      </c>
      <c r="D172">
        <f>VLOOKUP(A172,技能参数,4,FALSE)</f>
        <v>1</v>
      </c>
      <c r="E172">
        <f>IFERROR(VLOOKUP(A172*1000+D170,学习等级编码,2),0)</f>
        <v>3206</v>
      </c>
      <c r="F172">
        <f>IFERROR(INT(VLOOKUP($E172,技能升级,9,FALSE)*$C172*I172*J172),0)</f>
        <v>0</v>
      </c>
      <c r="G172">
        <f>IFERROR(INT(VLOOKUP($E172,技能升级,10,FALSE)*$C172*I172*J172),0)</f>
        <v>4290</v>
      </c>
      <c r="H172">
        <f>INT(VLOOKUP($E172,技能升级,11,FALSE)*$C172*I172*J172)</f>
        <v>720</v>
      </c>
      <c r="I172">
        <v>1</v>
      </c>
      <c r="J172">
        <v>1</v>
      </c>
    </row>
    <row r="173" spans="1:21" x14ac:dyDescent="0.15">
      <c r="A173">
        <v>34</v>
      </c>
      <c r="B173" t="s">
        <v>34</v>
      </c>
      <c r="C173">
        <f>INT(C170/(VLOOKUP(A173,技能参数,5,FALSE)+2*VLOOKUP(A173,技能参数,4,FALSE))+1)</f>
        <v>1</v>
      </c>
      <c r="D173">
        <f>VLOOKUP(A173,技能参数,4,FALSE)</f>
        <v>1.5</v>
      </c>
      <c r="E173">
        <f>IFERROR(VLOOKUP(A173*1000+D170,学习等级编码,2),0)</f>
        <v>3406</v>
      </c>
      <c r="F173">
        <f>IFERROR(INT(VLOOKUP($E173,技能升级,9,FALSE)*$C173*I173*J173),0)</f>
        <v>1920</v>
      </c>
      <c r="G173">
        <f>IFERROR(INT(VLOOKUP($E173,技能升级,10,FALSE)*$C173*I173*J173),0)</f>
        <v>0</v>
      </c>
      <c r="H173">
        <f>INT(VLOOKUP($E173,技能升级,11,FALSE)*$C173*I173*J173)</f>
        <v>285</v>
      </c>
      <c r="I173">
        <v>1</v>
      </c>
      <c r="J173">
        <v>1</v>
      </c>
    </row>
    <row r="174" spans="1:21" x14ac:dyDescent="0.15">
      <c r="A174">
        <v>35</v>
      </c>
      <c r="B174" t="s">
        <v>28</v>
      </c>
      <c r="C174">
        <v>3</v>
      </c>
      <c r="D174">
        <f>VLOOKUP(A174,技能参数,4,FALSE)</f>
        <v>2</v>
      </c>
      <c r="E174">
        <f>IFERROR(VLOOKUP(A174*1000+D170,学习等级编码,2),0)</f>
        <v>3504</v>
      </c>
      <c r="F174">
        <f>IFERROR(INT(VLOOKUP($E174,技能升级,9,FALSE)*$C174*I174*J174),0)</f>
        <v>7500</v>
      </c>
      <c r="G174">
        <f>IFERROR(INT(VLOOKUP($E174,技能升级,10,FALSE)*$C174*I174*J174),0)</f>
        <v>0</v>
      </c>
      <c r="H174">
        <f>INT(VLOOKUP($E174,技能升级,11,FALSE)*$C174*I174*J174)</f>
        <v>834</v>
      </c>
      <c r="I174">
        <v>1</v>
      </c>
      <c r="J174">
        <v>1</v>
      </c>
    </row>
    <row r="175" spans="1:21" x14ac:dyDescent="0.15">
      <c r="A175">
        <v>31</v>
      </c>
      <c r="B175" t="s">
        <v>91</v>
      </c>
      <c r="C175">
        <f>INT((C170-C172*D172-C173*D173-C174*D174-C177)/D175)</f>
        <v>11</v>
      </c>
      <c r="D175">
        <f>VLOOKUP(A175,技能参数,4,FALSE)</f>
        <v>0.8</v>
      </c>
      <c r="E175">
        <f>IFERROR(VLOOKUP(A175*1000+D170,学习等级编码,2),0)</f>
        <v>3109</v>
      </c>
      <c r="F175">
        <f>IFERROR(INT(VLOOKUP($E175,技能升级,9,FALSE)*$C175*I175*J175),0)</f>
        <v>12419</v>
      </c>
      <c r="G175">
        <f>IFERROR(INT(VLOOKUP($E175,技能升级,10,FALSE)*$C175*I175*J175),0)</f>
        <v>0</v>
      </c>
      <c r="H175">
        <f>INT(VLOOKUP($E175,技能升级,11,FALSE)*$C175*I175*J175)</f>
        <v>2866</v>
      </c>
      <c r="I175">
        <v>1</v>
      </c>
      <c r="J175">
        <f>VLOOKUP(A170,$A$2:$I$21,7,FALSE)</f>
        <v>0.96499999999999986</v>
      </c>
    </row>
    <row r="176" spans="1:21" x14ac:dyDescent="0.15">
      <c r="A176">
        <v>203</v>
      </c>
      <c r="B176" t="s">
        <v>340</v>
      </c>
      <c r="C176">
        <f>INT((C170)/3)</f>
        <v>6</v>
      </c>
      <c r="D176">
        <v>0</v>
      </c>
      <c r="E176">
        <f>IFERROR(VLOOKUP(A176*1000+D170,学习等级编码,2),0)</f>
        <v>20306</v>
      </c>
      <c r="F176">
        <f>IFERROR(INT(VLOOKUP($E176,技能升级,9,FALSE)*$C176*I176*J176),0)</f>
        <v>0</v>
      </c>
      <c r="G176">
        <f>IFERROR(INT(VLOOKUP($E176,技能升级,10,FALSE)*$C176*I176*J176),0)</f>
        <v>0</v>
      </c>
      <c r="H176">
        <f>INT((VLOOKUP(E176,技能升级,13,FALSE)*(VLOOKUP(C176,中毒数据,4)+MOD(C170,3)*VLOOKUP(C176+1,中毒数据,3))+VLOOKUP(E176,技能升级,14,FALSE)/1000*C176*IF($B170&gt;10000,VLOOKUP($B170,实战属性,12,FALSE),VLOOKUP($B170,总基本属性,6,FALSE)))*I176*J176)</f>
        <v>21523</v>
      </c>
      <c r="I176">
        <v>1</v>
      </c>
      <c r="J176">
        <f>VLOOKUP(A170,$A$2:$I$21,8,FALSE)</f>
        <v>0.91000000000000014</v>
      </c>
    </row>
    <row r="177" spans="1:21" x14ac:dyDescent="0.15">
      <c r="B177" t="s">
        <v>402</v>
      </c>
      <c r="C177">
        <v>0</v>
      </c>
    </row>
    <row r="178" spans="1:21" x14ac:dyDescent="0.15">
      <c r="E178" t="s">
        <v>194</v>
      </c>
      <c r="F178">
        <f>SUM(F172:F176)/1000</f>
        <v>21.838999999999999</v>
      </c>
      <c r="G178">
        <f>SUM(G172:G176)/1000</f>
        <v>4.29</v>
      </c>
      <c r="H178">
        <f>SUM(H172:H176)</f>
        <v>26228</v>
      </c>
      <c r="I178" t="s">
        <v>196</v>
      </c>
      <c r="J178" t="s">
        <v>197</v>
      </c>
    </row>
    <row r="179" spans="1:21" x14ac:dyDescent="0.15">
      <c r="E179" t="s">
        <v>195</v>
      </c>
      <c r="F179">
        <f>INT((IF($A170&gt;10000,VLOOKUP($A170,实战属性,13,FALSE),VLOOKUP($A170,总基本属性,7,FALSE))-
IF($B170&gt;10000,VLOOKUP($B170,实战属性,15,FALSE),VLOOKUP($B170,总基本属性,9,FALSE))*$L$13)*F178)</f>
        <v>32147</v>
      </c>
      <c r="G179">
        <f>INT((IF($A170&gt;10000,VLOOKUP($A170,实战属性,14,FALSE),VLOOKUP($A170,总基本属性,8,FALSE))-
IF($B170&gt;10000,VLOOKUP($B170,实战属性,16,FALSE),VLOOKUP($B170,总基本属性,10,FALSE))*$L$13)*G178)</f>
        <v>6314</v>
      </c>
      <c r="H179">
        <f>H178+F179+G179</f>
        <v>64689</v>
      </c>
      <c r="I179">
        <f>IF($B170&gt;10000,VLOOKUP($B170,实战属性,12,FALSE),VLOOKUP($B170,总基本属性,6,FALSE))</f>
        <v>62784</v>
      </c>
      <c r="J179">
        <f>ROUND(I179/H179,2)</f>
        <v>0.97</v>
      </c>
    </row>
    <row r="182" spans="1:21" x14ac:dyDescent="0.15">
      <c r="A182" s="9" t="s">
        <v>198</v>
      </c>
      <c r="B182" s="9" t="s">
        <v>337</v>
      </c>
      <c r="C182" s="9" t="s">
        <v>178</v>
      </c>
      <c r="D182" s="9" t="s">
        <v>144</v>
      </c>
      <c r="L182" s="9" t="s">
        <v>6</v>
      </c>
      <c r="M182" s="9" t="s">
        <v>4</v>
      </c>
      <c r="N182" s="9" t="s">
        <v>178</v>
      </c>
      <c r="O182" s="9" t="s">
        <v>0</v>
      </c>
    </row>
    <row r="183" spans="1:21" x14ac:dyDescent="0.15">
      <c r="A183">
        <f>A155+10</f>
        <v>5060</v>
      </c>
      <c r="B183">
        <f>B155+10</f>
        <v>3060</v>
      </c>
      <c r="C183">
        <v>24</v>
      </c>
      <c r="D183">
        <f>MOD(A183,1000)</f>
        <v>60</v>
      </c>
      <c r="L183">
        <f>A183</f>
        <v>5060</v>
      </c>
      <c r="M183">
        <f>B183</f>
        <v>3060</v>
      </c>
      <c r="N183">
        <v>14</v>
      </c>
      <c r="O183">
        <f>MOD(L183,1000)</f>
        <v>60</v>
      </c>
    </row>
    <row r="184" spans="1:21" x14ac:dyDescent="0.15">
      <c r="A184" t="s">
        <v>156</v>
      </c>
      <c r="B184" t="s">
        <v>95</v>
      </c>
      <c r="C184" t="s">
        <v>142</v>
      </c>
      <c r="D184" t="s">
        <v>143</v>
      </c>
      <c r="E184" t="s">
        <v>182</v>
      </c>
      <c r="F184" t="s">
        <v>192</v>
      </c>
      <c r="G184" t="s">
        <v>193</v>
      </c>
      <c r="H184" t="s">
        <v>176</v>
      </c>
      <c r="I184" t="s">
        <v>205</v>
      </c>
      <c r="J184" t="s">
        <v>206</v>
      </c>
      <c r="L184" t="s">
        <v>156</v>
      </c>
      <c r="M184" t="s">
        <v>95</v>
      </c>
      <c r="N184" t="s">
        <v>142</v>
      </c>
      <c r="O184" t="s">
        <v>143</v>
      </c>
      <c r="P184" t="s">
        <v>182</v>
      </c>
      <c r="Q184" t="s">
        <v>192</v>
      </c>
      <c r="R184" t="s">
        <v>193</v>
      </c>
      <c r="S184" t="s">
        <v>176</v>
      </c>
      <c r="T184" t="s">
        <v>205</v>
      </c>
      <c r="U184" t="s">
        <v>206</v>
      </c>
    </row>
    <row r="185" spans="1:21" x14ac:dyDescent="0.15">
      <c r="A185">
        <v>52</v>
      </c>
      <c r="B185" t="s">
        <v>44</v>
      </c>
      <c r="C185">
        <f>INT(C183/(VLOOKUP(A185,技能参数,5,FALSE)+2*VLOOKUP(A185,技能参数,4,FALSE))+1)</f>
        <v>2</v>
      </c>
      <c r="D185">
        <f>VLOOKUP(A185,技能参数,4,FALSE)</f>
        <v>1.5</v>
      </c>
      <c r="E185">
        <f>VLOOKUP(A185*1000+D183,学习等级编码,2)</f>
        <v>5206</v>
      </c>
      <c r="F185">
        <f>INT(VLOOKUP($E185,技能升级,9,FALSE)*$C185*I185*J185)</f>
        <v>5840</v>
      </c>
      <c r="G185">
        <f>INT(VLOOKUP($E185,技能升级,10,FALSE)*$C185*I185*J185)</f>
        <v>0</v>
      </c>
      <c r="H185">
        <f>VLOOKUP($E185,技能升级,11,FALSE)*$C185</f>
        <v>500</v>
      </c>
      <c r="I185">
        <v>1</v>
      </c>
      <c r="J185">
        <v>1</v>
      </c>
      <c r="L185">
        <v>52</v>
      </c>
      <c r="M185" t="s">
        <v>44</v>
      </c>
      <c r="N185">
        <v>0</v>
      </c>
      <c r="O185">
        <f>VLOOKUP(L185,技能参数,4,FALSE)</f>
        <v>1.5</v>
      </c>
      <c r="P185">
        <f>VLOOKUP(L185*1000+O183,学习等级编码,2)</f>
        <v>5206</v>
      </c>
      <c r="Q185">
        <f>INT(VLOOKUP(P185,技能升级,9,FALSE)*N185*T185*U185)</f>
        <v>0</v>
      </c>
      <c r="R185">
        <f>INT(VLOOKUP(P185,技能升级,10,FALSE)*N185*T185*U185)</f>
        <v>0</v>
      </c>
      <c r="S185">
        <f>INT(VLOOKUP(P185,技能升级,11,FALSE)*N185*T185*U185)</f>
        <v>0</v>
      </c>
      <c r="T185">
        <v>1</v>
      </c>
      <c r="U185">
        <v>1</v>
      </c>
    </row>
    <row r="186" spans="1:21" x14ac:dyDescent="0.15">
      <c r="A186">
        <v>54</v>
      </c>
      <c r="B186" t="s">
        <v>40</v>
      </c>
      <c r="C186">
        <f>INT(C183/(VLOOKUP(A186,技能参数,5,FALSE)+2*VLOOKUP(A186,技能参数,4,FALSE))+1)</f>
        <v>2</v>
      </c>
      <c r="D186">
        <f>VLOOKUP(A186,技能参数,4,FALSE)</f>
        <v>1.2</v>
      </c>
      <c r="E186">
        <f>VLOOKUP(A186*1000+D183,学习等级编码,2)</f>
        <v>5406</v>
      </c>
      <c r="F186">
        <f>INT(VLOOKUP($E186,技能升级,9,FALSE)*$C186*I186*J186)</f>
        <v>4660</v>
      </c>
      <c r="G186">
        <f>INT(VLOOKUP($E186,技能升级,10,FALSE)*$C186*I186*J186)</f>
        <v>0</v>
      </c>
      <c r="H186">
        <f>VLOOKUP($E186,技能升级,11,FALSE)*$C186</f>
        <v>570</v>
      </c>
      <c r="I186">
        <v>1</v>
      </c>
      <c r="J186">
        <v>1</v>
      </c>
      <c r="L186">
        <v>54</v>
      </c>
      <c r="M186" t="s">
        <v>40</v>
      </c>
      <c r="N186">
        <v>0</v>
      </c>
      <c r="O186">
        <f>VLOOKUP(L186,技能参数,4,FALSE)</f>
        <v>1.2</v>
      </c>
      <c r="P186">
        <f>VLOOKUP(L186*1000+O183,学习等级编码,2)</f>
        <v>5406</v>
      </c>
      <c r="Q186">
        <f>INT(VLOOKUP(P186,技能升级,9,FALSE)*N186*T186*U186)</f>
        <v>0</v>
      </c>
      <c r="R186">
        <f>INT(VLOOKUP(P186,技能升级,10,FALSE)*N186*T186*U186)</f>
        <v>0</v>
      </c>
      <c r="S186">
        <f>INT(VLOOKUP(P186,技能升级,11,FALSE)*N186*T186*U186)</f>
        <v>0</v>
      </c>
      <c r="T186">
        <v>1</v>
      </c>
      <c r="U186">
        <v>1</v>
      </c>
    </row>
    <row r="187" spans="1:21" x14ac:dyDescent="0.15">
      <c r="A187">
        <v>51</v>
      </c>
      <c r="B187" t="s">
        <v>203</v>
      </c>
      <c r="C187">
        <v>2</v>
      </c>
      <c r="D187">
        <f>VLOOKUP(A187,技能参数,4,FALSE)</f>
        <v>0.9</v>
      </c>
      <c r="E187">
        <f>VLOOKUP(A187*1000+D183,学习等级编码,2)</f>
        <v>5109</v>
      </c>
      <c r="F187">
        <f>INT(VLOOKUP($E187,技能升级,9,FALSE)*$C187*I187*J187)</f>
        <v>2860</v>
      </c>
      <c r="G187">
        <f>INT(VLOOKUP($E187,技能升级,10,FALSE)*$C187*I187*J187)</f>
        <v>0</v>
      </c>
      <c r="H187">
        <f>VLOOKUP($E187,技能升级,11,FALSE)*$C187</f>
        <v>540</v>
      </c>
      <c r="I187">
        <v>1</v>
      </c>
      <c r="J187">
        <v>1</v>
      </c>
      <c r="L187">
        <v>51</v>
      </c>
      <c r="M187" t="s">
        <v>203</v>
      </c>
      <c r="N187">
        <v>2</v>
      </c>
      <c r="O187">
        <f>VLOOKUP(L187,技能参数,4,FALSE)</f>
        <v>0.9</v>
      </c>
      <c r="P187">
        <f>VLOOKUP(L187*1000+O183,学习等级编码,2)</f>
        <v>5109</v>
      </c>
      <c r="Q187">
        <f>INT(VLOOKUP(P187,技能升级,9,FALSE)*N187*T187*U187)</f>
        <v>2860</v>
      </c>
      <c r="R187">
        <f>INT(VLOOKUP(P187,技能升级,10,FALSE)*N187*T187*U187)</f>
        <v>0</v>
      </c>
      <c r="S187">
        <f>INT(VLOOKUP(P187,技能升级,11,FALSE)*N187*T187*U187)</f>
        <v>540</v>
      </c>
      <c r="T187">
        <v>1</v>
      </c>
      <c r="U187">
        <v>1</v>
      </c>
    </row>
    <row r="188" spans="1:21" x14ac:dyDescent="0.15">
      <c r="A188">
        <v>51</v>
      </c>
      <c r="B188" t="s">
        <v>204</v>
      </c>
      <c r="C188">
        <f>INT((C183-C185*D185-C186*D186-D187*C187-C190-C191)/D188*3)</f>
        <v>26</v>
      </c>
      <c r="D188">
        <f>VLOOKUP(A188,技能参数,4,FALSE)</f>
        <v>0.9</v>
      </c>
      <c r="E188">
        <f>VLOOKUP(A188*1000+D183,学习等级编码,2)</f>
        <v>5109</v>
      </c>
      <c r="F188">
        <f>INT(VLOOKUP($E188,技能升级,9,FALSE)*$C188*I188*J188)</f>
        <v>21808</v>
      </c>
      <c r="G188">
        <f>INT(VLOOKUP($E188,技能升级,10,FALSE)*$C188*I188*J188)</f>
        <v>0</v>
      </c>
      <c r="H188">
        <f>INT(VLOOKUP($E188,技能升级,11,FALSE)*$C188*I188*J188)</f>
        <v>4117</v>
      </c>
      <c r="I188">
        <f>F189/1000</f>
        <v>0.47</v>
      </c>
      <c r="J188">
        <f>VLOOKUP(A183,$A$2:$I$21,9,FALSE)</f>
        <v>1.248</v>
      </c>
      <c r="L188">
        <v>51</v>
      </c>
      <c r="M188" t="s">
        <v>204</v>
      </c>
      <c r="N188">
        <f>INT((N183-N185*O185-N186*O186-O187*N187-N190-N191)/O188*3)</f>
        <v>40</v>
      </c>
      <c r="O188">
        <f>VLOOKUP(L188,技能参数,4,FALSE)</f>
        <v>0.9</v>
      </c>
      <c r="P188">
        <f>VLOOKUP(L188*1000+O183,学习等级编码,2)</f>
        <v>5109</v>
      </c>
      <c r="Q188">
        <f>INT(VLOOKUP(P188,技能升级,9,FALSE)*N188*T188*U188)</f>
        <v>33551</v>
      </c>
      <c r="R188">
        <f>INT(VLOOKUP(P188,技能升级,10,FALSE)*N188*T188*U188)</f>
        <v>0</v>
      </c>
      <c r="S188">
        <f>INT(VLOOKUP(P188,技能升级,11,FALSE)*N188*T188*U188)</f>
        <v>6334</v>
      </c>
      <c r="T188">
        <f>Q189/1000</f>
        <v>0.47</v>
      </c>
      <c r="U188">
        <f>VLOOKUP(L183,$A$2:$I$21,9,FALSE)</f>
        <v>1.248</v>
      </c>
    </row>
    <row r="189" spans="1:21" x14ac:dyDescent="0.15">
      <c r="A189">
        <v>55</v>
      </c>
      <c r="B189" t="s">
        <v>271</v>
      </c>
      <c r="C189">
        <v>1</v>
      </c>
      <c r="D189">
        <v>0</v>
      </c>
      <c r="E189">
        <f>VLOOKUP(A189*1000+D183,学习等级编码,2)</f>
        <v>5504</v>
      </c>
      <c r="F189">
        <f>INT(VLOOKUP($E189,技能升级,14,FALSE)*$C189*I189)</f>
        <v>470</v>
      </c>
      <c r="G189">
        <f>INT(VLOOKUP($E189,技能升级,10,FALSE)*$C189*I189)</f>
        <v>0</v>
      </c>
      <c r="H189">
        <f>VLOOKUP($E189,技能升级,11,FALSE)*$C189</f>
        <v>0</v>
      </c>
      <c r="I189">
        <v>1</v>
      </c>
      <c r="J189">
        <v>1</v>
      </c>
      <c r="L189">
        <v>55</v>
      </c>
      <c r="M189" t="s">
        <v>46</v>
      </c>
      <c r="N189">
        <v>1</v>
      </c>
      <c r="O189">
        <v>0</v>
      </c>
      <c r="P189">
        <f>VLOOKUP(L189*1000+O183,学习等级编码,2)</f>
        <v>5504</v>
      </c>
      <c r="Q189">
        <f>INT(VLOOKUP(P189,技能升级,9,FALSE)*N189*T189*U189)</f>
        <v>470</v>
      </c>
      <c r="R189">
        <f>INT(VLOOKUP($E189,技能升级,10,FALSE)*$C189*T189)</f>
        <v>0</v>
      </c>
      <c r="S189">
        <f>IFERROR(VLOOKUP(P189,技能升级,11,FALSE)*N189*T189*U189,0)</f>
        <v>0</v>
      </c>
      <c r="T189">
        <v>1</v>
      </c>
      <c r="U189">
        <v>1</v>
      </c>
    </row>
    <row r="190" spans="1:21" x14ac:dyDescent="0.15">
      <c r="A190">
        <v>204</v>
      </c>
      <c r="B190" t="s">
        <v>338</v>
      </c>
      <c r="C190">
        <v>3</v>
      </c>
      <c r="D190">
        <v>0</v>
      </c>
      <c r="E190">
        <f>IFERROR(VLOOKUP(A190*1000+D183,学习等级编码,2),0)</f>
        <v>20401</v>
      </c>
      <c r="F190">
        <f>IFERROR(INT(VLOOKUP($E190,技能升级,9,FALSE)*$C190*I190*J190),0)</f>
        <v>0</v>
      </c>
      <c r="G190">
        <f>IFERROR(INT(VLOOKUP($E190,技能升级,10,FALSE)*$C190*I190*J190),0)</f>
        <v>0</v>
      </c>
      <c r="H190">
        <f>IFERROR(VLOOKUP(E190,技能升级,11,FALSE)*C190,0)</f>
        <v>0</v>
      </c>
      <c r="I190">
        <v>1</v>
      </c>
      <c r="J190">
        <v>1</v>
      </c>
      <c r="L190">
        <v>204</v>
      </c>
      <c r="M190" t="s">
        <v>338</v>
      </c>
      <c r="N190">
        <v>0</v>
      </c>
      <c r="O190">
        <v>0</v>
      </c>
      <c r="P190">
        <f>IFERROR(VLOOKUP(L190*1000+O183,学习等级编码,2),0)</f>
        <v>20401</v>
      </c>
      <c r="Q190">
        <f>IFERROR(INT(VLOOKUP(P190,技能升级,9,FALSE)*N190*T190*U190),0)</f>
        <v>0</v>
      </c>
      <c r="R190">
        <f>IFERROR(INT(VLOOKUP(P190,技能升级,10,FALSE)*N190*T190*U190),0)</f>
        <v>0</v>
      </c>
      <c r="S190">
        <f>IFERROR(VLOOKUP(P190,技能升级,11,FALSE)*N190*T190*U190,0)</f>
        <v>0</v>
      </c>
      <c r="T190">
        <v>1</v>
      </c>
      <c r="U190">
        <v>1</v>
      </c>
    </row>
    <row r="191" spans="1:21" x14ac:dyDescent="0.15">
      <c r="B191" t="s">
        <v>342</v>
      </c>
      <c r="C191">
        <v>6</v>
      </c>
      <c r="D191">
        <v>0</v>
      </c>
      <c r="E191">
        <f>IFERROR(VLOOKUP(A191*1000+D183,学习等级编码,2),0)</f>
        <v>0</v>
      </c>
      <c r="F191">
        <f>IFERROR(INT(VLOOKUP($E191,技能升级,9,FALSE)*$C191*I191*J191),0)</f>
        <v>0</v>
      </c>
      <c r="G191">
        <f>IFERROR(INT(VLOOKUP($E191,技能升级,10,FALSE)*$C191*I191*J191),0)</f>
        <v>0</v>
      </c>
      <c r="H191">
        <f>IFERROR(VLOOKUP(E191,技能升级,11,FALSE)*C191*I191*J191,0)</f>
        <v>0</v>
      </c>
      <c r="I191">
        <v>1</v>
      </c>
      <c r="J191">
        <v>1</v>
      </c>
      <c r="M191" t="s">
        <v>342</v>
      </c>
      <c r="N191">
        <v>0</v>
      </c>
      <c r="O191">
        <v>0</v>
      </c>
      <c r="P191">
        <f>IFERROR(VLOOKUP(L191*1000+O183,学习等级编码,2),0)</f>
        <v>0</v>
      </c>
      <c r="Q191">
        <f>IFERROR(INT(VLOOKUP(P191,技能升级,9,FALSE)*N191*T191*U191),0)</f>
        <v>0</v>
      </c>
      <c r="R191">
        <f>IFERROR(INT(VLOOKUP(P191,技能升级,10,FALSE)*N191*T191*U191),0)</f>
        <v>0</v>
      </c>
      <c r="S191">
        <f>IFERROR(VLOOKUP(P191,技能升级,11,FALSE)*N191*T191*U191,0)</f>
        <v>0</v>
      </c>
      <c r="T191">
        <v>1</v>
      </c>
      <c r="U191">
        <v>1</v>
      </c>
    </row>
    <row r="192" spans="1:21" x14ac:dyDescent="0.15">
      <c r="E192" t="s">
        <v>194</v>
      </c>
      <c r="F192">
        <f>SUM(F185:F188)/1000</f>
        <v>35.167999999999999</v>
      </c>
      <c r="G192">
        <f>SUM(G185:G188)/1000</f>
        <v>0</v>
      </c>
      <c r="H192">
        <f>SUM(H185:H188)</f>
        <v>5727</v>
      </c>
      <c r="I192" t="s">
        <v>196</v>
      </c>
      <c r="J192" t="s">
        <v>197</v>
      </c>
      <c r="P192" t="s">
        <v>194</v>
      </c>
      <c r="Q192">
        <f>SUM(Q185:Q188)/1000</f>
        <v>36.411000000000001</v>
      </c>
      <c r="R192">
        <f>SUM(R185:R188)/1000</f>
        <v>0</v>
      </c>
      <c r="S192">
        <f>SUM(S185:S188)</f>
        <v>6874</v>
      </c>
      <c r="T192" t="s">
        <v>196</v>
      </c>
      <c r="U192" t="s">
        <v>197</v>
      </c>
    </row>
    <row r="193" spans="1:21" x14ac:dyDescent="0.15">
      <c r="E193" t="s">
        <v>195</v>
      </c>
      <c r="F193">
        <f>INT((IF($A183&gt;10000,VLOOKUP($A183,实战属性,13,FALSE),VLOOKUP($A183,总基本属性,7,FALSE))-
IF($B183&gt;10000,VLOOKUP($B183,实战属性,15,FALSE),VLOOKUP($B183,总基本属性,9,FALSE))*$L$13)*F192)</f>
        <v>65746</v>
      </c>
      <c r="G193">
        <f>INT((IF($A183&gt;10000,VLOOKUP($A183,实战属性,14,FALSE),VLOOKUP($A183,总基本属性,8,FALSE))-
IF($B183&gt;10000,VLOOKUP($B183,实战属性,16,FALSE),VLOOKUP($B183,总基本属性,10,FALSE))*$L$13)*G192)</f>
        <v>0</v>
      </c>
      <c r="H193">
        <f>H192+F193+G193</f>
        <v>71473</v>
      </c>
      <c r="I193">
        <f>IF($B183&gt;10000,VLOOKUP($B183,实战属性,12,FALSE),VLOOKUP($B183,总基本属性,6,FALSE))</f>
        <v>70632</v>
      </c>
      <c r="J193">
        <f>ROUND(I193/H193,2)</f>
        <v>0.99</v>
      </c>
      <c r="P193" t="s">
        <v>195</v>
      </c>
      <c r="Q193">
        <f>INT((IF($A183&gt;10000,VLOOKUP($A183,实战属性,13,FALSE),VLOOKUP($A183,总基本属性,7,FALSE))-
IF($B183&gt;10000,VLOOKUP($B183,实战属性,15,FALSE),VLOOKUP($B183,总基本属性,9,FALSE))*$L$13)*Q192)</f>
        <v>68070</v>
      </c>
      <c r="R193">
        <f>INT((IF($A183&gt;10000,VLOOKUP($A183,实战属性,14,FALSE),VLOOKUP($A183,总基本属性,8,FALSE))-
IF($B183&gt;10000,VLOOKUP($B183,实战属性,16,FALSE),VLOOKUP($B183,总基本属性,10,FALSE))*$L$13)*R192)</f>
        <v>0</v>
      </c>
      <c r="S193">
        <f>S192+Q193+R193</f>
        <v>74944</v>
      </c>
      <c r="T193">
        <f>IF($B183&gt;10000,VLOOKUP($B183,实战属性,12,FALSE),VLOOKUP($B183,总基本属性,6,FALSE))</f>
        <v>70632</v>
      </c>
      <c r="U193">
        <f>ROUND(T193/S193,2)</f>
        <v>0.94</v>
      </c>
    </row>
    <row r="197" spans="1:21" x14ac:dyDescent="0.15">
      <c r="A197" s="8" t="s">
        <v>4</v>
      </c>
      <c r="B197" s="8" t="s">
        <v>6</v>
      </c>
      <c r="C197" s="8" t="s">
        <v>178</v>
      </c>
      <c r="D197" s="8" t="s">
        <v>0</v>
      </c>
    </row>
    <row r="198" spans="1:21" x14ac:dyDescent="0.15">
      <c r="A198">
        <f>A170+10</f>
        <v>3070</v>
      </c>
      <c r="B198">
        <f>B170+10</f>
        <v>5070</v>
      </c>
      <c r="C198">
        <v>20</v>
      </c>
      <c r="D198">
        <f>MOD(A198,1000)</f>
        <v>70</v>
      </c>
    </row>
    <row r="199" spans="1:21" x14ac:dyDescent="0.15">
      <c r="A199" t="s">
        <v>156</v>
      </c>
      <c r="B199" t="s">
        <v>95</v>
      </c>
      <c r="C199" t="s">
        <v>142</v>
      </c>
      <c r="D199" t="s">
        <v>143</v>
      </c>
      <c r="E199" t="s">
        <v>182</v>
      </c>
      <c r="F199" t="s">
        <v>192</v>
      </c>
      <c r="G199" t="s">
        <v>193</v>
      </c>
      <c r="H199" t="s">
        <v>176</v>
      </c>
      <c r="I199" t="s">
        <v>205</v>
      </c>
      <c r="J199" t="s">
        <v>206</v>
      </c>
    </row>
    <row r="200" spans="1:21" x14ac:dyDescent="0.15">
      <c r="A200">
        <v>32</v>
      </c>
      <c r="B200" t="s">
        <v>26</v>
      </c>
      <c r="C200">
        <f>INT(C198/(VLOOKUP(A200,技能参数,5,FALSE)+2*VLOOKUP(A200,技能参数,4,FALSE))+3)</f>
        <v>3</v>
      </c>
      <c r="D200">
        <f>VLOOKUP(A200,技能参数,4,FALSE)</f>
        <v>1</v>
      </c>
      <c r="E200">
        <f>IFERROR(VLOOKUP(A200*1000+D198,学习等级编码,2),0)</f>
        <v>3207</v>
      </c>
      <c r="F200">
        <f>IFERROR(INT(VLOOKUP($E200,技能升级,9,FALSE)*$C200*I200*J200),0)</f>
        <v>0</v>
      </c>
      <c r="G200">
        <f>IFERROR(INT(VLOOKUP($E200,技能升级,10,FALSE)*$C200*I200*J200),0)</f>
        <v>4440</v>
      </c>
      <c r="H200">
        <f>INT(VLOOKUP($E200,技能升级,11,FALSE)*$C200*I200*J200)</f>
        <v>987</v>
      </c>
      <c r="I200">
        <v>1</v>
      </c>
      <c r="J200">
        <v>1</v>
      </c>
    </row>
    <row r="201" spans="1:21" x14ac:dyDescent="0.15">
      <c r="A201">
        <v>34</v>
      </c>
      <c r="B201" t="s">
        <v>34</v>
      </c>
      <c r="C201">
        <f>INT(C198/(VLOOKUP(A201,技能参数,5,FALSE)+2*VLOOKUP(A201,技能参数,4,FALSE))+1)</f>
        <v>1</v>
      </c>
      <c r="D201">
        <f>VLOOKUP(A201,技能参数,4,FALSE)</f>
        <v>1.5</v>
      </c>
      <c r="E201">
        <f>IFERROR(VLOOKUP(A201*1000+D198,学习等级编码,2),0)</f>
        <v>3407</v>
      </c>
      <c r="F201">
        <f>IFERROR(INT(VLOOKUP($E201,技能升级,9,FALSE)*$C201*I201*J201),0)</f>
        <v>2000</v>
      </c>
      <c r="G201">
        <f>IFERROR(INT(VLOOKUP($E201,技能升级,10,FALSE)*$C201*I201*J201),0)</f>
        <v>0</v>
      </c>
      <c r="H201">
        <f>INT(VLOOKUP($E201,技能升级,11,FALSE)*$C201*I201*J201)</f>
        <v>380</v>
      </c>
      <c r="I201">
        <v>1</v>
      </c>
      <c r="J201">
        <v>1</v>
      </c>
    </row>
    <row r="202" spans="1:21" x14ac:dyDescent="0.15">
      <c r="A202">
        <v>35</v>
      </c>
      <c r="B202" t="s">
        <v>28</v>
      </c>
      <c r="C202">
        <v>3</v>
      </c>
      <c r="D202">
        <f>VLOOKUP(A202,技能参数,4,FALSE)</f>
        <v>2</v>
      </c>
      <c r="E202">
        <f>IFERROR(VLOOKUP(A202*1000+D198,学习等级编码,2),0)</f>
        <v>3505</v>
      </c>
      <c r="F202">
        <f>IFERROR(INT(VLOOKUP($E202,技能升级,9,FALSE)*$C202*I202*J202),0)</f>
        <v>8010</v>
      </c>
      <c r="G202">
        <f>IFERROR(INT(VLOOKUP($E202,技能升级,10,FALSE)*$C202*I202*J202),0)</f>
        <v>0</v>
      </c>
      <c r="H202">
        <f>INT(VLOOKUP($E202,技能升级,11,FALSE)*$C202*I202*J202)</f>
        <v>1263</v>
      </c>
      <c r="I202">
        <v>1</v>
      </c>
      <c r="J202">
        <v>1</v>
      </c>
    </row>
    <row r="203" spans="1:21" x14ac:dyDescent="0.15">
      <c r="A203">
        <v>31</v>
      </c>
      <c r="B203" t="s">
        <v>91</v>
      </c>
      <c r="C203">
        <f>INT((C198-C200*D200-C201*D201-C202*D202-C205)/D203)</f>
        <v>11</v>
      </c>
      <c r="D203">
        <f>VLOOKUP(A203,技能参数,4,FALSE)</f>
        <v>0.8</v>
      </c>
      <c r="E203">
        <f>IFERROR(VLOOKUP(A203*1000+D198,学习等级编码,2),0)</f>
        <v>3111</v>
      </c>
      <c r="F203">
        <f>IFERROR(INT(VLOOKUP($E203,技能升级,9,FALSE)*$C203*I203*J203),0)</f>
        <v>12657</v>
      </c>
      <c r="G203">
        <f>IFERROR(INT(VLOOKUP($E203,技能升级,10,FALSE)*$C203*I203*J203),0)</f>
        <v>0</v>
      </c>
      <c r="H203">
        <f>INT(VLOOKUP($E203,技能升级,11,FALSE)*$C203*I203*J203)</f>
        <v>4247</v>
      </c>
      <c r="I203">
        <v>1</v>
      </c>
      <c r="J203">
        <f>VLOOKUP(A198,$A$2:$I$21,7,FALSE)</f>
        <v>0.95099999999999985</v>
      </c>
    </row>
    <row r="204" spans="1:21" x14ac:dyDescent="0.15">
      <c r="A204">
        <v>203</v>
      </c>
      <c r="B204" t="s">
        <v>340</v>
      </c>
      <c r="C204">
        <f>INT((C198)/3)</f>
        <v>6</v>
      </c>
      <c r="D204">
        <v>0</v>
      </c>
      <c r="E204">
        <f>IFERROR(VLOOKUP(A204*1000+D198,学习等级编码,2),0)</f>
        <v>20307</v>
      </c>
      <c r="F204">
        <f>IFERROR(INT(VLOOKUP($E204,技能升级,9,FALSE)*$C204*I204*J204),0)</f>
        <v>0</v>
      </c>
      <c r="G204">
        <f>IFERROR(INT(VLOOKUP($E204,技能升级,10,FALSE)*$C204*I204*J204),0)</f>
        <v>0</v>
      </c>
      <c r="H204">
        <f>INT((VLOOKUP(E204,技能升级,13,FALSE)*(VLOOKUP(C204,中毒数据,4)+MOD(C198,3)*VLOOKUP(C204+1,中毒数据,3))+VLOOKUP(E204,技能升级,14,FALSE)/1000*C204*IF($B198&gt;10000,VLOOKUP($B198,实战属性,12,FALSE),VLOOKUP($B198,总基本属性,6,FALSE)))*I204*J204)</f>
        <v>26649</v>
      </c>
      <c r="I204">
        <v>1</v>
      </c>
      <c r="J204">
        <f>VLOOKUP(A198,$A$2:$I$21,8,FALSE)</f>
        <v>0.88000000000000012</v>
      </c>
    </row>
    <row r="205" spans="1:21" x14ac:dyDescent="0.15">
      <c r="B205" t="s">
        <v>402</v>
      </c>
      <c r="C205">
        <v>0</v>
      </c>
    </row>
    <row r="206" spans="1:21" x14ac:dyDescent="0.15">
      <c r="E206" t="s">
        <v>194</v>
      </c>
      <c r="F206">
        <f>SUM(F200:F204)/1000</f>
        <v>22.667000000000002</v>
      </c>
      <c r="G206">
        <f>SUM(G200:G204)/1000</f>
        <v>4.4400000000000004</v>
      </c>
      <c r="H206">
        <f>SUM(H200:H204)</f>
        <v>33526</v>
      </c>
      <c r="I206" t="s">
        <v>196</v>
      </c>
      <c r="J206" t="s">
        <v>197</v>
      </c>
    </row>
    <row r="207" spans="1:21" x14ac:dyDescent="0.15">
      <c r="E207" t="s">
        <v>195</v>
      </c>
      <c r="F207">
        <f>INT((IF($A198&gt;10000,VLOOKUP($A198,实战属性,13,FALSE),VLOOKUP($A198,总基本属性,7,FALSE))-
IF($B198&gt;10000,VLOOKUP($B198,实战属性,15,FALSE),VLOOKUP($B198,总基本属性,9,FALSE))*$L$13)*F206)</f>
        <v>44585</v>
      </c>
      <c r="G207">
        <f>INT((IF($A198&gt;10000,VLOOKUP($A198,实战属性,14,FALSE),VLOOKUP($A198,总基本属性,8,FALSE))-
IF($B198&gt;10000,VLOOKUP($B198,实战属性,16,FALSE),VLOOKUP($B198,总基本属性,10,FALSE))*$L$13)*G206)</f>
        <v>8733</v>
      </c>
      <c r="H207">
        <f>H206+F207+G207</f>
        <v>86844</v>
      </c>
      <c r="I207">
        <f>IF($B198&gt;10000,VLOOKUP($B198,实战属性,12,FALSE),VLOOKUP($B198,总基本属性,6,FALSE))</f>
        <v>84384</v>
      </c>
      <c r="J207">
        <f>ROUND(I207/H207,2)</f>
        <v>0.97</v>
      </c>
    </row>
    <row r="210" spans="1:21" x14ac:dyDescent="0.15">
      <c r="A210" s="9" t="s">
        <v>198</v>
      </c>
      <c r="B210" s="9" t="s">
        <v>337</v>
      </c>
      <c r="C210" s="9" t="s">
        <v>178</v>
      </c>
      <c r="D210" s="9" t="s">
        <v>144</v>
      </c>
      <c r="L210" s="9" t="s">
        <v>6</v>
      </c>
      <c r="M210" s="9" t="s">
        <v>4</v>
      </c>
      <c r="N210" s="9" t="s">
        <v>178</v>
      </c>
      <c r="O210" s="9" t="s">
        <v>0</v>
      </c>
    </row>
    <row r="211" spans="1:21" x14ac:dyDescent="0.15">
      <c r="A211">
        <f>A183+10</f>
        <v>5070</v>
      </c>
      <c r="B211">
        <f>B183+10</f>
        <v>3070</v>
      </c>
      <c r="C211">
        <v>24</v>
      </c>
      <c r="D211">
        <f>MOD(A211,1000)</f>
        <v>70</v>
      </c>
      <c r="L211">
        <f>A211</f>
        <v>5070</v>
      </c>
      <c r="M211">
        <f>B211</f>
        <v>3070</v>
      </c>
      <c r="N211">
        <v>14</v>
      </c>
      <c r="O211">
        <f>MOD(L211,1000)</f>
        <v>70</v>
      </c>
    </row>
    <row r="212" spans="1:21" x14ac:dyDescent="0.15">
      <c r="A212" t="s">
        <v>156</v>
      </c>
      <c r="B212" t="s">
        <v>95</v>
      </c>
      <c r="C212" t="s">
        <v>142</v>
      </c>
      <c r="D212" t="s">
        <v>143</v>
      </c>
      <c r="E212" t="s">
        <v>182</v>
      </c>
      <c r="F212" t="s">
        <v>192</v>
      </c>
      <c r="G212" t="s">
        <v>193</v>
      </c>
      <c r="H212" t="s">
        <v>176</v>
      </c>
      <c r="I212" t="s">
        <v>205</v>
      </c>
      <c r="J212" t="s">
        <v>206</v>
      </c>
      <c r="L212" t="s">
        <v>156</v>
      </c>
      <c r="M212" t="s">
        <v>95</v>
      </c>
      <c r="N212" t="s">
        <v>142</v>
      </c>
      <c r="O212" t="s">
        <v>143</v>
      </c>
      <c r="P212" t="s">
        <v>182</v>
      </c>
      <c r="Q212" t="s">
        <v>192</v>
      </c>
      <c r="R212" t="s">
        <v>193</v>
      </c>
      <c r="S212" t="s">
        <v>176</v>
      </c>
      <c r="T212" t="s">
        <v>205</v>
      </c>
      <c r="U212" t="s">
        <v>206</v>
      </c>
    </row>
    <row r="213" spans="1:21" x14ac:dyDescent="0.15">
      <c r="A213">
        <v>52</v>
      </c>
      <c r="B213" t="s">
        <v>44</v>
      </c>
      <c r="C213">
        <f>INT(C211/(VLOOKUP(A213,技能参数,5,FALSE)+2*VLOOKUP(A213,技能参数,4,FALSE))+1)</f>
        <v>2</v>
      </c>
      <c r="D213">
        <f>VLOOKUP(A213,技能参数,4,FALSE)</f>
        <v>1.5</v>
      </c>
      <c r="E213">
        <f>VLOOKUP(A213*1000+D211,学习等级编码,2)</f>
        <v>5207</v>
      </c>
      <c r="F213">
        <f>INT(VLOOKUP($E213,技能升级,9,FALSE)*$C213*I213*J213)</f>
        <v>6000</v>
      </c>
      <c r="G213">
        <f>INT(VLOOKUP($E213,技能升级,10,FALSE)*$C213*I213*J213)</f>
        <v>0</v>
      </c>
      <c r="H213">
        <f>VLOOKUP($E213,技能升级,11,FALSE)*$C213</f>
        <v>678</v>
      </c>
      <c r="I213">
        <v>1</v>
      </c>
      <c r="J213">
        <v>1</v>
      </c>
      <c r="L213">
        <v>52</v>
      </c>
      <c r="M213" t="s">
        <v>44</v>
      </c>
      <c r="N213">
        <v>0</v>
      </c>
      <c r="O213">
        <f>VLOOKUP(L213,技能参数,4,FALSE)</f>
        <v>1.5</v>
      </c>
      <c r="P213">
        <f>VLOOKUP(L213*1000+O211,学习等级编码,2)</f>
        <v>5207</v>
      </c>
      <c r="Q213">
        <f>INT(VLOOKUP(P213,技能升级,9,FALSE)*N213*T213*U213)</f>
        <v>0</v>
      </c>
      <c r="R213">
        <f>INT(VLOOKUP(P213,技能升级,10,FALSE)*N213*T213*U213)</f>
        <v>0</v>
      </c>
      <c r="S213">
        <f>INT(VLOOKUP(P213,技能升级,11,FALSE)*N213*T213*U213)</f>
        <v>0</v>
      </c>
      <c r="T213">
        <v>1</v>
      </c>
      <c r="U213">
        <v>1</v>
      </c>
    </row>
    <row r="214" spans="1:21" x14ac:dyDescent="0.15">
      <c r="A214">
        <v>54</v>
      </c>
      <c r="B214" t="s">
        <v>40</v>
      </c>
      <c r="C214">
        <f>INT(C211/(VLOOKUP(A214,技能参数,5,FALSE)+2*VLOOKUP(A214,技能参数,4,FALSE))+1)</f>
        <v>2</v>
      </c>
      <c r="D214">
        <f>VLOOKUP(A214,技能参数,4,FALSE)</f>
        <v>1.2</v>
      </c>
      <c r="E214">
        <f>VLOOKUP(A214*1000+D211,学习等级编码,2)</f>
        <v>5407</v>
      </c>
      <c r="F214">
        <f>INT(VLOOKUP($E214,技能升级,9,FALSE)*$C214*I214*J214)</f>
        <v>4800</v>
      </c>
      <c r="G214">
        <f>INT(VLOOKUP($E214,技能升级,10,FALSE)*$C214*I214*J214)</f>
        <v>0</v>
      </c>
      <c r="H214">
        <f>VLOOKUP($E214,技能升级,11,FALSE)*$C214</f>
        <v>760</v>
      </c>
      <c r="I214">
        <v>1</v>
      </c>
      <c r="J214">
        <v>1</v>
      </c>
      <c r="L214">
        <v>54</v>
      </c>
      <c r="M214" t="s">
        <v>40</v>
      </c>
      <c r="N214">
        <v>0</v>
      </c>
      <c r="O214">
        <f>VLOOKUP(L214,技能参数,4,FALSE)</f>
        <v>1.2</v>
      </c>
      <c r="P214">
        <f>VLOOKUP(L214*1000+O211,学习等级编码,2)</f>
        <v>5407</v>
      </c>
      <c r="Q214">
        <f>INT(VLOOKUP(P214,技能升级,9,FALSE)*N214*T214*U214)</f>
        <v>0</v>
      </c>
      <c r="R214">
        <f>INT(VLOOKUP(P214,技能升级,10,FALSE)*N214*T214*U214)</f>
        <v>0</v>
      </c>
      <c r="S214">
        <f>INT(VLOOKUP(P214,技能升级,11,FALSE)*N214*T214*U214)</f>
        <v>0</v>
      </c>
      <c r="T214">
        <v>1</v>
      </c>
      <c r="U214">
        <v>1</v>
      </c>
    </row>
    <row r="215" spans="1:21" x14ac:dyDescent="0.15">
      <c r="A215">
        <v>51</v>
      </c>
      <c r="B215" t="s">
        <v>203</v>
      </c>
      <c r="C215">
        <v>2</v>
      </c>
      <c r="D215">
        <f>VLOOKUP(A215,技能参数,4,FALSE)</f>
        <v>0.9</v>
      </c>
      <c r="E215">
        <f>VLOOKUP(A215*1000+D211,学习等级编码,2)</f>
        <v>5111</v>
      </c>
      <c r="F215">
        <f>INT(VLOOKUP($E215,技能升级,9,FALSE)*$C215*I215*J215)</f>
        <v>2940</v>
      </c>
      <c r="G215">
        <f>INT(VLOOKUP($E215,技能升级,10,FALSE)*$C215*I215*J215)</f>
        <v>0</v>
      </c>
      <c r="H215">
        <f>VLOOKUP($E215,技能升级,11,FALSE)*$C215</f>
        <v>812</v>
      </c>
      <c r="I215">
        <v>1</v>
      </c>
      <c r="J215">
        <v>1</v>
      </c>
      <c r="L215">
        <v>51</v>
      </c>
      <c r="M215" t="s">
        <v>203</v>
      </c>
      <c r="N215">
        <v>2</v>
      </c>
      <c r="O215">
        <f>VLOOKUP(L215,技能参数,4,FALSE)</f>
        <v>0.9</v>
      </c>
      <c r="P215">
        <f>VLOOKUP(L215*1000+O211,学习等级编码,2)</f>
        <v>5111</v>
      </c>
      <c r="Q215">
        <f>INT(VLOOKUP(P215,技能升级,9,FALSE)*N215*T215*U215)</f>
        <v>2940</v>
      </c>
      <c r="R215">
        <f>INT(VLOOKUP(P215,技能升级,10,FALSE)*N215*T215*U215)</f>
        <v>0</v>
      </c>
      <c r="S215">
        <f>INT(VLOOKUP(P215,技能升级,11,FALSE)*N215*T215*U215)</f>
        <v>812</v>
      </c>
      <c r="T215">
        <v>1</v>
      </c>
      <c r="U215">
        <v>1</v>
      </c>
    </row>
    <row r="216" spans="1:21" x14ac:dyDescent="0.15">
      <c r="A216">
        <v>51</v>
      </c>
      <c r="B216" t="s">
        <v>204</v>
      </c>
      <c r="C216">
        <f>INT((C211-C213*D213-C214*D214-D215*C215-C218-C219)/D216*3)</f>
        <v>26</v>
      </c>
      <c r="D216">
        <f>VLOOKUP(A216,技能参数,4,FALSE)</f>
        <v>0.9</v>
      </c>
      <c r="E216">
        <f>VLOOKUP(A216*1000+D211,学习等级编码,2)</f>
        <v>5111</v>
      </c>
      <c r="F216">
        <f>INT(VLOOKUP($E216,技能升级,9,FALSE)*$C216*I216*J216)</f>
        <v>23465</v>
      </c>
      <c r="G216">
        <f>INT(VLOOKUP($E216,技能升级,10,FALSE)*$C216*I216*J216)</f>
        <v>0</v>
      </c>
      <c r="H216">
        <f>INT(VLOOKUP($E216,技能升级,11,FALSE)*$C216*I216*J216)</f>
        <v>6481</v>
      </c>
      <c r="I216">
        <f>F217/1000</f>
        <v>0.49</v>
      </c>
      <c r="J216">
        <f>VLOOKUP(A211,$A$2:$I$21,9,FALSE)</f>
        <v>1.2530000000000001</v>
      </c>
      <c r="L216">
        <v>51</v>
      </c>
      <c r="M216" t="s">
        <v>204</v>
      </c>
      <c r="N216">
        <f>INT((N211-N213*O213-N214*O214-O215*N215-N218-N219)/O216*3)</f>
        <v>40</v>
      </c>
      <c r="O216">
        <f>VLOOKUP(L216,技能参数,4,FALSE)</f>
        <v>0.9</v>
      </c>
      <c r="P216">
        <f>VLOOKUP(L216*1000+O211,学习等级编码,2)</f>
        <v>5111</v>
      </c>
      <c r="Q216">
        <f>INT(VLOOKUP(P216,技能升级,9,FALSE)*N216*T216*U216)</f>
        <v>36101</v>
      </c>
      <c r="R216">
        <f>INT(VLOOKUP(P216,技能升级,10,FALSE)*N216*T216*U216)</f>
        <v>0</v>
      </c>
      <c r="S216">
        <f>INT(VLOOKUP(P216,技能升级,11,FALSE)*N216*T216*U216)</f>
        <v>9970</v>
      </c>
      <c r="T216">
        <f>Q217/1000</f>
        <v>0.49</v>
      </c>
      <c r="U216">
        <f>VLOOKUP(L211,$A$2:$I$21,9,FALSE)</f>
        <v>1.2530000000000001</v>
      </c>
    </row>
    <row r="217" spans="1:21" x14ac:dyDescent="0.15">
      <c r="A217">
        <v>55</v>
      </c>
      <c r="B217" t="s">
        <v>271</v>
      </c>
      <c r="C217">
        <v>1</v>
      </c>
      <c r="D217">
        <v>0</v>
      </c>
      <c r="E217">
        <f>VLOOKUP(A217*1000+D211,学习等级编码,2)</f>
        <v>5505</v>
      </c>
      <c r="F217">
        <f>INT(VLOOKUP($E217,技能升级,14,FALSE)*$C217*I217)</f>
        <v>490</v>
      </c>
      <c r="G217">
        <f>INT(VLOOKUP($E217,技能升级,10,FALSE)*$C217*I217)</f>
        <v>0</v>
      </c>
      <c r="H217">
        <f>VLOOKUP($E217,技能升级,11,FALSE)*$C217</f>
        <v>0</v>
      </c>
      <c r="I217">
        <v>1</v>
      </c>
      <c r="J217">
        <v>1</v>
      </c>
      <c r="L217">
        <v>55</v>
      </c>
      <c r="M217" t="s">
        <v>46</v>
      </c>
      <c r="N217">
        <v>1</v>
      </c>
      <c r="O217">
        <v>0</v>
      </c>
      <c r="P217">
        <f>VLOOKUP(L217*1000+O211,学习等级编码,2)</f>
        <v>5505</v>
      </c>
      <c r="Q217">
        <f>INT(VLOOKUP(P217,技能升级,9,FALSE)*N217*T217*U217)</f>
        <v>490</v>
      </c>
      <c r="R217">
        <f>INT(VLOOKUP($E217,技能升级,10,FALSE)*$C217*T217)</f>
        <v>0</v>
      </c>
      <c r="S217">
        <f>IFERROR(VLOOKUP(P217,技能升级,11,FALSE)*N217*T217*U217,0)</f>
        <v>0</v>
      </c>
      <c r="T217">
        <v>1</v>
      </c>
      <c r="U217">
        <v>1</v>
      </c>
    </row>
    <row r="218" spans="1:21" x14ac:dyDescent="0.15">
      <c r="A218">
        <v>204</v>
      </c>
      <c r="B218" t="s">
        <v>338</v>
      </c>
      <c r="C218">
        <v>3</v>
      </c>
      <c r="D218">
        <v>0</v>
      </c>
      <c r="E218">
        <f>IFERROR(VLOOKUP(A218*1000+D211,学习等级编码,2),0)</f>
        <v>20401</v>
      </c>
      <c r="F218">
        <f>IFERROR(INT(VLOOKUP($E218,技能升级,9,FALSE)*$C218*I218*J218),0)</f>
        <v>0</v>
      </c>
      <c r="G218">
        <f>IFERROR(INT(VLOOKUP($E218,技能升级,10,FALSE)*$C218*I218*J218),0)</f>
        <v>0</v>
      </c>
      <c r="H218">
        <f>IFERROR(VLOOKUP(E218,技能升级,11,FALSE)*C218,0)</f>
        <v>0</v>
      </c>
      <c r="I218">
        <v>1</v>
      </c>
      <c r="J218">
        <v>1</v>
      </c>
      <c r="L218">
        <v>204</v>
      </c>
      <c r="M218" t="s">
        <v>338</v>
      </c>
      <c r="N218">
        <v>0</v>
      </c>
      <c r="O218">
        <v>0</v>
      </c>
      <c r="P218">
        <f>IFERROR(VLOOKUP(L218*1000+O211,学习等级编码,2),0)</f>
        <v>20401</v>
      </c>
      <c r="Q218">
        <f>IFERROR(INT(VLOOKUP(P218,技能升级,9,FALSE)*N218*T218*U218),0)</f>
        <v>0</v>
      </c>
      <c r="R218">
        <f>IFERROR(INT(VLOOKUP(P218,技能升级,10,FALSE)*N218*T218*U218),0)</f>
        <v>0</v>
      </c>
      <c r="S218">
        <f>IFERROR(VLOOKUP(P218,技能升级,11,FALSE)*N218*T218*U218,0)</f>
        <v>0</v>
      </c>
      <c r="T218">
        <v>1</v>
      </c>
      <c r="U218">
        <v>1</v>
      </c>
    </row>
    <row r="219" spans="1:21" x14ac:dyDescent="0.15">
      <c r="B219" t="s">
        <v>342</v>
      </c>
      <c r="C219">
        <v>6</v>
      </c>
      <c r="D219">
        <v>0</v>
      </c>
      <c r="E219">
        <f>IFERROR(VLOOKUP(A219*1000+D211,学习等级编码,2),0)</f>
        <v>0</v>
      </c>
      <c r="F219">
        <f>IFERROR(INT(VLOOKUP($E219,技能升级,9,FALSE)*$C219*I219*J219),0)</f>
        <v>0</v>
      </c>
      <c r="G219">
        <f>IFERROR(INT(VLOOKUP($E219,技能升级,10,FALSE)*$C219*I219*J219),0)</f>
        <v>0</v>
      </c>
      <c r="H219">
        <f>IFERROR(VLOOKUP(E219,技能升级,11,FALSE)*C219*I219*J219,0)</f>
        <v>0</v>
      </c>
      <c r="I219">
        <v>1</v>
      </c>
      <c r="J219">
        <v>1</v>
      </c>
      <c r="M219" t="s">
        <v>342</v>
      </c>
      <c r="N219">
        <v>0</v>
      </c>
      <c r="O219">
        <v>0</v>
      </c>
      <c r="P219">
        <f>IFERROR(VLOOKUP(L219*1000+O211,学习等级编码,2),0)</f>
        <v>0</v>
      </c>
      <c r="Q219">
        <f>IFERROR(INT(VLOOKUP(P219,技能升级,9,FALSE)*N219*T219*U219),0)</f>
        <v>0</v>
      </c>
      <c r="R219">
        <f>IFERROR(INT(VLOOKUP(P219,技能升级,10,FALSE)*N219*T219*U219),0)</f>
        <v>0</v>
      </c>
      <c r="S219">
        <f>IFERROR(VLOOKUP(P219,技能升级,11,FALSE)*N219*T219*U219,0)</f>
        <v>0</v>
      </c>
      <c r="T219">
        <v>1</v>
      </c>
      <c r="U219">
        <v>1</v>
      </c>
    </row>
    <row r="220" spans="1:21" x14ac:dyDescent="0.15">
      <c r="E220" t="s">
        <v>194</v>
      </c>
      <c r="F220">
        <f>SUM(F213:F216)/1000</f>
        <v>37.204999999999998</v>
      </c>
      <c r="G220">
        <f>SUM(G213:G216)/1000</f>
        <v>0</v>
      </c>
      <c r="H220">
        <f>SUM(H213:H216)</f>
        <v>8731</v>
      </c>
      <c r="I220" t="s">
        <v>196</v>
      </c>
      <c r="J220" t="s">
        <v>197</v>
      </c>
      <c r="P220" t="s">
        <v>194</v>
      </c>
      <c r="Q220">
        <f>SUM(Q213:Q216)/1000</f>
        <v>39.040999999999997</v>
      </c>
      <c r="R220">
        <f>SUM(R213:R216)/1000</f>
        <v>0</v>
      </c>
      <c r="S220">
        <f>SUM(S213:S216)</f>
        <v>10782</v>
      </c>
      <c r="T220" t="s">
        <v>196</v>
      </c>
      <c r="U220" t="s">
        <v>197</v>
      </c>
    </row>
    <row r="221" spans="1:21" x14ac:dyDescent="0.15">
      <c r="E221" t="s">
        <v>195</v>
      </c>
      <c r="F221">
        <f>INT((IF($A211&gt;10000,VLOOKUP($A211,实战属性,13,FALSE),VLOOKUP($A211,总基本属性,7,FALSE))-
IF($B211&gt;10000,VLOOKUP($B211,实战属性,15,FALSE),VLOOKUP($B211,总基本属性,9,FALSE))*$L$13)*F220)</f>
        <v>87264</v>
      </c>
      <c r="G221">
        <f>INT((IF($A211&gt;10000,VLOOKUP($A211,实战属性,14,FALSE),VLOOKUP($A211,总基本属性,8,FALSE))-
IF($B211&gt;10000,VLOOKUP($B211,实战属性,16,FALSE),VLOOKUP($B211,总基本属性,10,FALSE))*$L$13)*G220)</f>
        <v>0</v>
      </c>
      <c r="H221">
        <f>H220+F221+G221</f>
        <v>95995</v>
      </c>
      <c r="I221">
        <f>IF($B211&gt;10000,VLOOKUP($B211,实战属性,12,FALSE),VLOOKUP($B211,总基本属性,6,FALSE))</f>
        <v>94932</v>
      </c>
      <c r="J221">
        <f>ROUND(I221/H221,2)</f>
        <v>0.99</v>
      </c>
      <c r="P221" t="s">
        <v>195</v>
      </c>
      <c r="Q221">
        <f>INT((IF($A211&gt;10000,VLOOKUP($A211,实战属性,13,FALSE),VLOOKUP($A211,总基本属性,7,FALSE))-
IF($B211&gt;10000,VLOOKUP($B211,实战属性,15,FALSE),VLOOKUP($B211,总基本属性,9,FALSE))*$L$13)*Q220)</f>
        <v>91570</v>
      </c>
      <c r="R221">
        <f>INT((IF($A211&gt;10000,VLOOKUP($A211,实战属性,14,FALSE),VLOOKUP($A211,总基本属性,8,FALSE))-
IF($B211&gt;10000,VLOOKUP($B211,实战属性,16,FALSE),VLOOKUP($B211,总基本属性,10,FALSE))*$L$13)*R220)</f>
        <v>0</v>
      </c>
      <c r="S221">
        <f>S220+Q221+R221</f>
        <v>102352</v>
      </c>
      <c r="T221">
        <f>IF($B211&gt;10000,VLOOKUP($B211,实战属性,12,FALSE),VLOOKUP($B211,总基本属性,6,FALSE))</f>
        <v>94932</v>
      </c>
      <c r="U221">
        <f>ROUND(T221/S221,2)</f>
        <v>0.93</v>
      </c>
    </row>
    <row r="225" spans="1:21" x14ac:dyDescent="0.15">
      <c r="A225" s="8" t="s">
        <v>4</v>
      </c>
      <c r="B225" s="8" t="s">
        <v>6</v>
      </c>
      <c r="C225" s="8" t="s">
        <v>178</v>
      </c>
      <c r="D225" s="8" t="s">
        <v>0</v>
      </c>
    </row>
    <row r="226" spans="1:21" x14ac:dyDescent="0.15">
      <c r="A226">
        <f>A198+10</f>
        <v>3080</v>
      </c>
      <c r="B226">
        <f>B198+10</f>
        <v>5080</v>
      </c>
      <c r="C226">
        <v>20</v>
      </c>
      <c r="D226">
        <f>MOD(A226,1000)</f>
        <v>80</v>
      </c>
    </row>
    <row r="227" spans="1:21" x14ac:dyDescent="0.15">
      <c r="A227" t="s">
        <v>156</v>
      </c>
      <c r="B227" t="s">
        <v>95</v>
      </c>
      <c r="C227" t="s">
        <v>142</v>
      </c>
      <c r="D227" t="s">
        <v>143</v>
      </c>
      <c r="E227" t="s">
        <v>182</v>
      </c>
      <c r="F227" t="s">
        <v>192</v>
      </c>
      <c r="G227" t="s">
        <v>193</v>
      </c>
      <c r="H227" t="s">
        <v>176</v>
      </c>
      <c r="I227" t="s">
        <v>205</v>
      </c>
      <c r="J227" t="s">
        <v>206</v>
      </c>
    </row>
    <row r="228" spans="1:21" x14ac:dyDescent="0.15">
      <c r="A228">
        <v>32</v>
      </c>
      <c r="B228" t="s">
        <v>26</v>
      </c>
      <c r="C228">
        <f>INT(C226/(VLOOKUP(A228,技能参数,5,FALSE)+2*VLOOKUP(A228,技能参数,4,FALSE))+3)</f>
        <v>3</v>
      </c>
      <c r="D228">
        <f>VLOOKUP(A228,技能参数,4,FALSE)</f>
        <v>1</v>
      </c>
      <c r="E228">
        <f>IFERROR(VLOOKUP(A228*1000+D226,学习等级编码,2),0)</f>
        <v>3208</v>
      </c>
      <c r="F228">
        <f>IFERROR(INT(VLOOKUP($E228,技能升级,9,FALSE)*$C228*I228*J228),0)</f>
        <v>0</v>
      </c>
      <c r="G228">
        <f>IFERROR(INT(VLOOKUP($E228,技能升级,10,FALSE)*$C228*I228*J228),0)</f>
        <v>4590</v>
      </c>
      <c r="H228">
        <f>INT(VLOOKUP($E228,技能升级,11,FALSE)*$C228*I228*J228)</f>
        <v>1299</v>
      </c>
      <c r="I228">
        <v>1</v>
      </c>
      <c r="J228">
        <v>1</v>
      </c>
    </row>
    <row r="229" spans="1:21" x14ac:dyDescent="0.15">
      <c r="A229">
        <v>34</v>
      </c>
      <c r="B229" t="s">
        <v>34</v>
      </c>
      <c r="C229">
        <f>INT(C226/(VLOOKUP(A229,技能参数,5,FALSE)+2*VLOOKUP(A229,技能参数,4,FALSE))+1)</f>
        <v>1</v>
      </c>
      <c r="D229">
        <f>VLOOKUP(A229,技能参数,4,FALSE)</f>
        <v>1.5</v>
      </c>
      <c r="E229">
        <f>IFERROR(VLOOKUP(A229*1000+D226,学习等级编码,2),0)</f>
        <v>3408</v>
      </c>
      <c r="F229">
        <f>IFERROR(INT(VLOOKUP($E229,技能升级,9,FALSE)*$C229*I229*J229),0)</f>
        <v>2080</v>
      </c>
      <c r="G229">
        <f>IFERROR(INT(VLOOKUP($E229,技能升级,10,FALSE)*$C229*I229*J229),0)</f>
        <v>0</v>
      </c>
      <c r="H229">
        <f>INT(VLOOKUP($E229,技能升级,11,FALSE)*$C229*I229*J229)</f>
        <v>490</v>
      </c>
      <c r="I229">
        <v>1</v>
      </c>
      <c r="J229">
        <v>1</v>
      </c>
    </row>
    <row r="230" spans="1:21" x14ac:dyDescent="0.15">
      <c r="A230">
        <v>35</v>
      </c>
      <c r="B230" t="s">
        <v>28</v>
      </c>
      <c r="C230">
        <v>3</v>
      </c>
      <c r="D230">
        <f>VLOOKUP(A230,技能参数,4,FALSE)</f>
        <v>2</v>
      </c>
      <c r="E230">
        <f>IFERROR(VLOOKUP(A230*1000+D226,学习等级编码,2),0)</f>
        <v>3505</v>
      </c>
      <c r="F230">
        <f>IFERROR(INT(VLOOKUP($E230,技能升级,9,FALSE)*$C230*I230*J230),0)</f>
        <v>8010</v>
      </c>
      <c r="G230">
        <f>IFERROR(INT(VLOOKUP($E230,技能升级,10,FALSE)*$C230*I230*J230),0)</f>
        <v>0</v>
      </c>
      <c r="H230">
        <f>INT(VLOOKUP($E230,技能升级,11,FALSE)*$C230*I230*J230)</f>
        <v>1263</v>
      </c>
      <c r="I230">
        <v>1</v>
      </c>
      <c r="J230">
        <v>1</v>
      </c>
    </row>
    <row r="231" spans="1:21" x14ac:dyDescent="0.15">
      <c r="A231">
        <v>31</v>
      </c>
      <c r="B231" t="s">
        <v>91</v>
      </c>
      <c r="C231">
        <f>INT((C226-C228*D228-C229*D229-C230*D230-C233)/D231)</f>
        <v>11</v>
      </c>
      <c r="D231">
        <f>VLOOKUP(A231,技能参数,4,FALSE)</f>
        <v>0.8</v>
      </c>
      <c r="E231">
        <f>IFERROR(VLOOKUP(A231*1000+D226,学习等级编码,2),0)</f>
        <v>3112</v>
      </c>
      <c r="F231">
        <f>IFERROR(INT(VLOOKUP($E231,技能升级,9,FALSE)*$C231*I231*J231),0)</f>
        <v>12780</v>
      </c>
      <c r="G231">
        <f>IFERROR(INT(VLOOKUP($E231,技能升级,10,FALSE)*$C231*I231*J231),0)</f>
        <v>0</v>
      </c>
      <c r="H231">
        <f>INT(VLOOKUP($E231,技能升级,11,FALSE)*$C231*I231*J231)</f>
        <v>5019</v>
      </c>
      <c r="I231">
        <v>1</v>
      </c>
      <c r="J231">
        <f>VLOOKUP(A226,$A$2:$I$21,7,FALSE)</f>
        <v>0.93699999999999994</v>
      </c>
    </row>
    <row r="232" spans="1:21" x14ac:dyDescent="0.15">
      <c r="A232">
        <v>203</v>
      </c>
      <c r="B232" t="s">
        <v>340</v>
      </c>
      <c r="C232">
        <f>INT((C226)/3)</f>
        <v>6</v>
      </c>
      <c r="D232">
        <v>0</v>
      </c>
      <c r="E232">
        <f>IFERROR(VLOOKUP(A232*1000+D226,学习等级编码,2),0)</f>
        <v>20308</v>
      </c>
      <c r="F232">
        <f>IFERROR(INT(VLOOKUP($E232,技能升级,9,FALSE)*$C232*I232*J232),0)</f>
        <v>0</v>
      </c>
      <c r="G232">
        <f>IFERROR(INT(VLOOKUP($E232,技能升级,10,FALSE)*$C232*I232*J232),0)</f>
        <v>0</v>
      </c>
      <c r="H232">
        <f>INT((VLOOKUP(E232,技能升级,13,FALSE)*(VLOOKUP(C232,中毒数据,4)+MOD(C226,3)*VLOOKUP(C232+1,中毒数据,3))+VLOOKUP(E232,技能升级,14,FALSE)/1000*C232*IF($B226&gt;10000,VLOOKUP($B226,实战属性,12,FALSE),VLOOKUP($B226,总基本属性,6,FALSE)))*I232*J232)</f>
        <v>30656</v>
      </c>
      <c r="I232">
        <v>1</v>
      </c>
      <c r="J232">
        <f>VLOOKUP(A226,$A$2:$I$21,8,FALSE)</f>
        <v>0.84499999999999997</v>
      </c>
    </row>
    <row r="233" spans="1:21" x14ac:dyDescent="0.15">
      <c r="B233" t="s">
        <v>402</v>
      </c>
      <c r="C233">
        <v>0</v>
      </c>
    </row>
    <row r="234" spans="1:21" x14ac:dyDescent="0.15">
      <c r="E234" t="s">
        <v>194</v>
      </c>
      <c r="F234">
        <f>SUM(F228:F232)/1000</f>
        <v>22.87</v>
      </c>
      <c r="G234">
        <f>SUM(G228:G232)/1000</f>
        <v>4.59</v>
      </c>
      <c r="H234">
        <f>SUM(H228:H232)</f>
        <v>38727</v>
      </c>
      <c r="I234" t="s">
        <v>196</v>
      </c>
      <c r="J234" t="s">
        <v>197</v>
      </c>
    </row>
    <row r="235" spans="1:21" x14ac:dyDescent="0.15">
      <c r="E235" t="s">
        <v>195</v>
      </c>
      <c r="F235">
        <f>INT((IF($A226&gt;10000,VLOOKUP($A226,实战属性,13,FALSE),VLOOKUP($A226,总基本属性,7,FALSE))-
IF($B226&gt;10000,VLOOKUP($B226,实战属性,15,FALSE),VLOOKUP($B226,总基本属性,9,FALSE))*$L$13)*F234)</f>
        <v>57964</v>
      </c>
      <c r="G235">
        <f>INT((IF($A226&gt;10000,VLOOKUP($A226,实战属性,14,FALSE),VLOOKUP($A226,总基本属性,8,FALSE))-
IF($B226&gt;10000,VLOOKUP($B226,实战属性,16,FALSE),VLOOKUP($B226,总基本属性,10,FALSE))*$L$13)*G234)</f>
        <v>11633</v>
      </c>
      <c r="H235">
        <f>H234+F235+G235</f>
        <v>108324</v>
      </c>
      <c r="I235">
        <f>IF($B226&gt;10000,VLOOKUP($B226,实战属性,12,FALSE),VLOOKUP($B226,总基本属性,6,FALSE))</f>
        <v>109152</v>
      </c>
      <c r="J235">
        <f>ROUND(I235/H235,2)</f>
        <v>1.01</v>
      </c>
    </row>
    <row r="238" spans="1:21" x14ac:dyDescent="0.15">
      <c r="A238" s="9" t="s">
        <v>198</v>
      </c>
      <c r="B238" s="9" t="s">
        <v>337</v>
      </c>
      <c r="C238" s="9" t="s">
        <v>178</v>
      </c>
      <c r="D238" s="9" t="s">
        <v>144</v>
      </c>
      <c r="L238" s="9" t="s">
        <v>6</v>
      </c>
      <c r="M238" s="9" t="s">
        <v>4</v>
      </c>
      <c r="N238" s="9" t="s">
        <v>178</v>
      </c>
      <c r="O238" s="9" t="s">
        <v>0</v>
      </c>
    </row>
    <row r="239" spans="1:21" x14ac:dyDescent="0.15">
      <c r="A239">
        <f>A211+10</f>
        <v>5080</v>
      </c>
      <c r="B239">
        <f>B211+10</f>
        <v>3080</v>
      </c>
      <c r="C239">
        <v>25</v>
      </c>
      <c r="D239">
        <f>MOD(A239,1000)</f>
        <v>80</v>
      </c>
      <c r="L239">
        <f>A239</f>
        <v>5080</v>
      </c>
      <c r="M239">
        <f>B239</f>
        <v>3080</v>
      </c>
      <c r="N239">
        <v>14</v>
      </c>
      <c r="O239">
        <f>MOD(L239,1000)</f>
        <v>80</v>
      </c>
    </row>
    <row r="240" spans="1:21" x14ac:dyDescent="0.15">
      <c r="A240" t="s">
        <v>156</v>
      </c>
      <c r="B240" t="s">
        <v>95</v>
      </c>
      <c r="C240" t="s">
        <v>142</v>
      </c>
      <c r="D240" t="s">
        <v>143</v>
      </c>
      <c r="E240" t="s">
        <v>182</v>
      </c>
      <c r="F240" t="s">
        <v>192</v>
      </c>
      <c r="G240" t="s">
        <v>193</v>
      </c>
      <c r="H240" t="s">
        <v>176</v>
      </c>
      <c r="I240" t="s">
        <v>205</v>
      </c>
      <c r="J240" t="s">
        <v>206</v>
      </c>
      <c r="L240" t="s">
        <v>156</v>
      </c>
      <c r="M240" t="s">
        <v>95</v>
      </c>
      <c r="N240" t="s">
        <v>142</v>
      </c>
      <c r="O240" t="s">
        <v>143</v>
      </c>
      <c r="P240" t="s">
        <v>182</v>
      </c>
      <c r="Q240" t="s">
        <v>192</v>
      </c>
      <c r="R240" t="s">
        <v>193</v>
      </c>
      <c r="S240" t="s">
        <v>176</v>
      </c>
      <c r="T240" t="s">
        <v>205</v>
      </c>
      <c r="U240" t="s">
        <v>206</v>
      </c>
    </row>
    <row r="241" spans="1:21" x14ac:dyDescent="0.15">
      <c r="A241">
        <v>52</v>
      </c>
      <c r="B241" t="s">
        <v>44</v>
      </c>
      <c r="C241">
        <f>INT(C239/(VLOOKUP(A241,技能参数,5,FALSE)+2*VLOOKUP(A241,技能参数,4,FALSE))+1)</f>
        <v>2</v>
      </c>
      <c r="D241">
        <f>VLOOKUP(A241,技能参数,4,FALSE)</f>
        <v>1.5</v>
      </c>
      <c r="E241">
        <f>VLOOKUP(A241*1000+D239,学习等级编码,2)</f>
        <v>5208</v>
      </c>
      <c r="F241">
        <f>INT(VLOOKUP($E241,技能升级,9,FALSE)*$C241*I241*J241)</f>
        <v>6160</v>
      </c>
      <c r="G241">
        <f>INT(VLOOKUP($E241,技能升级,10,FALSE)*$C241*I241*J241)</f>
        <v>0</v>
      </c>
      <c r="H241">
        <f>VLOOKUP($E241,技能升级,11,FALSE)*$C241</f>
        <v>886</v>
      </c>
      <c r="I241">
        <v>1</v>
      </c>
      <c r="J241">
        <v>1</v>
      </c>
      <c r="L241">
        <v>52</v>
      </c>
      <c r="M241" t="s">
        <v>44</v>
      </c>
      <c r="N241">
        <v>0</v>
      </c>
      <c r="O241">
        <f>VLOOKUP(L241,技能参数,4,FALSE)</f>
        <v>1.5</v>
      </c>
      <c r="P241">
        <f>VLOOKUP(L241*1000+O239,学习等级编码,2)</f>
        <v>5208</v>
      </c>
      <c r="Q241">
        <f>INT(VLOOKUP(P241,技能升级,9,FALSE)*N241*T241*U241)</f>
        <v>0</v>
      </c>
      <c r="R241">
        <f>INT(VLOOKUP(P241,技能升级,10,FALSE)*N241*T241*U241)</f>
        <v>0</v>
      </c>
      <c r="S241">
        <f>INT(VLOOKUP(P241,技能升级,11,FALSE)*N241*T241*U241)</f>
        <v>0</v>
      </c>
      <c r="T241">
        <v>1</v>
      </c>
      <c r="U241">
        <v>1</v>
      </c>
    </row>
    <row r="242" spans="1:21" x14ac:dyDescent="0.15">
      <c r="A242">
        <v>54</v>
      </c>
      <c r="B242" t="s">
        <v>40</v>
      </c>
      <c r="C242">
        <f>INT(C239/(VLOOKUP(A242,技能参数,5,FALSE)+2*VLOOKUP(A242,技能参数,4,FALSE))+1)</f>
        <v>2</v>
      </c>
      <c r="D242">
        <f>VLOOKUP(A242,技能参数,4,FALSE)</f>
        <v>1.2</v>
      </c>
      <c r="E242">
        <f>VLOOKUP(A242*1000+D239,学习等级编码,2)</f>
        <v>5408</v>
      </c>
      <c r="F242">
        <f>INT(VLOOKUP($E242,技能升级,9,FALSE)*$C242*I242*J242)</f>
        <v>4940</v>
      </c>
      <c r="G242">
        <f>INT(VLOOKUP($E242,技能升级,10,FALSE)*$C242*I242*J242)</f>
        <v>0</v>
      </c>
      <c r="H242">
        <f>VLOOKUP($E242,技能升级,11,FALSE)*$C242</f>
        <v>980</v>
      </c>
      <c r="I242">
        <v>1</v>
      </c>
      <c r="J242">
        <v>1</v>
      </c>
      <c r="L242">
        <v>54</v>
      </c>
      <c r="M242" t="s">
        <v>40</v>
      </c>
      <c r="N242">
        <v>0</v>
      </c>
      <c r="O242">
        <f>VLOOKUP(L242,技能参数,4,FALSE)</f>
        <v>1.2</v>
      </c>
      <c r="P242">
        <f>VLOOKUP(L242*1000+O239,学习等级编码,2)</f>
        <v>5408</v>
      </c>
      <c r="Q242">
        <f>INT(VLOOKUP(P242,技能升级,9,FALSE)*N242*T242*U242)</f>
        <v>0</v>
      </c>
      <c r="R242">
        <f>INT(VLOOKUP(P242,技能升级,10,FALSE)*N242*T242*U242)</f>
        <v>0</v>
      </c>
      <c r="S242">
        <f>INT(VLOOKUP(P242,技能升级,11,FALSE)*N242*T242*U242)</f>
        <v>0</v>
      </c>
      <c r="T242">
        <v>1</v>
      </c>
      <c r="U242">
        <v>1</v>
      </c>
    </row>
    <row r="243" spans="1:21" x14ac:dyDescent="0.15">
      <c r="A243">
        <v>51</v>
      </c>
      <c r="B243" t="s">
        <v>203</v>
      </c>
      <c r="C243">
        <v>2</v>
      </c>
      <c r="D243">
        <f>VLOOKUP(A243,技能参数,4,FALSE)</f>
        <v>0.9</v>
      </c>
      <c r="E243">
        <f>VLOOKUP(A243*1000+D239,学习等级编码,2)</f>
        <v>5112</v>
      </c>
      <c r="F243">
        <f>INT(VLOOKUP($E243,技能升级,9,FALSE)*$C243*I243*J243)</f>
        <v>3000</v>
      </c>
      <c r="G243">
        <f>INT(VLOOKUP($E243,技能升级,10,FALSE)*$C243*I243*J243)</f>
        <v>0</v>
      </c>
      <c r="H243">
        <f>VLOOKUP($E243,技能升级,11,FALSE)*$C243</f>
        <v>974</v>
      </c>
      <c r="I243">
        <v>1</v>
      </c>
      <c r="J243">
        <v>1</v>
      </c>
      <c r="L243">
        <v>51</v>
      </c>
      <c r="M243" t="s">
        <v>203</v>
      </c>
      <c r="N243">
        <v>2</v>
      </c>
      <c r="O243">
        <f>VLOOKUP(L243,技能参数,4,FALSE)</f>
        <v>0.9</v>
      </c>
      <c r="P243">
        <f>VLOOKUP(L243*1000+O239,学习等级编码,2)</f>
        <v>5112</v>
      </c>
      <c r="Q243">
        <f>INT(VLOOKUP(P243,技能升级,9,FALSE)*N243*T243*U243)</f>
        <v>3000</v>
      </c>
      <c r="R243">
        <f>INT(VLOOKUP(P243,技能升级,10,FALSE)*N243*T243*U243)</f>
        <v>0</v>
      </c>
      <c r="S243">
        <f>INT(VLOOKUP(P243,技能升级,11,FALSE)*N243*T243*U243)</f>
        <v>974</v>
      </c>
      <c r="T243">
        <v>1</v>
      </c>
      <c r="U243">
        <v>1</v>
      </c>
    </row>
    <row r="244" spans="1:21" x14ac:dyDescent="0.15">
      <c r="A244">
        <v>51</v>
      </c>
      <c r="B244" t="s">
        <v>204</v>
      </c>
      <c r="C244">
        <f>INT((C239-C241*D241-C242*D242-D243*C243-C246-C247)/D244*3)</f>
        <v>29</v>
      </c>
      <c r="D244">
        <f>VLOOKUP(A244,技能参数,4,FALSE)</f>
        <v>0.9</v>
      </c>
      <c r="E244">
        <f>VLOOKUP(A244*1000+D239,学习等级编码,2)</f>
        <v>5112</v>
      </c>
      <c r="F244">
        <f>INT(VLOOKUP($E244,技能升级,9,FALSE)*$C244*I244*J244)</f>
        <v>26302</v>
      </c>
      <c r="G244">
        <f>INT(VLOOKUP($E244,技能升级,10,FALSE)*$C244*I244*J244)</f>
        <v>0</v>
      </c>
      <c r="H244">
        <f>INT(VLOOKUP($E244,技能升级,11,FALSE)*$C244*I244*J244)</f>
        <v>8539</v>
      </c>
      <c r="I244">
        <f>F245/1000</f>
        <v>0.49</v>
      </c>
      <c r="J244">
        <f>VLOOKUP(A239,$A$2:$I$21,9,FALSE)</f>
        <v>1.234</v>
      </c>
      <c r="L244">
        <v>51</v>
      </c>
      <c r="M244" t="s">
        <v>204</v>
      </c>
      <c r="N244">
        <f>INT((N239-N241*O241-N242*O242-O243*N243-N246-N247)/O244*3)</f>
        <v>40</v>
      </c>
      <c r="O244">
        <f>VLOOKUP(L244,技能参数,4,FALSE)</f>
        <v>0.9</v>
      </c>
      <c r="P244">
        <f>VLOOKUP(L244*1000+O239,学习等级编码,2)</f>
        <v>5112</v>
      </c>
      <c r="Q244">
        <f>INT(VLOOKUP(P244,技能升级,9,FALSE)*N244*T244*U244)</f>
        <v>36279</v>
      </c>
      <c r="R244">
        <f>INT(VLOOKUP(P244,技能升级,10,FALSE)*N244*T244*U244)</f>
        <v>0</v>
      </c>
      <c r="S244">
        <f>INT(VLOOKUP(P244,技能升级,11,FALSE)*N244*T244*U244)</f>
        <v>11778</v>
      </c>
      <c r="T244">
        <f>Q245/1000</f>
        <v>0.49</v>
      </c>
      <c r="U244">
        <f>VLOOKUP(L239,$A$2:$I$21,9,FALSE)</f>
        <v>1.234</v>
      </c>
    </row>
    <row r="245" spans="1:21" x14ac:dyDescent="0.15">
      <c r="A245">
        <v>55</v>
      </c>
      <c r="B245" t="s">
        <v>271</v>
      </c>
      <c r="C245">
        <v>1</v>
      </c>
      <c r="D245">
        <v>0</v>
      </c>
      <c r="E245">
        <f>VLOOKUP(A245*1000+D239,学习等级编码,2)</f>
        <v>5505</v>
      </c>
      <c r="F245">
        <f>INT(VLOOKUP($E245,技能升级,14,FALSE)*$C245*I245)</f>
        <v>490</v>
      </c>
      <c r="G245">
        <f>INT(VLOOKUP($E245,技能升级,10,FALSE)*$C245*I245)</f>
        <v>0</v>
      </c>
      <c r="H245">
        <f>VLOOKUP($E245,技能升级,11,FALSE)*$C245</f>
        <v>0</v>
      </c>
      <c r="I245">
        <v>1</v>
      </c>
      <c r="J245">
        <v>1</v>
      </c>
      <c r="L245">
        <v>55</v>
      </c>
      <c r="M245" t="s">
        <v>46</v>
      </c>
      <c r="N245">
        <v>1</v>
      </c>
      <c r="O245">
        <v>0</v>
      </c>
      <c r="P245">
        <f>VLOOKUP(L245*1000+O239,学习等级编码,2)</f>
        <v>5505</v>
      </c>
      <c r="Q245">
        <f>INT(VLOOKUP(P245,技能升级,9,FALSE)*N245*T245*U245)</f>
        <v>490</v>
      </c>
      <c r="R245">
        <f>INT(VLOOKUP($E245,技能升级,10,FALSE)*$C245*T245)</f>
        <v>0</v>
      </c>
      <c r="S245">
        <f>IFERROR(VLOOKUP(P245,技能升级,11,FALSE)*N245*T245*U245,0)</f>
        <v>0</v>
      </c>
      <c r="T245">
        <v>1</v>
      </c>
      <c r="U245">
        <v>1</v>
      </c>
    </row>
    <row r="246" spans="1:21" x14ac:dyDescent="0.15">
      <c r="A246">
        <v>204</v>
      </c>
      <c r="B246" t="s">
        <v>338</v>
      </c>
      <c r="C246">
        <v>3</v>
      </c>
      <c r="D246">
        <v>0</v>
      </c>
      <c r="E246">
        <f>IFERROR(VLOOKUP(A246*1000+D239,学习等级编码,2),0)</f>
        <v>20401</v>
      </c>
      <c r="F246">
        <f>IFERROR(INT(VLOOKUP($E246,技能升级,9,FALSE)*$C246*I246*J246),0)</f>
        <v>0</v>
      </c>
      <c r="G246">
        <f>IFERROR(INT(VLOOKUP($E246,技能升级,10,FALSE)*$C246*I246*J246),0)</f>
        <v>0</v>
      </c>
      <c r="H246">
        <f>IFERROR(VLOOKUP(E246,技能升级,11,FALSE)*C246,0)</f>
        <v>0</v>
      </c>
      <c r="I246">
        <v>1</v>
      </c>
      <c r="J246">
        <v>1</v>
      </c>
      <c r="L246">
        <v>204</v>
      </c>
      <c r="M246" t="s">
        <v>338</v>
      </c>
      <c r="N246">
        <v>0</v>
      </c>
      <c r="O246">
        <v>0</v>
      </c>
      <c r="P246">
        <f>IFERROR(VLOOKUP(L246*1000+O239,学习等级编码,2),0)</f>
        <v>20401</v>
      </c>
      <c r="Q246">
        <f>IFERROR(INT(VLOOKUP(P246,技能升级,9,FALSE)*N246*T246*U246),0)</f>
        <v>0</v>
      </c>
      <c r="R246">
        <f>IFERROR(INT(VLOOKUP(P246,技能升级,10,FALSE)*N246*T246*U246),0)</f>
        <v>0</v>
      </c>
      <c r="S246">
        <f>IFERROR(VLOOKUP(P246,技能升级,11,FALSE)*N246*T246*U246,0)</f>
        <v>0</v>
      </c>
      <c r="T246">
        <v>1</v>
      </c>
      <c r="U246">
        <v>1</v>
      </c>
    </row>
    <row r="247" spans="1:21" x14ac:dyDescent="0.15">
      <c r="B247" t="s">
        <v>342</v>
      </c>
      <c r="C247">
        <v>6</v>
      </c>
      <c r="D247">
        <v>0</v>
      </c>
      <c r="E247">
        <f>IFERROR(VLOOKUP(A247*1000+D239,学习等级编码,2),0)</f>
        <v>0</v>
      </c>
      <c r="F247">
        <f>IFERROR(INT(VLOOKUP($E247,技能升级,9,FALSE)*$C247*I247*J247),0)</f>
        <v>0</v>
      </c>
      <c r="G247">
        <f>IFERROR(INT(VLOOKUP($E247,技能升级,10,FALSE)*$C247*I247*J247),0)</f>
        <v>0</v>
      </c>
      <c r="H247">
        <f>IFERROR(VLOOKUP(E247,技能升级,11,FALSE)*C247*I247*J247,0)</f>
        <v>0</v>
      </c>
      <c r="I247">
        <v>1</v>
      </c>
      <c r="J247">
        <v>1</v>
      </c>
      <c r="M247" t="s">
        <v>342</v>
      </c>
      <c r="N247">
        <v>0</v>
      </c>
      <c r="O247">
        <v>0</v>
      </c>
      <c r="P247">
        <f>IFERROR(VLOOKUP(L247*1000+O239,学习等级编码,2),0)</f>
        <v>0</v>
      </c>
      <c r="Q247">
        <f>IFERROR(INT(VLOOKUP(P247,技能升级,9,FALSE)*N247*T247*U247),0)</f>
        <v>0</v>
      </c>
      <c r="R247">
        <f>IFERROR(INT(VLOOKUP(P247,技能升级,10,FALSE)*N247*T247*U247),0)</f>
        <v>0</v>
      </c>
      <c r="S247">
        <f>IFERROR(VLOOKUP(P247,技能升级,11,FALSE)*N247*T247*U247,0)</f>
        <v>0</v>
      </c>
      <c r="T247">
        <v>1</v>
      </c>
      <c r="U247">
        <v>1</v>
      </c>
    </row>
    <row r="248" spans="1:21" x14ac:dyDescent="0.15">
      <c r="E248" t="s">
        <v>194</v>
      </c>
      <c r="F248">
        <f>SUM(F241:F244)/1000</f>
        <v>40.402000000000001</v>
      </c>
      <c r="G248">
        <f>SUM(G241:G244)/1000</f>
        <v>0</v>
      </c>
      <c r="H248">
        <f>SUM(H241:H244)</f>
        <v>11379</v>
      </c>
      <c r="I248" t="s">
        <v>196</v>
      </c>
      <c r="J248" t="s">
        <v>197</v>
      </c>
      <c r="P248" t="s">
        <v>194</v>
      </c>
      <c r="Q248">
        <f>SUM(Q241:Q244)/1000</f>
        <v>39.279000000000003</v>
      </c>
      <c r="R248">
        <f>SUM(R241:R244)/1000</f>
        <v>0</v>
      </c>
      <c r="S248">
        <f>SUM(S241:S244)</f>
        <v>12752</v>
      </c>
      <c r="T248" t="s">
        <v>196</v>
      </c>
      <c r="U248" t="s">
        <v>197</v>
      </c>
    </row>
    <row r="249" spans="1:21" x14ac:dyDescent="0.15">
      <c r="E249" t="s">
        <v>195</v>
      </c>
      <c r="F249">
        <f>INT((IF($A239&gt;10000,VLOOKUP($A239,实战属性,13,FALSE),VLOOKUP($A239,总基本属性,7,FALSE))-
IF($B239&gt;10000,VLOOKUP($B239,实战属性,15,FALSE),VLOOKUP($B239,总基本属性,9,FALSE))*$L$13)*F248)</f>
        <v>112075</v>
      </c>
      <c r="G249">
        <f>INT((IF($A239&gt;10000,VLOOKUP($A239,实战属性,14,FALSE),VLOOKUP($A239,总基本属性,8,FALSE))-
IF($B239&gt;10000,VLOOKUP($B239,实战属性,16,FALSE),VLOOKUP($B239,总基本属性,10,FALSE))*$L$13)*G248)</f>
        <v>0</v>
      </c>
      <c r="H249">
        <f>H248+F249+G249</f>
        <v>123454</v>
      </c>
      <c r="I249">
        <f>IF($B239&gt;10000,VLOOKUP($B239,实战属性,12,FALSE),VLOOKUP($B239,总基本属性,6,FALSE))</f>
        <v>122796</v>
      </c>
      <c r="J249">
        <f>ROUND(I249/H249,2)</f>
        <v>0.99</v>
      </c>
      <c r="P249" t="s">
        <v>195</v>
      </c>
      <c r="Q249">
        <f>INT((IF($A239&gt;10000,VLOOKUP($A239,实战属性,13,FALSE),VLOOKUP($A239,总基本属性,7,FALSE))-
IF($B239&gt;10000,VLOOKUP($B239,实战属性,15,FALSE),VLOOKUP($B239,总基本属性,9,FALSE))*$L$13)*Q248)</f>
        <v>108959</v>
      </c>
      <c r="R249">
        <f>INT((IF($A239&gt;10000,VLOOKUP($A239,实战属性,14,FALSE),VLOOKUP($A239,总基本属性,8,FALSE))-
IF($B239&gt;10000,VLOOKUP($B239,实战属性,16,FALSE),VLOOKUP($B239,总基本属性,10,FALSE))*$L$13)*R248)</f>
        <v>0</v>
      </c>
      <c r="S249">
        <f>S248+Q249+R249</f>
        <v>121711</v>
      </c>
      <c r="T249">
        <f>IF($B239&gt;10000,VLOOKUP($B239,实战属性,12,FALSE),VLOOKUP($B239,总基本属性,6,FALSE))</f>
        <v>122796</v>
      </c>
      <c r="U249">
        <f>ROUND(T249/S249,2)</f>
        <v>1.01</v>
      </c>
    </row>
    <row r="253" spans="1:21" x14ac:dyDescent="0.15">
      <c r="A253" s="8" t="s">
        <v>4</v>
      </c>
      <c r="B253" s="8" t="s">
        <v>6</v>
      </c>
      <c r="C253" s="8" t="s">
        <v>178</v>
      </c>
      <c r="D253" s="8" t="s">
        <v>0</v>
      </c>
    </row>
    <row r="254" spans="1:21" x14ac:dyDescent="0.15">
      <c r="A254">
        <f>A226+10</f>
        <v>3090</v>
      </c>
      <c r="B254">
        <f>B226+10</f>
        <v>5090</v>
      </c>
      <c r="C254">
        <v>20</v>
      </c>
      <c r="D254">
        <f>MOD(A254,1000)</f>
        <v>90</v>
      </c>
    </row>
    <row r="255" spans="1:21" x14ac:dyDescent="0.15">
      <c r="A255" t="s">
        <v>156</v>
      </c>
      <c r="B255" t="s">
        <v>95</v>
      </c>
      <c r="C255" t="s">
        <v>142</v>
      </c>
      <c r="D255" t="s">
        <v>143</v>
      </c>
      <c r="E255" t="s">
        <v>182</v>
      </c>
      <c r="F255" t="s">
        <v>192</v>
      </c>
      <c r="G255" t="s">
        <v>193</v>
      </c>
      <c r="H255" t="s">
        <v>176</v>
      </c>
      <c r="I255" t="s">
        <v>205</v>
      </c>
      <c r="J255" t="s">
        <v>206</v>
      </c>
    </row>
    <row r="256" spans="1:21" x14ac:dyDescent="0.15">
      <c r="A256">
        <v>32</v>
      </c>
      <c r="B256" t="s">
        <v>26</v>
      </c>
      <c r="C256">
        <f>INT(C254/(VLOOKUP(A256,技能参数,5,FALSE)+2*VLOOKUP(A256,技能参数,4,FALSE))+3)</f>
        <v>3</v>
      </c>
      <c r="D256">
        <f>VLOOKUP(A256,技能参数,4,FALSE)</f>
        <v>1</v>
      </c>
      <c r="E256">
        <f>IFERROR(VLOOKUP(A256*1000+D254,学习等级编码,2),0)</f>
        <v>3209</v>
      </c>
      <c r="F256">
        <f>IFERROR(INT(VLOOKUP($E256,技能升级,9,FALSE)*$C256*I256*J256),0)</f>
        <v>0</v>
      </c>
      <c r="G256">
        <f>IFERROR(INT(VLOOKUP($E256,技能升级,10,FALSE)*$C256*I256*J256),0)</f>
        <v>4710</v>
      </c>
      <c r="H256">
        <f>INT(VLOOKUP($E256,技能升级,11,FALSE)*$C256*I256*J256)</f>
        <v>1656</v>
      </c>
      <c r="I256">
        <v>1</v>
      </c>
      <c r="J256">
        <v>1</v>
      </c>
    </row>
    <row r="257" spans="1:21" x14ac:dyDescent="0.15">
      <c r="A257">
        <v>34</v>
      </c>
      <c r="B257" t="s">
        <v>34</v>
      </c>
      <c r="C257">
        <f>INT(C254/(VLOOKUP(A257,技能参数,5,FALSE)+2*VLOOKUP(A257,技能参数,4,FALSE))+1)</f>
        <v>1</v>
      </c>
      <c r="D257">
        <f>VLOOKUP(A257,技能参数,4,FALSE)</f>
        <v>1.5</v>
      </c>
      <c r="E257">
        <f>IFERROR(VLOOKUP(A257*1000+D254,学习等级编码,2),0)</f>
        <v>3409</v>
      </c>
      <c r="F257">
        <f>IFERROR(INT(VLOOKUP($E257,技能升级,9,FALSE)*$C257*I257*J257),0)</f>
        <v>2170</v>
      </c>
      <c r="G257">
        <f>IFERROR(INT(VLOOKUP($E257,技能升级,10,FALSE)*$C257*I257*J257),0)</f>
        <v>0</v>
      </c>
      <c r="H257">
        <f>INT(VLOOKUP($E257,技能升级,11,FALSE)*$C257*I257*J257)</f>
        <v>615</v>
      </c>
      <c r="I257">
        <v>1</v>
      </c>
      <c r="J257">
        <v>1</v>
      </c>
    </row>
    <row r="258" spans="1:21" x14ac:dyDescent="0.15">
      <c r="A258">
        <v>35</v>
      </c>
      <c r="B258" t="s">
        <v>28</v>
      </c>
      <c r="C258">
        <v>3</v>
      </c>
      <c r="D258">
        <f>VLOOKUP(A258,技能参数,4,FALSE)</f>
        <v>2</v>
      </c>
      <c r="E258">
        <f>IFERROR(VLOOKUP(A258*1000+D254,学习等级编码,2),0)</f>
        <v>3506</v>
      </c>
      <c r="F258">
        <f>IFERROR(INT(VLOOKUP($E258,技能升级,9,FALSE)*$C258*I258*J258),0)</f>
        <v>8490</v>
      </c>
      <c r="G258">
        <f>IFERROR(INT(VLOOKUP($E258,技能升级,10,FALSE)*$C258*I258*J258),0)</f>
        <v>0</v>
      </c>
      <c r="H258">
        <f>INT(VLOOKUP($E258,技能升级,11,FALSE)*$C258*I258*J258)</f>
        <v>1836</v>
      </c>
      <c r="I258">
        <v>1</v>
      </c>
      <c r="J258">
        <v>1</v>
      </c>
    </row>
    <row r="259" spans="1:21" x14ac:dyDescent="0.15">
      <c r="A259">
        <v>31</v>
      </c>
      <c r="B259" t="s">
        <v>91</v>
      </c>
      <c r="C259">
        <f>INT((C254-C256*D256-C257*D257-C258*D258-C261)/D259)</f>
        <v>11</v>
      </c>
      <c r="D259">
        <f>VLOOKUP(A259,技能参数,4,FALSE)</f>
        <v>0.8</v>
      </c>
      <c r="E259">
        <f>IFERROR(VLOOKUP(A259*1000+D254,学习等级编码,2),0)</f>
        <v>3114</v>
      </c>
      <c r="F259">
        <f>IFERROR(INT(VLOOKUP($E259,技能升级,9,FALSE)*$C259*I259*J259),0)</f>
        <v>12995</v>
      </c>
      <c r="G259">
        <f>IFERROR(INT(VLOOKUP($E259,技能升级,10,FALSE)*$C259*I259*J259),0)</f>
        <v>0</v>
      </c>
      <c r="H259">
        <f>INT(VLOOKUP($E259,技能升级,11,FALSE)*$C259*I259*J259)</f>
        <v>6772</v>
      </c>
      <c r="I259">
        <v>1</v>
      </c>
      <c r="J259">
        <f>VLOOKUP(A254,$A$2:$I$21,7,FALSE)</f>
        <v>0.92299999999999993</v>
      </c>
    </row>
    <row r="260" spans="1:21" x14ac:dyDescent="0.15">
      <c r="A260">
        <v>203</v>
      </c>
      <c r="B260" t="s">
        <v>340</v>
      </c>
      <c r="C260">
        <f>INT((C254)/3)</f>
        <v>6</v>
      </c>
      <c r="D260">
        <v>0</v>
      </c>
      <c r="E260">
        <f>IFERROR(VLOOKUP(A260*1000+D254,学习等级编码,2),0)</f>
        <v>20309</v>
      </c>
      <c r="F260">
        <f>IFERROR(INT(VLOOKUP($E260,技能升级,9,FALSE)*$C260*I260*J260),0)</f>
        <v>0</v>
      </c>
      <c r="G260">
        <f>IFERROR(INT(VLOOKUP($E260,技能升级,10,FALSE)*$C260*I260*J260),0)</f>
        <v>0</v>
      </c>
      <c r="H260">
        <f>INT((VLOOKUP(E260,技能升级,13,FALSE)*(VLOOKUP(C260,中毒数据,4)+MOD(C254,3)*VLOOKUP(C260+1,中毒数据,3))+VLOOKUP(E260,技能升级,14,FALSE)/1000*C260*IF($B254&gt;10000,VLOOKUP($B254,实战属性,12,FALSE),VLOOKUP($B254,总基本属性,6,FALSE)))*I260*J260)</f>
        <v>38875</v>
      </c>
      <c r="I260">
        <v>1</v>
      </c>
      <c r="J260">
        <f>VLOOKUP(A254,$A$2:$I$21,8,FALSE)</f>
        <v>0.80500000000000005</v>
      </c>
    </row>
    <row r="261" spans="1:21" x14ac:dyDescent="0.15">
      <c r="B261" t="s">
        <v>402</v>
      </c>
      <c r="C261">
        <v>0</v>
      </c>
    </row>
    <row r="262" spans="1:21" x14ac:dyDescent="0.15">
      <c r="E262" t="s">
        <v>194</v>
      </c>
      <c r="F262">
        <f>SUM(F256:F260)/1000</f>
        <v>23.655000000000001</v>
      </c>
      <c r="G262">
        <f>SUM(G256:G260)/1000</f>
        <v>4.71</v>
      </c>
      <c r="H262">
        <f>SUM(H256:H260)</f>
        <v>49754</v>
      </c>
      <c r="I262" t="s">
        <v>196</v>
      </c>
      <c r="J262" t="s">
        <v>197</v>
      </c>
    </row>
    <row r="263" spans="1:21" x14ac:dyDescent="0.15">
      <c r="E263" t="s">
        <v>195</v>
      </c>
      <c r="F263">
        <f>INT((IF($A254&gt;10000,VLOOKUP($A254,实战属性,13,FALSE),VLOOKUP($A254,总基本属性,7,FALSE))-
IF($B254&gt;10000,VLOOKUP($B254,实战属性,15,FALSE),VLOOKUP($B254,总基本属性,9,FALSE))*$L$13)*F262)</f>
        <v>75104</v>
      </c>
      <c r="G263">
        <f>INT((IF($A254&gt;10000,VLOOKUP($A254,实战属性,14,FALSE),VLOOKUP($A254,总基本属性,8,FALSE))-
IF($B254&gt;10000,VLOOKUP($B254,实战属性,16,FALSE),VLOOKUP($B254,总基本属性,10,FALSE))*$L$13)*G262)</f>
        <v>14954</v>
      </c>
      <c r="H263">
        <f>H262+F263+G263</f>
        <v>139812</v>
      </c>
      <c r="I263">
        <f>IF($B254&gt;10000,VLOOKUP($B254,实战属性,12,FALSE),VLOOKUP($B254,总基本属性,6,FALSE))</f>
        <v>137184</v>
      </c>
      <c r="J263">
        <f>ROUND(I263/H263,2)</f>
        <v>0.98</v>
      </c>
    </row>
    <row r="266" spans="1:21" x14ac:dyDescent="0.15">
      <c r="A266" s="9" t="s">
        <v>198</v>
      </c>
      <c r="B266" s="9" t="s">
        <v>337</v>
      </c>
      <c r="C266" s="9" t="s">
        <v>178</v>
      </c>
      <c r="D266" s="9" t="s">
        <v>144</v>
      </c>
      <c r="L266" s="9" t="s">
        <v>6</v>
      </c>
      <c r="M266" s="9" t="s">
        <v>4</v>
      </c>
      <c r="N266" s="9" t="s">
        <v>178</v>
      </c>
      <c r="O266" s="9" t="s">
        <v>0</v>
      </c>
    </row>
    <row r="267" spans="1:21" x14ac:dyDescent="0.15">
      <c r="A267">
        <f>A239+10</f>
        <v>5090</v>
      </c>
      <c r="B267">
        <f>B239+10</f>
        <v>3090</v>
      </c>
      <c r="C267">
        <v>25</v>
      </c>
      <c r="D267">
        <f>MOD(A267,1000)</f>
        <v>90</v>
      </c>
      <c r="L267">
        <f>A267</f>
        <v>5090</v>
      </c>
      <c r="M267">
        <f>B267</f>
        <v>3090</v>
      </c>
      <c r="N267">
        <v>14</v>
      </c>
      <c r="O267">
        <f>MOD(L267,1000)</f>
        <v>90</v>
      </c>
    </row>
    <row r="268" spans="1:21" x14ac:dyDescent="0.15">
      <c r="A268" t="s">
        <v>156</v>
      </c>
      <c r="B268" t="s">
        <v>95</v>
      </c>
      <c r="C268" t="s">
        <v>142</v>
      </c>
      <c r="D268" t="s">
        <v>143</v>
      </c>
      <c r="E268" t="s">
        <v>182</v>
      </c>
      <c r="F268" t="s">
        <v>192</v>
      </c>
      <c r="G268" t="s">
        <v>193</v>
      </c>
      <c r="H268" t="s">
        <v>176</v>
      </c>
      <c r="I268" t="s">
        <v>205</v>
      </c>
      <c r="J268" t="s">
        <v>206</v>
      </c>
      <c r="L268" t="s">
        <v>156</v>
      </c>
      <c r="M268" t="s">
        <v>95</v>
      </c>
      <c r="N268" t="s">
        <v>142</v>
      </c>
      <c r="O268" t="s">
        <v>143</v>
      </c>
      <c r="P268" t="s">
        <v>182</v>
      </c>
      <c r="Q268" t="s">
        <v>192</v>
      </c>
      <c r="R268" t="s">
        <v>193</v>
      </c>
      <c r="S268" t="s">
        <v>176</v>
      </c>
      <c r="T268" t="s">
        <v>205</v>
      </c>
      <c r="U268" t="s">
        <v>206</v>
      </c>
    </row>
    <row r="269" spans="1:21" x14ac:dyDescent="0.15">
      <c r="A269">
        <v>52</v>
      </c>
      <c r="B269" t="s">
        <v>44</v>
      </c>
      <c r="C269">
        <f>INT(C267/(VLOOKUP(A269,技能参数,5,FALSE)+2*VLOOKUP(A269,技能参数,4,FALSE))+1)</f>
        <v>2</v>
      </c>
      <c r="D269">
        <f>VLOOKUP(A269,技能参数,4,FALSE)</f>
        <v>1.5</v>
      </c>
      <c r="E269">
        <f>VLOOKUP(A269*1000+D267,学习等级编码,2)</f>
        <v>5209</v>
      </c>
      <c r="F269">
        <f>INT(VLOOKUP($E269,技能升级,9,FALSE)*$C269*I269*J269)</f>
        <v>6340</v>
      </c>
      <c r="G269">
        <f>INT(VLOOKUP($E269,技能升级,10,FALSE)*$C269*I269*J269)</f>
        <v>0</v>
      </c>
      <c r="H269">
        <f>VLOOKUP($E269,技能升级,11,FALSE)*$C269</f>
        <v>1124</v>
      </c>
      <c r="I269">
        <v>1</v>
      </c>
      <c r="J269">
        <v>1</v>
      </c>
      <c r="L269">
        <v>52</v>
      </c>
      <c r="M269" t="s">
        <v>44</v>
      </c>
      <c r="N269">
        <v>0</v>
      </c>
      <c r="O269">
        <f>VLOOKUP(L269,技能参数,4,FALSE)</f>
        <v>1.5</v>
      </c>
      <c r="P269">
        <f>VLOOKUP(L269*1000+O267,学习等级编码,2)</f>
        <v>5209</v>
      </c>
      <c r="Q269">
        <f>INT(VLOOKUP(P269,技能升级,9,FALSE)*N269*T269*U269)</f>
        <v>0</v>
      </c>
      <c r="R269">
        <f>INT(VLOOKUP(P269,技能升级,10,FALSE)*N269*T269*U269)</f>
        <v>0</v>
      </c>
      <c r="S269">
        <f>INT(VLOOKUP(P269,技能升级,11,FALSE)*N269*T269*U269)</f>
        <v>0</v>
      </c>
      <c r="T269">
        <v>1</v>
      </c>
      <c r="U269">
        <v>1</v>
      </c>
    </row>
    <row r="270" spans="1:21" x14ac:dyDescent="0.15">
      <c r="A270">
        <v>54</v>
      </c>
      <c r="B270" t="s">
        <v>40</v>
      </c>
      <c r="C270">
        <f>INT(C267/(VLOOKUP(A270,技能参数,5,FALSE)+2*VLOOKUP(A270,技能参数,4,FALSE))+1)</f>
        <v>2</v>
      </c>
      <c r="D270">
        <f>VLOOKUP(A270,技能参数,4,FALSE)</f>
        <v>1.2</v>
      </c>
      <c r="E270">
        <f>VLOOKUP(A270*1000+D267,学习等级编码,2)</f>
        <v>5409</v>
      </c>
      <c r="F270">
        <f>INT(VLOOKUP($E270,技能升级,9,FALSE)*$C270*I270*J270)</f>
        <v>5060</v>
      </c>
      <c r="G270">
        <f>INT(VLOOKUP($E270,技能升级,10,FALSE)*$C270*I270*J270)</f>
        <v>0</v>
      </c>
      <c r="H270">
        <f>VLOOKUP($E270,技能升级,11,FALSE)*$C270</f>
        <v>1230</v>
      </c>
      <c r="I270">
        <v>1</v>
      </c>
      <c r="J270">
        <v>1</v>
      </c>
      <c r="L270">
        <v>54</v>
      </c>
      <c r="M270" t="s">
        <v>40</v>
      </c>
      <c r="N270">
        <v>0</v>
      </c>
      <c r="O270">
        <f>VLOOKUP(L270,技能参数,4,FALSE)</f>
        <v>1.2</v>
      </c>
      <c r="P270">
        <f>VLOOKUP(L270*1000+O267,学习等级编码,2)</f>
        <v>5409</v>
      </c>
      <c r="Q270">
        <f>INT(VLOOKUP(P270,技能升级,9,FALSE)*N270*T270*U270)</f>
        <v>0</v>
      </c>
      <c r="R270">
        <f>INT(VLOOKUP(P270,技能升级,10,FALSE)*N270*T270*U270)</f>
        <v>0</v>
      </c>
      <c r="S270">
        <f>INT(VLOOKUP(P270,技能升级,11,FALSE)*N270*T270*U270)</f>
        <v>0</v>
      </c>
      <c r="T270">
        <v>1</v>
      </c>
      <c r="U270">
        <v>1</v>
      </c>
    </row>
    <row r="271" spans="1:21" x14ac:dyDescent="0.15">
      <c r="A271">
        <v>51</v>
      </c>
      <c r="B271" t="s">
        <v>203</v>
      </c>
      <c r="C271">
        <v>2</v>
      </c>
      <c r="D271">
        <f>VLOOKUP(A271,技能参数,4,FALSE)</f>
        <v>0.9</v>
      </c>
      <c r="E271">
        <f>VLOOKUP(A271*1000+D267,学习等级编码,2)</f>
        <v>5114</v>
      </c>
      <c r="F271">
        <f>INT(VLOOKUP($E271,技能升级,9,FALSE)*$C271*I271*J271)</f>
        <v>3080</v>
      </c>
      <c r="G271">
        <f>INT(VLOOKUP($E271,技能升级,10,FALSE)*$C271*I271*J271)</f>
        <v>0</v>
      </c>
      <c r="H271">
        <f>VLOOKUP($E271,技能升级,11,FALSE)*$C271</f>
        <v>1334</v>
      </c>
      <c r="I271">
        <v>1</v>
      </c>
      <c r="J271">
        <v>1</v>
      </c>
      <c r="L271">
        <v>51</v>
      </c>
      <c r="M271" t="s">
        <v>203</v>
      </c>
      <c r="N271">
        <v>2</v>
      </c>
      <c r="O271">
        <f>VLOOKUP(L271,技能参数,4,FALSE)</f>
        <v>0.9</v>
      </c>
      <c r="P271">
        <f>VLOOKUP(L271*1000+O267,学习等级编码,2)</f>
        <v>5114</v>
      </c>
      <c r="Q271">
        <f>INT(VLOOKUP(P271,技能升级,9,FALSE)*N271*T271*U271)</f>
        <v>3080</v>
      </c>
      <c r="R271">
        <f>INT(VLOOKUP(P271,技能升级,10,FALSE)*N271*T271*U271)</f>
        <v>0</v>
      </c>
      <c r="S271">
        <f>INT(VLOOKUP(P271,技能升级,11,FALSE)*N271*T271*U271)</f>
        <v>1334</v>
      </c>
      <c r="T271">
        <v>1</v>
      </c>
      <c r="U271">
        <v>1</v>
      </c>
    </row>
    <row r="272" spans="1:21" x14ac:dyDescent="0.15">
      <c r="A272">
        <v>51</v>
      </c>
      <c r="B272" t="s">
        <v>204</v>
      </c>
      <c r="C272">
        <f>INT((C267-C269*D269-C270*D270-D271*C271-C274-C275)/D272*3)</f>
        <v>29</v>
      </c>
      <c r="D272">
        <f>VLOOKUP(A272,技能参数,4,FALSE)</f>
        <v>0.9</v>
      </c>
      <c r="E272">
        <f>VLOOKUP(A272*1000+D267,学习等级编码,2)</f>
        <v>5114</v>
      </c>
      <c r="F272">
        <f>INT(VLOOKUP($E272,技能升级,9,FALSE)*$C272*I272*J272)</f>
        <v>28448</v>
      </c>
      <c r="G272">
        <f>INT(VLOOKUP($E272,技能升级,10,FALSE)*$C272*I272*J272)</f>
        <v>0</v>
      </c>
      <c r="H272">
        <f>INT(VLOOKUP($E272,技能升级,11,FALSE)*$C272*I272*J272)</f>
        <v>12321</v>
      </c>
      <c r="I272">
        <f>F273/1000</f>
        <v>0.52</v>
      </c>
      <c r="J272">
        <f>VLOOKUP(A267,$A$2:$I$21,9,FALSE)</f>
        <v>1.2250000000000001</v>
      </c>
      <c r="L272">
        <v>51</v>
      </c>
      <c r="M272" t="s">
        <v>204</v>
      </c>
      <c r="N272">
        <f>INT((N267-N269*O269-N270*O270-O271*N271-N274-N275)/O272*3)</f>
        <v>40</v>
      </c>
      <c r="O272">
        <f>VLOOKUP(L272,技能参数,4,FALSE)</f>
        <v>0.9</v>
      </c>
      <c r="P272">
        <f>VLOOKUP(L272*1000+O267,学习等级编码,2)</f>
        <v>5114</v>
      </c>
      <c r="Q272">
        <f>INT(VLOOKUP(P272,技能升级,9,FALSE)*N272*T272*U272)</f>
        <v>39239</v>
      </c>
      <c r="R272">
        <f>INT(VLOOKUP(P272,技能升级,10,FALSE)*N272*T272*U272)</f>
        <v>0</v>
      </c>
      <c r="S272">
        <f>INT(VLOOKUP(P272,技能升级,11,FALSE)*N272*T272*U272)</f>
        <v>16995</v>
      </c>
      <c r="T272">
        <f>Q273/1000</f>
        <v>0.52</v>
      </c>
      <c r="U272">
        <f>VLOOKUP(L267,$A$2:$I$21,9,FALSE)</f>
        <v>1.2250000000000001</v>
      </c>
    </row>
    <row r="273" spans="1:21" x14ac:dyDescent="0.15">
      <c r="A273">
        <v>55</v>
      </c>
      <c r="B273" t="s">
        <v>271</v>
      </c>
      <c r="C273">
        <v>1</v>
      </c>
      <c r="D273">
        <v>0</v>
      </c>
      <c r="E273">
        <f>VLOOKUP(A273*1000+D267,学习等级编码,2)</f>
        <v>5506</v>
      </c>
      <c r="F273">
        <f>INT(VLOOKUP($E273,技能升级,14,FALSE)*$C273*I273)</f>
        <v>520</v>
      </c>
      <c r="G273">
        <f>INT(VLOOKUP($E273,技能升级,10,FALSE)*$C273*I273)</f>
        <v>0</v>
      </c>
      <c r="H273">
        <f>VLOOKUP($E273,技能升级,11,FALSE)*$C273</f>
        <v>0</v>
      </c>
      <c r="I273">
        <v>1</v>
      </c>
      <c r="J273">
        <v>1</v>
      </c>
      <c r="L273">
        <v>55</v>
      </c>
      <c r="M273" t="s">
        <v>46</v>
      </c>
      <c r="N273">
        <v>1</v>
      </c>
      <c r="O273">
        <v>0</v>
      </c>
      <c r="P273">
        <f>VLOOKUP(L273*1000+O267,学习等级编码,2)</f>
        <v>5506</v>
      </c>
      <c r="Q273">
        <f>INT(VLOOKUP(P273,技能升级,9,FALSE)*N273*T273*U273)</f>
        <v>520</v>
      </c>
      <c r="R273">
        <f>INT(VLOOKUP($E273,技能升级,10,FALSE)*$C273*T273)</f>
        <v>0</v>
      </c>
      <c r="S273">
        <f>IFERROR(VLOOKUP(P273,技能升级,11,FALSE)*N273*T273*U273,0)</f>
        <v>0</v>
      </c>
      <c r="T273">
        <v>1</v>
      </c>
      <c r="U273">
        <v>1</v>
      </c>
    </row>
    <row r="274" spans="1:21" x14ac:dyDescent="0.15">
      <c r="A274">
        <v>204</v>
      </c>
      <c r="B274" t="s">
        <v>338</v>
      </c>
      <c r="C274">
        <v>3</v>
      </c>
      <c r="D274">
        <v>0</v>
      </c>
      <c r="E274">
        <f>IFERROR(VLOOKUP(A274*1000+D267,学习等级编码,2),0)</f>
        <v>20401</v>
      </c>
      <c r="F274">
        <f>IFERROR(INT(VLOOKUP($E274,技能升级,9,FALSE)*$C274*I274*J274),0)</f>
        <v>0</v>
      </c>
      <c r="G274">
        <f>IFERROR(INT(VLOOKUP($E274,技能升级,10,FALSE)*$C274*I274*J274),0)</f>
        <v>0</v>
      </c>
      <c r="H274">
        <f>IFERROR(VLOOKUP(E274,技能升级,11,FALSE)*C274,0)</f>
        <v>0</v>
      </c>
      <c r="I274">
        <v>1</v>
      </c>
      <c r="J274">
        <v>1</v>
      </c>
      <c r="L274">
        <v>204</v>
      </c>
      <c r="M274" t="s">
        <v>338</v>
      </c>
      <c r="N274">
        <v>0</v>
      </c>
      <c r="O274">
        <v>0</v>
      </c>
      <c r="P274">
        <f>IFERROR(VLOOKUP(L274*1000+O267,学习等级编码,2),0)</f>
        <v>20401</v>
      </c>
      <c r="Q274">
        <f>IFERROR(INT(VLOOKUP(P274,技能升级,9,FALSE)*N274*T274*U274),0)</f>
        <v>0</v>
      </c>
      <c r="R274">
        <f>IFERROR(INT(VLOOKUP(P274,技能升级,10,FALSE)*N274*T274*U274),0)</f>
        <v>0</v>
      </c>
      <c r="S274">
        <f>IFERROR(VLOOKUP(P274,技能升级,11,FALSE)*N274*T274*U274,0)</f>
        <v>0</v>
      </c>
      <c r="T274">
        <v>1</v>
      </c>
      <c r="U274">
        <v>1</v>
      </c>
    </row>
    <row r="275" spans="1:21" x14ac:dyDescent="0.15">
      <c r="B275" t="s">
        <v>342</v>
      </c>
      <c r="C275">
        <v>6</v>
      </c>
      <c r="D275">
        <v>0</v>
      </c>
      <c r="E275">
        <f>IFERROR(VLOOKUP(A275*1000+D267,学习等级编码,2),0)</f>
        <v>0</v>
      </c>
      <c r="F275">
        <f>IFERROR(INT(VLOOKUP($E275,技能升级,9,FALSE)*$C275*I275*J275),0)</f>
        <v>0</v>
      </c>
      <c r="G275">
        <f>IFERROR(INT(VLOOKUP($E275,技能升级,10,FALSE)*$C275*I275*J275),0)</f>
        <v>0</v>
      </c>
      <c r="H275">
        <f>IFERROR(VLOOKUP(E275,技能升级,11,FALSE)*C275*I275*J275,0)</f>
        <v>0</v>
      </c>
      <c r="I275">
        <v>1</v>
      </c>
      <c r="J275">
        <v>1</v>
      </c>
      <c r="M275" t="s">
        <v>342</v>
      </c>
      <c r="N275">
        <v>0</v>
      </c>
      <c r="O275">
        <v>0</v>
      </c>
      <c r="P275">
        <f>IFERROR(VLOOKUP(L275*1000+O267,学习等级编码,2),0)</f>
        <v>0</v>
      </c>
      <c r="Q275">
        <f>IFERROR(INT(VLOOKUP(P275,技能升级,9,FALSE)*N275*T275*U275),0)</f>
        <v>0</v>
      </c>
      <c r="R275">
        <f>IFERROR(INT(VLOOKUP(P275,技能升级,10,FALSE)*N275*T275*U275),0)</f>
        <v>0</v>
      </c>
      <c r="S275">
        <f>IFERROR(VLOOKUP(P275,技能升级,11,FALSE)*N275*T275*U275,0)</f>
        <v>0</v>
      </c>
      <c r="T275">
        <v>1</v>
      </c>
      <c r="U275">
        <v>1</v>
      </c>
    </row>
    <row r="276" spans="1:21" x14ac:dyDescent="0.15">
      <c r="E276" t="s">
        <v>194</v>
      </c>
      <c r="F276">
        <f>SUM(F269:F272)/1000</f>
        <v>42.927999999999997</v>
      </c>
      <c r="G276">
        <f>SUM(G269:G272)/1000</f>
        <v>0</v>
      </c>
      <c r="H276">
        <f>SUM(H269:H272)</f>
        <v>16009</v>
      </c>
      <c r="I276" t="s">
        <v>196</v>
      </c>
      <c r="J276" t="s">
        <v>197</v>
      </c>
      <c r="P276" t="s">
        <v>194</v>
      </c>
      <c r="Q276">
        <f>SUM(Q269:Q272)/1000</f>
        <v>42.319000000000003</v>
      </c>
      <c r="R276">
        <f>SUM(R269:R272)/1000</f>
        <v>0</v>
      </c>
      <c r="S276">
        <f>SUM(S269:S272)</f>
        <v>18329</v>
      </c>
      <c r="T276" t="s">
        <v>196</v>
      </c>
      <c r="U276" t="s">
        <v>197</v>
      </c>
    </row>
    <row r="277" spans="1:21" x14ac:dyDescent="0.15">
      <c r="E277" t="s">
        <v>195</v>
      </c>
      <c r="F277">
        <f>INT((IF($A267&gt;10000,VLOOKUP($A267,实战属性,13,FALSE),VLOOKUP($A267,总基本属性,7,FALSE))-
IF($B267&gt;10000,VLOOKUP($B267,实战属性,15,FALSE),VLOOKUP($B267,总基本属性,9,FALSE))*$L$13)*F276)</f>
        <v>146534</v>
      </c>
      <c r="G277">
        <f>INT((IF($A267&gt;10000,VLOOKUP($A267,实战属性,14,FALSE),VLOOKUP($A267,总基本属性,8,FALSE))-
IF($B267&gt;10000,VLOOKUP($B267,实战属性,16,FALSE),VLOOKUP($B267,总基本属性,10,FALSE))*$L$13)*G276)</f>
        <v>0</v>
      </c>
      <c r="H277">
        <f>H276+F277+G277</f>
        <v>162543</v>
      </c>
      <c r="I277">
        <f>IF($B267&gt;10000,VLOOKUP($B267,实战属性,12,FALSE),VLOOKUP($B267,总基本属性,6,FALSE))</f>
        <v>154332</v>
      </c>
      <c r="J277">
        <f>ROUND(I277/H277,2)</f>
        <v>0.95</v>
      </c>
      <c r="P277" t="s">
        <v>195</v>
      </c>
      <c r="Q277">
        <f>INT((IF($A267&gt;10000,VLOOKUP($A267,实战属性,13,FALSE),VLOOKUP($A267,总基本属性,7,FALSE))-
IF($B267&gt;10000,VLOOKUP($B267,实战属性,15,FALSE),VLOOKUP($B267,总基本属性,9,FALSE))*$L$13)*Q276)</f>
        <v>144455</v>
      </c>
      <c r="R277">
        <f>INT((IF($A267&gt;10000,VLOOKUP($A267,实战属性,14,FALSE),VLOOKUP($A267,总基本属性,8,FALSE))-
IF($B267&gt;10000,VLOOKUP($B267,实战属性,16,FALSE),VLOOKUP($B267,总基本属性,10,FALSE))*$L$13)*R276)</f>
        <v>0</v>
      </c>
      <c r="S277">
        <f>S276+Q277+R277</f>
        <v>162784</v>
      </c>
      <c r="T277">
        <f>IF($B267&gt;10000,VLOOKUP($B267,实战属性,12,FALSE),VLOOKUP($B267,总基本属性,6,FALSE))</f>
        <v>154332</v>
      </c>
      <c r="U277">
        <f>ROUND(T277/S277,2)</f>
        <v>0.95</v>
      </c>
    </row>
    <row r="281" spans="1:21" x14ac:dyDescent="0.15">
      <c r="A281" s="8" t="s">
        <v>4</v>
      </c>
      <c r="B281" s="8" t="s">
        <v>6</v>
      </c>
      <c r="C281" s="8" t="s">
        <v>178</v>
      </c>
      <c r="D281" s="8" t="s">
        <v>0</v>
      </c>
    </row>
    <row r="282" spans="1:21" x14ac:dyDescent="0.15">
      <c r="A282">
        <f>A254+10</f>
        <v>3100</v>
      </c>
      <c r="B282">
        <f>B254+10</f>
        <v>5100</v>
      </c>
      <c r="C282">
        <v>19</v>
      </c>
      <c r="D282">
        <f>MOD(A282,1000)</f>
        <v>100</v>
      </c>
    </row>
    <row r="283" spans="1:21" x14ac:dyDescent="0.15">
      <c r="A283" t="s">
        <v>156</v>
      </c>
      <c r="B283" t="s">
        <v>95</v>
      </c>
      <c r="C283" t="s">
        <v>142</v>
      </c>
      <c r="D283" t="s">
        <v>143</v>
      </c>
      <c r="E283" t="s">
        <v>182</v>
      </c>
      <c r="F283" t="s">
        <v>192</v>
      </c>
      <c r="G283" t="s">
        <v>193</v>
      </c>
      <c r="H283" t="s">
        <v>176</v>
      </c>
      <c r="I283" t="s">
        <v>205</v>
      </c>
      <c r="J283" t="s">
        <v>206</v>
      </c>
    </row>
    <row r="284" spans="1:21" x14ac:dyDescent="0.15">
      <c r="A284">
        <v>32</v>
      </c>
      <c r="B284" t="s">
        <v>26</v>
      </c>
      <c r="C284">
        <f>INT(C282/(VLOOKUP(A284,技能参数,5,FALSE)+2*VLOOKUP(A284,技能参数,4,FALSE))+3)</f>
        <v>3</v>
      </c>
      <c r="D284">
        <f>VLOOKUP(A284,技能参数,4,FALSE)</f>
        <v>1</v>
      </c>
      <c r="E284">
        <f>IFERROR(VLOOKUP(A284*1000+D282,学习等级编码,2),0)</f>
        <v>3210</v>
      </c>
      <c r="F284">
        <f>IFERROR(INT(VLOOKUP($E284,技能升级,9,FALSE)*$C284*I284*J284),0)</f>
        <v>0</v>
      </c>
      <c r="G284">
        <f>IFERROR(INT(VLOOKUP($E284,技能升级,10,FALSE)*$C284*I284*J284),0)</f>
        <v>4860</v>
      </c>
      <c r="H284">
        <f>INT(VLOOKUP($E284,技能升级,11,FALSE)*$C284*I284*J284)</f>
        <v>2058</v>
      </c>
      <c r="I284">
        <v>1</v>
      </c>
      <c r="J284">
        <v>1</v>
      </c>
    </row>
    <row r="285" spans="1:21" x14ac:dyDescent="0.15">
      <c r="A285">
        <v>34</v>
      </c>
      <c r="B285" t="s">
        <v>34</v>
      </c>
      <c r="C285">
        <f>INT(C282/(VLOOKUP(A285,技能参数,5,FALSE)+2*VLOOKUP(A285,技能参数,4,FALSE))+1)</f>
        <v>1</v>
      </c>
      <c r="D285">
        <f>VLOOKUP(A285,技能参数,4,FALSE)</f>
        <v>1.5</v>
      </c>
      <c r="E285">
        <f>IFERROR(VLOOKUP(A285*1000+D282,学习等级编码,2),0)</f>
        <v>3410</v>
      </c>
      <c r="F285">
        <f>IFERROR(INT(VLOOKUP($E285,技能升级,9,FALSE)*$C285*I285*J285),0)</f>
        <v>2250</v>
      </c>
      <c r="G285">
        <f>IFERROR(INT(VLOOKUP($E285,技能升级,10,FALSE)*$C285*I285*J285),0)</f>
        <v>0</v>
      </c>
      <c r="H285">
        <f>INT(VLOOKUP($E285,技能升级,11,FALSE)*$C285*I285*J285)</f>
        <v>755</v>
      </c>
      <c r="I285">
        <v>1</v>
      </c>
      <c r="J285">
        <v>1</v>
      </c>
    </row>
    <row r="286" spans="1:21" x14ac:dyDescent="0.15">
      <c r="A286">
        <v>35</v>
      </c>
      <c r="B286" t="s">
        <v>28</v>
      </c>
      <c r="C286">
        <v>3</v>
      </c>
      <c r="D286">
        <f>VLOOKUP(A286,技能参数,4,FALSE)</f>
        <v>2</v>
      </c>
      <c r="E286">
        <f>IFERROR(VLOOKUP(A286*1000+D282,学习等级编码,2),0)</f>
        <v>3507</v>
      </c>
      <c r="F286">
        <f>IFERROR(INT(VLOOKUP($E286,技能升级,9,FALSE)*$C286*I286*J286),0)</f>
        <v>9000</v>
      </c>
      <c r="G286">
        <f>IFERROR(INT(VLOOKUP($E286,技能升级,10,FALSE)*$C286*I286*J286),0)</f>
        <v>0</v>
      </c>
      <c r="H286">
        <f>INT(VLOOKUP($E286,技能升级,11,FALSE)*$C286*I286*J286)</f>
        <v>2517</v>
      </c>
      <c r="I286">
        <v>1</v>
      </c>
      <c r="J286">
        <v>1</v>
      </c>
    </row>
    <row r="287" spans="1:21" x14ac:dyDescent="0.15">
      <c r="A287">
        <v>31</v>
      </c>
      <c r="B287" t="s">
        <v>91</v>
      </c>
      <c r="C287">
        <f>INT((C282-C284*D284-C285*D285-C286*D286-C289)/D287)</f>
        <v>10</v>
      </c>
      <c r="D287">
        <f>VLOOKUP(A287,技能参数,4,FALSE)</f>
        <v>0.8</v>
      </c>
      <c r="E287">
        <f>IFERROR(VLOOKUP(A287*1000+D282,学习等级编码,2),0)</f>
        <v>3115</v>
      </c>
      <c r="F287">
        <f>IFERROR(INT(VLOOKUP($E287,技能升级,9,FALSE)*$C287*I287*J287),0)</f>
        <v>11726</v>
      </c>
      <c r="G287">
        <f>IFERROR(INT(VLOOKUP($E287,技能升级,10,FALSE)*$C287*I287*J287),0)</f>
        <v>0</v>
      </c>
      <c r="H287">
        <f>INT(VLOOKUP($E287,技能升级,11,FALSE)*$C287*I287*J287)</f>
        <v>6936</v>
      </c>
      <c r="I287">
        <v>1</v>
      </c>
      <c r="J287">
        <f>VLOOKUP(A282,$A$2:$I$21,7,FALSE)</f>
        <v>0.90200000000000002</v>
      </c>
    </row>
    <row r="288" spans="1:21" x14ac:dyDescent="0.15">
      <c r="A288">
        <v>203</v>
      </c>
      <c r="B288" t="s">
        <v>340</v>
      </c>
      <c r="C288">
        <f>INT((C282)/3)</f>
        <v>6</v>
      </c>
      <c r="D288">
        <v>0</v>
      </c>
      <c r="E288">
        <f>IFERROR(VLOOKUP(A288*1000+D282,学习等级编码,2),0)</f>
        <v>20310</v>
      </c>
      <c r="F288">
        <f>IFERROR(INT(VLOOKUP($E288,技能升级,9,FALSE)*$C288*I288*J288),0)</f>
        <v>0</v>
      </c>
      <c r="G288">
        <f>IFERROR(INT(VLOOKUP($E288,技能升级,10,FALSE)*$C288*I288*J288),0)</f>
        <v>0</v>
      </c>
      <c r="H288">
        <f>INT((VLOOKUP(E288,技能升级,13,FALSE)*(VLOOKUP(C288,中毒数据,4)+MOD(C282,3)*VLOOKUP(C288+1,中毒数据,3))+VLOOKUP(E288,技能升级,14,FALSE)/1000*C288*IF($B282&gt;10000,VLOOKUP($B282,实战属性,12,FALSE),VLOOKUP($B282,总基本属性,6,FALSE)))*I288*J288)</f>
        <v>45710</v>
      </c>
      <c r="I288">
        <v>1</v>
      </c>
      <c r="J288">
        <f>VLOOKUP(A282,$A$2:$I$21,8,FALSE)</f>
        <v>0.77</v>
      </c>
    </row>
    <row r="289" spans="1:21" x14ac:dyDescent="0.15">
      <c r="B289" t="s">
        <v>402</v>
      </c>
      <c r="C289">
        <v>0</v>
      </c>
    </row>
    <row r="290" spans="1:21" x14ac:dyDescent="0.15">
      <c r="E290" t="s">
        <v>194</v>
      </c>
      <c r="F290">
        <f>SUM(F284:F288)/1000</f>
        <v>22.975999999999999</v>
      </c>
      <c r="G290">
        <f>SUM(G284:G288)/1000</f>
        <v>4.8600000000000003</v>
      </c>
      <c r="H290">
        <f>SUM(H284:H288)</f>
        <v>57976</v>
      </c>
      <c r="I290" t="s">
        <v>196</v>
      </c>
      <c r="J290" t="s">
        <v>197</v>
      </c>
    </row>
    <row r="291" spans="1:21" x14ac:dyDescent="0.15">
      <c r="E291" t="s">
        <v>195</v>
      </c>
      <c r="F291">
        <f>INT((IF($A282&gt;10000,VLOOKUP($A282,实战属性,13,FALSE),VLOOKUP($A282,总基本属性,7,FALSE))-
IF($B282&gt;10000,VLOOKUP($B282,实战属性,15,FALSE),VLOOKUP($B282,总基本属性,9,FALSE))*$L$13)*F290)</f>
        <v>89330</v>
      </c>
      <c r="G291">
        <f>INT((IF($A282&gt;10000,VLOOKUP($A282,实战属性,14,FALSE),VLOOKUP($A282,总基本属性,8,FALSE))-
IF($B282&gt;10000,VLOOKUP($B282,实战属性,16,FALSE),VLOOKUP($B282,总基本属性,10,FALSE))*$L$13)*G290)</f>
        <v>18895</v>
      </c>
      <c r="H291">
        <f>H290+F291+G291</f>
        <v>166201</v>
      </c>
      <c r="I291">
        <f>IF($B282&gt;10000,VLOOKUP($B282,实战属性,12,FALSE),VLOOKUP($B282,总基本属性,6,FALSE))</f>
        <v>168384</v>
      </c>
      <c r="J291">
        <f>ROUND(I291/H291,2)</f>
        <v>1.01</v>
      </c>
    </row>
    <row r="294" spans="1:21" x14ac:dyDescent="0.15">
      <c r="A294" s="9" t="s">
        <v>198</v>
      </c>
      <c r="B294" s="9" t="s">
        <v>337</v>
      </c>
      <c r="C294" s="9" t="s">
        <v>178</v>
      </c>
      <c r="D294" s="9" t="s">
        <v>144</v>
      </c>
      <c r="L294" s="9" t="s">
        <v>6</v>
      </c>
      <c r="M294" s="9" t="s">
        <v>4</v>
      </c>
      <c r="N294" s="9" t="s">
        <v>178</v>
      </c>
      <c r="O294" s="9" t="s">
        <v>0</v>
      </c>
    </row>
    <row r="295" spans="1:21" x14ac:dyDescent="0.15">
      <c r="A295">
        <f>A267+10</f>
        <v>5100</v>
      </c>
      <c r="B295">
        <f>B267+10</f>
        <v>3100</v>
      </c>
      <c r="C295">
        <v>24</v>
      </c>
      <c r="D295">
        <f>MOD(A295,1000)</f>
        <v>100</v>
      </c>
      <c r="L295">
        <f>A295</f>
        <v>5100</v>
      </c>
      <c r="M295">
        <f>B295</f>
        <v>3100</v>
      </c>
      <c r="N295">
        <v>13</v>
      </c>
      <c r="O295">
        <f>MOD(L295,1000)</f>
        <v>100</v>
      </c>
    </row>
    <row r="296" spans="1:21" x14ac:dyDescent="0.15">
      <c r="A296" t="s">
        <v>156</v>
      </c>
      <c r="B296" t="s">
        <v>95</v>
      </c>
      <c r="C296" t="s">
        <v>142</v>
      </c>
      <c r="D296" t="s">
        <v>143</v>
      </c>
      <c r="E296" t="s">
        <v>182</v>
      </c>
      <c r="F296" t="s">
        <v>192</v>
      </c>
      <c r="G296" t="s">
        <v>193</v>
      </c>
      <c r="H296" t="s">
        <v>176</v>
      </c>
      <c r="I296" t="s">
        <v>205</v>
      </c>
      <c r="J296" t="s">
        <v>206</v>
      </c>
      <c r="L296" t="s">
        <v>156</v>
      </c>
      <c r="M296" t="s">
        <v>95</v>
      </c>
      <c r="N296" t="s">
        <v>142</v>
      </c>
      <c r="O296" t="s">
        <v>143</v>
      </c>
      <c r="P296" t="s">
        <v>182</v>
      </c>
      <c r="Q296" t="s">
        <v>192</v>
      </c>
      <c r="R296" t="s">
        <v>193</v>
      </c>
      <c r="S296" t="s">
        <v>176</v>
      </c>
      <c r="T296" t="s">
        <v>205</v>
      </c>
      <c r="U296" t="s">
        <v>206</v>
      </c>
    </row>
    <row r="297" spans="1:21" x14ac:dyDescent="0.15">
      <c r="A297">
        <v>52</v>
      </c>
      <c r="B297" t="s">
        <v>44</v>
      </c>
      <c r="C297">
        <f>INT(C295/(VLOOKUP(A297,技能参数,5,FALSE)+2*VLOOKUP(A297,技能参数,4,FALSE))+1)</f>
        <v>2</v>
      </c>
      <c r="D297">
        <f>VLOOKUP(A297,技能参数,4,FALSE)</f>
        <v>1.5</v>
      </c>
      <c r="E297">
        <f>VLOOKUP(A297*1000+D295,学习等级编码,2)</f>
        <v>5210</v>
      </c>
      <c r="F297">
        <f>INT(VLOOKUP($E297,技能升级,9,FALSE)*$C297*I297*J297)</f>
        <v>6500</v>
      </c>
      <c r="G297">
        <f>INT(VLOOKUP($E297,技能升级,10,FALSE)*$C297*I297*J297)</f>
        <v>0</v>
      </c>
      <c r="H297">
        <f>VLOOKUP($E297,技能升级,11,FALSE)*$C297</f>
        <v>1392</v>
      </c>
      <c r="I297">
        <v>1</v>
      </c>
      <c r="J297">
        <v>1</v>
      </c>
      <c r="L297">
        <v>52</v>
      </c>
      <c r="M297" t="s">
        <v>44</v>
      </c>
      <c r="N297">
        <v>0</v>
      </c>
      <c r="O297">
        <f>VLOOKUP(L297,技能参数,4,FALSE)</f>
        <v>1.5</v>
      </c>
      <c r="P297">
        <f>VLOOKUP(L297*1000+O295,学习等级编码,2)</f>
        <v>5210</v>
      </c>
      <c r="Q297">
        <f>INT(VLOOKUP(P297,技能升级,9,FALSE)*N297*T297*U297)</f>
        <v>0</v>
      </c>
      <c r="R297">
        <f>INT(VLOOKUP(P297,技能升级,10,FALSE)*N297*T297*U297)</f>
        <v>0</v>
      </c>
      <c r="S297">
        <f>INT(VLOOKUP(P297,技能升级,11,FALSE)*N297*T297*U297)</f>
        <v>0</v>
      </c>
      <c r="T297">
        <v>1</v>
      </c>
      <c r="U297">
        <v>1</v>
      </c>
    </row>
    <row r="298" spans="1:21" x14ac:dyDescent="0.15">
      <c r="A298">
        <v>54</v>
      </c>
      <c r="B298" t="s">
        <v>40</v>
      </c>
      <c r="C298">
        <f>INT(C295/(VLOOKUP(A298,技能参数,5,FALSE)+2*VLOOKUP(A298,技能参数,4,FALSE))+1)</f>
        <v>2</v>
      </c>
      <c r="D298">
        <f>VLOOKUP(A298,技能参数,4,FALSE)</f>
        <v>1.2</v>
      </c>
      <c r="E298">
        <f>VLOOKUP(A298*1000+D295,学习等级编码,2)</f>
        <v>5410</v>
      </c>
      <c r="F298">
        <f>INT(VLOOKUP($E298,技能升级,9,FALSE)*$C298*I298*J298)</f>
        <v>5200</v>
      </c>
      <c r="G298">
        <f>INT(VLOOKUP($E298,技能升级,10,FALSE)*$C298*I298*J298)</f>
        <v>0</v>
      </c>
      <c r="H298">
        <f>VLOOKUP($E298,技能升级,11,FALSE)*$C298</f>
        <v>1510</v>
      </c>
      <c r="I298">
        <v>1</v>
      </c>
      <c r="J298">
        <v>1</v>
      </c>
      <c r="L298">
        <v>54</v>
      </c>
      <c r="M298" t="s">
        <v>40</v>
      </c>
      <c r="N298">
        <v>0</v>
      </c>
      <c r="O298">
        <f>VLOOKUP(L298,技能参数,4,FALSE)</f>
        <v>1.2</v>
      </c>
      <c r="P298">
        <f>VLOOKUP(L298*1000+O295,学习等级编码,2)</f>
        <v>5410</v>
      </c>
      <c r="Q298">
        <f>INT(VLOOKUP(P298,技能升级,9,FALSE)*N298*T298*U298)</f>
        <v>0</v>
      </c>
      <c r="R298">
        <f>INT(VLOOKUP(P298,技能升级,10,FALSE)*N298*T298*U298)</f>
        <v>0</v>
      </c>
      <c r="S298">
        <f>INT(VLOOKUP(P298,技能升级,11,FALSE)*N298*T298*U298)</f>
        <v>0</v>
      </c>
      <c r="T298">
        <v>1</v>
      </c>
      <c r="U298">
        <v>1</v>
      </c>
    </row>
    <row r="299" spans="1:21" x14ac:dyDescent="0.15">
      <c r="A299">
        <v>51</v>
      </c>
      <c r="B299" t="s">
        <v>203</v>
      </c>
      <c r="C299">
        <v>2</v>
      </c>
      <c r="D299">
        <f>VLOOKUP(A299,技能参数,4,FALSE)</f>
        <v>0.9</v>
      </c>
      <c r="E299">
        <f>VLOOKUP(A299*1000+D295,学习等级编码,2)</f>
        <v>5115</v>
      </c>
      <c r="F299">
        <f>INT(VLOOKUP($E299,技能升级,9,FALSE)*$C299*I299*J299)</f>
        <v>3120</v>
      </c>
      <c r="G299">
        <f>INT(VLOOKUP($E299,技能升级,10,FALSE)*$C299*I299*J299)</f>
        <v>0</v>
      </c>
      <c r="H299">
        <f>VLOOKUP($E299,技能升级,11,FALSE)*$C299</f>
        <v>1538</v>
      </c>
      <c r="I299">
        <v>1</v>
      </c>
      <c r="J299">
        <v>1</v>
      </c>
      <c r="L299">
        <v>51</v>
      </c>
      <c r="M299" t="s">
        <v>203</v>
      </c>
      <c r="N299">
        <v>2</v>
      </c>
      <c r="O299">
        <f>VLOOKUP(L299,技能参数,4,FALSE)</f>
        <v>0.9</v>
      </c>
      <c r="P299">
        <f>VLOOKUP(L299*1000+O295,学习等级编码,2)</f>
        <v>5115</v>
      </c>
      <c r="Q299">
        <f>INT(VLOOKUP(P299,技能升级,9,FALSE)*N299*T299*U299)</f>
        <v>3120</v>
      </c>
      <c r="R299">
        <f>INT(VLOOKUP(P299,技能升级,10,FALSE)*N299*T299*U299)</f>
        <v>0</v>
      </c>
      <c r="S299">
        <f>INT(VLOOKUP(P299,技能升级,11,FALSE)*N299*T299*U299)</f>
        <v>1538</v>
      </c>
      <c r="T299">
        <v>1</v>
      </c>
      <c r="U299">
        <v>1</v>
      </c>
    </row>
    <row r="300" spans="1:21" x14ac:dyDescent="0.15">
      <c r="A300">
        <v>51</v>
      </c>
      <c r="B300" t="s">
        <v>204</v>
      </c>
      <c r="C300">
        <f>INT((C295-C297*D297-C298*D298-D299*C299-C302-C303)/D300*3)</f>
        <v>26</v>
      </c>
      <c r="D300">
        <f>VLOOKUP(A300,技能参数,4,FALSE)</f>
        <v>0.9</v>
      </c>
      <c r="E300">
        <f>VLOOKUP(A300*1000+D295,学习等级编码,2)</f>
        <v>5115</v>
      </c>
      <c r="F300">
        <f>INT(VLOOKUP($E300,技能升级,9,FALSE)*$C300*I300*J300)</f>
        <v>26786</v>
      </c>
      <c r="G300">
        <f>INT(VLOOKUP($E300,技能升级,10,FALSE)*$C300*I300*J300)</f>
        <v>0</v>
      </c>
      <c r="H300">
        <f>INT(VLOOKUP($E300,技能升级,11,FALSE)*$C300*I300*J300)</f>
        <v>13204</v>
      </c>
      <c r="I300">
        <f>F301/1000</f>
        <v>0.54</v>
      </c>
      <c r="J300">
        <f>VLOOKUP(A295,$A$2:$I$21,9,FALSE)</f>
        <v>1.2229999999999999</v>
      </c>
      <c r="L300">
        <v>51</v>
      </c>
      <c r="M300" t="s">
        <v>204</v>
      </c>
      <c r="N300">
        <f>INT((N295-N297*O297-N298*O298-O299*N299-N302-N303)/O300*3)</f>
        <v>37</v>
      </c>
      <c r="O300">
        <f>VLOOKUP(L300,技能参数,4,FALSE)</f>
        <v>0.9</v>
      </c>
      <c r="P300">
        <f>VLOOKUP(L300*1000+O295,学习等级编码,2)</f>
        <v>5115</v>
      </c>
      <c r="Q300">
        <f>INT(VLOOKUP(P300,技能升级,9,FALSE)*N300*T300*U300)</f>
        <v>38119</v>
      </c>
      <c r="R300">
        <f>INT(VLOOKUP(P300,技能升级,10,FALSE)*N300*T300*U300)</f>
        <v>0</v>
      </c>
      <c r="S300">
        <f>INT(VLOOKUP(P300,技能升级,11,FALSE)*N300*T300*U300)</f>
        <v>18790</v>
      </c>
      <c r="T300">
        <f>Q301/1000</f>
        <v>0.54</v>
      </c>
      <c r="U300">
        <f>VLOOKUP(L295,$A$2:$I$21,9,FALSE)</f>
        <v>1.2229999999999999</v>
      </c>
    </row>
    <row r="301" spans="1:21" x14ac:dyDescent="0.15">
      <c r="A301">
        <v>55</v>
      </c>
      <c r="B301" t="s">
        <v>271</v>
      </c>
      <c r="C301">
        <v>1</v>
      </c>
      <c r="D301">
        <v>0</v>
      </c>
      <c r="E301">
        <f>VLOOKUP(A301*1000+D295,学习等级编码,2)</f>
        <v>5507</v>
      </c>
      <c r="F301">
        <f>INT(VLOOKUP($E301,技能升级,14,FALSE)*$C301*I301)</f>
        <v>540</v>
      </c>
      <c r="G301">
        <f>INT(VLOOKUP($E301,技能升级,10,FALSE)*$C301*I301)</f>
        <v>0</v>
      </c>
      <c r="H301">
        <f>VLOOKUP($E301,技能升级,11,FALSE)*$C301</f>
        <v>0</v>
      </c>
      <c r="I301">
        <v>1</v>
      </c>
      <c r="J301">
        <v>1</v>
      </c>
      <c r="L301">
        <v>55</v>
      </c>
      <c r="M301" t="s">
        <v>46</v>
      </c>
      <c r="N301">
        <v>1</v>
      </c>
      <c r="O301">
        <v>0</v>
      </c>
      <c r="P301">
        <f>VLOOKUP(L301*1000+O295,学习等级编码,2)</f>
        <v>5507</v>
      </c>
      <c r="Q301">
        <f>INT(VLOOKUP(P301,技能升级,9,FALSE)*N301*T301*U301)</f>
        <v>540</v>
      </c>
      <c r="R301">
        <f>INT(VLOOKUP($E301,技能升级,10,FALSE)*$C301*T301)</f>
        <v>0</v>
      </c>
      <c r="S301">
        <f>IFERROR(VLOOKUP(P301,技能升级,11,FALSE)*N301*T301*U301,0)</f>
        <v>0</v>
      </c>
      <c r="T301">
        <v>1</v>
      </c>
      <c r="U301">
        <v>1</v>
      </c>
    </row>
    <row r="302" spans="1:21" x14ac:dyDescent="0.15">
      <c r="A302">
        <v>204</v>
      </c>
      <c r="B302" t="s">
        <v>338</v>
      </c>
      <c r="C302">
        <v>3</v>
      </c>
      <c r="D302">
        <v>0</v>
      </c>
      <c r="E302">
        <f>IFERROR(VLOOKUP(A302*1000+D295,学习等级编码,2),0)</f>
        <v>20401</v>
      </c>
      <c r="F302">
        <f>IFERROR(INT(VLOOKUP($E302,技能升级,9,FALSE)*$C302*I302*J302),0)</f>
        <v>0</v>
      </c>
      <c r="G302">
        <f>IFERROR(INT(VLOOKUP($E302,技能升级,10,FALSE)*$C302*I302*J302),0)</f>
        <v>0</v>
      </c>
      <c r="H302">
        <f>IFERROR(VLOOKUP(E302,技能升级,11,FALSE)*C302,0)</f>
        <v>0</v>
      </c>
      <c r="I302">
        <v>1</v>
      </c>
      <c r="J302">
        <v>1</v>
      </c>
      <c r="L302">
        <v>204</v>
      </c>
      <c r="M302" t="s">
        <v>338</v>
      </c>
      <c r="N302">
        <v>0</v>
      </c>
      <c r="O302">
        <v>0</v>
      </c>
      <c r="P302">
        <f>IFERROR(VLOOKUP(L302*1000+O295,学习等级编码,2),0)</f>
        <v>20401</v>
      </c>
      <c r="Q302">
        <f>IFERROR(INT(VLOOKUP(P302,技能升级,9,FALSE)*N302*T302*U302),0)</f>
        <v>0</v>
      </c>
      <c r="R302">
        <f>IFERROR(INT(VLOOKUP(P302,技能升级,10,FALSE)*N302*T302*U302),0)</f>
        <v>0</v>
      </c>
      <c r="S302">
        <f>IFERROR(VLOOKUP(P302,技能升级,11,FALSE)*N302*T302*U302,0)</f>
        <v>0</v>
      </c>
      <c r="T302">
        <v>1</v>
      </c>
      <c r="U302">
        <v>1</v>
      </c>
    </row>
    <row r="303" spans="1:21" x14ac:dyDescent="0.15">
      <c r="B303" t="s">
        <v>342</v>
      </c>
      <c r="C303">
        <v>6</v>
      </c>
      <c r="D303">
        <v>0</v>
      </c>
      <c r="E303">
        <f>IFERROR(VLOOKUP(A303*1000+D295,学习等级编码,2),0)</f>
        <v>0</v>
      </c>
      <c r="F303">
        <f>IFERROR(INT(VLOOKUP($E303,技能升级,9,FALSE)*$C303*I303*J303),0)</f>
        <v>0</v>
      </c>
      <c r="G303">
        <f>IFERROR(INT(VLOOKUP($E303,技能升级,10,FALSE)*$C303*I303*J303),0)</f>
        <v>0</v>
      </c>
      <c r="H303">
        <f>IFERROR(VLOOKUP(E303,技能升级,11,FALSE)*C303*I303*J303,0)</f>
        <v>0</v>
      </c>
      <c r="I303">
        <v>1</v>
      </c>
      <c r="J303">
        <v>1</v>
      </c>
      <c r="M303" t="s">
        <v>342</v>
      </c>
      <c r="N303">
        <v>0</v>
      </c>
      <c r="O303">
        <v>0</v>
      </c>
      <c r="P303">
        <f>IFERROR(VLOOKUP(L303*1000+O295,学习等级编码,2),0)</f>
        <v>0</v>
      </c>
      <c r="Q303">
        <f>IFERROR(INT(VLOOKUP(P303,技能升级,9,FALSE)*N303*T303*U303),0)</f>
        <v>0</v>
      </c>
      <c r="R303">
        <f>IFERROR(INT(VLOOKUP(P303,技能升级,10,FALSE)*N303*T303*U303),0)</f>
        <v>0</v>
      </c>
      <c r="S303">
        <f>IFERROR(VLOOKUP(P303,技能升级,11,FALSE)*N303*T303*U303,0)</f>
        <v>0</v>
      </c>
      <c r="T303">
        <v>1</v>
      </c>
      <c r="U303">
        <v>1</v>
      </c>
    </row>
    <row r="304" spans="1:21" x14ac:dyDescent="0.15">
      <c r="E304" t="s">
        <v>194</v>
      </c>
      <c r="F304">
        <f>SUM(F297:F300)/1000</f>
        <v>41.606000000000002</v>
      </c>
      <c r="G304">
        <f>SUM(G297:G300)/1000</f>
        <v>0</v>
      </c>
      <c r="H304">
        <f>SUM(H297:H300)</f>
        <v>17644</v>
      </c>
      <c r="I304" t="s">
        <v>196</v>
      </c>
      <c r="J304" t="s">
        <v>197</v>
      </c>
      <c r="P304" t="s">
        <v>194</v>
      </c>
      <c r="Q304">
        <f>SUM(Q297:Q300)/1000</f>
        <v>41.238999999999997</v>
      </c>
      <c r="R304">
        <f>SUM(R297:R300)/1000</f>
        <v>0</v>
      </c>
      <c r="S304">
        <f>SUM(S297:S300)</f>
        <v>20328</v>
      </c>
      <c r="T304" t="s">
        <v>196</v>
      </c>
      <c r="U304" t="s">
        <v>197</v>
      </c>
    </row>
    <row r="305" spans="5:21" x14ac:dyDescent="0.15">
      <c r="E305" t="s">
        <v>195</v>
      </c>
      <c r="F305">
        <f>INT((IF($A295&gt;10000,VLOOKUP($A295,实战属性,13,FALSE),VLOOKUP($A295,总基本属性,7,FALSE))-
IF($B295&gt;10000,VLOOKUP($B295,实战属性,15,FALSE),VLOOKUP($B295,总基本属性,9,FALSE))*$L$13)*F304)</f>
        <v>177095</v>
      </c>
      <c r="G305">
        <f>INT((IF($A295&gt;10000,VLOOKUP($A295,实战属性,14,FALSE),VLOOKUP($A295,总基本属性,8,FALSE))-
IF($B295&gt;10000,VLOOKUP($B295,实战属性,16,FALSE),VLOOKUP($B295,总基本属性,10,FALSE))*$L$13)*G304)</f>
        <v>0</v>
      </c>
      <c r="H305">
        <f>H304+F305+G305</f>
        <v>194739</v>
      </c>
      <c r="I305">
        <f>IF($B295&gt;10000,VLOOKUP($B295,实战属性,12,FALSE),VLOOKUP($B295,总基本属性,6,FALSE))</f>
        <v>189432</v>
      </c>
      <c r="J305">
        <f>ROUND(I305/H305,2)</f>
        <v>0.97</v>
      </c>
      <c r="P305" t="s">
        <v>195</v>
      </c>
      <c r="Q305">
        <f>INT((IF($A295&gt;10000,VLOOKUP($A295,实战属性,13,FALSE),VLOOKUP($A295,总基本属性,7,FALSE))-
IF($B295&gt;10000,VLOOKUP($B295,实战属性,15,FALSE),VLOOKUP($B295,总基本属性,9,FALSE))*$L$13)*Q304)</f>
        <v>175533</v>
      </c>
      <c r="R305">
        <f>INT((IF($A295&gt;10000,VLOOKUP($A295,实战属性,14,FALSE),VLOOKUP($A295,总基本属性,8,FALSE))-
IF($B295&gt;10000,VLOOKUP($B295,实战属性,16,FALSE),VLOOKUP($B295,总基本属性,10,FALSE))*$L$13)*R304)</f>
        <v>0</v>
      </c>
      <c r="S305">
        <f>S304+Q305+R305</f>
        <v>195861</v>
      </c>
      <c r="T305">
        <f>IF($B295&gt;10000,VLOOKUP($B295,实战属性,12,FALSE),VLOOKUP($B295,总基本属性,6,FALSE))</f>
        <v>189432</v>
      </c>
      <c r="U305">
        <f>ROUND(T305/S305,2)</f>
        <v>0.97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topLeftCell="A7" workbookViewId="0">
      <selection activeCell="C17" sqref="C17"/>
    </sheetView>
  </sheetViews>
  <sheetFormatPr defaultRowHeight="13.5" x14ac:dyDescent="0.15"/>
  <cols>
    <col min="16" max="16" width="14.125" bestFit="1" customWidth="1"/>
    <col min="17" max="17" width="12.125" bestFit="1" customWidth="1"/>
    <col min="18" max="18" width="8.25" bestFit="1" customWidth="1"/>
    <col min="19" max="19" width="10" bestFit="1" customWidth="1"/>
    <col min="20" max="20" width="12.25" bestFit="1" customWidth="1"/>
    <col min="22" max="22" width="10" bestFit="1" customWidth="1"/>
    <col min="23" max="23" width="9.125" bestFit="1" customWidth="1"/>
  </cols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407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2010</v>
      </c>
      <c r="B2">
        <v>2010</v>
      </c>
      <c r="C2">
        <f t="shared" ref="C2:C1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1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1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1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>A2+10</f>
        <v>2020</v>
      </c>
      <c r="B3">
        <f>B2+10</f>
        <v>2020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0.01</v>
      </c>
      <c r="G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>A3+10</f>
        <v>2030</v>
      </c>
      <c r="B4">
        <f>B3+10</f>
        <v>2030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0.01</v>
      </c>
      <c r="G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ref="A5:A11" si="4">A4+10</f>
        <v>2040</v>
      </c>
      <c r="B5">
        <f t="shared" ref="B5:B11" si="5">B4+10</f>
        <v>2040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0.02</v>
      </c>
      <c r="G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4"/>
        <v>2050</v>
      </c>
      <c r="B6">
        <f t="shared" si="5"/>
        <v>2050</v>
      </c>
      <c r="C6">
        <f t="shared" si="0"/>
        <v>0.08</v>
      </c>
      <c r="D6">
        <f t="shared" si="1"/>
        <v>7.0000000000000007E-2</v>
      </c>
      <c r="E6">
        <f t="shared" si="2"/>
        <v>0</v>
      </c>
      <c r="F6">
        <f t="shared" si="3"/>
        <v>0.03</v>
      </c>
      <c r="G6">
        <f>C6*1.5+D6*2+1-C6-D6</f>
        <v>1.1099999999999999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4"/>
        <v>2060</v>
      </c>
      <c r="B7">
        <f t="shared" si="5"/>
        <v>2060</v>
      </c>
      <c r="C7">
        <f t="shared" si="0"/>
        <v>0.13</v>
      </c>
      <c r="D7">
        <f t="shared" si="1"/>
        <v>0.11</v>
      </c>
      <c r="E7">
        <f t="shared" si="2"/>
        <v>0</v>
      </c>
      <c r="F7">
        <f t="shared" si="3"/>
        <v>0.04</v>
      </c>
      <c r="G7">
        <f t="shared" ref="G7:G11" si="6">C7*1.5+D7*2+1-C7-D7</f>
        <v>1.175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4"/>
        <v>2070</v>
      </c>
      <c r="B8">
        <f t="shared" si="5"/>
        <v>2070</v>
      </c>
      <c r="C8">
        <f t="shared" si="0"/>
        <v>0.2</v>
      </c>
      <c r="D8">
        <f t="shared" si="1"/>
        <v>0.16</v>
      </c>
      <c r="E8">
        <f t="shared" si="2"/>
        <v>0</v>
      </c>
      <c r="F8">
        <f t="shared" si="3"/>
        <v>0.05</v>
      </c>
      <c r="G8">
        <f t="shared" si="6"/>
        <v>1.2600000000000002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4"/>
        <v>2080</v>
      </c>
      <c r="B9">
        <f t="shared" si="5"/>
        <v>2080</v>
      </c>
      <c r="C9">
        <f t="shared" si="0"/>
        <v>0.28999999999999998</v>
      </c>
      <c r="D9">
        <f t="shared" si="1"/>
        <v>0.21</v>
      </c>
      <c r="E9">
        <f t="shared" si="2"/>
        <v>0</v>
      </c>
      <c r="F9">
        <f t="shared" si="3"/>
        <v>7.0000000000000007E-2</v>
      </c>
      <c r="G9">
        <f t="shared" si="6"/>
        <v>1.355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4"/>
        <v>2090</v>
      </c>
      <c r="B10">
        <f t="shared" si="5"/>
        <v>2090</v>
      </c>
      <c r="C10">
        <f t="shared" si="0"/>
        <v>0.37</v>
      </c>
      <c r="D10">
        <f t="shared" si="1"/>
        <v>0.28999999999999998</v>
      </c>
      <c r="E10">
        <f t="shared" si="2"/>
        <v>0</v>
      </c>
      <c r="F10">
        <f t="shared" si="3"/>
        <v>0.09</v>
      </c>
      <c r="G10">
        <f t="shared" si="6"/>
        <v>1.4749999999999996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4"/>
        <v>2100</v>
      </c>
      <c r="B11">
        <f t="shared" si="5"/>
        <v>2100</v>
      </c>
      <c r="C11">
        <f t="shared" si="0"/>
        <v>0.45</v>
      </c>
      <c r="D11">
        <f t="shared" si="1"/>
        <v>0.35</v>
      </c>
      <c r="E11">
        <f t="shared" si="2"/>
        <v>0</v>
      </c>
      <c r="F11">
        <f t="shared" si="3"/>
        <v>0.11</v>
      </c>
      <c r="G11">
        <f t="shared" si="6"/>
        <v>1.5750000000000002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5" spans="1:24" x14ac:dyDescent="0.15">
      <c r="A15" t="s">
        <v>351</v>
      </c>
      <c r="B15" t="s">
        <v>351</v>
      </c>
      <c r="C15" t="s">
        <v>178</v>
      </c>
      <c r="D15" t="s">
        <v>0</v>
      </c>
    </row>
    <row r="16" spans="1:24" x14ac:dyDescent="0.15">
      <c r="A16">
        <v>2010</v>
      </c>
      <c r="B16">
        <v>2010</v>
      </c>
      <c r="C16">
        <v>19</v>
      </c>
      <c r="D16">
        <f>MOD(A16,1000)</f>
        <v>10</v>
      </c>
    </row>
    <row r="17" spans="1:17" x14ac:dyDescent="0.15">
      <c r="A17" t="s">
        <v>156</v>
      </c>
      <c r="B17" t="s">
        <v>95</v>
      </c>
      <c r="C17" t="s">
        <v>177</v>
      </c>
      <c r="D17" t="s">
        <v>143</v>
      </c>
      <c r="E17" t="s">
        <v>182</v>
      </c>
      <c r="F17" t="s">
        <v>192</v>
      </c>
      <c r="G17" t="s">
        <v>193</v>
      </c>
      <c r="H17" t="s">
        <v>176</v>
      </c>
      <c r="I17" t="s">
        <v>205</v>
      </c>
      <c r="J17" t="s">
        <v>206</v>
      </c>
      <c r="O17" t="s">
        <v>354</v>
      </c>
      <c r="P17" t="s">
        <v>355</v>
      </c>
      <c r="Q17" t="s">
        <v>356</v>
      </c>
    </row>
    <row r="18" spans="1:17" x14ac:dyDescent="0.15">
      <c r="A18">
        <v>25</v>
      </c>
      <c r="B18" t="s">
        <v>23</v>
      </c>
      <c r="C18">
        <v>1</v>
      </c>
      <c r="D18">
        <f>VLOOKUP(A18,技能参数,4,FALSE)</f>
        <v>2</v>
      </c>
      <c r="E18">
        <f>IFERROR(VLOOKUP(A18*1000+D16,学习等级编码,2),0)</f>
        <v>2501</v>
      </c>
      <c r="F18">
        <f t="shared" ref="F18:F21" si="7">IFERROR(INT(VLOOKUP($E18,技能升级,9,FALSE)*$C18*I18*J18),0)</f>
        <v>5000</v>
      </c>
      <c r="G18">
        <f t="shared" ref="G18:G21" si="8">IFERROR(INT(VLOOKUP($E18,技能升级,10,FALSE)*$C18*I18*J18),0)</f>
        <v>0</v>
      </c>
      <c r="H18">
        <f>INT(VLOOKUP($E18,技能升级,11,FALSE)*$C18*I18*J18)</f>
        <v>66</v>
      </c>
      <c r="I18">
        <v>1</v>
      </c>
      <c r="J18">
        <v>1</v>
      </c>
      <c r="N18" t="s">
        <v>352</v>
      </c>
      <c r="O18">
        <v>5</v>
      </c>
    </row>
    <row r="19" spans="1:17" x14ac:dyDescent="0.15">
      <c r="A19">
        <v>23</v>
      </c>
      <c r="B19" t="s">
        <v>24</v>
      </c>
      <c r="C19">
        <f>INT((C16-D19-D20*3)/(VLOOKUP(A19,技能参数,5,FALSE)+2*VLOOKUP(A19,技能参数,4,FALSE))+1)+1</f>
        <v>2</v>
      </c>
      <c r="D19">
        <f>VLOOKUP(A19,技能参数,4,FALSE)</f>
        <v>1</v>
      </c>
      <c r="E19">
        <f>IFERROR(VLOOKUP(A19*1000+D16,学习等级编码,2),0)</f>
        <v>2301</v>
      </c>
      <c r="F19">
        <f t="shared" si="7"/>
        <v>2000</v>
      </c>
      <c r="G19">
        <f t="shared" si="8"/>
        <v>0</v>
      </c>
      <c r="H19">
        <f>INT(VLOOKUP($E19,技能升级,11,FALSE)*$C19*I19*J19)</f>
        <v>44</v>
      </c>
      <c r="I19">
        <v>1</v>
      </c>
      <c r="J19">
        <v>1</v>
      </c>
      <c r="N19" t="s">
        <v>353</v>
      </c>
      <c r="O19">
        <v>0</v>
      </c>
    </row>
    <row r="20" spans="1:17" x14ac:dyDescent="0.15">
      <c r="A20">
        <v>22</v>
      </c>
      <c r="B20" t="s">
        <v>22</v>
      </c>
      <c r="C20">
        <f>INT((C16-D19-D20*3)/(VLOOKUP(A20,技能参数,5,FALSE)+2*VLOOKUP(A20,技能参数,4,FALSE))+1)+3</f>
        <v>5</v>
      </c>
      <c r="D20">
        <f>VLOOKUP(A20,技能参数,4,FALSE)</f>
        <v>1.5</v>
      </c>
      <c r="E20">
        <f>IFERROR(VLOOKUP(A20*1000+D16,学习等级编码,2),0)</f>
        <v>2201</v>
      </c>
      <c r="F20">
        <f t="shared" si="7"/>
        <v>13500</v>
      </c>
      <c r="G20">
        <f t="shared" si="8"/>
        <v>0</v>
      </c>
      <c r="H20">
        <f>INT(VLOOKUP($E20,技能升级,11,FALSE)*$C20*I20*J20)</f>
        <v>250</v>
      </c>
      <c r="I20">
        <v>1</v>
      </c>
      <c r="J20">
        <f>VLOOKUP(A16,$A$2:$G$11,7,FALSE)</f>
        <v>1</v>
      </c>
      <c r="N20" t="s">
        <v>23</v>
      </c>
      <c r="O20">
        <v>6</v>
      </c>
    </row>
    <row r="21" spans="1:17" x14ac:dyDescent="0.15">
      <c r="A21">
        <v>21</v>
      </c>
      <c r="B21" t="s">
        <v>90</v>
      </c>
      <c r="C21">
        <f>INT((C16-C18*D18-C19*D19-C20*D20-C22)/D21)</f>
        <v>2</v>
      </c>
      <c r="D21">
        <f>VLOOKUP(A21,技能参数,4,FALSE)</f>
        <v>1</v>
      </c>
      <c r="E21">
        <f>IFERROR(VLOOKUP(A21*1000+D16,学习等级编码,2),0)</f>
        <v>2102</v>
      </c>
      <c r="F21">
        <f t="shared" si="7"/>
        <v>2080</v>
      </c>
      <c r="G21">
        <f t="shared" si="8"/>
        <v>0</v>
      </c>
      <c r="H21">
        <f>INT(VLOOKUP($E21,技能升级,11,FALSE)*$C21*I21*J21)</f>
        <v>46</v>
      </c>
      <c r="I21">
        <v>1</v>
      </c>
      <c r="J21">
        <f>VLOOKUP(A16,$A$2:$G$11,7,FALSE)</f>
        <v>1</v>
      </c>
      <c r="N21" t="s">
        <v>24</v>
      </c>
      <c r="P21">
        <v>2</v>
      </c>
      <c r="Q21">
        <v>1</v>
      </c>
    </row>
    <row r="22" spans="1:17" x14ac:dyDescent="0.15">
      <c r="B22" t="s">
        <v>411</v>
      </c>
      <c r="C22">
        <f>C19*1.5+2</f>
        <v>5</v>
      </c>
      <c r="N22" t="s">
        <v>22</v>
      </c>
      <c r="P22">
        <v>3</v>
      </c>
      <c r="Q22">
        <v>3</v>
      </c>
    </row>
    <row r="23" spans="1:17" x14ac:dyDescent="0.15">
      <c r="E23" t="s">
        <v>194</v>
      </c>
      <c r="F23">
        <f>SUM(F18:F21)/1000</f>
        <v>22.58</v>
      </c>
      <c r="G23">
        <f>SUM(G18:G21)/1000</f>
        <v>0</v>
      </c>
      <c r="H23">
        <f>SUM(H18:H21)</f>
        <v>406</v>
      </c>
      <c r="I23" t="s">
        <v>196</v>
      </c>
      <c r="J23" t="s">
        <v>197</v>
      </c>
    </row>
    <row r="24" spans="1:17" x14ac:dyDescent="0.15">
      <c r="E24" t="s">
        <v>195</v>
      </c>
      <c r="F24">
        <f>INT((IF($A16&gt;10000,VLOOKUP($A16,实战属性,13,FALSE),VLOOKUP($A16,总基本属性,7,FALSE))-
IF($B16&gt;10000,VLOOKUP($B16,实战属性,15,FALSE),VLOOKUP($B16,总基本属性,9,FALSE))*$L$13)*F23)</f>
        <v>3161</v>
      </c>
      <c r="G24">
        <f>INT((IF($A16&gt;10000,VLOOKUP($A16,实战属性,14,FALSE),VLOOKUP($A16,总基本属性,8,FALSE))-
IF($B16&gt;10000,VLOOKUP($B16,实战属性,16,FALSE),VLOOKUP($B16,总基本属性,10,FALSE))*$L$13)*G23)</f>
        <v>0</v>
      </c>
      <c r="H24">
        <f>H23+F24+G24</f>
        <v>3567</v>
      </c>
      <c r="I24">
        <f>IF($B16&gt;10000,VLOOKUP($B16,实战属性,12,FALSE),VLOOKUP($B16,总基本属性,6,FALSE))</f>
        <v>3480</v>
      </c>
      <c r="J24">
        <f>ROUND(I24/H24,2)</f>
        <v>0.98</v>
      </c>
    </row>
    <row r="28" spans="1:17" x14ac:dyDescent="0.15">
      <c r="A28" t="s">
        <v>3</v>
      </c>
      <c r="B28" t="s">
        <v>3</v>
      </c>
      <c r="C28" t="s">
        <v>178</v>
      </c>
      <c r="D28" t="s">
        <v>0</v>
      </c>
    </row>
    <row r="29" spans="1:17" x14ac:dyDescent="0.15">
      <c r="A29">
        <f>A16+10</f>
        <v>2020</v>
      </c>
      <c r="B29">
        <f>B16+10</f>
        <v>2020</v>
      </c>
      <c r="C29">
        <v>23</v>
      </c>
      <c r="D29">
        <f>MOD(A29,1000)</f>
        <v>20</v>
      </c>
    </row>
    <row r="30" spans="1:17" x14ac:dyDescent="0.15">
      <c r="A30" t="s">
        <v>156</v>
      </c>
      <c r="B30" t="s">
        <v>95</v>
      </c>
      <c r="C30" t="s">
        <v>177</v>
      </c>
      <c r="D30" t="s">
        <v>143</v>
      </c>
      <c r="E30" t="s">
        <v>182</v>
      </c>
      <c r="F30" t="s">
        <v>192</v>
      </c>
      <c r="G30" t="s">
        <v>193</v>
      </c>
      <c r="H30" t="s">
        <v>176</v>
      </c>
      <c r="I30" t="s">
        <v>205</v>
      </c>
      <c r="J30" t="s">
        <v>206</v>
      </c>
    </row>
    <row r="31" spans="1:17" x14ac:dyDescent="0.15">
      <c r="A31">
        <v>25</v>
      </c>
      <c r="B31" t="s">
        <v>23</v>
      </c>
      <c r="C31">
        <v>1</v>
      </c>
      <c r="D31">
        <f>VLOOKUP(A31,技能参数,4,FALSE)</f>
        <v>2</v>
      </c>
      <c r="E31">
        <f>IFERROR(VLOOKUP(A31*1000+D29,学习等级编码,2),0)</f>
        <v>2501</v>
      </c>
      <c r="F31">
        <f t="shared" ref="F31:F34" si="9">IFERROR(INT(VLOOKUP($E31,技能升级,9,FALSE)*$C31*I31*J31),0)</f>
        <v>5000</v>
      </c>
      <c r="G31">
        <f t="shared" ref="G31:G34" si="10">IFERROR(INT(VLOOKUP($E31,技能升级,10,FALSE)*$C31*I31*J31),0)</f>
        <v>0</v>
      </c>
      <c r="H31">
        <f>INT(VLOOKUP($E31,技能升级,11,FALSE)*$C31*I31*J31)</f>
        <v>66</v>
      </c>
      <c r="I31">
        <v>1</v>
      </c>
      <c r="J31">
        <v>1</v>
      </c>
    </row>
    <row r="32" spans="1:17" x14ac:dyDescent="0.15">
      <c r="A32">
        <v>23</v>
      </c>
      <c r="B32" t="s">
        <v>24</v>
      </c>
      <c r="C32">
        <f>INT((C29-D32-D33*3)/(VLOOKUP(A32,技能参数,5,FALSE)+2*VLOOKUP(A32,技能参数,4,FALSE))+1)+1</f>
        <v>3</v>
      </c>
      <c r="D32">
        <f>VLOOKUP(A32,技能参数,4,FALSE)</f>
        <v>1</v>
      </c>
      <c r="E32">
        <f>IFERROR(VLOOKUP(A32*1000+D29,学习等级编码,2),0)</f>
        <v>2302</v>
      </c>
      <c r="F32">
        <f t="shared" si="9"/>
        <v>3090</v>
      </c>
      <c r="G32">
        <f t="shared" si="10"/>
        <v>0</v>
      </c>
      <c r="H32">
        <f>INT(VLOOKUP($E32,技能升级,11,FALSE)*$C32*I32*J32)</f>
        <v>120</v>
      </c>
      <c r="I32">
        <v>1</v>
      </c>
      <c r="J32">
        <v>1</v>
      </c>
    </row>
    <row r="33" spans="1:10" x14ac:dyDescent="0.15">
      <c r="A33">
        <v>22</v>
      </c>
      <c r="B33" t="s">
        <v>22</v>
      </c>
      <c r="C33">
        <f>INT((C29-D32-D33*3)/(VLOOKUP(A33,技能参数,5,FALSE)+2*VLOOKUP(A33,技能参数,4,FALSE))+1)+3</f>
        <v>5</v>
      </c>
      <c r="D33">
        <f>VLOOKUP(A33,技能参数,4,FALSE)</f>
        <v>1.5</v>
      </c>
      <c r="E33">
        <f>IFERROR(VLOOKUP(A33*1000+D29,学习等级编码,2),0)</f>
        <v>2202</v>
      </c>
      <c r="F33">
        <f t="shared" si="9"/>
        <v>13800</v>
      </c>
      <c r="G33">
        <f t="shared" si="10"/>
        <v>0</v>
      </c>
      <c r="H33">
        <f>INT(VLOOKUP($E33,技能升级,11,FALSE)*$C33*I33*J33)</f>
        <v>320</v>
      </c>
      <c r="I33">
        <v>1</v>
      </c>
      <c r="J33">
        <f>VLOOKUP(A29,$A$2:$G$11,7,FALSE)</f>
        <v>1</v>
      </c>
    </row>
    <row r="34" spans="1:10" x14ac:dyDescent="0.15">
      <c r="A34">
        <v>21</v>
      </c>
      <c r="B34" t="s">
        <v>90</v>
      </c>
      <c r="C34">
        <f>INT((C29-C31*D31-C32*D32-C33*D33-C35)/D34)</f>
        <v>4</v>
      </c>
      <c r="D34">
        <f>VLOOKUP(A34,技能参数,4,FALSE)</f>
        <v>1</v>
      </c>
      <c r="E34">
        <f>IFERROR(VLOOKUP(A34*1000+D29,学习等级编码,2),0)</f>
        <v>2103</v>
      </c>
      <c r="F34">
        <f t="shared" si="9"/>
        <v>4280</v>
      </c>
      <c r="G34">
        <f t="shared" si="10"/>
        <v>0</v>
      </c>
      <c r="H34">
        <f>INT(VLOOKUP($E34,技能升级,11,FALSE)*$C34*I34*J34)</f>
        <v>148</v>
      </c>
      <c r="I34">
        <v>1</v>
      </c>
      <c r="J34">
        <f>VLOOKUP(A29,$A$2:$G$11,7,FALSE)</f>
        <v>1</v>
      </c>
    </row>
    <row r="35" spans="1:10" x14ac:dyDescent="0.15">
      <c r="B35" t="s">
        <v>411</v>
      </c>
      <c r="C35">
        <f>C32*1.5+2</f>
        <v>6.5</v>
      </c>
    </row>
    <row r="36" spans="1:10" x14ac:dyDescent="0.15">
      <c r="E36" t="s">
        <v>194</v>
      </c>
      <c r="F36">
        <f>SUM(F31:F34)/1000</f>
        <v>26.17</v>
      </c>
      <c r="G36">
        <f>SUM(G31:G34)/1000</f>
        <v>0</v>
      </c>
      <c r="H36">
        <f>SUM(H31:H34)</f>
        <v>654</v>
      </c>
      <c r="I36" t="s">
        <v>196</v>
      </c>
      <c r="J36" t="s">
        <v>197</v>
      </c>
    </row>
    <row r="37" spans="1:10" x14ac:dyDescent="0.15">
      <c r="E37" t="s">
        <v>195</v>
      </c>
      <c r="F37">
        <f>INT((IF($A29&gt;10000,VLOOKUP($A29,实战属性,13,FALSE),VLOOKUP($A29,总基本属性,7,FALSE))-
IF($B29&gt;10000,VLOOKUP($B29,实战属性,15,FALSE),VLOOKUP($B29,总基本属性,9,FALSE))*$L$13)*F36)</f>
        <v>9918</v>
      </c>
      <c r="G37">
        <f>INT((IF($A29&gt;10000,VLOOKUP($A29,实战属性,14,FALSE),VLOOKUP($A29,总基本属性,8,FALSE))-
IF($B29&gt;10000,VLOOKUP($B29,实战属性,16,FALSE),VLOOKUP($B29,总基本属性,10,FALSE))*$L$13)*G36)</f>
        <v>0</v>
      </c>
      <c r="H37">
        <f>H36+F37+G37</f>
        <v>10572</v>
      </c>
      <c r="I37">
        <f>IF($B29&gt;10000,VLOOKUP($B29,实战属性,12,FALSE),VLOOKUP($B29,总基本属性,6,FALSE))</f>
        <v>10440</v>
      </c>
      <c r="J37">
        <f>ROUND(I37/H37,2)</f>
        <v>0.99</v>
      </c>
    </row>
    <row r="41" spans="1:10" x14ac:dyDescent="0.15">
      <c r="A41" t="s">
        <v>3</v>
      </c>
      <c r="B41" t="s">
        <v>3</v>
      </c>
      <c r="C41" t="s">
        <v>178</v>
      </c>
      <c r="D41" t="s">
        <v>0</v>
      </c>
    </row>
    <row r="42" spans="1:10" x14ac:dyDescent="0.15">
      <c r="A42">
        <f>A29+10</f>
        <v>2030</v>
      </c>
      <c r="B42">
        <f>B29+10</f>
        <v>2030</v>
      </c>
      <c r="C42">
        <v>23</v>
      </c>
      <c r="D42">
        <f>MOD(A42,1000)</f>
        <v>30</v>
      </c>
    </row>
    <row r="43" spans="1:10" x14ac:dyDescent="0.15">
      <c r="A43" t="s">
        <v>156</v>
      </c>
      <c r="B43" t="s">
        <v>95</v>
      </c>
      <c r="C43" t="s">
        <v>177</v>
      </c>
      <c r="D43" t="s">
        <v>143</v>
      </c>
      <c r="E43" t="s">
        <v>182</v>
      </c>
      <c r="F43" t="s">
        <v>192</v>
      </c>
      <c r="G43" t="s">
        <v>193</v>
      </c>
      <c r="H43" t="s">
        <v>176</v>
      </c>
      <c r="I43" t="s">
        <v>205</v>
      </c>
      <c r="J43" t="s">
        <v>206</v>
      </c>
    </row>
    <row r="44" spans="1:10" x14ac:dyDescent="0.15">
      <c r="A44">
        <v>25</v>
      </c>
      <c r="B44" t="s">
        <v>23</v>
      </c>
      <c r="C44">
        <v>1</v>
      </c>
      <c r="D44">
        <f>VLOOKUP(A44,技能参数,4,FALSE)</f>
        <v>2</v>
      </c>
      <c r="E44">
        <f>IFERROR(VLOOKUP(A44*1000+D42,学习等级编码,2),0)</f>
        <v>2502</v>
      </c>
      <c r="F44">
        <f t="shared" ref="F44:F47" si="11">IFERROR(INT(VLOOKUP($E44,技能升级,9,FALSE)*$C44*I44*J44),0)</f>
        <v>5250</v>
      </c>
      <c r="G44">
        <f t="shared" ref="G44:G47" si="12">IFERROR(INT(VLOOKUP($E44,技能升级,10,FALSE)*$C44*I44*J44),0)</f>
        <v>0</v>
      </c>
      <c r="H44">
        <f>INT(VLOOKUP($E44,技能升级,11,FALSE)*$C44*I44*J44)</f>
        <v>103</v>
      </c>
      <c r="I44">
        <v>1</v>
      </c>
      <c r="J44">
        <v>1</v>
      </c>
    </row>
    <row r="45" spans="1:10" x14ac:dyDescent="0.15">
      <c r="A45">
        <v>23</v>
      </c>
      <c r="B45" t="s">
        <v>24</v>
      </c>
      <c r="C45">
        <f>INT((C42-D45-D46*3)/(VLOOKUP(A45,技能参数,5,FALSE)+2*VLOOKUP(A45,技能参数,4,FALSE))+1)+1</f>
        <v>3</v>
      </c>
      <c r="D45">
        <f>VLOOKUP(A45,技能参数,4,FALSE)</f>
        <v>1</v>
      </c>
      <c r="E45">
        <f>IFERROR(VLOOKUP(A45*1000+D42,学习等级编码,2),0)</f>
        <v>2303</v>
      </c>
      <c r="F45">
        <f t="shared" si="11"/>
        <v>3210</v>
      </c>
      <c r="G45">
        <f t="shared" si="12"/>
        <v>0</v>
      </c>
      <c r="H45">
        <f>INT(VLOOKUP($E45,技能升级,11,FALSE)*$C45*I45*J45)</f>
        <v>213</v>
      </c>
      <c r="I45">
        <v>1</v>
      </c>
      <c r="J45">
        <v>1</v>
      </c>
    </row>
    <row r="46" spans="1:10" x14ac:dyDescent="0.15">
      <c r="A46">
        <v>22</v>
      </c>
      <c r="B46" t="s">
        <v>22</v>
      </c>
      <c r="C46">
        <f>INT((C42-D45-D46*3)/(VLOOKUP(A46,技能参数,5,FALSE)+2*VLOOKUP(A46,技能参数,4,FALSE))+1)+3</f>
        <v>5</v>
      </c>
      <c r="D46">
        <f>VLOOKUP(A46,技能参数,4,FALSE)</f>
        <v>1.5</v>
      </c>
      <c r="E46">
        <f>IFERROR(VLOOKUP(A46*1000+D42,学习等级编码,2),0)</f>
        <v>2203</v>
      </c>
      <c r="F46">
        <f t="shared" si="11"/>
        <v>14100</v>
      </c>
      <c r="G46">
        <f t="shared" si="12"/>
        <v>0</v>
      </c>
      <c r="H46">
        <f>INT(VLOOKUP($E46,技能升级,11,FALSE)*$C46*I46*J46)</f>
        <v>465</v>
      </c>
      <c r="I46">
        <v>1</v>
      </c>
      <c r="J46">
        <f>VLOOKUP(A42,$A$2:$G$11,7,FALSE)</f>
        <v>1</v>
      </c>
    </row>
    <row r="47" spans="1:10" x14ac:dyDescent="0.15">
      <c r="A47">
        <v>21</v>
      </c>
      <c r="B47" t="s">
        <v>90</v>
      </c>
      <c r="C47">
        <f>INT((C42-C44*D44-C45*D45-C46*D46-C48)/D47)</f>
        <v>4</v>
      </c>
      <c r="D47">
        <f>VLOOKUP(A47,技能参数,4,FALSE)</f>
        <v>1</v>
      </c>
      <c r="E47">
        <f>IFERROR(VLOOKUP(A47*1000+D42,学习等级编码,2),0)</f>
        <v>2105</v>
      </c>
      <c r="F47">
        <f t="shared" si="11"/>
        <v>4560</v>
      </c>
      <c r="G47">
        <f t="shared" si="12"/>
        <v>0</v>
      </c>
      <c r="H47">
        <f>INT(VLOOKUP($E47,技能升级,11,FALSE)*$C47*I47*J47)</f>
        <v>352</v>
      </c>
      <c r="I47">
        <v>1</v>
      </c>
      <c r="J47">
        <f>VLOOKUP(A42,$A$2:$G$11,7,FALSE)</f>
        <v>1</v>
      </c>
    </row>
    <row r="48" spans="1:10" x14ac:dyDescent="0.15">
      <c r="B48" t="s">
        <v>411</v>
      </c>
      <c r="C48">
        <f>C45*1.5+2</f>
        <v>6.5</v>
      </c>
    </row>
    <row r="49" spans="1:10" x14ac:dyDescent="0.15">
      <c r="E49" t="s">
        <v>194</v>
      </c>
      <c r="F49">
        <f>SUM(F44:F47)/1000</f>
        <v>27.12</v>
      </c>
      <c r="G49">
        <f>SUM(G44:G47)/1000</f>
        <v>0</v>
      </c>
      <c r="H49">
        <f>SUM(H44:H47)</f>
        <v>1133</v>
      </c>
      <c r="I49" t="s">
        <v>196</v>
      </c>
      <c r="J49" t="s">
        <v>197</v>
      </c>
    </row>
    <row r="50" spans="1:10" x14ac:dyDescent="0.15">
      <c r="E50" t="s">
        <v>195</v>
      </c>
      <c r="F50">
        <f>INT((IF($A42&gt;10000,VLOOKUP($A42,实战属性,13,FALSE),VLOOKUP($A42,总基本属性,7,FALSE))-
IF($B42&gt;10000,VLOOKUP($B42,实战属性,15,FALSE),VLOOKUP($B42,总基本属性,9,FALSE))*$L$13)*F49)</f>
        <v>20082</v>
      </c>
      <c r="G50">
        <f>INT((IF($A42&gt;10000,VLOOKUP($A42,实战属性,14,FALSE),VLOOKUP($A42,总基本属性,8,FALSE))-
IF($B42&gt;10000,VLOOKUP($B42,实战属性,16,FALSE),VLOOKUP($B42,总基本属性,10,FALSE))*$L$13)*G49)</f>
        <v>0</v>
      </c>
      <c r="H50">
        <f>H49+F50+G50</f>
        <v>21215</v>
      </c>
      <c r="I50">
        <f>IF($B42&gt;10000,VLOOKUP($B42,实战属性,12,FALSE),VLOOKUP($B42,总基本属性,6,FALSE))</f>
        <v>21480</v>
      </c>
      <c r="J50">
        <f>ROUND(I50/H50,2)</f>
        <v>1.01</v>
      </c>
    </row>
    <row r="54" spans="1:10" x14ac:dyDescent="0.15">
      <c r="A54" t="s">
        <v>3</v>
      </c>
      <c r="B54" t="s">
        <v>3</v>
      </c>
      <c r="C54" t="s">
        <v>178</v>
      </c>
      <c r="D54" t="s">
        <v>0</v>
      </c>
    </row>
    <row r="55" spans="1:10" x14ac:dyDescent="0.15">
      <c r="A55">
        <f>A42+10</f>
        <v>2040</v>
      </c>
      <c r="B55">
        <f>B42+10</f>
        <v>2040</v>
      </c>
      <c r="C55">
        <v>24</v>
      </c>
      <c r="D55">
        <f>MOD(A55,1000)</f>
        <v>40</v>
      </c>
    </row>
    <row r="56" spans="1:10" x14ac:dyDescent="0.15">
      <c r="A56" t="s">
        <v>156</v>
      </c>
      <c r="B56" t="s">
        <v>95</v>
      </c>
      <c r="C56" t="s">
        <v>177</v>
      </c>
      <c r="D56" t="s">
        <v>143</v>
      </c>
      <c r="E56" t="s">
        <v>182</v>
      </c>
      <c r="F56" t="s">
        <v>192</v>
      </c>
      <c r="G56" t="s">
        <v>193</v>
      </c>
      <c r="H56" t="s">
        <v>176</v>
      </c>
      <c r="I56" t="s">
        <v>205</v>
      </c>
      <c r="J56" t="s">
        <v>206</v>
      </c>
    </row>
    <row r="57" spans="1:10" x14ac:dyDescent="0.15">
      <c r="A57">
        <v>25</v>
      </c>
      <c r="B57" t="s">
        <v>23</v>
      </c>
      <c r="C57">
        <v>1</v>
      </c>
      <c r="D57">
        <f>VLOOKUP(A57,技能参数,4,FALSE)</f>
        <v>2</v>
      </c>
      <c r="E57">
        <f>IFERROR(VLOOKUP(A57*1000+D55,学习等级编码,2),0)</f>
        <v>2503</v>
      </c>
      <c r="F57">
        <f t="shared" ref="F57:F60" si="13">IFERROR(INT(VLOOKUP($E57,技能升级,9,FALSE)*$C57*I57*J57),0)</f>
        <v>5500</v>
      </c>
      <c r="G57">
        <f t="shared" ref="G57:G60" si="14">IFERROR(INT(VLOOKUP($E57,技能升级,10,FALSE)*$C57*I57*J57),0)</f>
        <v>0</v>
      </c>
      <c r="H57">
        <f>INT(VLOOKUP($E57,技能升级,11,FALSE)*$C57*I57*J57)</f>
        <v>181</v>
      </c>
      <c r="I57">
        <v>1</v>
      </c>
      <c r="J57">
        <v>1</v>
      </c>
    </row>
    <row r="58" spans="1:10" x14ac:dyDescent="0.15">
      <c r="A58">
        <v>23</v>
      </c>
      <c r="B58" t="s">
        <v>24</v>
      </c>
      <c r="C58">
        <f>INT((C55-D58-D59*3)/(VLOOKUP(A58,技能参数,5,FALSE)+2*VLOOKUP(A58,技能参数,4,FALSE))+1)+1</f>
        <v>3</v>
      </c>
      <c r="D58">
        <f>VLOOKUP(A58,技能参数,4,FALSE)</f>
        <v>1</v>
      </c>
      <c r="E58">
        <f>IFERROR(VLOOKUP(A58*1000+D55,学习等级编码,2),0)</f>
        <v>2304</v>
      </c>
      <c r="F58">
        <f t="shared" si="13"/>
        <v>3300</v>
      </c>
      <c r="G58">
        <f t="shared" si="14"/>
        <v>0</v>
      </c>
      <c r="H58">
        <f>INT(VLOOKUP($E58,技能升级,11,FALSE)*$C58*I58*J58)</f>
        <v>357</v>
      </c>
      <c r="I58">
        <v>1</v>
      </c>
      <c r="J58">
        <v>1</v>
      </c>
    </row>
    <row r="59" spans="1:10" x14ac:dyDescent="0.15">
      <c r="A59">
        <v>22</v>
      </c>
      <c r="B59" t="s">
        <v>22</v>
      </c>
      <c r="C59">
        <f>INT((C55-D58-D59*3)/(VLOOKUP(A59,技能参数,5,FALSE)+2*VLOOKUP(A59,技能参数,4,FALSE))+1)+3</f>
        <v>5</v>
      </c>
      <c r="D59">
        <f>VLOOKUP(A59,技能参数,4,FALSE)</f>
        <v>1.5</v>
      </c>
      <c r="E59">
        <f>IFERROR(VLOOKUP(A59*1000+D55,学习等级编码,2),0)</f>
        <v>2204</v>
      </c>
      <c r="F59">
        <f t="shared" si="13"/>
        <v>14400</v>
      </c>
      <c r="G59">
        <f t="shared" si="14"/>
        <v>0</v>
      </c>
      <c r="H59">
        <f>INT(VLOOKUP($E59,技能升级,11,FALSE)*$C59*I59*J59)</f>
        <v>685</v>
      </c>
      <c r="I59">
        <v>1</v>
      </c>
      <c r="J59">
        <f>VLOOKUP(A55,$A$2:$G$11,7,FALSE)</f>
        <v>1</v>
      </c>
    </row>
    <row r="60" spans="1:10" x14ac:dyDescent="0.15">
      <c r="A60">
        <v>21</v>
      </c>
      <c r="B60" t="s">
        <v>90</v>
      </c>
      <c r="C60">
        <f>INT((C55-C57*D57-C58*D58-C59*D59-C61)/D60)</f>
        <v>5</v>
      </c>
      <c r="D60">
        <f>VLOOKUP(A60,技能参数,4,FALSE)</f>
        <v>1</v>
      </c>
      <c r="E60">
        <f>IFERROR(VLOOKUP(A60*1000+D55,学习等级编码,2),0)</f>
        <v>2106</v>
      </c>
      <c r="F60">
        <f t="shared" si="13"/>
        <v>5900</v>
      </c>
      <c r="G60">
        <f t="shared" si="14"/>
        <v>0</v>
      </c>
      <c r="H60">
        <f>INT(VLOOKUP($E60,技能升级,11,FALSE)*$C60*I60*J60)</f>
        <v>625</v>
      </c>
      <c r="I60">
        <v>1</v>
      </c>
      <c r="J60">
        <f>VLOOKUP(A55,$A$2:$G$11,7,FALSE)</f>
        <v>1</v>
      </c>
    </row>
    <row r="61" spans="1:10" x14ac:dyDescent="0.15">
      <c r="B61" t="s">
        <v>411</v>
      </c>
      <c r="C61">
        <f>C58*1.5+2</f>
        <v>6.5</v>
      </c>
    </row>
    <row r="62" spans="1:10" x14ac:dyDescent="0.15">
      <c r="E62" t="s">
        <v>194</v>
      </c>
      <c r="F62">
        <f>SUM(F57:F60)/1000</f>
        <v>29.1</v>
      </c>
      <c r="G62">
        <f>SUM(G57:G60)/1000</f>
        <v>0</v>
      </c>
      <c r="H62">
        <f>SUM(H57:H60)</f>
        <v>1848</v>
      </c>
      <c r="I62" t="s">
        <v>196</v>
      </c>
      <c r="J62" t="s">
        <v>197</v>
      </c>
    </row>
    <row r="63" spans="1:10" x14ac:dyDescent="0.15">
      <c r="E63" t="s">
        <v>195</v>
      </c>
      <c r="F63">
        <f>INT((IF($A55&gt;10000,VLOOKUP($A55,实战属性,13,FALSE),VLOOKUP($A55,总基本属性,7,FALSE))-
IF($B55&gt;10000,VLOOKUP($B55,实战属性,15,FALSE),VLOOKUP($B55,总基本属性,9,FALSE))*$L$13)*F62)</f>
        <v>35007</v>
      </c>
      <c r="G63">
        <f>INT((IF($A55&gt;10000,VLOOKUP($A55,实战属性,14,FALSE),VLOOKUP($A55,总基本属性,8,FALSE))-
IF($B55&gt;10000,VLOOKUP($B55,实战属性,16,FALSE),VLOOKUP($B55,总基本属性,10,FALSE))*$L$13)*G62)</f>
        <v>0</v>
      </c>
      <c r="H63">
        <f>H62+F63+G63</f>
        <v>36855</v>
      </c>
      <c r="I63">
        <f>IF($B55&gt;10000,VLOOKUP($B55,实战属性,12,FALSE),VLOOKUP($B55,总基本属性,6,FALSE))</f>
        <v>36480</v>
      </c>
      <c r="J63">
        <f>ROUND(I63/H63,2)</f>
        <v>0.99</v>
      </c>
    </row>
    <row r="67" spans="1:10" x14ac:dyDescent="0.15">
      <c r="A67" t="s">
        <v>3</v>
      </c>
      <c r="B67" t="s">
        <v>3</v>
      </c>
      <c r="C67" t="s">
        <v>178</v>
      </c>
      <c r="D67" t="s">
        <v>0</v>
      </c>
    </row>
    <row r="68" spans="1:10" x14ac:dyDescent="0.15">
      <c r="A68">
        <f>A55+10</f>
        <v>2050</v>
      </c>
      <c r="B68">
        <f>B55+10</f>
        <v>2050</v>
      </c>
      <c r="C68">
        <v>24</v>
      </c>
      <c r="D68">
        <f>MOD(A68,1000)</f>
        <v>50</v>
      </c>
    </row>
    <row r="69" spans="1:10" x14ac:dyDescent="0.15">
      <c r="A69" t="s">
        <v>156</v>
      </c>
      <c r="B69" t="s">
        <v>95</v>
      </c>
      <c r="C69" t="s">
        <v>177</v>
      </c>
      <c r="D69" t="s">
        <v>143</v>
      </c>
      <c r="E69" t="s">
        <v>182</v>
      </c>
      <c r="F69" t="s">
        <v>192</v>
      </c>
      <c r="G69" t="s">
        <v>193</v>
      </c>
      <c r="H69" t="s">
        <v>176</v>
      </c>
      <c r="I69" t="s">
        <v>205</v>
      </c>
      <c r="J69" t="s">
        <v>206</v>
      </c>
    </row>
    <row r="70" spans="1:10" x14ac:dyDescent="0.15">
      <c r="A70">
        <v>25</v>
      </c>
      <c r="B70" t="s">
        <v>23</v>
      </c>
      <c r="C70">
        <v>1</v>
      </c>
      <c r="D70">
        <f>VLOOKUP(A70,技能参数,4,FALSE)</f>
        <v>2</v>
      </c>
      <c r="E70">
        <f>IFERROR(VLOOKUP(A70*1000+D68,学习等级编码,2),0)</f>
        <v>2503</v>
      </c>
      <c r="F70">
        <f t="shared" ref="F70:F73" si="15">IFERROR(INT(VLOOKUP($E70,技能升级,9,FALSE)*$C70*I70*J70),0)</f>
        <v>5500</v>
      </c>
      <c r="G70">
        <f t="shared" ref="G70:G73" si="16">IFERROR(INT(VLOOKUP($E70,技能升级,10,FALSE)*$C70*I70*J70),0)</f>
        <v>0</v>
      </c>
      <c r="H70">
        <f>INT(VLOOKUP($E70,技能升级,11,FALSE)*$C70*I70*J70)</f>
        <v>181</v>
      </c>
      <c r="I70">
        <v>1</v>
      </c>
      <c r="J70">
        <v>1</v>
      </c>
    </row>
    <row r="71" spans="1:10" x14ac:dyDescent="0.15">
      <c r="A71">
        <v>23</v>
      </c>
      <c r="B71" t="s">
        <v>24</v>
      </c>
      <c r="C71">
        <f>INT((C68-D71-D72*3)/(VLOOKUP(A71,技能参数,5,FALSE)+2*VLOOKUP(A71,技能参数,4,FALSE))+1)+1</f>
        <v>3</v>
      </c>
      <c r="D71">
        <f>VLOOKUP(A71,技能参数,4,FALSE)</f>
        <v>1</v>
      </c>
      <c r="E71">
        <f>IFERROR(VLOOKUP(A71*1000+D68,学习等级编码,2),0)</f>
        <v>2305</v>
      </c>
      <c r="F71">
        <f t="shared" si="15"/>
        <v>3390</v>
      </c>
      <c r="G71">
        <f t="shared" si="16"/>
        <v>0</v>
      </c>
      <c r="H71">
        <f>INT(VLOOKUP($E71,技能升级,11,FALSE)*$C71*I71*J71)</f>
        <v>540</v>
      </c>
      <c r="I71">
        <v>1</v>
      </c>
      <c r="J71">
        <v>1</v>
      </c>
    </row>
    <row r="72" spans="1:10" x14ac:dyDescent="0.15">
      <c r="A72">
        <v>22</v>
      </c>
      <c r="B72" t="s">
        <v>22</v>
      </c>
      <c r="C72">
        <f>INT((C68-D71-D72*3)/(VLOOKUP(A72,技能参数,5,FALSE)+2*VLOOKUP(A72,技能参数,4,FALSE))+1)+3</f>
        <v>5</v>
      </c>
      <c r="D72">
        <f>VLOOKUP(A72,技能参数,4,FALSE)</f>
        <v>1.5</v>
      </c>
      <c r="E72">
        <f>IFERROR(VLOOKUP(A72*1000+D68,学习等级编码,2),0)</f>
        <v>2205</v>
      </c>
      <c r="F72">
        <f t="shared" si="15"/>
        <v>16317</v>
      </c>
      <c r="G72">
        <f t="shared" si="16"/>
        <v>0</v>
      </c>
      <c r="H72">
        <f>INT(VLOOKUP($E72,技能升级,11,FALSE)*$C72*I72*J72)</f>
        <v>1087</v>
      </c>
      <c r="I72">
        <v>1</v>
      </c>
      <c r="J72">
        <f>VLOOKUP(A68,$A$2:$G$11,7,FALSE)</f>
        <v>1.1099999999999999</v>
      </c>
    </row>
    <row r="73" spans="1:10" x14ac:dyDescent="0.15">
      <c r="A73">
        <v>21</v>
      </c>
      <c r="B73" t="s">
        <v>90</v>
      </c>
      <c r="C73">
        <f>INT((C68-C70*D70-C71*D71-C72*D72-C74)/D73)</f>
        <v>5</v>
      </c>
      <c r="D73">
        <f>VLOOKUP(A73,技能参数,4,FALSE)</f>
        <v>1</v>
      </c>
      <c r="E73">
        <f>IFERROR(VLOOKUP(A73*1000+D68,学习等级编码,2),0)</f>
        <v>2108</v>
      </c>
      <c r="F73">
        <f t="shared" si="15"/>
        <v>6937</v>
      </c>
      <c r="G73">
        <f t="shared" si="16"/>
        <v>0</v>
      </c>
      <c r="H73">
        <f>INT(VLOOKUP($E73,技能升级,11,FALSE)*$C73*I73*J73)</f>
        <v>1215</v>
      </c>
      <c r="I73">
        <v>1</v>
      </c>
      <c r="J73">
        <f>VLOOKUP(A68,$A$2:$G$11,7,FALSE)</f>
        <v>1.1099999999999999</v>
      </c>
    </row>
    <row r="74" spans="1:10" x14ac:dyDescent="0.15">
      <c r="B74" t="s">
        <v>411</v>
      </c>
      <c r="C74">
        <f>C71*1.5+2</f>
        <v>6.5</v>
      </c>
    </row>
    <row r="75" spans="1:10" x14ac:dyDescent="0.15">
      <c r="E75" t="s">
        <v>194</v>
      </c>
      <c r="F75">
        <f>SUM(F70:F73)/1000</f>
        <v>32.143999999999998</v>
      </c>
      <c r="G75">
        <f>SUM(G70:G73)/1000</f>
        <v>0</v>
      </c>
      <c r="H75">
        <f>SUM(H70:H73)</f>
        <v>3023</v>
      </c>
      <c r="I75" t="s">
        <v>196</v>
      </c>
      <c r="J75" t="s">
        <v>197</v>
      </c>
    </row>
    <row r="76" spans="1:10" x14ac:dyDescent="0.15">
      <c r="E76" t="s">
        <v>195</v>
      </c>
      <c r="F76">
        <f>INT((IF($A68&gt;10000,VLOOKUP($A68,实战属性,13,FALSE),VLOOKUP($A68,总基本属性,7,FALSE))-
IF($B68&gt;10000,VLOOKUP($B68,实战属性,15,FALSE),VLOOKUP($B68,总基本属性,9,FALSE))*$L$13)*F75)</f>
        <v>52716</v>
      </c>
      <c r="G76">
        <f>INT((IF($A68&gt;10000,VLOOKUP($A68,实战属性,14,FALSE),VLOOKUP($A68,总基本属性,8,FALSE))-
IF($B68&gt;10000,VLOOKUP($B68,实战属性,16,FALSE),VLOOKUP($B68,总基本属性,10,FALSE))*$L$13)*G75)</f>
        <v>0</v>
      </c>
      <c r="H76">
        <f>H75+F76+G76</f>
        <v>55739</v>
      </c>
      <c r="I76">
        <f>IF($B68&gt;10000,VLOOKUP($B68,实战属性,12,FALSE),VLOOKUP($B68,总基本属性,6,FALSE))</f>
        <v>55440</v>
      </c>
      <c r="J76">
        <f>ROUND(I76/H76,2)</f>
        <v>0.99</v>
      </c>
    </row>
    <row r="80" spans="1:10" x14ac:dyDescent="0.15">
      <c r="A80" t="s">
        <v>3</v>
      </c>
      <c r="B80" t="s">
        <v>3</v>
      </c>
      <c r="C80" t="s">
        <v>178</v>
      </c>
      <c r="D80" t="s">
        <v>0</v>
      </c>
    </row>
    <row r="81" spans="1:10" x14ac:dyDescent="0.15">
      <c r="A81">
        <f>A68+10</f>
        <v>2060</v>
      </c>
      <c r="B81">
        <f>B68+10</f>
        <v>2060</v>
      </c>
      <c r="C81">
        <v>24</v>
      </c>
      <c r="D81">
        <f>MOD(A81,1000)</f>
        <v>60</v>
      </c>
    </row>
    <row r="82" spans="1:10" x14ac:dyDescent="0.15">
      <c r="A82" t="s">
        <v>156</v>
      </c>
      <c r="B82" t="s">
        <v>95</v>
      </c>
      <c r="C82" t="s">
        <v>177</v>
      </c>
      <c r="D82" t="s">
        <v>143</v>
      </c>
      <c r="E82" t="s">
        <v>182</v>
      </c>
      <c r="F82" t="s">
        <v>192</v>
      </c>
      <c r="G82" t="s">
        <v>193</v>
      </c>
      <c r="H82" t="s">
        <v>176</v>
      </c>
      <c r="I82" t="s">
        <v>205</v>
      </c>
      <c r="J82" t="s">
        <v>206</v>
      </c>
    </row>
    <row r="83" spans="1:10" x14ac:dyDescent="0.15">
      <c r="A83">
        <v>25</v>
      </c>
      <c r="B83" t="s">
        <v>23</v>
      </c>
      <c r="C83">
        <v>1</v>
      </c>
      <c r="D83">
        <f>VLOOKUP(A83,技能参数,4,FALSE)</f>
        <v>2</v>
      </c>
      <c r="E83">
        <f>IFERROR(VLOOKUP(A83*1000+D81,学习等级编码,2),0)</f>
        <v>2504</v>
      </c>
      <c r="F83">
        <f t="shared" ref="F83:F86" si="17">IFERROR(INT(VLOOKUP($E83,技能升级,9,FALSE)*$C83*I83*J83),0)</f>
        <v>5750</v>
      </c>
      <c r="G83">
        <f t="shared" ref="G83:G86" si="18">IFERROR(INT(VLOOKUP($E83,技能升级,10,FALSE)*$C83*I83*J83),0)</f>
        <v>0</v>
      </c>
      <c r="H83">
        <f>INT(VLOOKUP($E83,技能升级,11,FALSE)*$C83*I83*J83)</f>
        <v>298</v>
      </c>
      <c r="I83">
        <v>1</v>
      </c>
      <c r="J83">
        <v>1</v>
      </c>
    </row>
    <row r="84" spans="1:10" x14ac:dyDescent="0.15">
      <c r="A84">
        <v>23</v>
      </c>
      <c r="B84" t="s">
        <v>24</v>
      </c>
      <c r="C84">
        <f>INT((C81-D84-D85*3)/(VLOOKUP(A84,技能参数,5,FALSE)+2*VLOOKUP(A84,技能参数,4,FALSE))+1)+1</f>
        <v>3</v>
      </c>
      <c r="D84">
        <f>VLOOKUP(A84,技能参数,4,FALSE)</f>
        <v>1</v>
      </c>
      <c r="E84">
        <f>IFERROR(VLOOKUP(A84*1000+D81,学习等级编码,2),0)</f>
        <v>2306</v>
      </c>
      <c r="F84">
        <f t="shared" si="17"/>
        <v>3510</v>
      </c>
      <c r="G84">
        <f t="shared" si="18"/>
        <v>0</v>
      </c>
      <c r="H84">
        <f>INT(VLOOKUP($E84,技能升级,11,FALSE)*$C84*I84*J84)</f>
        <v>774</v>
      </c>
      <c r="I84">
        <v>1</v>
      </c>
      <c r="J84">
        <v>1</v>
      </c>
    </row>
    <row r="85" spans="1:10" x14ac:dyDescent="0.15">
      <c r="A85">
        <v>22</v>
      </c>
      <c r="B85" t="s">
        <v>22</v>
      </c>
      <c r="C85">
        <f>INT((C81-D84-D85*3)/(VLOOKUP(A85,技能参数,5,FALSE)+2*VLOOKUP(A85,技能参数,4,FALSE))+1)+3</f>
        <v>5</v>
      </c>
      <c r="D85">
        <f>VLOOKUP(A85,技能参数,4,FALSE)</f>
        <v>1.5</v>
      </c>
      <c r="E85">
        <f>IFERROR(VLOOKUP(A85*1000+D81,学习等级编码,2),0)</f>
        <v>2206</v>
      </c>
      <c r="F85">
        <f t="shared" si="17"/>
        <v>17625</v>
      </c>
      <c r="G85">
        <f t="shared" si="18"/>
        <v>0</v>
      </c>
      <c r="H85">
        <f>INT(VLOOKUP($E85,技能升级,11,FALSE)*$C85*I85*J85)</f>
        <v>1586</v>
      </c>
      <c r="I85">
        <v>1</v>
      </c>
      <c r="J85">
        <f>VLOOKUP(A81,$A$2:$G$11,7,FALSE)</f>
        <v>1.175</v>
      </c>
    </row>
    <row r="86" spans="1:10" x14ac:dyDescent="0.15">
      <c r="A86">
        <v>21</v>
      </c>
      <c r="B86" t="s">
        <v>90</v>
      </c>
      <c r="C86">
        <f>INT((C81-C83*D83-C84*D84-C85*D85-C87)/D86)</f>
        <v>5</v>
      </c>
      <c r="D86">
        <f>VLOOKUP(A86,技能参数,4,FALSE)</f>
        <v>1</v>
      </c>
      <c r="E86">
        <f>IFERROR(VLOOKUP(A86*1000+D81,学习等级编码,2),0)</f>
        <v>2109</v>
      </c>
      <c r="F86">
        <f t="shared" si="17"/>
        <v>7578</v>
      </c>
      <c r="G86">
        <f t="shared" si="18"/>
        <v>0</v>
      </c>
      <c r="H86">
        <f>INT(VLOOKUP($E86,技能升级,11,FALSE)*$C86*I86*J86)</f>
        <v>1586</v>
      </c>
      <c r="I86">
        <v>1</v>
      </c>
      <c r="J86">
        <f>VLOOKUP(A81,$A$2:$G$11,7,FALSE)</f>
        <v>1.175</v>
      </c>
    </row>
    <row r="87" spans="1:10" x14ac:dyDescent="0.15">
      <c r="B87" t="s">
        <v>411</v>
      </c>
      <c r="C87">
        <f>C84*1.5+2</f>
        <v>6.5</v>
      </c>
    </row>
    <row r="88" spans="1:10" x14ac:dyDescent="0.15">
      <c r="E88" t="s">
        <v>194</v>
      </c>
      <c r="F88">
        <f>SUM(F83:F86)/1000</f>
        <v>34.463000000000001</v>
      </c>
      <c r="G88">
        <f>SUM(G83:G86)/1000</f>
        <v>0</v>
      </c>
      <c r="H88">
        <f>SUM(H83:H86)</f>
        <v>4244</v>
      </c>
      <c r="I88" t="s">
        <v>196</v>
      </c>
      <c r="J88" t="s">
        <v>197</v>
      </c>
    </row>
    <row r="89" spans="1:10" x14ac:dyDescent="0.15">
      <c r="E89" t="s">
        <v>195</v>
      </c>
      <c r="F89">
        <f>INT((IF($A81&gt;10000,VLOOKUP($A81,实战属性,13,FALSE),VLOOKUP($A81,总基本属性,7,FALSE))-
IF($B81&gt;10000,VLOOKUP($B81,实战属性,15,FALSE),VLOOKUP($B81,总基本属性,9,FALSE))*$L$13)*F88)</f>
        <v>74284</v>
      </c>
      <c r="G89">
        <f>INT((IF($A81&gt;10000,VLOOKUP($A81,实战属性,14,FALSE),VLOOKUP($A81,总基本属性,8,FALSE))-
IF($B81&gt;10000,VLOOKUP($B81,实战属性,16,FALSE),VLOOKUP($B81,总基本属性,10,FALSE))*$L$13)*G88)</f>
        <v>0</v>
      </c>
      <c r="H89">
        <f>H88+F89+G89</f>
        <v>78528</v>
      </c>
      <c r="I89">
        <f>IF($B81&gt;10000,VLOOKUP($B81,实战属性,12,FALSE),VLOOKUP($B81,总基本属性,6,FALSE))</f>
        <v>78480</v>
      </c>
      <c r="J89">
        <f>ROUND(I89/H89,2)</f>
        <v>1</v>
      </c>
    </row>
    <row r="93" spans="1:10" x14ac:dyDescent="0.15">
      <c r="A93" t="s">
        <v>3</v>
      </c>
      <c r="B93" t="s">
        <v>3</v>
      </c>
      <c r="C93" t="s">
        <v>178</v>
      </c>
      <c r="D93" t="s">
        <v>0</v>
      </c>
    </row>
    <row r="94" spans="1:10" x14ac:dyDescent="0.15">
      <c r="A94">
        <f>A81+10</f>
        <v>2070</v>
      </c>
      <c r="B94">
        <f>B81+10</f>
        <v>2070</v>
      </c>
      <c r="C94">
        <v>24</v>
      </c>
      <c r="D94">
        <f>MOD(A94,1000)</f>
        <v>70</v>
      </c>
    </row>
    <row r="95" spans="1:10" x14ac:dyDescent="0.15">
      <c r="A95" t="s">
        <v>156</v>
      </c>
      <c r="B95" t="s">
        <v>95</v>
      </c>
      <c r="C95" t="s">
        <v>177</v>
      </c>
      <c r="D95" t="s">
        <v>143</v>
      </c>
      <c r="E95" t="s">
        <v>182</v>
      </c>
      <c r="F95" t="s">
        <v>192</v>
      </c>
      <c r="G95" t="s">
        <v>193</v>
      </c>
      <c r="H95" t="s">
        <v>176</v>
      </c>
      <c r="I95" t="s">
        <v>205</v>
      </c>
      <c r="J95" t="s">
        <v>206</v>
      </c>
    </row>
    <row r="96" spans="1:10" x14ac:dyDescent="0.15">
      <c r="A96">
        <v>25</v>
      </c>
      <c r="B96" t="s">
        <v>23</v>
      </c>
      <c r="C96">
        <v>1</v>
      </c>
      <c r="D96">
        <f>VLOOKUP(A96,技能参数,4,FALSE)</f>
        <v>2</v>
      </c>
      <c r="E96">
        <f>IFERROR(VLOOKUP(A96*1000+D94,学习等级编码,2),0)</f>
        <v>2505</v>
      </c>
      <c r="F96">
        <f t="shared" ref="F96:F99" si="19">IFERROR(INT(VLOOKUP($E96,技能升级,9,FALSE)*$C96*I96*J96),0)</f>
        <v>6000</v>
      </c>
      <c r="G96">
        <f t="shared" ref="G96:G99" si="20">IFERROR(INT(VLOOKUP($E96,技能升级,10,FALSE)*$C96*I96*J96),0)</f>
        <v>0</v>
      </c>
      <c r="H96">
        <f>INT(VLOOKUP($E96,技能升级,11,FALSE)*$C96*I96*J96)</f>
        <v>441</v>
      </c>
      <c r="I96">
        <v>1</v>
      </c>
      <c r="J96">
        <v>1</v>
      </c>
    </row>
    <row r="97" spans="1:10" x14ac:dyDescent="0.15">
      <c r="A97">
        <v>23</v>
      </c>
      <c r="B97" t="s">
        <v>24</v>
      </c>
      <c r="C97">
        <f>INT((C94-D97-D98*3)/(VLOOKUP(A97,技能参数,5,FALSE)+2*VLOOKUP(A97,技能参数,4,FALSE))+1)+1</f>
        <v>3</v>
      </c>
      <c r="D97">
        <f>VLOOKUP(A97,技能参数,4,FALSE)</f>
        <v>1</v>
      </c>
      <c r="E97">
        <f>IFERROR(VLOOKUP(A97*1000+D94,学习等级编码,2),0)</f>
        <v>2307</v>
      </c>
      <c r="F97">
        <f t="shared" si="19"/>
        <v>3600</v>
      </c>
      <c r="G97">
        <f t="shared" si="20"/>
        <v>0</v>
      </c>
      <c r="H97">
        <f>INT(VLOOKUP($E97,技能升级,11,FALSE)*$C97*I97*J97)</f>
        <v>1047</v>
      </c>
      <c r="I97">
        <v>1</v>
      </c>
      <c r="J97">
        <v>1</v>
      </c>
    </row>
    <row r="98" spans="1:10" x14ac:dyDescent="0.15">
      <c r="A98">
        <v>22</v>
      </c>
      <c r="B98" t="s">
        <v>22</v>
      </c>
      <c r="C98">
        <f>INT((C94-D97-D98*3)/(VLOOKUP(A98,技能参数,5,FALSE)+2*VLOOKUP(A98,技能参数,4,FALSE))+1)+3</f>
        <v>5</v>
      </c>
      <c r="D98">
        <f>VLOOKUP(A98,技能参数,4,FALSE)</f>
        <v>1.5</v>
      </c>
      <c r="E98">
        <f>IFERROR(VLOOKUP(A98*1000+D94,学习等级编码,2),0)</f>
        <v>2207</v>
      </c>
      <c r="F98">
        <f t="shared" si="19"/>
        <v>19278</v>
      </c>
      <c r="G98">
        <f t="shared" si="20"/>
        <v>0</v>
      </c>
      <c r="H98">
        <f>INT(VLOOKUP($E98,技能升级,11,FALSE)*$C98*I98*J98)</f>
        <v>2261</v>
      </c>
      <c r="I98">
        <v>1</v>
      </c>
      <c r="J98">
        <f>VLOOKUP(A94,$A$2:$G$11,7,FALSE)</f>
        <v>1.2600000000000002</v>
      </c>
    </row>
    <row r="99" spans="1:10" x14ac:dyDescent="0.15">
      <c r="A99">
        <v>21</v>
      </c>
      <c r="B99" t="s">
        <v>90</v>
      </c>
      <c r="C99">
        <f>INT((C94-C96*D96-C97*D97-C98*D98-C100)/D99)</f>
        <v>5</v>
      </c>
      <c r="D99">
        <f>VLOOKUP(A99,技能参数,4,FALSE)</f>
        <v>1</v>
      </c>
      <c r="E99">
        <f>IFERROR(VLOOKUP(A99*1000+D94,学习等级编码,2),0)</f>
        <v>2111</v>
      </c>
      <c r="F99">
        <f t="shared" si="19"/>
        <v>8568</v>
      </c>
      <c r="G99">
        <f t="shared" si="20"/>
        <v>0</v>
      </c>
      <c r="H99">
        <f>INT(VLOOKUP($E99,技能升级,11,FALSE)*$C99*I99*J99)</f>
        <v>2557</v>
      </c>
      <c r="I99">
        <v>1</v>
      </c>
      <c r="J99">
        <f>VLOOKUP(A94,$A$2:$G$11,7,FALSE)</f>
        <v>1.2600000000000002</v>
      </c>
    </row>
    <row r="100" spans="1:10" x14ac:dyDescent="0.15">
      <c r="B100" t="s">
        <v>411</v>
      </c>
      <c r="C100">
        <f>C97*1.5+2</f>
        <v>6.5</v>
      </c>
    </row>
    <row r="101" spans="1:10" x14ac:dyDescent="0.15">
      <c r="E101" t="s">
        <v>194</v>
      </c>
      <c r="F101">
        <f>SUM(F96:F99)/1000</f>
        <v>37.445999999999998</v>
      </c>
      <c r="G101">
        <f>SUM(G96:G99)/1000</f>
        <v>0</v>
      </c>
      <c r="H101">
        <f>SUM(H96:H99)</f>
        <v>6306</v>
      </c>
      <c r="I101" t="s">
        <v>196</v>
      </c>
      <c r="J101" t="s">
        <v>197</v>
      </c>
    </row>
    <row r="102" spans="1:10" x14ac:dyDescent="0.15">
      <c r="E102" t="s">
        <v>195</v>
      </c>
      <c r="F102">
        <f>INT((IF($A94&gt;10000,VLOOKUP($A94,实战属性,13,FALSE),VLOOKUP($A94,总基本属性,7,FALSE))-
IF($B94&gt;10000,VLOOKUP($B94,实战属性,15,FALSE),VLOOKUP($B94,总基本属性,9,FALSE))*$L$13)*F101)</f>
        <v>100561</v>
      </c>
      <c r="G102">
        <f>INT((IF($A94&gt;10000,VLOOKUP($A94,实战属性,14,FALSE),VLOOKUP($A94,总基本属性,8,FALSE))-
IF($B94&gt;10000,VLOOKUP($B94,实战属性,16,FALSE),VLOOKUP($B94,总基本属性,10,FALSE))*$L$13)*G101)</f>
        <v>0</v>
      </c>
      <c r="H102">
        <f>H101+F102+G102</f>
        <v>106867</v>
      </c>
      <c r="I102">
        <f>IF($B94&gt;10000,VLOOKUP($B94,实战属性,12,FALSE),VLOOKUP($B94,总基本属性,6,FALSE))</f>
        <v>105480</v>
      </c>
      <c r="J102">
        <f>ROUND(I102/H102,2)</f>
        <v>0.99</v>
      </c>
    </row>
    <row r="106" spans="1:10" x14ac:dyDescent="0.15">
      <c r="A106" t="s">
        <v>3</v>
      </c>
      <c r="B106" t="s">
        <v>3</v>
      </c>
      <c r="C106" t="s">
        <v>178</v>
      </c>
      <c r="D106" t="s">
        <v>0</v>
      </c>
    </row>
    <row r="107" spans="1:10" x14ac:dyDescent="0.15">
      <c r="A107">
        <f>A94+10</f>
        <v>2080</v>
      </c>
      <c r="B107">
        <f>B94+10</f>
        <v>2080</v>
      </c>
      <c r="C107">
        <v>25</v>
      </c>
      <c r="D107">
        <f>MOD(A107,1000)</f>
        <v>80</v>
      </c>
    </row>
    <row r="108" spans="1:10" x14ac:dyDescent="0.15">
      <c r="A108" t="s">
        <v>156</v>
      </c>
      <c r="B108" t="s">
        <v>95</v>
      </c>
      <c r="C108" t="s">
        <v>177</v>
      </c>
      <c r="D108" t="s">
        <v>143</v>
      </c>
      <c r="E108" t="s">
        <v>182</v>
      </c>
      <c r="F108" t="s">
        <v>192</v>
      </c>
      <c r="G108" t="s">
        <v>193</v>
      </c>
      <c r="H108" t="s">
        <v>176</v>
      </c>
      <c r="I108" t="s">
        <v>205</v>
      </c>
      <c r="J108" t="s">
        <v>206</v>
      </c>
    </row>
    <row r="109" spans="1:10" x14ac:dyDescent="0.15">
      <c r="A109">
        <v>25</v>
      </c>
      <c r="B109" t="s">
        <v>23</v>
      </c>
      <c r="C109">
        <v>1</v>
      </c>
      <c r="D109">
        <f>VLOOKUP(A109,技能参数,4,FALSE)</f>
        <v>2</v>
      </c>
      <c r="E109">
        <f>IFERROR(VLOOKUP(A109*1000+D107,学习等级编码,2),0)</f>
        <v>2505</v>
      </c>
      <c r="F109">
        <f t="shared" ref="F109:F112" si="21">IFERROR(INT(VLOOKUP($E109,技能升级,9,FALSE)*$C109*I109*J109),0)</f>
        <v>6000</v>
      </c>
      <c r="G109">
        <f t="shared" ref="G109:G112" si="22">IFERROR(INT(VLOOKUP($E109,技能升级,10,FALSE)*$C109*I109*J109),0)</f>
        <v>0</v>
      </c>
      <c r="H109">
        <f>INT(VLOOKUP($E109,技能升级,11,FALSE)*$C109*I109*J109)</f>
        <v>441</v>
      </c>
      <c r="I109">
        <v>1</v>
      </c>
      <c r="J109">
        <v>1</v>
      </c>
    </row>
    <row r="110" spans="1:10" x14ac:dyDescent="0.15">
      <c r="A110">
        <v>23</v>
      </c>
      <c r="B110" t="s">
        <v>24</v>
      </c>
      <c r="C110">
        <f>INT((C107-D110-D111*3)/(VLOOKUP(A110,技能参数,5,FALSE)+2*VLOOKUP(A110,技能参数,4,FALSE))+1)+1</f>
        <v>3</v>
      </c>
      <c r="D110">
        <f>VLOOKUP(A110,技能参数,4,FALSE)</f>
        <v>1</v>
      </c>
      <c r="E110">
        <f>IFERROR(VLOOKUP(A110*1000+D107,学习等级编码,2),0)</f>
        <v>2308</v>
      </c>
      <c r="F110">
        <f t="shared" si="21"/>
        <v>3690</v>
      </c>
      <c r="G110">
        <f t="shared" si="22"/>
        <v>0</v>
      </c>
      <c r="H110">
        <f>INT(VLOOKUP($E110,技能升级,11,FALSE)*$C110*I110*J110)</f>
        <v>1371</v>
      </c>
      <c r="I110">
        <v>1</v>
      </c>
      <c r="J110">
        <v>1</v>
      </c>
    </row>
    <row r="111" spans="1:10" x14ac:dyDescent="0.15">
      <c r="A111">
        <v>22</v>
      </c>
      <c r="B111" t="s">
        <v>22</v>
      </c>
      <c r="C111">
        <f>INT((C107-D110-D111*3)/(VLOOKUP(A111,技能参数,5,FALSE)+2*VLOOKUP(A111,技能参数,4,FALSE))+1)+3</f>
        <v>5</v>
      </c>
      <c r="D111">
        <f>VLOOKUP(A111,技能参数,4,FALSE)</f>
        <v>1.5</v>
      </c>
      <c r="E111">
        <f>IFERROR(VLOOKUP(A111*1000+D107,学习等级编码,2),0)</f>
        <v>2208</v>
      </c>
      <c r="F111">
        <f t="shared" si="21"/>
        <v>21138</v>
      </c>
      <c r="G111">
        <f t="shared" si="22"/>
        <v>0</v>
      </c>
      <c r="H111">
        <f>INT(VLOOKUP($E111,技能升级,11,FALSE)*$C111*I111*J111)</f>
        <v>3136</v>
      </c>
      <c r="I111">
        <v>1</v>
      </c>
      <c r="J111">
        <f>VLOOKUP(A107,$A$2:$G$11,7,FALSE)</f>
        <v>1.355</v>
      </c>
    </row>
    <row r="112" spans="1:10" x14ac:dyDescent="0.15">
      <c r="A112">
        <v>21</v>
      </c>
      <c r="B112" t="s">
        <v>90</v>
      </c>
      <c r="C112">
        <f>INT((C107-C109*D109-C110*D110-C111*D111-C113)/D112)</f>
        <v>6</v>
      </c>
      <c r="D112">
        <f>VLOOKUP(A112,技能参数,4,FALSE)</f>
        <v>1</v>
      </c>
      <c r="E112">
        <f>IFERROR(VLOOKUP(A112*1000+D107,学习等级编码,2),0)</f>
        <v>2112</v>
      </c>
      <c r="F112">
        <f t="shared" si="21"/>
        <v>11300</v>
      </c>
      <c r="G112">
        <f t="shared" si="22"/>
        <v>0</v>
      </c>
      <c r="H112">
        <f>INT(VLOOKUP($E112,技能升级,11,FALSE)*$C112*I112*J112)</f>
        <v>3959</v>
      </c>
      <c r="I112">
        <v>1</v>
      </c>
      <c r="J112">
        <f>VLOOKUP(A107,$A$2:$G$11,7,FALSE)</f>
        <v>1.355</v>
      </c>
    </row>
    <row r="113" spans="1:10" x14ac:dyDescent="0.15">
      <c r="B113" t="s">
        <v>411</v>
      </c>
      <c r="C113">
        <f>C110*1.5+2</f>
        <v>6.5</v>
      </c>
    </row>
    <row r="114" spans="1:10" x14ac:dyDescent="0.15">
      <c r="E114" t="s">
        <v>194</v>
      </c>
      <c r="F114">
        <f>SUM(F109:F112)/1000</f>
        <v>42.128</v>
      </c>
      <c r="G114">
        <f>SUM(G109:G112)/1000</f>
        <v>0</v>
      </c>
      <c r="H114">
        <f>SUM(H109:H112)</f>
        <v>8907</v>
      </c>
      <c r="I114" t="s">
        <v>196</v>
      </c>
      <c r="J114" t="s">
        <v>197</v>
      </c>
    </row>
    <row r="115" spans="1:10" x14ac:dyDescent="0.15">
      <c r="E115" t="s">
        <v>195</v>
      </c>
      <c r="F115">
        <f>INT((IF($A107&gt;10000,VLOOKUP($A107,实战属性,13,FALSE),VLOOKUP($A107,总基本属性,7,FALSE))-
IF($B107&gt;10000,VLOOKUP($B107,实战属性,15,FALSE),VLOOKUP($B107,总基本属性,9,FALSE))*$L$13)*F114)</f>
        <v>128827</v>
      </c>
      <c r="G115">
        <f>INT((IF($A107&gt;10000,VLOOKUP($A107,实战属性,14,FALSE),VLOOKUP($A107,总基本属性,8,FALSE))-
IF($B107&gt;10000,VLOOKUP($B107,实战属性,16,FALSE),VLOOKUP($B107,总基本属性,10,FALSE))*$L$13)*G114)</f>
        <v>0</v>
      </c>
      <c r="H115">
        <f>H114+F115+G115</f>
        <v>137734</v>
      </c>
      <c r="I115">
        <f>IF($B107&gt;10000,VLOOKUP($B107,实战属性,12,FALSE),VLOOKUP($B107,总基本属性,6,FALSE))</f>
        <v>136440</v>
      </c>
      <c r="J115">
        <f>ROUND(I115/H115,2)</f>
        <v>0.99</v>
      </c>
    </row>
    <row r="119" spans="1:10" x14ac:dyDescent="0.15">
      <c r="A119" t="s">
        <v>3</v>
      </c>
      <c r="B119" t="s">
        <v>3</v>
      </c>
      <c r="C119" t="s">
        <v>178</v>
      </c>
      <c r="D119" t="s">
        <v>0</v>
      </c>
    </row>
    <row r="120" spans="1:10" x14ac:dyDescent="0.15">
      <c r="A120">
        <f>A107+10</f>
        <v>2090</v>
      </c>
      <c r="B120">
        <f>B107+10</f>
        <v>2090</v>
      </c>
      <c r="C120">
        <v>22</v>
      </c>
      <c r="D120">
        <f>MOD(A120,1000)</f>
        <v>90</v>
      </c>
    </row>
    <row r="121" spans="1:10" x14ac:dyDescent="0.15">
      <c r="A121" t="s">
        <v>156</v>
      </c>
      <c r="B121" t="s">
        <v>95</v>
      </c>
      <c r="C121" t="s">
        <v>177</v>
      </c>
      <c r="D121" t="s">
        <v>143</v>
      </c>
      <c r="E121" t="s">
        <v>182</v>
      </c>
      <c r="F121" t="s">
        <v>192</v>
      </c>
      <c r="G121" t="s">
        <v>193</v>
      </c>
      <c r="H121" t="s">
        <v>176</v>
      </c>
      <c r="I121" t="s">
        <v>205</v>
      </c>
      <c r="J121" t="s">
        <v>206</v>
      </c>
    </row>
    <row r="122" spans="1:10" x14ac:dyDescent="0.15">
      <c r="A122">
        <v>25</v>
      </c>
      <c r="B122" t="s">
        <v>23</v>
      </c>
      <c r="C122">
        <v>1</v>
      </c>
      <c r="D122">
        <f>VLOOKUP(A122,技能参数,4,FALSE)</f>
        <v>2</v>
      </c>
      <c r="E122">
        <f>IFERROR(VLOOKUP(A122*1000+D120,学习等级编码,2),0)</f>
        <v>2506</v>
      </c>
      <c r="F122">
        <f t="shared" ref="F122:F125" si="23">IFERROR(INT(VLOOKUP($E122,技能升级,9,FALSE)*$C122*I122*J122),0)</f>
        <v>6250</v>
      </c>
      <c r="G122">
        <f t="shared" ref="G122:G125" si="24">IFERROR(INT(VLOOKUP($E122,技能升级,10,FALSE)*$C122*I122*J122),0)</f>
        <v>0</v>
      </c>
      <c r="H122">
        <f>INT(VLOOKUP($E122,技能升级,11,FALSE)*$C122*I122*J122)</f>
        <v>632</v>
      </c>
      <c r="I122">
        <v>1</v>
      </c>
      <c r="J122">
        <v>1</v>
      </c>
    </row>
    <row r="123" spans="1:10" x14ac:dyDescent="0.15">
      <c r="A123">
        <v>23</v>
      </c>
      <c r="B123" t="s">
        <v>24</v>
      </c>
      <c r="C123">
        <f>INT((C120-D123-D124*3)/(VLOOKUP(A123,技能参数,5,FALSE)+2*VLOOKUP(A123,技能参数,4,FALSE))+1)+1</f>
        <v>2</v>
      </c>
      <c r="D123">
        <f>VLOOKUP(A123,技能参数,4,FALSE)</f>
        <v>1</v>
      </c>
      <c r="E123">
        <f>IFERROR(VLOOKUP(A123*1000+D120,学习等级编码,2),0)</f>
        <v>2309</v>
      </c>
      <c r="F123">
        <f t="shared" si="23"/>
        <v>2540</v>
      </c>
      <c r="G123">
        <f t="shared" si="24"/>
        <v>0</v>
      </c>
      <c r="H123">
        <f>INT(VLOOKUP($E123,技能升级,11,FALSE)*$C123*I123*J123)</f>
        <v>1156</v>
      </c>
      <c r="I123">
        <v>1</v>
      </c>
      <c r="J123">
        <v>1</v>
      </c>
    </row>
    <row r="124" spans="1:10" x14ac:dyDescent="0.15">
      <c r="A124">
        <v>22</v>
      </c>
      <c r="B124" t="s">
        <v>22</v>
      </c>
      <c r="C124">
        <f>INT((C120-D123-D124*3)/(VLOOKUP(A124,技能参数,5,FALSE)+2*VLOOKUP(A124,技能参数,4,FALSE))+1)+3</f>
        <v>5</v>
      </c>
      <c r="D124">
        <f>VLOOKUP(A124,技能参数,4,FALSE)</f>
        <v>1.5</v>
      </c>
      <c r="E124">
        <f>IFERROR(VLOOKUP(A124*1000+D120,学习等级编码,2),0)</f>
        <v>2209</v>
      </c>
      <c r="F124">
        <f t="shared" si="23"/>
        <v>23452</v>
      </c>
      <c r="G124">
        <f t="shared" si="24"/>
        <v>0</v>
      </c>
      <c r="H124">
        <f>INT(VLOOKUP($E124,技能升级,11,FALSE)*$C124*I124*J124)</f>
        <v>4292</v>
      </c>
      <c r="I124">
        <v>1</v>
      </c>
      <c r="J124">
        <f>VLOOKUP(A120,$A$2:$G$11,7,FALSE)</f>
        <v>1.4749999999999996</v>
      </c>
    </row>
    <row r="125" spans="1:10" x14ac:dyDescent="0.15">
      <c r="A125">
        <v>21</v>
      </c>
      <c r="B125" t="s">
        <v>90</v>
      </c>
      <c r="C125">
        <f>INT((C120-C122*D122-C123*D123-C124*D124-C126)/D125)</f>
        <v>5</v>
      </c>
      <c r="D125">
        <f>VLOOKUP(A125,技能参数,4,FALSE)</f>
        <v>1</v>
      </c>
      <c r="E125">
        <f>IFERROR(VLOOKUP(A125*1000+D120,学习等级编码,2),0)</f>
        <v>2114</v>
      </c>
      <c r="F125">
        <f t="shared" si="23"/>
        <v>10767</v>
      </c>
      <c r="G125">
        <f t="shared" si="24"/>
        <v>0</v>
      </c>
      <c r="H125">
        <f>INT(VLOOKUP($E125,技能升级,11,FALSE)*$C125*I125*J125)</f>
        <v>4919</v>
      </c>
      <c r="I125">
        <v>1</v>
      </c>
      <c r="J125">
        <f>VLOOKUP(A120,$A$2:$G$11,7,FALSE)</f>
        <v>1.4749999999999996</v>
      </c>
    </row>
    <row r="126" spans="1:10" x14ac:dyDescent="0.15">
      <c r="B126" t="s">
        <v>411</v>
      </c>
      <c r="C126">
        <f>C123*1.5+2</f>
        <v>5</v>
      </c>
    </row>
    <row r="127" spans="1:10" x14ac:dyDescent="0.15">
      <c r="E127" t="s">
        <v>194</v>
      </c>
      <c r="F127">
        <f>SUM(F122:F125)/1000</f>
        <v>43.009</v>
      </c>
      <c r="G127">
        <f>SUM(G122:G125)/1000</f>
        <v>0</v>
      </c>
      <c r="H127">
        <f>SUM(H122:H125)</f>
        <v>10999</v>
      </c>
      <c r="I127" t="s">
        <v>196</v>
      </c>
      <c r="J127" t="s">
        <v>197</v>
      </c>
    </row>
    <row r="128" spans="1:10" x14ac:dyDescent="0.15">
      <c r="E128" t="s">
        <v>195</v>
      </c>
      <c r="F128">
        <f>INT((IF($A120&gt;10000,VLOOKUP($A120,实战属性,13,FALSE),VLOOKUP($A120,总基本属性,7,FALSE))-
IF($B120&gt;10000,VLOOKUP($B120,实战属性,15,FALSE),VLOOKUP($B120,总基本属性,9,FALSE))*$L$13)*F127)</f>
        <v>159369</v>
      </c>
      <c r="G128">
        <f>INT((IF($A120&gt;10000,VLOOKUP($A120,实战属性,14,FALSE),VLOOKUP($A120,总基本属性,8,FALSE))-
IF($B120&gt;10000,VLOOKUP($B120,实战属性,16,FALSE),VLOOKUP($B120,总基本属性,10,FALSE))*$L$13)*G127)</f>
        <v>0</v>
      </c>
      <c r="H128">
        <f>H127+F128+G128</f>
        <v>170368</v>
      </c>
      <c r="I128">
        <f>IF($B120&gt;10000,VLOOKUP($B120,实战属性,12,FALSE),VLOOKUP($B120,总基本属性,6,FALSE))</f>
        <v>171480</v>
      </c>
      <c r="J128">
        <f>ROUND(I128/H128,2)</f>
        <v>1.01</v>
      </c>
    </row>
    <row r="132" spans="1:10" x14ac:dyDescent="0.15">
      <c r="A132" t="s">
        <v>3</v>
      </c>
      <c r="B132" t="s">
        <v>3</v>
      </c>
      <c r="C132" t="s">
        <v>178</v>
      </c>
      <c r="D132" t="s">
        <v>0</v>
      </c>
    </row>
    <row r="133" spans="1:10" x14ac:dyDescent="0.15">
      <c r="A133">
        <f>A120+10</f>
        <v>2100</v>
      </c>
      <c r="B133">
        <f>B120+10</f>
        <v>2100</v>
      </c>
      <c r="C133">
        <v>21</v>
      </c>
      <c r="D133">
        <f>MOD(A133,1000)</f>
        <v>100</v>
      </c>
    </row>
    <row r="134" spans="1:10" x14ac:dyDescent="0.15">
      <c r="A134" t="s">
        <v>156</v>
      </c>
      <c r="B134" t="s">
        <v>95</v>
      </c>
      <c r="C134" t="s">
        <v>177</v>
      </c>
      <c r="D134" t="s">
        <v>143</v>
      </c>
      <c r="E134" t="s">
        <v>182</v>
      </c>
      <c r="F134" t="s">
        <v>192</v>
      </c>
      <c r="G134" t="s">
        <v>193</v>
      </c>
      <c r="H134" t="s">
        <v>176</v>
      </c>
      <c r="I134" t="s">
        <v>205</v>
      </c>
      <c r="J134" t="s">
        <v>206</v>
      </c>
    </row>
    <row r="135" spans="1:10" x14ac:dyDescent="0.15">
      <c r="A135">
        <v>25</v>
      </c>
      <c r="B135" t="s">
        <v>23</v>
      </c>
      <c r="C135">
        <v>1</v>
      </c>
      <c r="D135">
        <f>VLOOKUP(A135,技能参数,4,FALSE)</f>
        <v>2</v>
      </c>
      <c r="E135">
        <f>IFERROR(VLOOKUP(A135*1000+D133,学习等级编码,2),0)</f>
        <v>2507</v>
      </c>
      <c r="F135">
        <f t="shared" ref="F135:F138" si="25">IFERROR(INT(VLOOKUP($E135,技能升级,9,FALSE)*$C135*I135*J135),0)</f>
        <v>6500</v>
      </c>
      <c r="G135">
        <f t="shared" ref="G135:G138" si="26">IFERROR(INT(VLOOKUP($E135,技能升级,10,FALSE)*$C135*I135*J135),0)</f>
        <v>0</v>
      </c>
      <c r="H135">
        <f>INT(VLOOKUP($E135,技能升级,11,FALSE)*$C135*I135*J135)</f>
        <v>859</v>
      </c>
      <c r="I135">
        <v>1</v>
      </c>
      <c r="J135">
        <v>1</v>
      </c>
    </row>
    <row r="136" spans="1:10" x14ac:dyDescent="0.15">
      <c r="A136">
        <v>23</v>
      </c>
      <c r="B136" t="s">
        <v>24</v>
      </c>
      <c r="C136">
        <f>INT((C133-D136-D137*3)/(VLOOKUP(A136,技能参数,5,FALSE)+2*VLOOKUP(A136,技能参数,4,FALSE))+1)+1</f>
        <v>2</v>
      </c>
      <c r="D136">
        <f>VLOOKUP(A136,技能参数,4,FALSE)</f>
        <v>1</v>
      </c>
      <c r="E136">
        <f>IFERROR(VLOOKUP(A136*1000+D133,学习等级编码,2),0)</f>
        <v>2310</v>
      </c>
      <c r="F136">
        <f t="shared" si="25"/>
        <v>2600</v>
      </c>
      <c r="G136">
        <f t="shared" si="26"/>
        <v>0</v>
      </c>
      <c r="H136">
        <f>INT(VLOOKUP($E136,技能升级,11,FALSE)*$C136*I136*J136)</f>
        <v>1432</v>
      </c>
      <c r="I136">
        <v>1</v>
      </c>
      <c r="J136">
        <v>1</v>
      </c>
    </row>
    <row r="137" spans="1:10" x14ac:dyDescent="0.15">
      <c r="A137">
        <v>22</v>
      </c>
      <c r="B137" t="s">
        <v>22</v>
      </c>
      <c r="C137">
        <f>INT((C133-D136-D137*3)/(VLOOKUP(A137,技能参数,5,FALSE)+2*VLOOKUP(A137,技能参数,4,FALSE))+1)+3</f>
        <v>5</v>
      </c>
      <c r="D137">
        <f>VLOOKUP(A137,技能参数,4,FALSE)</f>
        <v>1.5</v>
      </c>
      <c r="E137">
        <f>IFERROR(VLOOKUP(A137*1000+D133,学习等级编码,2),0)</f>
        <v>2210</v>
      </c>
      <c r="F137">
        <f t="shared" si="25"/>
        <v>25515</v>
      </c>
      <c r="G137">
        <f t="shared" si="26"/>
        <v>0</v>
      </c>
      <c r="H137">
        <f>INT(VLOOKUP($E137,技能升级,11,FALSE)*$C137*I137*J137)</f>
        <v>5638</v>
      </c>
      <c r="I137">
        <v>1</v>
      </c>
      <c r="J137">
        <f>VLOOKUP(A133,$A$2:$G$11,7,FALSE)</f>
        <v>1.5750000000000002</v>
      </c>
    </row>
    <row r="138" spans="1:10" x14ac:dyDescent="0.15">
      <c r="A138">
        <v>21</v>
      </c>
      <c r="B138" t="s">
        <v>90</v>
      </c>
      <c r="C138">
        <f>INT((C133-C135*D135-C136*D136-C137*D137-C139)/D138)</f>
        <v>4</v>
      </c>
      <c r="D138">
        <f>VLOOKUP(A138,技能参数,4,FALSE)</f>
        <v>1</v>
      </c>
      <c r="E138">
        <f>IFERROR(VLOOKUP(A138*1000+D133,学习等级编码,2),0)</f>
        <v>2115</v>
      </c>
      <c r="F138">
        <f t="shared" si="25"/>
        <v>9450</v>
      </c>
      <c r="G138">
        <f t="shared" si="26"/>
        <v>0</v>
      </c>
      <c r="H138">
        <f>INT(VLOOKUP($E138,技能升级,11,FALSE)*$C138*I138*J138)</f>
        <v>4844</v>
      </c>
      <c r="I138">
        <v>1</v>
      </c>
      <c r="J138">
        <f>VLOOKUP(A133,$A$2:$G$11,7,FALSE)</f>
        <v>1.5750000000000002</v>
      </c>
    </row>
    <row r="139" spans="1:10" x14ac:dyDescent="0.15">
      <c r="B139" t="s">
        <v>411</v>
      </c>
      <c r="C139">
        <f>C136*1.5+2</f>
        <v>5</v>
      </c>
    </row>
    <row r="140" spans="1:10" x14ac:dyDescent="0.15">
      <c r="E140" t="s">
        <v>194</v>
      </c>
      <c r="F140">
        <f>SUM(F135:F138)/1000</f>
        <v>44.064999999999998</v>
      </c>
      <c r="G140">
        <f>SUM(G135:G138)/1000</f>
        <v>0</v>
      </c>
      <c r="H140">
        <f>SUM(H135:H138)</f>
        <v>12773</v>
      </c>
      <c r="I140" t="s">
        <v>196</v>
      </c>
      <c r="J140" t="s">
        <v>197</v>
      </c>
    </row>
    <row r="141" spans="1:10" x14ac:dyDescent="0.15">
      <c r="E141" t="s">
        <v>195</v>
      </c>
      <c r="F141">
        <f>INT((IF($A133&gt;10000,VLOOKUP($A133,实战属性,13,FALSE),VLOOKUP($A133,总基本属性,7,FALSE))-
IF($B133&gt;10000,VLOOKUP($B133,实战属性,15,FALSE),VLOOKUP($B133,总基本属性,9,FALSE))*$L$13)*F140)</f>
        <v>199944</v>
      </c>
      <c r="G141">
        <f>INT((IF($A133&gt;10000,VLOOKUP($A133,实战属性,14,FALSE),VLOOKUP($A133,总基本属性,8,FALSE))-
IF($B133&gt;10000,VLOOKUP($B133,实战属性,16,FALSE),VLOOKUP($B133,总基本属性,10,FALSE))*$L$13)*G140)</f>
        <v>0</v>
      </c>
      <c r="H141">
        <f>H140+F141+G141</f>
        <v>212717</v>
      </c>
      <c r="I141">
        <f>IF($B133&gt;10000,VLOOKUP($B133,实战属性,12,FALSE),VLOOKUP($B133,总基本属性,6,FALSE))</f>
        <v>210480</v>
      </c>
      <c r="J141">
        <f>ROUND(I141/H141,2)</f>
        <v>0.99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5"/>
  <sheetViews>
    <sheetView tabSelected="1" topLeftCell="A232" workbookViewId="0">
      <selection activeCell="M257" sqref="M257"/>
    </sheetView>
  </sheetViews>
  <sheetFormatPr defaultRowHeight="13.5" x14ac:dyDescent="0.15"/>
  <cols>
    <col min="16" max="16" width="14.125" bestFit="1" customWidth="1"/>
    <col min="17" max="17" width="12.125" bestFit="1" customWidth="1"/>
    <col min="18" max="18" width="8.25" bestFit="1" customWidth="1"/>
    <col min="19" max="19" width="10" bestFit="1" customWidth="1"/>
    <col min="20" max="20" width="12.25" bestFit="1" customWidth="1"/>
    <col min="22" max="22" width="10" bestFit="1" customWidth="1"/>
    <col min="23" max="23" width="9.125" bestFit="1" customWidth="1"/>
  </cols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414</v>
      </c>
      <c r="H1" t="s">
        <v>397</v>
      </c>
      <c r="I1" t="s">
        <v>413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11101</v>
      </c>
      <c r="B2">
        <v>2010</v>
      </c>
      <c r="C2">
        <f t="shared" ref="C2:C2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2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2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2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H2">
        <v>1</v>
      </c>
      <c r="I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>A2+1</f>
        <v>11102</v>
      </c>
      <c r="B3">
        <f>B2+10</f>
        <v>2020</v>
      </c>
      <c r="C3">
        <f t="shared" si="0"/>
        <v>0.01</v>
      </c>
      <c r="D3">
        <f t="shared" si="1"/>
        <v>0</v>
      </c>
      <c r="E3">
        <f t="shared" si="2"/>
        <v>0</v>
      </c>
      <c r="F3">
        <f t="shared" si="3"/>
        <v>0.01</v>
      </c>
      <c r="G3">
        <v>1</v>
      </c>
      <c r="H3">
        <v>1</v>
      </c>
      <c r="I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 t="shared" ref="A4:A11" si="4">A3+1</f>
        <v>11103</v>
      </c>
      <c r="B4">
        <f>B3+10</f>
        <v>2030</v>
      </c>
      <c r="C4">
        <f t="shared" si="0"/>
        <v>0.01</v>
      </c>
      <c r="D4">
        <f t="shared" si="1"/>
        <v>0</v>
      </c>
      <c r="E4">
        <f t="shared" si="2"/>
        <v>0</v>
      </c>
      <c r="F4">
        <f t="shared" si="3"/>
        <v>0.01</v>
      </c>
      <c r="G4">
        <v>1</v>
      </c>
      <c r="H4">
        <v>1</v>
      </c>
      <c r="I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si="4"/>
        <v>11104</v>
      </c>
      <c r="B5">
        <f t="shared" ref="B5:B11" si="5">B4+10</f>
        <v>2040</v>
      </c>
      <c r="C5">
        <f t="shared" si="0"/>
        <v>0.02</v>
      </c>
      <c r="D5">
        <f t="shared" si="1"/>
        <v>0</v>
      </c>
      <c r="E5">
        <f t="shared" si="2"/>
        <v>0</v>
      </c>
      <c r="F5">
        <f t="shared" si="3"/>
        <v>0.02</v>
      </c>
      <c r="G5">
        <v>1</v>
      </c>
      <c r="H5">
        <v>1</v>
      </c>
      <c r="I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4"/>
        <v>11105</v>
      </c>
      <c r="B6">
        <f t="shared" si="5"/>
        <v>2050</v>
      </c>
      <c r="C6">
        <f t="shared" si="0"/>
        <v>0.08</v>
      </c>
      <c r="D6">
        <f t="shared" si="1"/>
        <v>0</v>
      </c>
      <c r="E6">
        <f t="shared" si="2"/>
        <v>0</v>
      </c>
      <c r="F6">
        <f t="shared" si="3"/>
        <v>0.03</v>
      </c>
      <c r="G6">
        <f>C6*1.5+E6*0.3+1-C6-E6</f>
        <v>1.04</v>
      </c>
      <c r="H6">
        <f>C6*1.5+F6*0.5+1-F6-C6</f>
        <v>1.0249999999999999</v>
      </c>
      <c r="I6">
        <v>1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4"/>
        <v>11106</v>
      </c>
      <c r="B7">
        <f t="shared" si="5"/>
        <v>2060</v>
      </c>
      <c r="C7">
        <f t="shared" si="0"/>
        <v>0.12</v>
      </c>
      <c r="D7">
        <f t="shared" si="1"/>
        <v>0</v>
      </c>
      <c r="E7">
        <f t="shared" si="2"/>
        <v>0</v>
      </c>
      <c r="F7">
        <f t="shared" si="3"/>
        <v>0.04</v>
      </c>
      <c r="G7">
        <f t="shared" ref="G7:G10" si="6">C7*1.5+E7*0.3+1-C7-E7</f>
        <v>1.06</v>
      </c>
      <c r="H7">
        <f t="shared" ref="H7:H11" si="7">C7*1.5+F7*0.5+1-F7-C7</f>
        <v>1.04</v>
      </c>
      <c r="I7">
        <v>1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4"/>
        <v>11107</v>
      </c>
      <c r="B8">
        <f t="shared" si="5"/>
        <v>2070</v>
      </c>
      <c r="C8">
        <f t="shared" si="0"/>
        <v>0.16</v>
      </c>
      <c r="D8">
        <f t="shared" si="1"/>
        <v>0</v>
      </c>
      <c r="E8">
        <f t="shared" si="2"/>
        <v>0</v>
      </c>
      <c r="F8">
        <f t="shared" si="3"/>
        <v>0.06</v>
      </c>
      <c r="G8">
        <f>C8*1.5+E8*0.3+1-C8-E8</f>
        <v>1.08</v>
      </c>
      <c r="H8">
        <f t="shared" si="7"/>
        <v>1.05</v>
      </c>
      <c r="I8">
        <v>1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4"/>
        <v>11108</v>
      </c>
      <c r="B9">
        <f t="shared" si="5"/>
        <v>2080</v>
      </c>
      <c r="C9">
        <f t="shared" si="0"/>
        <v>0.21</v>
      </c>
      <c r="D9">
        <f t="shared" si="1"/>
        <v>0</v>
      </c>
      <c r="E9">
        <f t="shared" si="2"/>
        <v>0</v>
      </c>
      <c r="F9">
        <f t="shared" si="3"/>
        <v>7.0000000000000007E-2</v>
      </c>
      <c r="G9">
        <f t="shared" si="6"/>
        <v>1.105</v>
      </c>
      <c r="H9">
        <f t="shared" si="7"/>
        <v>1.07</v>
      </c>
      <c r="I9">
        <v>1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4"/>
        <v>11109</v>
      </c>
      <c r="B10">
        <f t="shared" si="5"/>
        <v>2090</v>
      </c>
      <c r="C10">
        <f t="shared" si="0"/>
        <v>0.28000000000000003</v>
      </c>
      <c r="D10">
        <f t="shared" si="1"/>
        <v>0</v>
      </c>
      <c r="E10">
        <f t="shared" si="2"/>
        <v>0</v>
      </c>
      <c r="F10">
        <f t="shared" si="3"/>
        <v>0.09</v>
      </c>
      <c r="G10">
        <f t="shared" si="6"/>
        <v>1.1399999999999999</v>
      </c>
      <c r="H10">
        <f t="shared" si="7"/>
        <v>1.095</v>
      </c>
      <c r="I10">
        <v>1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4"/>
        <v>11110</v>
      </c>
      <c r="B11">
        <f t="shared" si="5"/>
        <v>2100</v>
      </c>
      <c r="C11">
        <f t="shared" si="0"/>
        <v>0.34</v>
      </c>
      <c r="D11">
        <f t="shared" si="1"/>
        <v>0</v>
      </c>
      <c r="E11">
        <f t="shared" si="2"/>
        <v>0</v>
      </c>
      <c r="F11">
        <f t="shared" si="3"/>
        <v>0.11</v>
      </c>
      <c r="G11">
        <f>C11*1.5+E11*0.3+1-C11-E11</f>
        <v>1.17</v>
      </c>
      <c r="H11">
        <f t="shared" si="7"/>
        <v>1.1149999999999998</v>
      </c>
      <c r="I11">
        <v>1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A12">
        <v>2010</v>
      </c>
      <c r="B12">
        <v>11101</v>
      </c>
      <c r="C12">
        <f t="shared" si="0"/>
        <v>0</v>
      </c>
      <c r="D12">
        <f t="shared" si="1"/>
        <v>0</v>
      </c>
      <c r="E12">
        <f t="shared" si="2"/>
        <v>0.1</v>
      </c>
      <c r="F12">
        <f t="shared" si="3"/>
        <v>0</v>
      </c>
      <c r="G12">
        <v>1</v>
      </c>
      <c r="H12">
        <v>1</v>
      </c>
      <c r="I12">
        <f>C12*1.5+D12*2+E12*0.3+1-E12-D12-C12</f>
        <v>0.93</v>
      </c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A13">
        <f>A12+10</f>
        <v>2020</v>
      </c>
      <c r="B13">
        <f>B12+1</f>
        <v>11102</v>
      </c>
      <c r="C13">
        <f t="shared" si="0"/>
        <v>0</v>
      </c>
      <c r="D13">
        <f t="shared" si="1"/>
        <v>0</v>
      </c>
      <c r="E13">
        <f t="shared" si="2"/>
        <v>0.1</v>
      </c>
      <c r="F13">
        <f t="shared" si="3"/>
        <v>0</v>
      </c>
      <c r="G13">
        <v>1</v>
      </c>
      <c r="H13">
        <v>1</v>
      </c>
      <c r="I13">
        <f t="shared" ref="I13:I21" si="8">C13*1.5+D13*2+E13*0.3+1-E13-D13-C13</f>
        <v>0.93</v>
      </c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4" spans="1:24" x14ac:dyDescent="0.15">
      <c r="A14">
        <f>A13+10</f>
        <v>2030</v>
      </c>
      <c r="B14">
        <f t="shared" ref="B14:B21" si="9">B13+1</f>
        <v>11103</v>
      </c>
      <c r="C14">
        <f t="shared" si="0"/>
        <v>0.01</v>
      </c>
      <c r="D14">
        <f t="shared" si="1"/>
        <v>0</v>
      </c>
      <c r="E14">
        <f t="shared" si="2"/>
        <v>0.1</v>
      </c>
      <c r="F14">
        <f t="shared" si="3"/>
        <v>0</v>
      </c>
      <c r="G14">
        <v>1</v>
      </c>
      <c r="H14">
        <v>1</v>
      </c>
      <c r="I14">
        <f t="shared" si="8"/>
        <v>0.93499999999999994</v>
      </c>
    </row>
    <row r="15" spans="1:24" x14ac:dyDescent="0.15">
      <c r="A15">
        <f t="shared" ref="A15:A21" si="10">A14+10</f>
        <v>2040</v>
      </c>
      <c r="B15">
        <f t="shared" si="9"/>
        <v>11104</v>
      </c>
      <c r="C15">
        <f t="shared" si="0"/>
        <v>0.01</v>
      </c>
      <c r="D15">
        <f t="shared" si="1"/>
        <v>0</v>
      </c>
      <c r="E15">
        <f t="shared" si="2"/>
        <v>0.1</v>
      </c>
      <c r="F15">
        <f t="shared" si="3"/>
        <v>0</v>
      </c>
      <c r="G15">
        <v>1</v>
      </c>
      <c r="H15">
        <v>1</v>
      </c>
      <c r="I15">
        <f t="shared" si="8"/>
        <v>0.93499999999999994</v>
      </c>
    </row>
    <row r="16" spans="1:24" x14ac:dyDescent="0.15">
      <c r="A16">
        <f t="shared" si="10"/>
        <v>2050</v>
      </c>
      <c r="B16">
        <f t="shared" si="9"/>
        <v>11105</v>
      </c>
      <c r="C16">
        <f t="shared" si="0"/>
        <v>0.09</v>
      </c>
      <c r="D16">
        <f t="shared" si="1"/>
        <v>7.0000000000000007E-2</v>
      </c>
      <c r="E16">
        <f t="shared" si="2"/>
        <v>0.1</v>
      </c>
      <c r="F16">
        <f t="shared" si="3"/>
        <v>0</v>
      </c>
      <c r="G16">
        <v>1</v>
      </c>
      <c r="H16">
        <v>1</v>
      </c>
      <c r="I16">
        <f t="shared" si="8"/>
        <v>1.0449999999999999</v>
      </c>
    </row>
    <row r="17" spans="1:10" x14ac:dyDescent="0.15">
      <c r="A17">
        <f t="shared" si="10"/>
        <v>2060</v>
      </c>
      <c r="B17">
        <f t="shared" si="9"/>
        <v>11106</v>
      </c>
      <c r="C17">
        <f t="shared" si="0"/>
        <v>0.15</v>
      </c>
      <c r="D17">
        <f t="shared" si="1"/>
        <v>0.11</v>
      </c>
      <c r="E17">
        <f t="shared" si="2"/>
        <v>0.1</v>
      </c>
      <c r="F17">
        <f t="shared" si="3"/>
        <v>0</v>
      </c>
      <c r="G17">
        <v>1</v>
      </c>
      <c r="H17">
        <v>1</v>
      </c>
      <c r="I17">
        <f t="shared" si="8"/>
        <v>1.115</v>
      </c>
    </row>
    <row r="18" spans="1:10" x14ac:dyDescent="0.15">
      <c r="A18">
        <f t="shared" si="10"/>
        <v>2070</v>
      </c>
      <c r="B18">
        <f t="shared" si="9"/>
        <v>11107</v>
      </c>
      <c r="C18">
        <f t="shared" si="0"/>
        <v>0.23</v>
      </c>
      <c r="D18">
        <f t="shared" si="1"/>
        <v>0.16</v>
      </c>
      <c r="E18">
        <f t="shared" si="2"/>
        <v>0.1</v>
      </c>
      <c r="F18">
        <f t="shared" si="3"/>
        <v>0</v>
      </c>
      <c r="G18">
        <v>1</v>
      </c>
      <c r="H18">
        <v>1</v>
      </c>
      <c r="I18">
        <f t="shared" si="8"/>
        <v>1.2050000000000001</v>
      </c>
    </row>
    <row r="19" spans="1:10" x14ac:dyDescent="0.15">
      <c r="A19">
        <f t="shared" si="10"/>
        <v>2080</v>
      </c>
      <c r="B19">
        <f t="shared" si="9"/>
        <v>11108</v>
      </c>
      <c r="C19">
        <f t="shared" si="0"/>
        <v>0.31</v>
      </c>
      <c r="D19">
        <f t="shared" si="1"/>
        <v>0.21</v>
      </c>
      <c r="E19">
        <f t="shared" si="2"/>
        <v>0.1</v>
      </c>
      <c r="F19">
        <f t="shared" si="3"/>
        <v>0</v>
      </c>
      <c r="G19">
        <v>1</v>
      </c>
      <c r="H19">
        <v>1</v>
      </c>
      <c r="I19">
        <f t="shared" si="8"/>
        <v>1.2949999999999999</v>
      </c>
    </row>
    <row r="20" spans="1:10" x14ac:dyDescent="0.15">
      <c r="A20">
        <f t="shared" si="10"/>
        <v>2090</v>
      </c>
      <c r="B20">
        <f t="shared" si="9"/>
        <v>11109</v>
      </c>
      <c r="C20">
        <f t="shared" si="0"/>
        <v>0.4</v>
      </c>
      <c r="D20">
        <f t="shared" si="1"/>
        <v>0.28999999999999998</v>
      </c>
      <c r="E20">
        <f t="shared" si="2"/>
        <v>0.1</v>
      </c>
      <c r="F20">
        <f t="shared" si="3"/>
        <v>0</v>
      </c>
      <c r="G20">
        <v>1</v>
      </c>
      <c r="H20">
        <v>1</v>
      </c>
      <c r="I20">
        <f t="shared" si="8"/>
        <v>1.42</v>
      </c>
    </row>
    <row r="21" spans="1:10" x14ac:dyDescent="0.15">
      <c r="A21">
        <f t="shared" si="10"/>
        <v>2100</v>
      </c>
      <c r="B21">
        <f t="shared" si="9"/>
        <v>11110</v>
      </c>
      <c r="C21">
        <f t="shared" si="0"/>
        <v>0.49</v>
      </c>
      <c r="D21">
        <f t="shared" si="1"/>
        <v>0.35</v>
      </c>
      <c r="E21">
        <f t="shared" si="2"/>
        <v>0.1</v>
      </c>
      <c r="F21">
        <f t="shared" si="3"/>
        <v>0</v>
      </c>
      <c r="G21">
        <v>1</v>
      </c>
      <c r="H21">
        <v>1</v>
      </c>
      <c r="I21">
        <f t="shared" si="8"/>
        <v>1.5249999999999997</v>
      </c>
    </row>
    <row r="29" spans="1:10" x14ac:dyDescent="0.15">
      <c r="A29" s="8" t="s">
        <v>2</v>
      </c>
      <c r="B29" s="8" t="s">
        <v>412</v>
      </c>
      <c r="C29" s="8" t="s">
        <v>178</v>
      </c>
      <c r="D29" s="8" t="s">
        <v>0</v>
      </c>
    </row>
    <row r="30" spans="1:10" x14ac:dyDescent="0.15">
      <c r="A30">
        <v>11101</v>
      </c>
      <c r="B30">
        <v>2010</v>
      </c>
      <c r="C30">
        <v>23</v>
      </c>
      <c r="D30">
        <f>MOD(B30,1000)</f>
        <v>10</v>
      </c>
    </row>
    <row r="31" spans="1:10" x14ac:dyDescent="0.15">
      <c r="A31" t="s">
        <v>156</v>
      </c>
      <c r="B31" t="s">
        <v>95</v>
      </c>
      <c r="C31" t="s">
        <v>177</v>
      </c>
      <c r="D31" t="s">
        <v>143</v>
      </c>
      <c r="E31" t="s">
        <v>182</v>
      </c>
      <c r="F31" t="s">
        <v>192</v>
      </c>
      <c r="G31" t="s">
        <v>193</v>
      </c>
      <c r="H31" t="s">
        <v>176</v>
      </c>
      <c r="I31" t="s">
        <v>205</v>
      </c>
      <c r="J31" t="s">
        <v>206</v>
      </c>
    </row>
    <row r="32" spans="1:10" x14ac:dyDescent="0.15">
      <c r="A32">
        <v>12</v>
      </c>
      <c r="B32" t="s">
        <v>9</v>
      </c>
      <c r="C32">
        <f>C30</f>
        <v>23</v>
      </c>
      <c r="D32">
        <f>VLOOKUP(A32,技能参数,4,FALSE)</f>
        <v>0.6</v>
      </c>
      <c r="E32">
        <f>VLOOKUP(A32*1000+D30,学习等级编码,2)</f>
        <v>1201</v>
      </c>
      <c r="F32">
        <f>INT(VLOOKUP($E32,技能升级,9,FALSE)*$C32*I32*J32)</f>
        <v>0</v>
      </c>
      <c r="G32">
        <f>INT(VLOOKUP($E32,技能升级,10,FALSE)*$C32*I32*J32)</f>
        <v>23000</v>
      </c>
      <c r="H32">
        <f>VLOOKUP(E32,技能升级,11,FALSE)*C32</f>
        <v>460</v>
      </c>
      <c r="I32">
        <v>1</v>
      </c>
      <c r="J32">
        <f>VLOOKUP(A30,$A$2:$I$21,8,FALSE)</f>
        <v>1</v>
      </c>
    </row>
    <row r="33" spans="1:10" x14ac:dyDescent="0.15">
      <c r="A33">
        <v>15</v>
      </c>
      <c r="B33" t="s">
        <v>12</v>
      </c>
      <c r="C33">
        <v>1</v>
      </c>
      <c r="D33">
        <f>VLOOKUP(A33,技能参数,4,FALSE)</f>
        <v>1.5</v>
      </c>
      <c r="E33">
        <f>VLOOKUP(A33*1000+D30,学习等级编码,2)</f>
        <v>1501</v>
      </c>
      <c r="F33">
        <f>INT(VLOOKUP($E33,技能升级,9,FALSE)*$C33*I33*J33)</f>
        <v>0</v>
      </c>
      <c r="G33">
        <f>INT(VLOOKUP($E33,技能升级,10,FALSE)*$C33*I33*J33)</f>
        <v>0</v>
      </c>
      <c r="H33">
        <f>VLOOKUP(E33,技能升级,11,FALSE)*C33</f>
        <v>0</v>
      </c>
      <c r="I33">
        <v>1</v>
      </c>
      <c r="J33">
        <v>1</v>
      </c>
    </row>
    <row r="34" spans="1:10" x14ac:dyDescent="0.15">
      <c r="A34">
        <v>11</v>
      </c>
      <c r="B34" t="s">
        <v>94</v>
      </c>
      <c r="C34">
        <f>INT((C30-D32-D33-C36)/D34)</f>
        <v>14</v>
      </c>
      <c r="D34">
        <f>VLOOKUP(A34,技能参数,4,FALSE)</f>
        <v>1</v>
      </c>
      <c r="E34">
        <f>VLOOKUP(A34*1000+D30,学习等级编码,2)</f>
        <v>1102</v>
      </c>
      <c r="F34">
        <f>INT(VLOOKUP($E34,技能升级,9,FALSE)*$C34*I34*J34)</f>
        <v>14280</v>
      </c>
      <c r="G34">
        <f>INT(VLOOKUP($E34,技能升级,10,FALSE)*$C34*I34*J34)</f>
        <v>0</v>
      </c>
      <c r="H34">
        <f>VLOOKUP(E34,技能升级,11,FALSE)*C34</f>
        <v>322</v>
      </c>
      <c r="I34">
        <v>1</v>
      </c>
      <c r="J34">
        <f>VLOOKUP(A30,$A$2:$I$21,7,FALSE)</f>
        <v>1</v>
      </c>
    </row>
    <row r="35" spans="1:10" x14ac:dyDescent="0.15">
      <c r="A35">
        <v>14</v>
      </c>
      <c r="B35" t="s">
        <v>11</v>
      </c>
      <c r="C35">
        <v>1</v>
      </c>
      <c r="D35">
        <v>0</v>
      </c>
      <c r="E35">
        <f>VLOOKUP(A35*1000+D30,学习等级编码,2)</f>
        <v>1401</v>
      </c>
      <c r="F35">
        <f>INT(VLOOKUP($E35,技能升级,9,FALSE)*$C35*I35*J35)</f>
        <v>0</v>
      </c>
      <c r="G35">
        <f>INT(VLOOKUP($E35,技能升级,10,FALSE)*$C35*I35*J35)</f>
        <v>0</v>
      </c>
      <c r="H35">
        <f>VLOOKUP(E35,技能升级,11,FALSE)*C35</f>
        <v>0</v>
      </c>
      <c r="I35">
        <v>1</v>
      </c>
      <c r="J35">
        <v>1</v>
      </c>
    </row>
    <row r="36" spans="1:10" x14ac:dyDescent="0.15">
      <c r="A36">
        <v>204</v>
      </c>
      <c r="B36" t="s">
        <v>411</v>
      </c>
      <c r="C36">
        <f>C45*1.5+2</f>
        <v>6.5</v>
      </c>
      <c r="D36">
        <v>0</v>
      </c>
      <c r="E36">
        <f>IFERROR(VLOOKUP(A36*1000+D29,学习等级编码,2),0)</f>
        <v>0</v>
      </c>
      <c r="F36">
        <f>IFERROR(INT(VLOOKUP($E36,技能升级,9,FALSE)*$C36*I36*J36),0)</f>
        <v>0</v>
      </c>
      <c r="G36">
        <f>IFERROR(INT(VLOOKUP($E36,技能升级,10,FALSE)*$C36*I36*J36),0)</f>
        <v>0</v>
      </c>
      <c r="H36">
        <f>IFERROR(VLOOKUP(E36,技能升级,11,FALSE)*C36,0)</f>
        <v>0</v>
      </c>
      <c r="I36">
        <v>1</v>
      </c>
      <c r="J36">
        <v>1</v>
      </c>
    </row>
    <row r="37" spans="1:10" x14ac:dyDescent="0.15">
      <c r="E37" t="s">
        <v>194</v>
      </c>
      <c r="F37">
        <f>SUM(F32:F34)/1000</f>
        <v>14.28</v>
      </c>
      <c r="G37">
        <f>SUM(G32:G34)/1000</f>
        <v>23</v>
      </c>
      <c r="H37">
        <f>SUM(H32:H34)</f>
        <v>782</v>
      </c>
      <c r="I37" t="s">
        <v>196</v>
      </c>
      <c r="J37" t="s">
        <v>197</v>
      </c>
    </row>
    <row r="38" spans="1:10" x14ac:dyDescent="0.15">
      <c r="E38" t="s">
        <v>195</v>
      </c>
      <c r="F38">
        <f>INT((IF($A30&gt;10000,VLOOKUP($A30,实战属性,13,FALSE),VLOOKUP($A30,总基本属性,7,FALSE))-
IF($B30&gt;10000,VLOOKUP($B30,实战属性,15,FALSE),VLOOKUP($B30,总基本属性,9,FALSE))*$L$13)*F37)</f>
        <v>1328</v>
      </c>
      <c r="G38">
        <f>INT((IF($A30&gt;10000,VLOOKUP($A30,实战属性,14,FALSE),VLOOKUP($A30,总基本属性,8,FALSE))-
IF($B30&gt;10000,VLOOKUP($B30,实战属性,16,FALSE),VLOOKUP($B30,总基本属性,10,FALSE))*$L$13)*G37)</f>
        <v>1265</v>
      </c>
      <c r="H38">
        <f>H37+F38+G38</f>
        <v>3375</v>
      </c>
      <c r="I38">
        <f>IF($B30&gt;10000,VLOOKUP($B30,实战属性,12,FALSE),VLOOKUP($B30,总基本属性,6,FALSE))</f>
        <v>3480</v>
      </c>
      <c r="J38">
        <f>ROUND(I38/H38,2)</f>
        <v>1.03</v>
      </c>
    </row>
    <row r="41" spans="1:10" x14ac:dyDescent="0.15">
      <c r="A41" s="9" t="s">
        <v>3</v>
      </c>
      <c r="B41" s="9" t="s">
        <v>415</v>
      </c>
      <c r="C41" s="9" t="s">
        <v>178</v>
      </c>
      <c r="D41" s="9" t="s">
        <v>0</v>
      </c>
    </row>
    <row r="42" spans="1:10" x14ac:dyDescent="0.15">
      <c r="A42">
        <v>2010</v>
      </c>
      <c r="B42">
        <v>11101</v>
      </c>
      <c r="C42">
        <v>23</v>
      </c>
      <c r="D42">
        <f>MOD(A42,1000)</f>
        <v>10</v>
      </c>
    </row>
    <row r="43" spans="1:10" x14ac:dyDescent="0.15">
      <c r="A43" t="s">
        <v>156</v>
      </c>
      <c r="B43" t="s">
        <v>95</v>
      </c>
      <c r="C43" t="s">
        <v>177</v>
      </c>
      <c r="D43" t="s">
        <v>143</v>
      </c>
      <c r="E43" t="s">
        <v>182</v>
      </c>
      <c r="F43" t="s">
        <v>192</v>
      </c>
      <c r="G43" t="s">
        <v>193</v>
      </c>
      <c r="H43" t="s">
        <v>176</v>
      </c>
      <c r="I43" t="s">
        <v>205</v>
      </c>
      <c r="J43" t="s">
        <v>206</v>
      </c>
    </row>
    <row r="44" spans="1:10" x14ac:dyDescent="0.15">
      <c r="A44">
        <v>25</v>
      </c>
      <c r="B44" t="s">
        <v>23</v>
      </c>
      <c r="C44">
        <v>1</v>
      </c>
      <c r="D44">
        <f>VLOOKUP(A44,技能参数,4,FALSE)</f>
        <v>2</v>
      </c>
      <c r="E44">
        <f>IFERROR(VLOOKUP(A44*1000+D42,学习等级编码,2),0)</f>
        <v>2501</v>
      </c>
      <c r="F44">
        <f t="shared" ref="F44:F46" si="11">IFERROR(INT(VLOOKUP($E44,技能升级,9,FALSE)*$C44*I44*J44),0)</f>
        <v>5000</v>
      </c>
      <c r="G44">
        <f t="shared" ref="G44:G47" si="12">IFERROR(INT(VLOOKUP($E44,技能升级,10,FALSE)*$C44*I44*J44),0)</f>
        <v>0</v>
      </c>
      <c r="H44">
        <f>INT(VLOOKUP($E44,技能升级,11,FALSE)*$C44*I44*J44)</f>
        <v>66</v>
      </c>
      <c r="I44">
        <v>1</v>
      </c>
      <c r="J44">
        <v>1</v>
      </c>
    </row>
    <row r="45" spans="1:10" x14ac:dyDescent="0.15">
      <c r="A45">
        <v>23</v>
      </c>
      <c r="B45" t="s">
        <v>24</v>
      </c>
      <c r="C45">
        <f>INT((C42-D45-D46*3)/(VLOOKUP(A45,技能参数,5,FALSE)+2*VLOOKUP(A45,技能参数,4,FALSE))+1)+1</f>
        <v>3</v>
      </c>
      <c r="D45">
        <f>VLOOKUP(A45,技能参数,4,FALSE)</f>
        <v>1</v>
      </c>
      <c r="E45">
        <f>IFERROR(VLOOKUP(A45*1000+D42,学习等级编码,2),0)</f>
        <v>2301</v>
      </c>
      <c r="F45">
        <f t="shared" si="11"/>
        <v>3000</v>
      </c>
      <c r="G45">
        <f t="shared" si="12"/>
        <v>0</v>
      </c>
      <c r="H45">
        <f>INT(VLOOKUP($E45,技能升级,11,FALSE)*$C45*I45*J45)</f>
        <v>66</v>
      </c>
      <c r="I45">
        <v>1</v>
      </c>
      <c r="J45">
        <v>1</v>
      </c>
    </row>
    <row r="46" spans="1:10" x14ac:dyDescent="0.15">
      <c r="A46">
        <v>22</v>
      </c>
      <c r="B46" t="s">
        <v>22</v>
      </c>
      <c r="C46">
        <f>INT((C42-D45-D46*7)/(VLOOKUP(A46,技能参数,5,FALSE)+2*VLOOKUP(A46,技能参数,4,FALSE))+1)+7</f>
        <v>8</v>
      </c>
      <c r="D46">
        <f>VLOOKUP(A46,技能参数,4,FALSE)</f>
        <v>1.5</v>
      </c>
      <c r="E46">
        <f>IFERROR(VLOOKUP(A46*1000+D42,学习等级编码,2),0)</f>
        <v>2201</v>
      </c>
      <c r="F46">
        <f t="shared" si="11"/>
        <v>20088</v>
      </c>
      <c r="G46">
        <f t="shared" si="12"/>
        <v>0</v>
      </c>
      <c r="H46">
        <f>INT(VLOOKUP($E46,技能升级,11,FALSE)*$C46*I46*J46)</f>
        <v>372</v>
      </c>
      <c r="I46">
        <v>1</v>
      </c>
      <c r="J46">
        <f>VLOOKUP(A42,$A$2:$I$21,9,FALSE)</f>
        <v>0.93</v>
      </c>
    </row>
    <row r="47" spans="1:10" x14ac:dyDescent="0.15">
      <c r="A47">
        <v>21</v>
      </c>
      <c r="B47" t="s">
        <v>90</v>
      </c>
      <c r="C47">
        <f>INT((C42-C44*D44-C45*D45-C46*D46)/D47)</f>
        <v>6</v>
      </c>
      <c r="D47">
        <f>VLOOKUP(A47,技能参数,4,FALSE)</f>
        <v>1</v>
      </c>
      <c r="E47">
        <f>IFERROR(VLOOKUP(A47*1000+D42,学习等级编码,2),0)</f>
        <v>2102</v>
      </c>
      <c r="F47">
        <f>IFERROR(INT(VLOOKUP($E47,技能升级,9,FALSE)*$C47*I47*J47),0)</f>
        <v>5803</v>
      </c>
      <c r="G47">
        <f t="shared" si="12"/>
        <v>0</v>
      </c>
      <c r="H47">
        <f>INT(VLOOKUP($E47,技能升级,11,FALSE)*$C47*I47*J47)</f>
        <v>128</v>
      </c>
      <c r="I47">
        <v>1</v>
      </c>
      <c r="J47">
        <f>VLOOKUP(A42,$A$2:$I$21,9,FALSE)</f>
        <v>0.93</v>
      </c>
    </row>
    <row r="48" spans="1:10" x14ac:dyDescent="0.15">
      <c r="E48" t="s">
        <v>194</v>
      </c>
      <c r="F48">
        <f>SUM(F44:F47)/1000</f>
        <v>33.890999999999998</v>
      </c>
      <c r="G48">
        <f>SUM(G44:G47)/1000</f>
        <v>0</v>
      </c>
      <c r="H48">
        <f>SUM(H44:H47)</f>
        <v>632</v>
      </c>
      <c r="I48" t="s">
        <v>196</v>
      </c>
      <c r="J48" t="s">
        <v>197</v>
      </c>
    </row>
    <row r="49" spans="1:10" x14ac:dyDescent="0.15">
      <c r="E49" t="s">
        <v>195</v>
      </c>
      <c r="F49">
        <f>INT((IF($A42&gt;10000,VLOOKUP($A42,实战属性,13,FALSE),VLOOKUP($A42,总基本属性,7,FALSE))-
IF($B42&gt;10000,VLOOKUP($B42,实战属性,15,FALSE),VLOOKUP($B42,总基本属性,9,FALSE))*$L$13)*F48)</f>
        <v>4761</v>
      </c>
      <c r="G49">
        <f>INT((IF($A42&gt;10000,VLOOKUP($A42,实战属性,14,FALSE),VLOOKUP($A42,总基本属性,8,FALSE))-
IF($B42&gt;10000,VLOOKUP($B42,实战属性,16,FALSE),VLOOKUP($B42,总基本属性,10,FALSE))*$L$13)*G48)</f>
        <v>0</v>
      </c>
      <c r="H49">
        <f>H48+F49+G49</f>
        <v>5393</v>
      </c>
      <c r="I49">
        <f>IF($B42&gt;10000,VLOOKUP($B42,实战属性,12,FALSE),VLOOKUP($B42,总基本属性,6,FALSE))</f>
        <v>5484</v>
      </c>
      <c r="J49">
        <f>ROUND(I49/H49,2)</f>
        <v>1.02</v>
      </c>
    </row>
    <row r="53" spans="1:10" x14ac:dyDescent="0.15">
      <c r="A53" s="8" t="s">
        <v>2</v>
      </c>
      <c r="B53" s="8" t="s">
        <v>412</v>
      </c>
      <c r="C53" s="8" t="s">
        <v>178</v>
      </c>
      <c r="D53" s="8" t="s">
        <v>0</v>
      </c>
    </row>
    <row r="54" spans="1:10" x14ac:dyDescent="0.15">
      <c r="A54">
        <f>A30+1</f>
        <v>11102</v>
      </c>
      <c r="B54">
        <f>B30+10</f>
        <v>2020</v>
      </c>
      <c r="C54">
        <v>25</v>
      </c>
      <c r="D54">
        <f>MOD(B54,1000)</f>
        <v>20</v>
      </c>
    </row>
    <row r="55" spans="1:10" x14ac:dyDescent="0.15">
      <c r="A55" t="s">
        <v>156</v>
      </c>
      <c r="B55" t="s">
        <v>95</v>
      </c>
      <c r="C55" t="s">
        <v>177</v>
      </c>
      <c r="D55" t="s">
        <v>143</v>
      </c>
      <c r="E55" t="s">
        <v>182</v>
      </c>
      <c r="F55" t="s">
        <v>192</v>
      </c>
      <c r="G55" t="s">
        <v>193</v>
      </c>
      <c r="H55" t="s">
        <v>176</v>
      </c>
      <c r="I55" t="s">
        <v>205</v>
      </c>
      <c r="J55" t="s">
        <v>206</v>
      </c>
    </row>
    <row r="56" spans="1:10" x14ac:dyDescent="0.15">
      <c r="A56">
        <v>12</v>
      </c>
      <c r="B56" t="s">
        <v>9</v>
      </c>
      <c r="C56">
        <f>C54</f>
        <v>25</v>
      </c>
      <c r="D56">
        <f>VLOOKUP(A56,技能参数,4,FALSE)</f>
        <v>0.6</v>
      </c>
      <c r="E56">
        <f>VLOOKUP(A56*1000+D54,学习等级编码,2)</f>
        <v>1202</v>
      </c>
      <c r="F56">
        <f>INT(VLOOKUP($E56,技能升级,9,FALSE)*$C56*I56*J56)</f>
        <v>0</v>
      </c>
      <c r="G56">
        <f>INT(VLOOKUP($E56,技能升级,10,FALSE)*$C56*I56*J56)</f>
        <v>25750</v>
      </c>
      <c r="H56">
        <f>VLOOKUP(E56,技能升级,11,FALSE)*C56</f>
        <v>850</v>
      </c>
      <c r="I56">
        <v>1</v>
      </c>
      <c r="J56">
        <f>VLOOKUP(A54,$A$2:$I$21,8,FALSE)</f>
        <v>1</v>
      </c>
    </row>
    <row r="57" spans="1:10" x14ac:dyDescent="0.15">
      <c r="A57">
        <v>15</v>
      </c>
      <c r="B57" t="s">
        <v>12</v>
      </c>
      <c r="C57">
        <v>1</v>
      </c>
      <c r="D57">
        <f>VLOOKUP(A57,技能参数,4,FALSE)</f>
        <v>1.5</v>
      </c>
      <c r="E57">
        <f>VLOOKUP(A57*1000+D54,学习等级编码,2)</f>
        <v>1501</v>
      </c>
      <c r="F57">
        <f>INT(VLOOKUP($E57,技能升级,9,FALSE)*$C57*I57*J57)</f>
        <v>0</v>
      </c>
      <c r="G57">
        <f>INT(VLOOKUP($E57,技能升级,10,FALSE)*$C57*I57*J57)</f>
        <v>0</v>
      </c>
      <c r="H57">
        <f>VLOOKUP(E57,技能升级,11,FALSE)*C57</f>
        <v>0</v>
      </c>
      <c r="I57">
        <v>1</v>
      </c>
      <c r="J57">
        <v>1</v>
      </c>
    </row>
    <row r="58" spans="1:10" x14ac:dyDescent="0.15">
      <c r="A58">
        <v>11</v>
      </c>
      <c r="B58" t="s">
        <v>94</v>
      </c>
      <c r="C58">
        <f>INT((C54-D56-D57-C60)/D58)</f>
        <v>16</v>
      </c>
      <c r="D58">
        <f>VLOOKUP(A58,技能参数,4,FALSE)</f>
        <v>1</v>
      </c>
      <c r="E58">
        <f>VLOOKUP(A58*1000+D54,学习等级编码,2)</f>
        <v>1103</v>
      </c>
      <c r="F58">
        <f>INT(VLOOKUP($E58,技能升级,9,FALSE)*$C58*I58*J58)</f>
        <v>16640</v>
      </c>
      <c r="G58">
        <f>INT(VLOOKUP($E58,技能升级,10,FALSE)*$C58*I58*J58)</f>
        <v>0</v>
      </c>
      <c r="H58">
        <f>VLOOKUP(E58,技能升级,11,FALSE)*C58</f>
        <v>592</v>
      </c>
      <c r="I58">
        <v>1</v>
      </c>
      <c r="J58">
        <f>VLOOKUP(A54,$A$2:$I$21,7,FALSE)</f>
        <v>1</v>
      </c>
    </row>
    <row r="59" spans="1:10" x14ac:dyDescent="0.15">
      <c r="A59">
        <v>14</v>
      </c>
      <c r="B59" t="s">
        <v>11</v>
      </c>
      <c r="C59">
        <v>1</v>
      </c>
      <c r="D59">
        <v>0</v>
      </c>
      <c r="E59">
        <f>VLOOKUP(A59*1000+D54,学习等级编码,2)</f>
        <v>1402</v>
      </c>
      <c r="F59">
        <f>INT(VLOOKUP($E59,技能升级,9,FALSE)*$C59*I59*J59)</f>
        <v>0</v>
      </c>
      <c r="G59">
        <f>INT(VLOOKUP($E59,技能升级,10,FALSE)*$C59*I59*J59)</f>
        <v>0</v>
      </c>
      <c r="H59">
        <f>VLOOKUP(E59,技能升级,11,FALSE)*C59</f>
        <v>0</v>
      </c>
      <c r="I59">
        <v>1</v>
      </c>
      <c r="J59">
        <v>1</v>
      </c>
    </row>
    <row r="60" spans="1:10" x14ac:dyDescent="0.15">
      <c r="A60">
        <v>204</v>
      </c>
      <c r="B60" t="s">
        <v>411</v>
      </c>
      <c r="C60">
        <f>C69*1.5+2</f>
        <v>6.5</v>
      </c>
      <c r="D60">
        <v>0</v>
      </c>
      <c r="E60">
        <f>IFERROR(VLOOKUP(A60*1000+D53,学习等级编码,2),0)</f>
        <v>0</v>
      </c>
      <c r="F60">
        <f>IFERROR(INT(VLOOKUP($E60,技能升级,9,FALSE)*$C60*I60*J60),0)</f>
        <v>0</v>
      </c>
      <c r="G60">
        <f>IFERROR(INT(VLOOKUP($E60,技能升级,10,FALSE)*$C60*I60*J60),0)</f>
        <v>0</v>
      </c>
      <c r="H60">
        <f>IFERROR(VLOOKUP(E60,技能升级,11,FALSE)*C60,0)</f>
        <v>0</v>
      </c>
      <c r="I60">
        <v>1</v>
      </c>
      <c r="J60">
        <v>1</v>
      </c>
    </row>
    <row r="61" spans="1:10" x14ac:dyDescent="0.15">
      <c r="E61" t="s">
        <v>194</v>
      </c>
      <c r="F61">
        <f>SUM(F56:F58)/1000</f>
        <v>16.64</v>
      </c>
      <c r="G61">
        <f>SUM(G56:G58)/1000</f>
        <v>25.75</v>
      </c>
      <c r="H61">
        <f>SUM(H56:H58)</f>
        <v>1442</v>
      </c>
      <c r="I61" t="s">
        <v>196</v>
      </c>
      <c r="J61" t="s">
        <v>197</v>
      </c>
    </row>
    <row r="62" spans="1:10" x14ac:dyDescent="0.15">
      <c r="E62" t="s">
        <v>195</v>
      </c>
      <c r="F62">
        <f>INT((IF($A54&gt;10000,VLOOKUP($A54,实战属性,13,FALSE),VLOOKUP($A54,总基本属性,7,FALSE))-
IF($B54&gt;10000,VLOOKUP($B54,实战属性,15,FALSE),VLOOKUP($B54,总基本属性,9,FALSE))*$L$13)*F61)</f>
        <v>3660</v>
      </c>
      <c r="G62">
        <f>INT((IF($A54&gt;10000,VLOOKUP($A54,实战属性,14,FALSE),VLOOKUP($A54,总基本属性,8,FALSE))-
IF($B54&gt;10000,VLOOKUP($B54,实战属性,16,FALSE),VLOOKUP($B54,总基本属性,10,FALSE))*$L$13)*G61)</f>
        <v>5433</v>
      </c>
      <c r="H62">
        <f>H61+F62+G62</f>
        <v>10535</v>
      </c>
      <c r="I62">
        <f>IF($B54&gt;10000,VLOOKUP($B54,实战属性,12,FALSE),VLOOKUP($B54,总基本属性,6,FALSE))</f>
        <v>10440</v>
      </c>
      <c r="J62">
        <f>ROUND(I62/H62,2)</f>
        <v>0.99</v>
      </c>
    </row>
    <row r="65" spans="1:10" x14ac:dyDescent="0.15">
      <c r="A65" s="9" t="s">
        <v>3</v>
      </c>
      <c r="B65" s="9" t="s">
        <v>415</v>
      </c>
      <c r="C65" s="9" t="s">
        <v>178</v>
      </c>
      <c r="D65" s="9" t="s">
        <v>0</v>
      </c>
    </row>
    <row r="66" spans="1:10" x14ac:dyDescent="0.15">
      <c r="A66">
        <f>A42+10</f>
        <v>2020</v>
      </c>
      <c r="B66">
        <f>B42+1</f>
        <v>11102</v>
      </c>
      <c r="C66">
        <v>25</v>
      </c>
      <c r="D66">
        <f>MOD(A66,1000)</f>
        <v>20</v>
      </c>
    </row>
    <row r="67" spans="1:10" x14ac:dyDescent="0.15">
      <c r="A67" t="s">
        <v>156</v>
      </c>
      <c r="B67" t="s">
        <v>95</v>
      </c>
      <c r="C67" t="s">
        <v>177</v>
      </c>
      <c r="D67" t="s">
        <v>143</v>
      </c>
      <c r="E67" t="s">
        <v>182</v>
      </c>
      <c r="F67" t="s">
        <v>192</v>
      </c>
      <c r="G67" t="s">
        <v>193</v>
      </c>
      <c r="H67" t="s">
        <v>176</v>
      </c>
      <c r="I67" t="s">
        <v>205</v>
      </c>
      <c r="J67" t="s">
        <v>206</v>
      </c>
    </row>
    <row r="68" spans="1:10" x14ac:dyDescent="0.15">
      <c r="A68">
        <v>25</v>
      </c>
      <c r="B68" t="s">
        <v>23</v>
      </c>
      <c r="C68">
        <v>1</v>
      </c>
      <c r="D68">
        <f>VLOOKUP(A68,技能参数,4,FALSE)</f>
        <v>2</v>
      </c>
      <c r="E68">
        <f>IFERROR(VLOOKUP(A68*1000+D66,学习等级编码,2),0)</f>
        <v>2501</v>
      </c>
      <c r="F68">
        <f t="shared" ref="F68:F70" si="13">IFERROR(INT(VLOOKUP($E68,技能升级,9,FALSE)*$C68*I68*J68),0)</f>
        <v>5000</v>
      </c>
      <c r="G68">
        <f t="shared" ref="G68:G71" si="14">IFERROR(INT(VLOOKUP($E68,技能升级,10,FALSE)*$C68*I68*J68),0)</f>
        <v>0</v>
      </c>
      <c r="H68">
        <f>INT(VLOOKUP($E68,技能升级,11,FALSE)*$C68*I68*J68)</f>
        <v>66</v>
      </c>
      <c r="I68">
        <v>1</v>
      </c>
      <c r="J68">
        <v>1</v>
      </c>
    </row>
    <row r="69" spans="1:10" x14ac:dyDescent="0.15">
      <c r="A69">
        <v>23</v>
      </c>
      <c r="B69" t="s">
        <v>24</v>
      </c>
      <c r="C69">
        <f>INT((C66-D69-D70*3)/(VLOOKUP(A69,技能参数,5,FALSE)+2*VLOOKUP(A69,技能参数,4,FALSE))+1)+1</f>
        <v>3</v>
      </c>
      <c r="D69">
        <f>VLOOKUP(A69,技能参数,4,FALSE)</f>
        <v>1</v>
      </c>
      <c r="E69">
        <f>IFERROR(VLOOKUP(A69*1000+D66,学习等级编码,2),0)</f>
        <v>2302</v>
      </c>
      <c r="F69">
        <f t="shared" si="13"/>
        <v>3090</v>
      </c>
      <c r="G69">
        <f t="shared" si="14"/>
        <v>0</v>
      </c>
      <c r="H69">
        <f>INT(VLOOKUP($E69,技能升级,11,FALSE)*$C69*I69*J69)</f>
        <v>120</v>
      </c>
      <c r="I69">
        <v>1</v>
      </c>
      <c r="J69">
        <v>1</v>
      </c>
    </row>
    <row r="70" spans="1:10" x14ac:dyDescent="0.15">
      <c r="A70">
        <v>22</v>
      </c>
      <c r="B70" t="s">
        <v>22</v>
      </c>
      <c r="C70">
        <f>INT((C66-D69-D70*7)/(VLOOKUP(A70,技能参数,5,FALSE)+2*VLOOKUP(A70,技能参数,4,FALSE))+1)+7</f>
        <v>9</v>
      </c>
      <c r="D70">
        <f>VLOOKUP(A70,技能参数,4,FALSE)</f>
        <v>1.5</v>
      </c>
      <c r="E70">
        <f>IFERROR(VLOOKUP(A70*1000+D66,学习等级编码,2),0)</f>
        <v>2202</v>
      </c>
      <c r="F70">
        <f t="shared" si="13"/>
        <v>23101</v>
      </c>
      <c r="G70">
        <f t="shared" si="14"/>
        <v>0</v>
      </c>
      <c r="H70">
        <f>INT(VLOOKUP($E70,技能升级,11,FALSE)*$C70*I70*J70)</f>
        <v>535</v>
      </c>
      <c r="I70">
        <v>1</v>
      </c>
      <c r="J70">
        <f>VLOOKUP(A66,$A$2:$I$21,9,FALSE)</f>
        <v>0.93</v>
      </c>
    </row>
    <row r="71" spans="1:10" x14ac:dyDescent="0.15">
      <c r="A71">
        <v>21</v>
      </c>
      <c r="B71" t="s">
        <v>90</v>
      </c>
      <c r="C71">
        <f>INT((C66-C68*D68-C69*D69-C70*D70)/D71)</f>
        <v>6</v>
      </c>
      <c r="D71">
        <f>VLOOKUP(A71,技能参数,4,FALSE)</f>
        <v>1</v>
      </c>
      <c r="E71">
        <f>IFERROR(VLOOKUP(A71*1000+D66,学习等级编码,2),0)</f>
        <v>2103</v>
      </c>
      <c r="F71">
        <f>IFERROR(INT(VLOOKUP($E71,技能升级,9,FALSE)*$C71*I71*J71),0)</f>
        <v>5970</v>
      </c>
      <c r="G71">
        <f t="shared" si="14"/>
        <v>0</v>
      </c>
      <c r="H71">
        <f>INT(VLOOKUP($E71,技能升级,11,FALSE)*$C71*I71*J71)</f>
        <v>206</v>
      </c>
      <c r="I71">
        <v>1</v>
      </c>
      <c r="J71">
        <f>VLOOKUP(A66,$A$2:$I$21,9,FALSE)</f>
        <v>0.93</v>
      </c>
    </row>
    <row r="72" spans="1:10" x14ac:dyDescent="0.15">
      <c r="E72" t="s">
        <v>194</v>
      </c>
      <c r="F72">
        <f>SUM(F68:F71)/1000</f>
        <v>37.161000000000001</v>
      </c>
      <c r="G72">
        <f>SUM(G68:G71)/1000</f>
        <v>0</v>
      </c>
      <c r="H72">
        <f>SUM(H68:H71)</f>
        <v>927</v>
      </c>
      <c r="I72" t="s">
        <v>196</v>
      </c>
      <c r="J72" t="s">
        <v>197</v>
      </c>
    </row>
    <row r="73" spans="1:10" x14ac:dyDescent="0.15">
      <c r="E73" t="s">
        <v>195</v>
      </c>
      <c r="F73">
        <f>INT((IF($A66&gt;10000,VLOOKUP($A66,实战属性,13,FALSE),VLOOKUP($A66,总基本属性,7,FALSE))-
IF($B66&gt;10000,VLOOKUP($B66,实战属性,15,FALSE),VLOOKUP($B66,总基本属性,9,FALSE))*$L$13)*F72)</f>
        <v>14325</v>
      </c>
      <c r="G73">
        <f>INT((IF($A66&gt;10000,VLOOKUP($A66,实战属性,14,FALSE),VLOOKUP($A66,总基本属性,8,FALSE))-
IF($B66&gt;10000,VLOOKUP($B66,实战属性,16,FALSE),VLOOKUP($B66,总基本属性,10,FALSE))*$L$13)*G72)</f>
        <v>0</v>
      </c>
      <c r="H73">
        <f>H72+F73+G73</f>
        <v>15252</v>
      </c>
      <c r="I73">
        <f>IF($B66&gt;10000,VLOOKUP($B66,实战属性,12,FALSE),VLOOKUP($B66,总基本属性,6,FALSE))</f>
        <v>14971</v>
      </c>
      <c r="J73">
        <f>ROUND(I73/H73,2)</f>
        <v>0.98</v>
      </c>
    </row>
    <row r="77" spans="1:10" x14ac:dyDescent="0.15">
      <c r="A77" s="8" t="s">
        <v>2</v>
      </c>
      <c r="B77" s="8" t="s">
        <v>412</v>
      </c>
      <c r="C77" s="8" t="s">
        <v>178</v>
      </c>
      <c r="D77" s="8" t="s">
        <v>0</v>
      </c>
    </row>
    <row r="78" spans="1:10" x14ac:dyDescent="0.15">
      <c r="A78">
        <f>A54+1</f>
        <v>11103</v>
      </c>
      <c r="B78">
        <f>B54+10</f>
        <v>2030</v>
      </c>
      <c r="C78">
        <v>25</v>
      </c>
      <c r="D78">
        <f>MOD(B78,1000)</f>
        <v>30</v>
      </c>
    </row>
    <row r="79" spans="1:10" x14ac:dyDescent="0.15">
      <c r="A79" t="s">
        <v>156</v>
      </c>
      <c r="B79" t="s">
        <v>95</v>
      </c>
      <c r="C79" t="s">
        <v>177</v>
      </c>
      <c r="D79" t="s">
        <v>143</v>
      </c>
      <c r="E79" t="s">
        <v>182</v>
      </c>
      <c r="F79" t="s">
        <v>192</v>
      </c>
      <c r="G79" t="s">
        <v>193</v>
      </c>
      <c r="H79" t="s">
        <v>176</v>
      </c>
      <c r="I79" t="s">
        <v>205</v>
      </c>
      <c r="J79" t="s">
        <v>206</v>
      </c>
    </row>
    <row r="80" spans="1:10" x14ac:dyDescent="0.15">
      <c r="A80">
        <v>12</v>
      </c>
      <c r="B80" t="s">
        <v>9</v>
      </c>
      <c r="C80">
        <f>C78</f>
        <v>25</v>
      </c>
      <c r="D80">
        <f>VLOOKUP(A80,技能参数,4,FALSE)</f>
        <v>0.6</v>
      </c>
      <c r="E80">
        <f>VLOOKUP(A80*1000+D78,学习等级编码,2)</f>
        <v>1203</v>
      </c>
      <c r="F80">
        <f>INT(VLOOKUP($E80,技能升级,9,FALSE)*$C80*I80*J80)</f>
        <v>0</v>
      </c>
      <c r="G80">
        <f>INT(VLOOKUP($E80,技能升级,10,FALSE)*$C80*I80*J80)</f>
        <v>26750</v>
      </c>
      <c r="H80">
        <f>VLOOKUP(E80,技能升级,11,FALSE)*C80</f>
        <v>1575</v>
      </c>
      <c r="I80">
        <v>1</v>
      </c>
      <c r="J80">
        <f>VLOOKUP(A78,$A$2:$I$21,8,FALSE)</f>
        <v>1</v>
      </c>
    </row>
    <row r="81" spans="1:10" x14ac:dyDescent="0.15">
      <c r="A81">
        <v>15</v>
      </c>
      <c r="B81" t="s">
        <v>12</v>
      </c>
      <c r="C81">
        <v>1</v>
      </c>
      <c r="D81">
        <f>VLOOKUP(A81,技能参数,4,FALSE)</f>
        <v>1.5</v>
      </c>
      <c r="E81">
        <f>VLOOKUP(A81*1000+D78,学习等级编码,2)</f>
        <v>1502</v>
      </c>
      <c r="F81">
        <f>INT(VLOOKUP($E81,技能升级,9,FALSE)*$C81*I81*J81)</f>
        <v>0</v>
      </c>
      <c r="G81">
        <f>INT(VLOOKUP($E81,技能升级,10,FALSE)*$C81*I81*J81)</f>
        <v>0</v>
      </c>
      <c r="H81">
        <f>VLOOKUP(E81,技能升级,11,FALSE)*C81</f>
        <v>0</v>
      </c>
      <c r="I81">
        <v>1</v>
      </c>
      <c r="J81">
        <v>1</v>
      </c>
    </row>
    <row r="82" spans="1:10" x14ac:dyDescent="0.15">
      <c r="A82">
        <v>11</v>
      </c>
      <c r="B82" t="s">
        <v>94</v>
      </c>
      <c r="C82">
        <f>INT((C78-D80-D81-C84)/D82)</f>
        <v>16</v>
      </c>
      <c r="D82">
        <f>VLOOKUP(A82,技能参数,4,FALSE)</f>
        <v>1</v>
      </c>
      <c r="E82">
        <f>VLOOKUP(A82*1000+D78,学习等级编码,2)</f>
        <v>1105</v>
      </c>
      <c r="F82">
        <f>INT(VLOOKUP($E82,技能升级,9,FALSE)*$C82*I82*J82)</f>
        <v>17440</v>
      </c>
      <c r="G82">
        <f>INT(VLOOKUP($E82,技能升级,10,FALSE)*$C82*I82*J82)</f>
        <v>0</v>
      </c>
      <c r="H82">
        <f>VLOOKUP(E82,技能升级,11,FALSE)*C82</f>
        <v>1408</v>
      </c>
      <c r="I82">
        <v>1</v>
      </c>
      <c r="J82">
        <f>VLOOKUP(A78,$A$2:$I$21,7,FALSE)</f>
        <v>1</v>
      </c>
    </row>
    <row r="83" spans="1:10" x14ac:dyDescent="0.15">
      <c r="A83">
        <v>14</v>
      </c>
      <c r="B83" t="s">
        <v>11</v>
      </c>
      <c r="C83">
        <v>1</v>
      </c>
      <c r="D83">
        <v>0</v>
      </c>
      <c r="E83">
        <f>VLOOKUP(A83*1000+D78,学习等级编码,2)</f>
        <v>1403</v>
      </c>
      <c r="F83">
        <f>INT(VLOOKUP($E83,技能升级,9,FALSE)*$C83*I83*J83)</f>
        <v>0</v>
      </c>
      <c r="G83">
        <f>INT(VLOOKUP($E83,技能升级,10,FALSE)*$C83*I83*J83)</f>
        <v>0</v>
      </c>
      <c r="H83">
        <f>VLOOKUP(E83,技能升级,11,FALSE)*C83</f>
        <v>0</v>
      </c>
      <c r="I83">
        <v>1</v>
      </c>
      <c r="J83">
        <v>1</v>
      </c>
    </row>
    <row r="84" spans="1:10" x14ac:dyDescent="0.15">
      <c r="A84">
        <v>204</v>
      </c>
      <c r="B84" t="s">
        <v>411</v>
      </c>
      <c r="C84">
        <f>C93*1.5+2</f>
        <v>6.5</v>
      </c>
      <c r="D84">
        <v>0</v>
      </c>
      <c r="E84">
        <f>IFERROR(VLOOKUP(A84*1000+D77,学习等级编码,2),0)</f>
        <v>0</v>
      </c>
      <c r="F84">
        <f>IFERROR(INT(VLOOKUP($E84,技能升级,9,FALSE)*$C84*I84*J84),0)</f>
        <v>0</v>
      </c>
      <c r="G84">
        <f>IFERROR(INT(VLOOKUP($E84,技能升级,10,FALSE)*$C84*I84*J84),0)</f>
        <v>0</v>
      </c>
      <c r="H84">
        <f>IFERROR(VLOOKUP(E84,技能升级,11,FALSE)*C84,0)</f>
        <v>0</v>
      </c>
      <c r="I84">
        <v>1</v>
      </c>
      <c r="J84">
        <v>1</v>
      </c>
    </row>
    <row r="85" spans="1:10" x14ac:dyDescent="0.15">
      <c r="E85" t="s">
        <v>194</v>
      </c>
      <c r="F85">
        <f>SUM(F80:F82)/1000</f>
        <v>17.440000000000001</v>
      </c>
      <c r="G85">
        <f>SUM(G80:G82)/1000</f>
        <v>26.75</v>
      </c>
      <c r="H85">
        <f>SUM(H80:H82)</f>
        <v>2983</v>
      </c>
      <c r="I85" t="s">
        <v>196</v>
      </c>
      <c r="J85" t="s">
        <v>197</v>
      </c>
    </row>
    <row r="86" spans="1:10" x14ac:dyDescent="0.15">
      <c r="E86" t="s">
        <v>195</v>
      </c>
      <c r="F86">
        <f>INT((IF($A78&gt;10000,VLOOKUP($A78,实战属性,13,FALSE),VLOOKUP($A78,总基本属性,7,FALSE))-
IF($B78&gt;10000,VLOOKUP($B78,实战属性,15,FALSE),VLOOKUP($B78,总基本属性,9,FALSE))*$L$13)*F85)</f>
        <v>7403</v>
      </c>
      <c r="G86">
        <f>INT((IF($A78&gt;10000,VLOOKUP($A78,实战属性,14,FALSE),VLOOKUP($A78,总基本属性,8,FALSE))-
IF($B78&gt;10000,VLOOKUP($B78,实战属性,16,FALSE),VLOOKUP($B78,总基本属性,10,FALSE))*$L$13)*G85)</f>
        <v>10914</v>
      </c>
      <c r="H86">
        <f>H85+F86+G86</f>
        <v>21300</v>
      </c>
      <c r="I86">
        <f>IF($B78&gt;10000,VLOOKUP($B78,实战属性,12,FALSE),VLOOKUP($B78,总基本属性,6,FALSE))</f>
        <v>21480</v>
      </c>
      <c r="J86">
        <f>ROUND(I86/H86,2)</f>
        <v>1.01</v>
      </c>
    </row>
    <row r="89" spans="1:10" x14ac:dyDescent="0.15">
      <c r="A89" s="9" t="s">
        <v>3</v>
      </c>
      <c r="B89" s="9" t="s">
        <v>415</v>
      </c>
      <c r="C89" s="9" t="s">
        <v>178</v>
      </c>
      <c r="D89" s="9" t="s">
        <v>0</v>
      </c>
    </row>
    <row r="90" spans="1:10" x14ac:dyDescent="0.15">
      <c r="A90">
        <f>A66+10</f>
        <v>2030</v>
      </c>
      <c r="B90">
        <f>B66+1</f>
        <v>11103</v>
      </c>
      <c r="C90">
        <v>25</v>
      </c>
      <c r="D90">
        <f>MOD(A90,1000)</f>
        <v>30</v>
      </c>
    </row>
    <row r="91" spans="1:10" x14ac:dyDescent="0.15">
      <c r="A91" t="s">
        <v>156</v>
      </c>
      <c r="B91" t="s">
        <v>95</v>
      </c>
      <c r="C91" t="s">
        <v>177</v>
      </c>
      <c r="D91" t="s">
        <v>143</v>
      </c>
      <c r="E91" t="s">
        <v>182</v>
      </c>
      <c r="F91" t="s">
        <v>192</v>
      </c>
      <c r="G91" t="s">
        <v>193</v>
      </c>
      <c r="H91" t="s">
        <v>176</v>
      </c>
      <c r="I91" t="s">
        <v>205</v>
      </c>
      <c r="J91" t="s">
        <v>206</v>
      </c>
    </row>
    <row r="92" spans="1:10" x14ac:dyDescent="0.15">
      <c r="A92">
        <v>25</v>
      </c>
      <c r="B92" t="s">
        <v>23</v>
      </c>
      <c r="C92">
        <v>1</v>
      </c>
      <c r="D92">
        <f>VLOOKUP(A92,技能参数,4,FALSE)</f>
        <v>2</v>
      </c>
      <c r="E92">
        <f>IFERROR(VLOOKUP(A92*1000+D90,学习等级编码,2),0)</f>
        <v>2502</v>
      </c>
      <c r="F92">
        <f t="shared" ref="F92:F94" si="15">IFERROR(INT(VLOOKUP($E92,技能升级,9,FALSE)*$C92*I92*J92),0)</f>
        <v>5250</v>
      </c>
      <c r="G92">
        <f t="shared" ref="G92:G95" si="16">IFERROR(INT(VLOOKUP($E92,技能升级,10,FALSE)*$C92*I92*J92),0)</f>
        <v>0</v>
      </c>
      <c r="H92">
        <f>INT(VLOOKUP($E92,技能升级,11,FALSE)*$C92*I92*J92)</f>
        <v>103</v>
      </c>
      <c r="I92">
        <v>1</v>
      </c>
      <c r="J92">
        <v>1</v>
      </c>
    </row>
    <row r="93" spans="1:10" x14ac:dyDescent="0.15">
      <c r="A93">
        <v>23</v>
      </c>
      <c r="B93" t="s">
        <v>24</v>
      </c>
      <c r="C93">
        <f>INT((C90-D93-D94*3)/(VLOOKUP(A93,技能参数,5,FALSE)+2*VLOOKUP(A93,技能参数,4,FALSE))+1)+1</f>
        <v>3</v>
      </c>
      <c r="D93">
        <f>VLOOKUP(A93,技能参数,4,FALSE)</f>
        <v>1</v>
      </c>
      <c r="E93">
        <f>IFERROR(VLOOKUP(A93*1000+D90,学习等级编码,2),0)</f>
        <v>2303</v>
      </c>
      <c r="F93">
        <f t="shared" si="15"/>
        <v>3210</v>
      </c>
      <c r="G93">
        <f t="shared" si="16"/>
        <v>0</v>
      </c>
      <c r="H93">
        <f>INT(VLOOKUP($E93,技能升级,11,FALSE)*$C93*I93*J93)</f>
        <v>213</v>
      </c>
      <c r="I93">
        <v>1</v>
      </c>
      <c r="J93">
        <v>1</v>
      </c>
    </row>
    <row r="94" spans="1:10" x14ac:dyDescent="0.15">
      <c r="A94">
        <v>22</v>
      </c>
      <c r="B94" t="s">
        <v>22</v>
      </c>
      <c r="C94">
        <f>INT((C90-D93-D94*7)/(VLOOKUP(A94,技能参数,5,FALSE)+2*VLOOKUP(A94,技能参数,4,FALSE))+1)+7</f>
        <v>9</v>
      </c>
      <c r="D94">
        <f>VLOOKUP(A94,技能参数,4,FALSE)</f>
        <v>1.5</v>
      </c>
      <c r="E94">
        <f>IFERROR(VLOOKUP(A94*1000+D90,学习等级编码,2),0)</f>
        <v>2203</v>
      </c>
      <c r="F94">
        <f t="shared" si="15"/>
        <v>23730</v>
      </c>
      <c r="G94">
        <f t="shared" si="16"/>
        <v>0</v>
      </c>
      <c r="H94">
        <f>INT(VLOOKUP($E94,技能升级,11,FALSE)*$C94*I94*J94)</f>
        <v>782</v>
      </c>
      <c r="I94">
        <v>1</v>
      </c>
      <c r="J94">
        <f>VLOOKUP(A90,$A$2:$I$21,9,FALSE)</f>
        <v>0.93499999999999994</v>
      </c>
    </row>
    <row r="95" spans="1:10" x14ac:dyDescent="0.15">
      <c r="A95">
        <v>21</v>
      </c>
      <c r="B95" t="s">
        <v>90</v>
      </c>
      <c r="C95">
        <f>INT((C90-C92*D92-C93*D93-C94*D94)/D95)</f>
        <v>6</v>
      </c>
      <c r="D95">
        <f>VLOOKUP(A95,技能参数,4,FALSE)</f>
        <v>1</v>
      </c>
      <c r="E95">
        <f>IFERROR(VLOOKUP(A95*1000+D90,学习等级编码,2),0)</f>
        <v>2105</v>
      </c>
      <c r="F95">
        <f>IFERROR(INT(VLOOKUP($E95,技能升级,9,FALSE)*$C95*I95*J95),0)</f>
        <v>6395</v>
      </c>
      <c r="G95">
        <f t="shared" si="16"/>
        <v>0</v>
      </c>
      <c r="H95">
        <f>INT(VLOOKUP($E95,技能升级,11,FALSE)*$C95*I95*J95)</f>
        <v>493</v>
      </c>
      <c r="I95">
        <v>1</v>
      </c>
      <c r="J95">
        <f>VLOOKUP(A90,$A$2:$I$21,9,FALSE)</f>
        <v>0.93499999999999994</v>
      </c>
    </row>
    <row r="96" spans="1:10" x14ac:dyDescent="0.15">
      <c r="E96" t="s">
        <v>194</v>
      </c>
      <c r="F96">
        <f>SUM(F92:F95)/1000</f>
        <v>38.585000000000001</v>
      </c>
      <c r="G96">
        <f>SUM(G92:G95)/1000</f>
        <v>0</v>
      </c>
      <c r="H96">
        <f>SUM(H92:H95)</f>
        <v>1591</v>
      </c>
      <c r="I96" t="s">
        <v>196</v>
      </c>
      <c r="J96" t="s">
        <v>197</v>
      </c>
    </row>
    <row r="97" spans="1:10" x14ac:dyDescent="0.15">
      <c r="E97" t="s">
        <v>195</v>
      </c>
      <c r="F97">
        <f>INT((IF($A90&gt;10000,VLOOKUP($A90,实战属性,13,FALSE),VLOOKUP($A90,总基本属性,7,FALSE))-
IF($B90&gt;10000,VLOOKUP($B90,实战属性,15,FALSE),VLOOKUP($B90,总基本属性,9,FALSE))*$L$13)*F96)</f>
        <v>29131</v>
      </c>
      <c r="G97">
        <f>INT((IF($A90&gt;10000,VLOOKUP($A90,实战属性,14,FALSE),VLOOKUP($A90,总基本属性,8,FALSE))-
IF($B90&gt;10000,VLOOKUP($B90,实战属性,16,FALSE),VLOOKUP($B90,总基本属性,10,FALSE))*$L$13)*G96)</f>
        <v>0</v>
      </c>
      <c r="H97">
        <f>H96+F97+G97</f>
        <v>30722</v>
      </c>
      <c r="I97">
        <f>IF($B90&gt;10000,VLOOKUP($B90,实战属性,12,FALSE),VLOOKUP($B90,总基本属性,6,FALSE))</f>
        <v>30773</v>
      </c>
      <c r="J97">
        <f>ROUND(I97/H97,2)</f>
        <v>1</v>
      </c>
    </row>
    <row r="101" spans="1:10" x14ac:dyDescent="0.15">
      <c r="A101" s="8" t="s">
        <v>2</v>
      </c>
      <c r="B101" s="8" t="s">
        <v>412</v>
      </c>
      <c r="C101" s="8" t="s">
        <v>178</v>
      </c>
      <c r="D101" s="8" t="s">
        <v>0</v>
      </c>
    </row>
    <row r="102" spans="1:10" x14ac:dyDescent="0.15">
      <c r="A102">
        <f>A78+1</f>
        <v>11104</v>
      </c>
      <c r="B102">
        <f>B78+10</f>
        <v>2040</v>
      </c>
      <c r="C102">
        <v>25</v>
      </c>
      <c r="D102">
        <f>MOD(B102,1000)</f>
        <v>40</v>
      </c>
    </row>
    <row r="103" spans="1:10" x14ac:dyDescent="0.15">
      <c r="A103" t="s">
        <v>156</v>
      </c>
      <c r="B103" t="s">
        <v>95</v>
      </c>
      <c r="C103" t="s">
        <v>177</v>
      </c>
      <c r="D103" t="s">
        <v>143</v>
      </c>
      <c r="E103" t="s">
        <v>182</v>
      </c>
      <c r="F103" t="s">
        <v>192</v>
      </c>
      <c r="G103" t="s">
        <v>193</v>
      </c>
      <c r="H103" t="s">
        <v>176</v>
      </c>
      <c r="I103" t="s">
        <v>205</v>
      </c>
      <c r="J103" t="s">
        <v>206</v>
      </c>
    </row>
    <row r="104" spans="1:10" x14ac:dyDescent="0.15">
      <c r="A104">
        <v>12</v>
      </c>
      <c r="B104" t="s">
        <v>9</v>
      </c>
      <c r="C104">
        <f>C102</f>
        <v>25</v>
      </c>
      <c r="D104">
        <f>VLOOKUP(A104,技能参数,4,FALSE)</f>
        <v>0.6</v>
      </c>
      <c r="E104">
        <f>VLOOKUP(A104*1000+D102,学习等级编码,2)</f>
        <v>1204</v>
      </c>
      <c r="F104">
        <f>INT(VLOOKUP($E104,技能升级,9,FALSE)*$C104*I104*J104)</f>
        <v>0</v>
      </c>
      <c r="G104">
        <f>INT(VLOOKUP($E104,技能升级,10,FALSE)*$C104*I104*J104)</f>
        <v>27500</v>
      </c>
      <c r="H104">
        <f>VLOOKUP(E104,技能升级,11,FALSE)*C104</f>
        <v>2675</v>
      </c>
      <c r="I104">
        <v>1</v>
      </c>
      <c r="J104">
        <f>VLOOKUP(A102,$A$2:$I$21,8,FALSE)</f>
        <v>1</v>
      </c>
    </row>
    <row r="105" spans="1:10" x14ac:dyDescent="0.15">
      <c r="A105">
        <v>15</v>
      </c>
      <c r="B105" t="s">
        <v>12</v>
      </c>
      <c r="C105">
        <v>1</v>
      </c>
      <c r="D105">
        <f>VLOOKUP(A105,技能参数,4,FALSE)</f>
        <v>1.5</v>
      </c>
      <c r="E105">
        <f>VLOOKUP(A105*1000+D102,学习等级编码,2)</f>
        <v>1503</v>
      </c>
      <c r="F105">
        <f>INT(VLOOKUP($E105,技能升级,9,FALSE)*$C105*I105*J105)</f>
        <v>0</v>
      </c>
      <c r="G105">
        <f>INT(VLOOKUP($E105,技能升级,10,FALSE)*$C105*I105*J105)</f>
        <v>0</v>
      </c>
      <c r="H105">
        <f>VLOOKUP(E105,技能升级,11,FALSE)*C105</f>
        <v>0</v>
      </c>
      <c r="I105">
        <v>1</v>
      </c>
      <c r="J105">
        <v>1</v>
      </c>
    </row>
    <row r="106" spans="1:10" x14ac:dyDescent="0.15">
      <c r="A106">
        <v>11</v>
      </c>
      <c r="B106" t="s">
        <v>94</v>
      </c>
      <c r="C106">
        <f>INT((C102-D104-D105-C108)/D106)</f>
        <v>16</v>
      </c>
      <c r="D106">
        <f>VLOOKUP(A106,技能参数,4,FALSE)</f>
        <v>1</v>
      </c>
      <c r="E106">
        <f>VLOOKUP(A106*1000+D102,学习等级编码,2)</f>
        <v>1106</v>
      </c>
      <c r="F106">
        <f>INT(VLOOKUP($E106,技能升级,9,FALSE)*$C106*I106*J106)</f>
        <v>17760</v>
      </c>
      <c r="G106">
        <f>INT(VLOOKUP($E106,技能升级,10,FALSE)*$C106*I106*J106)</f>
        <v>0</v>
      </c>
      <c r="H106">
        <f>VLOOKUP(E106,技能升级,11,FALSE)*C106</f>
        <v>2000</v>
      </c>
      <c r="I106">
        <v>1</v>
      </c>
      <c r="J106">
        <f>VLOOKUP(A102,$A$2:$I$21,7,FALSE)</f>
        <v>1</v>
      </c>
    </row>
    <row r="107" spans="1:10" x14ac:dyDescent="0.15">
      <c r="A107">
        <v>14</v>
      </c>
      <c r="B107" t="s">
        <v>11</v>
      </c>
      <c r="C107">
        <v>1</v>
      </c>
      <c r="D107">
        <v>0</v>
      </c>
      <c r="E107">
        <f>VLOOKUP(A107*1000+D102,学习等级编码,2)</f>
        <v>1404</v>
      </c>
      <c r="F107">
        <f>INT(VLOOKUP($E107,技能升级,9,FALSE)*$C107*I107*J107)</f>
        <v>0</v>
      </c>
      <c r="G107">
        <f>INT(VLOOKUP($E107,技能升级,10,FALSE)*$C107*I107*J107)</f>
        <v>0</v>
      </c>
      <c r="H107">
        <f>VLOOKUP(E107,技能升级,11,FALSE)*C107</f>
        <v>0</v>
      </c>
      <c r="I107">
        <v>1</v>
      </c>
      <c r="J107">
        <v>1</v>
      </c>
    </row>
    <row r="108" spans="1:10" x14ac:dyDescent="0.15">
      <c r="A108">
        <v>204</v>
      </c>
      <c r="B108" t="s">
        <v>411</v>
      </c>
      <c r="C108">
        <f>C117*1.5+2</f>
        <v>6.5</v>
      </c>
      <c r="D108">
        <v>0</v>
      </c>
      <c r="E108">
        <f>IFERROR(VLOOKUP(A108*1000+D101,学习等级编码,2),0)</f>
        <v>0</v>
      </c>
      <c r="F108">
        <f>IFERROR(INT(VLOOKUP($E108,技能升级,9,FALSE)*$C108*I108*J108),0)</f>
        <v>0</v>
      </c>
      <c r="G108">
        <f>IFERROR(INT(VLOOKUP($E108,技能升级,10,FALSE)*$C108*I108*J108),0)</f>
        <v>0</v>
      </c>
      <c r="H108">
        <f>IFERROR(VLOOKUP(E108,技能升级,11,FALSE)*C108,0)</f>
        <v>0</v>
      </c>
      <c r="I108">
        <v>1</v>
      </c>
      <c r="J108">
        <v>1</v>
      </c>
    </row>
    <row r="109" spans="1:10" x14ac:dyDescent="0.15">
      <c r="E109" t="s">
        <v>194</v>
      </c>
      <c r="F109">
        <f>SUM(F104:F106)/1000</f>
        <v>17.760000000000002</v>
      </c>
      <c r="G109">
        <f>SUM(G104:G106)/1000</f>
        <v>27.5</v>
      </c>
      <c r="H109">
        <f>SUM(H104:H106)</f>
        <v>4675</v>
      </c>
      <c r="I109" t="s">
        <v>196</v>
      </c>
      <c r="J109" t="s">
        <v>197</v>
      </c>
    </row>
    <row r="110" spans="1:10" x14ac:dyDescent="0.15">
      <c r="E110" t="s">
        <v>195</v>
      </c>
      <c r="F110">
        <f>INT((IF($A102&gt;10000,VLOOKUP($A102,实战属性,13,FALSE),VLOOKUP($A102,总基本属性,7,FALSE))-
IF($B102&gt;10000,VLOOKUP($B102,实战属性,15,FALSE),VLOOKUP($B102,总基本属性,9,FALSE))*$L$13)*F109)</f>
        <v>12574</v>
      </c>
      <c r="G110">
        <f>INT((IF($A102&gt;10000,VLOOKUP($A102,实战属性,14,FALSE),VLOOKUP($A102,总基本属性,8,FALSE))-
IF($B102&gt;10000,VLOOKUP($B102,实战属性,16,FALSE),VLOOKUP($B102,总基本属性,10,FALSE))*$L$13)*G109)</f>
        <v>18686</v>
      </c>
      <c r="H110">
        <f>H109+F110+G110</f>
        <v>35935</v>
      </c>
      <c r="I110">
        <f>IF($B102&gt;10000,VLOOKUP($B102,实战属性,12,FALSE),VLOOKUP($B102,总基本属性,6,FALSE))</f>
        <v>36480</v>
      </c>
      <c r="J110">
        <f>ROUND(I110/H110,2)</f>
        <v>1.02</v>
      </c>
    </row>
    <row r="113" spans="1:10" x14ac:dyDescent="0.15">
      <c r="A113" s="9" t="s">
        <v>3</v>
      </c>
      <c r="B113" s="9" t="s">
        <v>415</v>
      </c>
      <c r="C113" s="9" t="s">
        <v>178</v>
      </c>
      <c r="D113" s="9" t="s">
        <v>0</v>
      </c>
    </row>
    <row r="114" spans="1:10" x14ac:dyDescent="0.15">
      <c r="A114">
        <f>A90+10</f>
        <v>2040</v>
      </c>
      <c r="B114">
        <f>B90+1</f>
        <v>11104</v>
      </c>
      <c r="C114">
        <v>25</v>
      </c>
      <c r="D114">
        <f>MOD(A114,1000)</f>
        <v>40</v>
      </c>
    </row>
    <row r="115" spans="1:10" x14ac:dyDescent="0.15">
      <c r="A115" t="s">
        <v>156</v>
      </c>
      <c r="B115" t="s">
        <v>95</v>
      </c>
      <c r="C115" t="s">
        <v>177</v>
      </c>
      <c r="D115" t="s">
        <v>143</v>
      </c>
      <c r="E115" t="s">
        <v>182</v>
      </c>
      <c r="F115" t="s">
        <v>192</v>
      </c>
      <c r="G115" t="s">
        <v>193</v>
      </c>
      <c r="H115" t="s">
        <v>176</v>
      </c>
      <c r="I115" t="s">
        <v>205</v>
      </c>
      <c r="J115" t="s">
        <v>206</v>
      </c>
    </row>
    <row r="116" spans="1:10" x14ac:dyDescent="0.15">
      <c r="A116">
        <v>25</v>
      </c>
      <c r="B116" t="s">
        <v>23</v>
      </c>
      <c r="C116">
        <v>1</v>
      </c>
      <c r="D116">
        <f>VLOOKUP(A116,技能参数,4,FALSE)</f>
        <v>2</v>
      </c>
      <c r="E116">
        <f>IFERROR(VLOOKUP(A116*1000+D114,学习等级编码,2),0)</f>
        <v>2503</v>
      </c>
      <c r="F116">
        <f t="shared" ref="F116:F118" si="17">IFERROR(INT(VLOOKUP($E116,技能升级,9,FALSE)*$C116*I116*J116),0)</f>
        <v>5500</v>
      </c>
      <c r="G116">
        <f t="shared" ref="G116:G119" si="18">IFERROR(INT(VLOOKUP($E116,技能升级,10,FALSE)*$C116*I116*J116),0)</f>
        <v>0</v>
      </c>
      <c r="H116">
        <f>INT(VLOOKUP($E116,技能升级,11,FALSE)*$C116*I116*J116)</f>
        <v>181</v>
      </c>
      <c r="I116">
        <v>1</v>
      </c>
      <c r="J116">
        <v>1</v>
      </c>
    </row>
    <row r="117" spans="1:10" x14ac:dyDescent="0.15">
      <c r="A117">
        <v>23</v>
      </c>
      <c r="B117" t="s">
        <v>24</v>
      </c>
      <c r="C117">
        <f>INT((C114-D117-D118*3)/(VLOOKUP(A117,技能参数,5,FALSE)+2*VLOOKUP(A117,技能参数,4,FALSE))+1)+1</f>
        <v>3</v>
      </c>
      <c r="D117">
        <f>VLOOKUP(A117,技能参数,4,FALSE)</f>
        <v>1</v>
      </c>
      <c r="E117">
        <f>IFERROR(VLOOKUP(A117*1000+D114,学习等级编码,2),0)</f>
        <v>2304</v>
      </c>
      <c r="F117">
        <f t="shared" si="17"/>
        <v>3300</v>
      </c>
      <c r="G117">
        <f t="shared" si="18"/>
        <v>0</v>
      </c>
      <c r="H117">
        <f>INT(VLOOKUP($E117,技能升级,11,FALSE)*$C117*I117*J117)</f>
        <v>357</v>
      </c>
      <c r="I117">
        <v>1</v>
      </c>
      <c r="J117">
        <v>1</v>
      </c>
    </row>
    <row r="118" spans="1:10" x14ac:dyDescent="0.15">
      <c r="A118">
        <v>22</v>
      </c>
      <c r="B118" t="s">
        <v>22</v>
      </c>
      <c r="C118">
        <f>INT((C114-D117-D118*7)/(VLOOKUP(A118,技能参数,5,FALSE)+2*VLOOKUP(A118,技能参数,4,FALSE))+1)+7</f>
        <v>9</v>
      </c>
      <c r="D118">
        <f>VLOOKUP(A118,技能参数,4,FALSE)</f>
        <v>1.5</v>
      </c>
      <c r="E118">
        <f>IFERROR(VLOOKUP(A118*1000+D114,学习等级编码,2),0)</f>
        <v>2204</v>
      </c>
      <c r="F118">
        <f t="shared" si="17"/>
        <v>24235</v>
      </c>
      <c r="G118">
        <f t="shared" si="18"/>
        <v>0</v>
      </c>
      <c r="H118">
        <f>INT(VLOOKUP($E118,技能升级,11,FALSE)*$C118*I118*J118)</f>
        <v>1152</v>
      </c>
      <c r="I118">
        <v>1</v>
      </c>
      <c r="J118">
        <f>VLOOKUP(A114,$A$2:$I$21,9,FALSE)</f>
        <v>0.93499999999999994</v>
      </c>
    </row>
    <row r="119" spans="1:10" x14ac:dyDescent="0.15">
      <c r="A119">
        <v>21</v>
      </c>
      <c r="B119" t="s">
        <v>90</v>
      </c>
      <c r="C119">
        <f>INT((C114-C116*D116-C117*D117-C118*D118)/D119)</f>
        <v>6</v>
      </c>
      <c r="D119">
        <f>VLOOKUP(A119,技能参数,4,FALSE)</f>
        <v>1</v>
      </c>
      <c r="E119">
        <f>IFERROR(VLOOKUP(A119*1000+D114,学习等级编码,2),0)</f>
        <v>2106</v>
      </c>
      <c r="F119">
        <f>IFERROR(INT(VLOOKUP($E119,技能升级,9,FALSE)*$C119*I119*J119),0)</f>
        <v>6619</v>
      </c>
      <c r="G119">
        <f t="shared" si="18"/>
        <v>0</v>
      </c>
      <c r="H119">
        <f>INT(VLOOKUP($E119,技能升级,11,FALSE)*$C119*I119*J119)</f>
        <v>701</v>
      </c>
      <c r="I119">
        <v>1</v>
      </c>
      <c r="J119">
        <f>VLOOKUP(A114,$A$2:$I$21,9,FALSE)</f>
        <v>0.93499999999999994</v>
      </c>
    </row>
    <row r="120" spans="1:10" x14ac:dyDescent="0.15">
      <c r="E120" t="s">
        <v>194</v>
      </c>
      <c r="F120">
        <f>SUM(F116:F119)/1000</f>
        <v>39.654000000000003</v>
      </c>
      <c r="G120">
        <f>SUM(G116:G119)/1000</f>
        <v>0</v>
      </c>
      <c r="H120">
        <f>SUM(H116:H119)</f>
        <v>2391</v>
      </c>
      <c r="I120" t="s">
        <v>196</v>
      </c>
      <c r="J120" t="s">
        <v>197</v>
      </c>
    </row>
    <row r="121" spans="1:10" x14ac:dyDescent="0.15">
      <c r="E121" t="s">
        <v>195</v>
      </c>
      <c r="F121">
        <f>INT((IF($A114&gt;10000,VLOOKUP($A114,实战属性,13,FALSE),VLOOKUP($A114,总基本属性,7,FALSE))-
IF($B114&gt;10000,VLOOKUP($B114,实战属性,15,FALSE),VLOOKUP($B114,总基本属性,9,FALSE))*$L$13)*F120)</f>
        <v>48695</v>
      </c>
      <c r="G121">
        <f>INT((IF($A114&gt;10000,VLOOKUP($A114,实战属性,14,FALSE),VLOOKUP($A114,总基本属性,8,FALSE))-
IF($B114&gt;10000,VLOOKUP($B114,实战属性,16,FALSE),VLOOKUP($B114,总基本属性,10,FALSE))*$L$13)*G120)</f>
        <v>0</v>
      </c>
      <c r="H121">
        <f>H120+F121+G121</f>
        <v>51086</v>
      </c>
      <c r="I121">
        <f>IF($B114&gt;10000,VLOOKUP($B114,实战属性,12,FALSE),VLOOKUP($B114,总基本属性,6,FALSE))</f>
        <v>52819</v>
      </c>
      <c r="J121">
        <f>ROUND(I121/H121,2)</f>
        <v>1.03</v>
      </c>
    </row>
    <row r="125" spans="1:10" x14ac:dyDescent="0.15">
      <c r="A125" s="8" t="s">
        <v>2</v>
      </c>
      <c r="B125" s="8" t="s">
        <v>412</v>
      </c>
      <c r="C125" s="8" t="s">
        <v>178</v>
      </c>
      <c r="D125" s="8" t="s">
        <v>0</v>
      </c>
    </row>
    <row r="126" spans="1:10" x14ac:dyDescent="0.15">
      <c r="A126">
        <f>A102+1</f>
        <v>11105</v>
      </c>
      <c r="B126">
        <f>B102+10</f>
        <v>2050</v>
      </c>
      <c r="C126">
        <v>24</v>
      </c>
      <c r="D126">
        <f>MOD(B126,1000)</f>
        <v>50</v>
      </c>
    </row>
    <row r="127" spans="1:10" x14ac:dyDescent="0.15">
      <c r="A127" t="s">
        <v>156</v>
      </c>
      <c r="B127" t="s">
        <v>95</v>
      </c>
      <c r="C127" t="s">
        <v>177</v>
      </c>
      <c r="D127" t="s">
        <v>143</v>
      </c>
      <c r="E127" t="s">
        <v>182</v>
      </c>
      <c r="F127" t="s">
        <v>192</v>
      </c>
      <c r="G127" t="s">
        <v>193</v>
      </c>
      <c r="H127" t="s">
        <v>176</v>
      </c>
      <c r="I127" t="s">
        <v>205</v>
      </c>
      <c r="J127" t="s">
        <v>206</v>
      </c>
    </row>
    <row r="128" spans="1:10" x14ac:dyDescent="0.15">
      <c r="A128">
        <v>12</v>
      </c>
      <c r="B128" t="s">
        <v>9</v>
      </c>
      <c r="C128">
        <f>C126</f>
        <v>24</v>
      </c>
      <c r="D128">
        <f>VLOOKUP(A128,技能参数,4,FALSE)</f>
        <v>0.6</v>
      </c>
      <c r="E128">
        <f>VLOOKUP(A128*1000+D126,学习等级编码,2)</f>
        <v>1205</v>
      </c>
      <c r="F128">
        <f>INT(VLOOKUP($E128,技能升级,9,FALSE)*$C128*I128*J128)</f>
        <v>0</v>
      </c>
      <c r="G128">
        <f>INT(VLOOKUP($E128,技能升级,10,FALSE)*$C128*I128*J128)</f>
        <v>27798</v>
      </c>
      <c r="H128">
        <f>VLOOKUP(E128,技能升级,11,FALSE)*C128</f>
        <v>3984</v>
      </c>
      <c r="I128">
        <v>1</v>
      </c>
      <c r="J128">
        <f>VLOOKUP(A126,$A$2:$I$21,8,FALSE)</f>
        <v>1.0249999999999999</v>
      </c>
    </row>
    <row r="129" spans="1:10" x14ac:dyDescent="0.15">
      <c r="A129">
        <v>15</v>
      </c>
      <c r="B129" t="s">
        <v>12</v>
      </c>
      <c r="C129">
        <v>1</v>
      </c>
      <c r="D129">
        <f>VLOOKUP(A129,技能参数,4,FALSE)</f>
        <v>1.5</v>
      </c>
      <c r="E129">
        <f>VLOOKUP(A129*1000+D126,学习等级编码,2)</f>
        <v>1503</v>
      </c>
      <c r="F129">
        <f>INT(VLOOKUP($E129,技能升级,9,FALSE)*$C129*I129*J129)</f>
        <v>0</v>
      </c>
      <c r="G129">
        <f>INT(VLOOKUP($E129,技能升级,10,FALSE)*$C129*I129*J129)</f>
        <v>0</v>
      </c>
      <c r="H129">
        <f>VLOOKUP(E129,技能升级,11,FALSE)*C129</f>
        <v>0</v>
      </c>
      <c r="I129">
        <v>1</v>
      </c>
      <c r="J129">
        <v>1</v>
      </c>
    </row>
    <row r="130" spans="1:10" x14ac:dyDescent="0.15">
      <c r="A130">
        <v>11</v>
      </c>
      <c r="B130" t="s">
        <v>94</v>
      </c>
      <c r="C130">
        <f>INT((C126-D128-D129-C132)/D130)</f>
        <v>15</v>
      </c>
      <c r="D130">
        <f>VLOOKUP(A130,技能参数,4,FALSE)</f>
        <v>1</v>
      </c>
      <c r="E130">
        <f>VLOOKUP(A130*1000+D126,学习等级编码,2)</f>
        <v>1108</v>
      </c>
      <c r="F130">
        <f>INT(VLOOKUP($E130,技能升级,9,FALSE)*$C130*I130*J130)</f>
        <v>17940</v>
      </c>
      <c r="G130">
        <f>INT(VLOOKUP($E130,技能升级,10,FALSE)*$C130*I130*J130)</f>
        <v>0</v>
      </c>
      <c r="H130">
        <f>VLOOKUP(E130,技能升级,11,FALSE)*C130</f>
        <v>3285</v>
      </c>
      <c r="I130">
        <v>1</v>
      </c>
      <c r="J130">
        <f>VLOOKUP(A126,$A$2:$I$21,7,FALSE)</f>
        <v>1.04</v>
      </c>
    </row>
    <row r="131" spans="1:10" x14ac:dyDescent="0.15">
      <c r="A131">
        <v>14</v>
      </c>
      <c r="B131" t="s">
        <v>11</v>
      </c>
      <c r="C131">
        <v>1</v>
      </c>
      <c r="D131">
        <v>0</v>
      </c>
      <c r="E131">
        <f>VLOOKUP(A131*1000+D126,学习等级编码,2)</f>
        <v>1405</v>
      </c>
      <c r="F131">
        <f>INT(VLOOKUP($E131,技能升级,9,FALSE)*$C131*I131*J131)</f>
        <v>0</v>
      </c>
      <c r="G131">
        <f>INT(VLOOKUP($E131,技能升级,10,FALSE)*$C131*I131*J131)</f>
        <v>0</v>
      </c>
      <c r="H131">
        <f>VLOOKUP(E131,技能升级,11,FALSE)*C131</f>
        <v>0</v>
      </c>
      <c r="I131">
        <v>1</v>
      </c>
      <c r="J131">
        <v>1</v>
      </c>
    </row>
    <row r="132" spans="1:10" x14ac:dyDescent="0.15">
      <c r="A132">
        <v>204</v>
      </c>
      <c r="B132" t="s">
        <v>411</v>
      </c>
      <c r="C132">
        <f>C141*1.5+2</f>
        <v>6.5</v>
      </c>
      <c r="D132">
        <v>0</v>
      </c>
      <c r="E132">
        <f>IFERROR(VLOOKUP(A132*1000+D125,学习等级编码,2),0)</f>
        <v>0</v>
      </c>
      <c r="F132">
        <f>IFERROR(INT(VLOOKUP($E132,技能升级,9,FALSE)*$C132*I132*J132),0)</f>
        <v>0</v>
      </c>
      <c r="G132">
        <f>IFERROR(INT(VLOOKUP($E132,技能升级,10,FALSE)*$C132*I132*J132),0)</f>
        <v>0</v>
      </c>
      <c r="H132">
        <f>IFERROR(VLOOKUP(E132,技能升级,11,FALSE)*C132,0)</f>
        <v>0</v>
      </c>
      <c r="I132">
        <v>1</v>
      </c>
      <c r="J132">
        <v>1</v>
      </c>
    </row>
    <row r="133" spans="1:10" x14ac:dyDescent="0.15">
      <c r="E133" t="s">
        <v>194</v>
      </c>
      <c r="F133">
        <f>SUM(F128:F130)/1000</f>
        <v>17.940000000000001</v>
      </c>
      <c r="G133">
        <f>SUM(G128:G130)/1000</f>
        <v>27.797999999999998</v>
      </c>
      <c r="H133">
        <f>SUM(H128:H130)</f>
        <v>7269</v>
      </c>
      <c r="I133" t="s">
        <v>196</v>
      </c>
      <c r="J133" t="s">
        <v>197</v>
      </c>
    </row>
    <row r="134" spans="1:10" x14ac:dyDescent="0.15">
      <c r="E134" t="s">
        <v>195</v>
      </c>
      <c r="F134">
        <f>INT((IF($A126&gt;10000,VLOOKUP($A126,实战属性,13,FALSE),VLOOKUP($A126,总基本属性,7,FALSE))-
IF($B126&gt;10000,VLOOKUP($B126,实战属性,15,FALSE),VLOOKUP($B126,总基本属性,9,FALSE))*$L$13)*F133)</f>
        <v>18765</v>
      </c>
      <c r="G134">
        <f>INT((IF($A126&gt;10000,VLOOKUP($A126,实战属性,14,FALSE),VLOOKUP($A126,总基本属性,8,FALSE))-
IF($B126&gt;10000,VLOOKUP($B126,实战属性,16,FALSE),VLOOKUP($B126,总基本属性,10,FALSE))*$L$13)*G133)</f>
        <v>28103</v>
      </c>
      <c r="H134">
        <f>H133+F134+G134</f>
        <v>54137</v>
      </c>
      <c r="I134">
        <f>IF($B126&gt;10000,VLOOKUP($B126,实战属性,12,FALSE),VLOOKUP($B126,总基本属性,6,FALSE))</f>
        <v>55440</v>
      </c>
      <c r="J134">
        <f>ROUND(I134/H134,2)</f>
        <v>1.02</v>
      </c>
    </row>
    <row r="137" spans="1:10" x14ac:dyDescent="0.15">
      <c r="A137" s="9" t="s">
        <v>3</v>
      </c>
      <c r="B137" s="9" t="s">
        <v>415</v>
      </c>
      <c r="C137" s="9" t="s">
        <v>178</v>
      </c>
      <c r="D137" s="9" t="s">
        <v>0</v>
      </c>
    </row>
    <row r="138" spans="1:10" x14ac:dyDescent="0.15">
      <c r="A138">
        <f>A114+10</f>
        <v>2050</v>
      </c>
      <c r="B138">
        <f>B114+1</f>
        <v>11105</v>
      </c>
      <c r="C138">
        <v>24</v>
      </c>
      <c r="D138">
        <f>MOD(A138,1000)</f>
        <v>50</v>
      </c>
    </row>
    <row r="139" spans="1:10" x14ac:dyDescent="0.15">
      <c r="A139" t="s">
        <v>156</v>
      </c>
      <c r="B139" t="s">
        <v>95</v>
      </c>
      <c r="C139" t="s">
        <v>177</v>
      </c>
      <c r="D139" t="s">
        <v>143</v>
      </c>
      <c r="E139" t="s">
        <v>182</v>
      </c>
      <c r="F139" t="s">
        <v>192</v>
      </c>
      <c r="G139" t="s">
        <v>193</v>
      </c>
      <c r="H139" t="s">
        <v>176</v>
      </c>
      <c r="I139" t="s">
        <v>205</v>
      </c>
      <c r="J139" t="s">
        <v>206</v>
      </c>
    </row>
    <row r="140" spans="1:10" x14ac:dyDescent="0.15">
      <c r="A140">
        <v>25</v>
      </c>
      <c r="B140" t="s">
        <v>23</v>
      </c>
      <c r="C140">
        <v>1</v>
      </c>
      <c r="D140">
        <f>VLOOKUP(A140,技能参数,4,FALSE)</f>
        <v>2</v>
      </c>
      <c r="E140">
        <f>IFERROR(VLOOKUP(A140*1000+D138,学习等级编码,2),0)</f>
        <v>2503</v>
      </c>
      <c r="F140">
        <f t="shared" ref="F140:F142" si="19">IFERROR(INT(VLOOKUP($E140,技能升级,9,FALSE)*$C140*I140*J140),0)</f>
        <v>5500</v>
      </c>
      <c r="G140">
        <f t="shared" ref="G140:G143" si="20">IFERROR(INT(VLOOKUP($E140,技能升级,10,FALSE)*$C140*I140*J140),0)</f>
        <v>0</v>
      </c>
      <c r="H140">
        <f>INT(VLOOKUP($E140,技能升级,11,FALSE)*$C140*I140*J140)</f>
        <v>181</v>
      </c>
      <c r="I140">
        <v>1</v>
      </c>
      <c r="J140">
        <v>1</v>
      </c>
    </row>
    <row r="141" spans="1:10" x14ac:dyDescent="0.15">
      <c r="A141">
        <v>23</v>
      </c>
      <c r="B141" t="s">
        <v>24</v>
      </c>
      <c r="C141">
        <f>INT((C138-D141-D142*3)/(VLOOKUP(A141,技能参数,5,FALSE)+2*VLOOKUP(A141,技能参数,4,FALSE))+1)+1</f>
        <v>3</v>
      </c>
      <c r="D141">
        <f>VLOOKUP(A141,技能参数,4,FALSE)</f>
        <v>1</v>
      </c>
      <c r="E141">
        <f>IFERROR(VLOOKUP(A141*1000+D138,学习等级编码,2),0)</f>
        <v>2305</v>
      </c>
      <c r="F141">
        <f t="shared" si="19"/>
        <v>3390</v>
      </c>
      <c r="G141">
        <f t="shared" si="20"/>
        <v>0</v>
      </c>
      <c r="H141">
        <f>INT(VLOOKUP($E141,技能升级,11,FALSE)*$C141*I141*J141)</f>
        <v>540</v>
      </c>
      <c r="I141">
        <v>1</v>
      </c>
      <c r="J141">
        <v>1</v>
      </c>
    </row>
    <row r="142" spans="1:10" x14ac:dyDescent="0.15">
      <c r="A142">
        <v>22</v>
      </c>
      <c r="B142" t="s">
        <v>22</v>
      </c>
      <c r="C142">
        <f>INT((C138-D141-D142*7)/(VLOOKUP(A142,技能参数,5,FALSE)+2*VLOOKUP(A142,技能参数,4,FALSE))+1)+7</f>
        <v>8</v>
      </c>
      <c r="D142">
        <f>VLOOKUP(A142,技能参数,4,FALSE)</f>
        <v>1.5</v>
      </c>
      <c r="E142">
        <f>IFERROR(VLOOKUP(A142*1000+D138,学习等级编码,2),0)</f>
        <v>2205</v>
      </c>
      <c r="F142">
        <f t="shared" si="19"/>
        <v>24578</v>
      </c>
      <c r="G142">
        <f t="shared" si="20"/>
        <v>0</v>
      </c>
      <c r="H142">
        <f>INT(VLOOKUP($E142,技能升级,11,FALSE)*$C142*I142*J142)</f>
        <v>1638</v>
      </c>
      <c r="I142">
        <v>1</v>
      </c>
      <c r="J142">
        <f>VLOOKUP(A138,$A$2:$I$21,9,FALSE)</f>
        <v>1.0449999999999999</v>
      </c>
    </row>
    <row r="143" spans="1:10" x14ac:dyDescent="0.15">
      <c r="A143">
        <v>21</v>
      </c>
      <c r="B143" t="s">
        <v>90</v>
      </c>
      <c r="C143">
        <f>INT((C138-C140*D140-C141*D141-C142*D142)/D143)</f>
        <v>7</v>
      </c>
      <c r="D143">
        <f>VLOOKUP(A143,技能参数,4,FALSE)</f>
        <v>1</v>
      </c>
      <c r="E143">
        <f>IFERROR(VLOOKUP(A143*1000+D138,学习等级编码,2),0)</f>
        <v>2108</v>
      </c>
      <c r="F143">
        <f>IFERROR(INT(VLOOKUP($E143,技能升级,9,FALSE)*$C143*I143*J143),0)</f>
        <v>9143</v>
      </c>
      <c r="G143">
        <f t="shared" si="20"/>
        <v>0</v>
      </c>
      <c r="H143">
        <f>INT(VLOOKUP($E143,技能升级,11,FALSE)*$C143*I143*J143)</f>
        <v>1601</v>
      </c>
      <c r="I143">
        <v>1</v>
      </c>
      <c r="J143">
        <f>VLOOKUP(A138,$A$2:$I$21,9,FALSE)</f>
        <v>1.0449999999999999</v>
      </c>
    </row>
    <row r="144" spans="1:10" x14ac:dyDescent="0.15">
      <c r="E144" t="s">
        <v>194</v>
      </c>
      <c r="F144">
        <f>SUM(F140:F143)/1000</f>
        <v>42.610999999999997</v>
      </c>
      <c r="G144">
        <f>SUM(G140:G143)/1000</f>
        <v>0</v>
      </c>
      <c r="H144">
        <f>SUM(H140:H143)</f>
        <v>3960</v>
      </c>
      <c r="I144" t="s">
        <v>196</v>
      </c>
      <c r="J144" t="s">
        <v>197</v>
      </c>
    </row>
    <row r="145" spans="1:10" x14ac:dyDescent="0.15">
      <c r="E145" t="s">
        <v>195</v>
      </c>
      <c r="F145">
        <f>INT((IF($A138&gt;10000,VLOOKUP($A138,实战属性,13,FALSE),VLOOKUP($A138,总基本属性,7,FALSE))-
IF($B138&gt;10000,VLOOKUP($B138,实战属性,15,FALSE),VLOOKUP($B138,总基本属性,9,FALSE))*$L$13)*F144)</f>
        <v>71458</v>
      </c>
      <c r="G145">
        <f>INT((IF($A138&gt;10000,VLOOKUP($A138,实战属性,14,FALSE),VLOOKUP($A138,总基本属性,8,FALSE))-
IF($B138&gt;10000,VLOOKUP($B138,实战属性,16,FALSE),VLOOKUP($B138,总基本属性,10,FALSE))*$L$13)*G144)</f>
        <v>0</v>
      </c>
      <c r="H145">
        <f>H144+F145+G145</f>
        <v>75418</v>
      </c>
      <c r="I145">
        <f>IF($B138&gt;10000,VLOOKUP($B138,实战属性,12,FALSE),VLOOKUP($B138,总基本属性,6,FALSE))</f>
        <v>78666</v>
      </c>
      <c r="J145">
        <f>ROUND(I145/H145,2)</f>
        <v>1.04</v>
      </c>
    </row>
    <row r="149" spans="1:10" x14ac:dyDescent="0.15">
      <c r="A149" s="8" t="s">
        <v>2</v>
      </c>
      <c r="B149" s="8" t="s">
        <v>412</v>
      </c>
      <c r="C149" s="8" t="s">
        <v>178</v>
      </c>
      <c r="D149" s="8" t="s">
        <v>0</v>
      </c>
    </row>
    <row r="150" spans="1:10" x14ac:dyDescent="0.15">
      <c r="A150">
        <f>A126+1</f>
        <v>11106</v>
      </c>
      <c r="B150">
        <f>B126+10</f>
        <v>2060</v>
      </c>
      <c r="C150">
        <v>25</v>
      </c>
      <c r="D150">
        <f>MOD(B150,1000)</f>
        <v>60</v>
      </c>
    </row>
    <row r="151" spans="1:10" x14ac:dyDescent="0.15">
      <c r="A151" t="s">
        <v>156</v>
      </c>
      <c r="B151" t="s">
        <v>95</v>
      </c>
      <c r="C151" t="s">
        <v>177</v>
      </c>
      <c r="D151" t="s">
        <v>143</v>
      </c>
      <c r="E151" t="s">
        <v>182</v>
      </c>
      <c r="F151" t="s">
        <v>192</v>
      </c>
      <c r="G151" t="s">
        <v>193</v>
      </c>
      <c r="H151" t="s">
        <v>176</v>
      </c>
      <c r="I151" t="s">
        <v>205</v>
      </c>
      <c r="J151" t="s">
        <v>206</v>
      </c>
    </row>
    <row r="152" spans="1:10" x14ac:dyDescent="0.15">
      <c r="A152">
        <v>12</v>
      </c>
      <c r="B152" t="s">
        <v>9</v>
      </c>
      <c r="C152">
        <f>C150</f>
        <v>25</v>
      </c>
      <c r="D152">
        <f>VLOOKUP(A152,技能参数,4,FALSE)</f>
        <v>0.6</v>
      </c>
      <c r="E152">
        <f>VLOOKUP(A152*1000+D150,学习等级编码,2)</f>
        <v>1206</v>
      </c>
      <c r="F152">
        <f>INT(VLOOKUP($E152,技能升级,9,FALSE)*$C152*I152*J152)</f>
        <v>0</v>
      </c>
      <c r="G152">
        <f>INT(VLOOKUP($E152,技能升级,10,FALSE)*$C152*I152*J152)</f>
        <v>30420</v>
      </c>
      <c r="H152">
        <f>VLOOKUP(E152,技能升级,11,FALSE)*C152</f>
        <v>6000</v>
      </c>
      <c r="I152">
        <v>1</v>
      </c>
      <c r="J152">
        <f>VLOOKUP(A150,$A$2:$I$21,8,FALSE)</f>
        <v>1.04</v>
      </c>
    </row>
    <row r="153" spans="1:10" x14ac:dyDescent="0.15">
      <c r="A153">
        <v>15</v>
      </c>
      <c r="B153" t="s">
        <v>12</v>
      </c>
      <c r="C153">
        <v>1</v>
      </c>
      <c r="D153">
        <f>VLOOKUP(A153,技能参数,4,FALSE)</f>
        <v>1.5</v>
      </c>
      <c r="E153">
        <f>VLOOKUP(A153*1000+D150,学习等级编码,2)</f>
        <v>1504</v>
      </c>
      <c r="F153">
        <f>INT(VLOOKUP($E153,技能升级,9,FALSE)*$C153*I153*J153)</f>
        <v>0</v>
      </c>
      <c r="G153">
        <f>INT(VLOOKUP($E153,技能升级,10,FALSE)*$C153*I153*J153)</f>
        <v>0</v>
      </c>
      <c r="H153">
        <f>VLOOKUP(E153,技能升级,11,FALSE)*C153</f>
        <v>0</v>
      </c>
      <c r="I153">
        <v>1</v>
      </c>
      <c r="J153">
        <v>1</v>
      </c>
    </row>
    <row r="154" spans="1:10" x14ac:dyDescent="0.15">
      <c r="A154">
        <v>11</v>
      </c>
      <c r="B154" t="s">
        <v>94</v>
      </c>
      <c r="C154">
        <f>INT((C150-D152-D153-C156)/D154)</f>
        <v>16</v>
      </c>
      <c r="D154">
        <f>VLOOKUP(A154,技能参数,4,FALSE)</f>
        <v>1</v>
      </c>
      <c r="E154">
        <f>VLOOKUP(A154*1000+D150,学习等级编码,2)</f>
        <v>1109</v>
      </c>
      <c r="F154">
        <f>INT(VLOOKUP($E154,技能升级,9,FALSE)*$C154*I154*J154)</f>
        <v>19843</v>
      </c>
      <c r="G154">
        <f>INT(VLOOKUP($E154,技能升级,10,FALSE)*$C154*I154*J154)</f>
        <v>0</v>
      </c>
      <c r="H154">
        <f>VLOOKUP(E154,技能升级,11,FALSE)*C154</f>
        <v>4320</v>
      </c>
      <c r="I154">
        <v>1</v>
      </c>
      <c r="J154">
        <f>VLOOKUP(A150,$A$2:$I$21,7,FALSE)</f>
        <v>1.06</v>
      </c>
    </row>
    <row r="155" spans="1:10" x14ac:dyDescent="0.15">
      <c r="A155">
        <v>14</v>
      </c>
      <c r="B155" t="s">
        <v>11</v>
      </c>
      <c r="C155">
        <v>1</v>
      </c>
      <c r="D155">
        <v>0</v>
      </c>
      <c r="E155">
        <f>VLOOKUP(A155*1000+D150,学习等级编码,2)</f>
        <v>1406</v>
      </c>
      <c r="F155">
        <f>INT(VLOOKUP($E155,技能升级,9,FALSE)*$C155*I155*J155)</f>
        <v>0</v>
      </c>
      <c r="G155">
        <f>INT(VLOOKUP($E155,技能升级,10,FALSE)*$C155*I155*J155)</f>
        <v>0</v>
      </c>
      <c r="H155">
        <f>VLOOKUP(E155,技能升级,11,FALSE)*C155</f>
        <v>0</v>
      </c>
      <c r="I155">
        <v>1</v>
      </c>
      <c r="J155">
        <v>1</v>
      </c>
    </row>
    <row r="156" spans="1:10" x14ac:dyDescent="0.15">
      <c r="A156">
        <v>204</v>
      </c>
      <c r="B156" t="s">
        <v>411</v>
      </c>
      <c r="C156">
        <f>C165*1.5+2</f>
        <v>6.5</v>
      </c>
      <c r="D156">
        <v>0</v>
      </c>
      <c r="E156">
        <f>IFERROR(VLOOKUP(A156*1000+D149,学习等级编码,2),0)</f>
        <v>0</v>
      </c>
      <c r="F156">
        <f>IFERROR(INT(VLOOKUP($E156,技能升级,9,FALSE)*$C156*I156*J156),0)</f>
        <v>0</v>
      </c>
      <c r="G156">
        <f>IFERROR(INT(VLOOKUP($E156,技能升级,10,FALSE)*$C156*I156*J156),0)</f>
        <v>0</v>
      </c>
      <c r="H156">
        <f>IFERROR(VLOOKUP(E156,技能升级,11,FALSE)*C156,0)</f>
        <v>0</v>
      </c>
      <c r="I156">
        <v>1</v>
      </c>
      <c r="J156">
        <v>1</v>
      </c>
    </row>
    <row r="157" spans="1:10" x14ac:dyDescent="0.15">
      <c r="E157" t="s">
        <v>194</v>
      </c>
      <c r="F157">
        <f>SUM(F152:F154)/1000</f>
        <v>19.843</v>
      </c>
      <c r="G157">
        <f>SUM(G152:G154)/1000</f>
        <v>30.42</v>
      </c>
      <c r="H157">
        <f>SUM(H152:H154)</f>
        <v>10320</v>
      </c>
      <c r="I157" t="s">
        <v>196</v>
      </c>
      <c r="J157" t="s">
        <v>197</v>
      </c>
    </row>
    <row r="158" spans="1:10" x14ac:dyDescent="0.15">
      <c r="E158" t="s">
        <v>195</v>
      </c>
      <c r="F158">
        <f>INT((IF($A150&gt;10000,VLOOKUP($A150,实战属性,13,FALSE),VLOOKUP($A150,总基本属性,7,FALSE))-
IF($B150&gt;10000,VLOOKUP($B150,实战属性,15,FALSE),VLOOKUP($B150,总基本属性,9,FALSE))*$L$13)*F157)</f>
        <v>29298</v>
      </c>
      <c r="G158">
        <f>INT((IF($A150&gt;10000,VLOOKUP($A150,实战属性,14,FALSE),VLOOKUP($A150,总基本属性,8,FALSE))-
IF($B150&gt;10000,VLOOKUP($B150,实战属性,16,FALSE),VLOOKUP($B150,总基本属性,10,FALSE))*$L$13)*G157)</f>
        <v>37766</v>
      </c>
      <c r="H158">
        <f>H157+F158+G158</f>
        <v>77384</v>
      </c>
      <c r="I158">
        <f>IF($B150&gt;10000,VLOOKUP($B150,实战属性,12,FALSE),VLOOKUP($B150,总基本属性,6,FALSE))</f>
        <v>78480</v>
      </c>
      <c r="J158">
        <f>ROUND(I158/H158,2)</f>
        <v>1.01</v>
      </c>
    </row>
    <row r="161" spans="1:10" x14ac:dyDescent="0.15">
      <c r="A161" s="9" t="s">
        <v>3</v>
      </c>
      <c r="B161" s="9" t="s">
        <v>415</v>
      </c>
      <c r="C161" s="9" t="s">
        <v>178</v>
      </c>
      <c r="D161" s="9" t="s">
        <v>0</v>
      </c>
    </row>
    <row r="162" spans="1:10" x14ac:dyDescent="0.15">
      <c r="A162">
        <f>A138+10</f>
        <v>2060</v>
      </c>
      <c r="B162">
        <f>B138+1</f>
        <v>11106</v>
      </c>
      <c r="C162">
        <v>25</v>
      </c>
      <c r="D162">
        <f>MOD(A162,1000)</f>
        <v>60</v>
      </c>
    </row>
    <row r="163" spans="1:10" x14ac:dyDescent="0.15">
      <c r="A163" t="s">
        <v>156</v>
      </c>
      <c r="B163" t="s">
        <v>95</v>
      </c>
      <c r="C163" t="s">
        <v>177</v>
      </c>
      <c r="D163" t="s">
        <v>143</v>
      </c>
      <c r="E163" t="s">
        <v>182</v>
      </c>
      <c r="F163" t="s">
        <v>192</v>
      </c>
      <c r="G163" t="s">
        <v>193</v>
      </c>
      <c r="H163" t="s">
        <v>176</v>
      </c>
      <c r="I163" t="s">
        <v>205</v>
      </c>
      <c r="J163" t="s">
        <v>206</v>
      </c>
    </row>
    <row r="164" spans="1:10" x14ac:dyDescent="0.15">
      <c r="A164">
        <v>25</v>
      </c>
      <c r="B164" t="s">
        <v>23</v>
      </c>
      <c r="C164">
        <v>1</v>
      </c>
      <c r="D164">
        <f>VLOOKUP(A164,技能参数,4,FALSE)</f>
        <v>2</v>
      </c>
      <c r="E164">
        <f>IFERROR(VLOOKUP(A164*1000+D162,学习等级编码,2),0)</f>
        <v>2504</v>
      </c>
      <c r="F164">
        <f t="shared" ref="F164:F166" si="21">IFERROR(INT(VLOOKUP($E164,技能升级,9,FALSE)*$C164*I164*J164),0)</f>
        <v>5750</v>
      </c>
      <c r="G164">
        <f t="shared" ref="G164:G167" si="22">IFERROR(INT(VLOOKUP($E164,技能升级,10,FALSE)*$C164*I164*J164),0)</f>
        <v>0</v>
      </c>
      <c r="H164">
        <f>INT(VLOOKUP($E164,技能升级,11,FALSE)*$C164*I164*J164)</f>
        <v>298</v>
      </c>
      <c r="I164">
        <v>1</v>
      </c>
      <c r="J164">
        <v>1</v>
      </c>
    </row>
    <row r="165" spans="1:10" x14ac:dyDescent="0.15">
      <c r="A165">
        <v>23</v>
      </c>
      <c r="B165" t="s">
        <v>24</v>
      </c>
      <c r="C165">
        <f>INT((C162-D165-D166*3)/(VLOOKUP(A165,技能参数,5,FALSE)+2*VLOOKUP(A165,技能参数,4,FALSE))+1)+1</f>
        <v>3</v>
      </c>
      <c r="D165">
        <f>VLOOKUP(A165,技能参数,4,FALSE)</f>
        <v>1</v>
      </c>
      <c r="E165">
        <f>IFERROR(VLOOKUP(A165*1000+D162,学习等级编码,2),0)</f>
        <v>2306</v>
      </c>
      <c r="F165">
        <f t="shared" si="21"/>
        <v>3510</v>
      </c>
      <c r="G165">
        <f t="shared" si="22"/>
        <v>0</v>
      </c>
      <c r="H165">
        <f>INT(VLOOKUP($E165,技能升级,11,FALSE)*$C165*I165*J165)</f>
        <v>774</v>
      </c>
      <c r="I165">
        <v>1</v>
      </c>
      <c r="J165">
        <v>1</v>
      </c>
    </row>
    <row r="166" spans="1:10" x14ac:dyDescent="0.15">
      <c r="A166">
        <v>22</v>
      </c>
      <c r="B166" t="s">
        <v>22</v>
      </c>
      <c r="C166">
        <f>INT((C162-D165-D166*7)/(VLOOKUP(A166,技能参数,5,FALSE)+2*VLOOKUP(A166,技能参数,4,FALSE))+1)+7</f>
        <v>9</v>
      </c>
      <c r="D166">
        <f>VLOOKUP(A166,技能参数,4,FALSE)</f>
        <v>1.5</v>
      </c>
      <c r="E166">
        <f>IFERROR(VLOOKUP(A166*1000+D162,学习等级编码,2),0)</f>
        <v>2206</v>
      </c>
      <c r="F166">
        <f t="shared" si="21"/>
        <v>30105</v>
      </c>
      <c r="G166">
        <f t="shared" si="22"/>
        <v>0</v>
      </c>
      <c r="H166">
        <f>INT(VLOOKUP($E166,技能升级,11,FALSE)*$C166*I166*J166)</f>
        <v>2709</v>
      </c>
      <c r="I166">
        <v>1</v>
      </c>
      <c r="J166">
        <f>VLOOKUP(A162,$A$2:$I$21,9,FALSE)</f>
        <v>1.115</v>
      </c>
    </row>
    <row r="167" spans="1:10" x14ac:dyDescent="0.15">
      <c r="A167">
        <v>21</v>
      </c>
      <c r="B167" t="s">
        <v>90</v>
      </c>
      <c r="C167">
        <f>INT((C162-C164*D164-C165*D165-C166*D166)/D167)</f>
        <v>6</v>
      </c>
      <c r="D167">
        <f>VLOOKUP(A167,技能参数,4,FALSE)</f>
        <v>1</v>
      </c>
      <c r="E167">
        <f>IFERROR(VLOOKUP(A167*1000+D162,学习等级编码,2),0)</f>
        <v>2109</v>
      </c>
      <c r="F167">
        <f>IFERROR(INT(VLOOKUP($E167,技能升级,9,FALSE)*$C167*I167*J167),0)</f>
        <v>8630</v>
      </c>
      <c r="G167">
        <f t="shared" si="22"/>
        <v>0</v>
      </c>
      <c r="H167">
        <f>INT(VLOOKUP($E167,技能升级,11,FALSE)*$C167*I167*J167)</f>
        <v>1806</v>
      </c>
      <c r="I167">
        <v>1</v>
      </c>
      <c r="J167">
        <f>VLOOKUP(A162,$A$2:$I$21,9,FALSE)</f>
        <v>1.115</v>
      </c>
    </row>
    <row r="168" spans="1:10" x14ac:dyDescent="0.15">
      <c r="E168" t="s">
        <v>194</v>
      </c>
      <c r="F168">
        <f>SUM(F164:F167)/1000</f>
        <v>47.994999999999997</v>
      </c>
      <c r="G168">
        <f>SUM(G164:G167)/1000</f>
        <v>0</v>
      </c>
      <c r="H168">
        <f>SUM(H164:H167)</f>
        <v>5587</v>
      </c>
      <c r="I168" t="s">
        <v>196</v>
      </c>
      <c r="J168" t="s">
        <v>197</v>
      </c>
    </row>
    <row r="169" spans="1:10" x14ac:dyDescent="0.15">
      <c r="E169" t="s">
        <v>195</v>
      </c>
      <c r="F169">
        <f>INT((IF($A162&gt;10000,VLOOKUP($A162,实战属性,13,FALSE),VLOOKUP($A162,总基本属性,7,FALSE))-
IF($B162&gt;10000,VLOOKUP($B162,实战属性,15,FALSE),VLOOKUP($B162,总基本属性,9,FALSE))*$L$13)*F168)</f>
        <v>105948</v>
      </c>
      <c r="G169">
        <f>INT((IF($A162&gt;10000,VLOOKUP($A162,实战属性,14,FALSE),VLOOKUP($A162,总基本属性,8,FALSE))-
IF($B162&gt;10000,VLOOKUP($B162,实战属性,16,FALSE),VLOOKUP($B162,总基本属性,10,FALSE))*$L$13)*G168)</f>
        <v>0</v>
      </c>
      <c r="H169">
        <f>H168+F169+G169</f>
        <v>111535</v>
      </c>
      <c r="I169">
        <f>IF($B162&gt;10000,VLOOKUP($B162,实战属性,12,FALSE),VLOOKUP($B162,总基本属性,6,FALSE))</f>
        <v>112468</v>
      </c>
      <c r="J169">
        <f>ROUND(I169/H169,2)</f>
        <v>1.01</v>
      </c>
    </row>
    <row r="173" spans="1:10" x14ac:dyDescent="0.15">
      <c r="A173" s="8" t="s">
        <v>2</v>
      </c>
      <c r="B173" s="8" t="s">
        <v>412</v>
      </c>
      <c r="C173" s="8" t="s">
        <v>178</v>
      </c>
      <c r="D173" s="8" t="s">
        <v>0</v>
      </c>
    </row>
    <row r="174" spans="1:10" x14ac:dyDescent="0.15">
      <c r="A174">
        <f>A150+1</f>
        <v>11107</v>
      </c>
      <c r="B174">
        <f>B150+10</f>
        <v>2070</v>
      </c>
      <c r="C174">
        <v>25</v>
      </c>
      <c r="D174">
        <f>MOD(B174,1000)</f>
        <v>70</v>
      </c>
    </row>
    <row r="175" spans="1:10" x14ac:dyDescent="0.15">
      <c r="A175" t="s">
        <v>156</v>
      </c>
      <c r="B175" t="s">
        <v>95</v>
      </c>
      <c r="C175" t="s">
        <v>177</v>
      </c>
      <c r="D175" t="s">
        <v>143</v>
      </c>
      <c r="E175" t="s">
        <v>182</v>
      </c>
      <c r="F175" t="s">
        <v>192</v>
      </c>
      <c r="G175" t="s">
        <v>193</v>
      </c>
      <c r="H175" t="s">
        <v>176</v>
      </c>
      <c r="I175" t="s">
        <v>205</v>
      </c>
      <c r="J175" t="s">
        <v>206</v>
      </c>
    </row>
    <row r="176" spans="1:10" x14ac:dyDescent="0.15">
      <c r="A176">
        <v>12</v>
      </c>
      <c r="B176" t="s">
        <v>9</v>
      </c>
      <c r="C176">
        <f>C174</f>
        <v>25</v>
      </c>
      <c r="D176">
        <f>VLOOKUP(A176,技能参数,4,FALSE)</f>
        <v>0.6</v>
      </c>
      <c r="E176">
        <f>VLOOKUP(A176*1000+D174,学习等级编码,2)</f>
        <v>1207</v>
      </c>
      <c r="F176">
        <f>INT(VLOOKUP($E176,技能升级,9,FALSE)*$C176*I176*J176)</f>
        <v>0</v>
      </c>
      <c r="G176">
        <f>INT(VLOOKUP($E176,技能升级,10,FALSE)*$C176*I176*J176)</f>
        <v>31500</v>
      </c>
      <c r="H176">
        <f>VLOOKUP(E176,技能升级,11,FALSE)*C176</f>
        <v>8225</v>
      </c>
      <c r="I176">
        <v>1</v>
      </c>
      <c r="J176">
        <f>VLOOKUP(A174,$A$2:$I$21,8,FALSE)</f>
        <v>1.05</v>
      </c>
    </row>
    <row r="177" spans="1:10" x14ac:dyDescent="0.15">
      <c r="A177">
        <v>15</v>
      </c>
      <c r="B177" t="s">
        <v>12</v>
      </c>
      <c r="C177">
        <v>1</v>
      </c>
      <c r="D177">
        <f>VLOOKUP(A177,技能参数,4,FALSE)</f>
        <v>1.5</v>
      </c>
      <c r="E177">
        <f>VLOOKUP(A177*1000+D174,学习等级编码,2)</f>
        <v>1505</v>
      </c>
      <c r="F177">
        <f>INT(VLOOKUP($E177,技能升级,9,FALSE)*$C177*I177*J177)</f>
        <v>0</v>
      </c>
      <c r="G177">
        <f>INT(VLOOKUP($E177,技能升级,10,FALSE)*$C177*I177*J177)</f>
        <v>0</v>
      </c>
      <c r="H177">
        <f>VLOOKUP(E177,技能升级,11,FALSE)*C177</f>
        <v>0</v>
      </c>
      <c r="I177">
        <v>1</v>
      </c>
      <c r="J177">
        <v>1</v>
      </c>
    </row>
    <row r="178" spans="1:10" x14ac:dyDescent="0.15">
      <c r="A178">
        <v>11</v>
      </c>
      <c r="B178" t="s">
        <v>94</v>
      </c>
      <c r="C178">
        <f>INT((C174-D176-D177-C180)/D178)</f>
        <v>16</v>
      </c>
      <c r="D178">
        <f>VLOOKUP(A178,技能参数,4,FALSE)</f>
        <v>1</v>
      </c>
      <c r="E178">
        <f>VLOOKUP(A178*1000+D174,学习等级编码,2)</f>
        <v>1111</v>
      </c>
      <c r="F178">
        <f>INT(VLOOKUP($E178,技能升级,9,FALSE)*$C178*I178*J178)</f>
        <v>20908</v>
      </c>
      <c r="G178">
        <f>INT(VLOOKUP($E178,技能升级,10,FALSE)*$C178*I178*J178)</f>
        <v>0</v>
      </c>
      <c r="H178">
        <f>VLOOKUP(E178,技能升级,11,FALSE)*C178</f>
        <v>6496</v>
      </c>
      <c r="I178">
        <v>1</v>
      </c>
      <c r="J178">
        <f>VLOOKUP(A174,$A$2:$I$21,7,FALSE)</f>
        <v>1.08</v>
      </c>
    </row>
    <row r="179" spans="1:10" x14ac:dyDescent="0.15">
      <c r="A179">
        <v>14</v>
      </c>
      <c r="B179" t="s">
        <v>11</v>
      </c>
      <c r="C179">
        <v>1</v>
      </c>
      <c r="D179">
        <v>0</v>
      </c>
      <c r="E179">
        <f>VLOOKUP(A179*1000+D174,学习等级编码,2)</f>
        <v>1407</v>
      </c>
      <c r="F179">
        <f>INT(VLOOKUP($E179,技能升级,9,FALSE)*$C179*I179*J179)</f>
        <v>0</v>
      </c>
      <c r="G179">
        <f>INT(VLOOKUP($E179,技能升级,10,FALSE)*$C179*I179*J179)</f>
        <v>0</v>
      </c>
      <c r="H179">
        <f>VLOOKUP(E179,技能升级,11,FALSE)*C179</f>
        <v>0</v>
      </c>
      <c r="I179">
        <v>1</v>
      </c>
      <c r="J179">
        <v>1</v>
      </c>
    </row>
    <row r="180" spans="1:10" x14ac:dyDescent="0.15">
      <c r="A180">
        <v>204</v>
      </c>
      <c r="B180" t="s">
        <v>411</v>
      </c>
      <c r="C180">
        <f>C189*1.5+2</f>
        <v>6.5</v>
      </c>
      <c r="D180">
        <v>0</v>
      </c>
      <c r="E180">
        <f>IFERROR(VLOOKUP(A180*1000+D173,学习等级编码,2),0)</f>
        <v>0</v>
      </c>
      <c r="F180">
        <f>IFERROR(INT(VLOOKUP($E180,技能升级,9,FALSE)*$C180*I180*J180),0)</f>
        <v>0</v>
      </c>
      <c r="G180">
        <f>IFERROR(INT(VLOOKUP($E180,技能升级,10,FALSE)*$C180*I180*J180),0)</f>
        <v>0</v>
      </c>
      <c r="H180">
        <f>IFERROR(VLOOKUP(E180,技能升级,11,FALSE)*C180,0)</f>
        <v>0</v>
      </c>
      <c r="I180">
        <v>1</v>
      </c>
      <c r="J180">
        <v>1</v>
      </c>
    </row>
    <row r="181" spans="1:10" x14ac:dyDescent="0.15">
      <c r="E181" t="s">
        <v>194</v>
      </c>
      <c r="F181">
        <f>SUM(F176:F178)/1000</f>
        <v>20.908000000000001</v>
      </c>
      <c r="G181">
        <f>SUM(G176:G178)/1000</f>
        <v>31.5</v>
      </c>
      <c r="H181">
        <f>SUM(H176:H178)</f>
        <v>14721</v>
      </c>
      <c r="I181" t="s">
        <v>196</v>
      </c>
      <c r="J181" t="s">
        <v>197</v>
      </c>
    </row>
    <row r="182" spans="1:10" x14ac:dyDescent="0.15">
      <c r="E182" t="s">
        <v>195</v>
      </c>
      <c r="F182">
        <f>INT((IF($A174&gt;10000,VLOOKUP($A174,实战属性,13,FALSE),VLOOKUP($A174,总基本属性,7,FALSE))-
IF($B174&gt;10000,VLOOKUP($B174,实战属性,15,FALSE),VLOOKUP($B174,总基本属性,9,FALSE))*$L$13)*F181)</f>
        <v>41408</v>
      </c>
      <c r="G182">
        <f>INT((IF($A174&gt;10000,VLOOKUP($A174,实战属性,14,FALSE),VLOOKUP($A174,总基本属性,8,FALSE))-
IF($B174&gt;10000,VLOOKUP($B174,实战属性,16,FALSE),VLOOKUP($B174,总基本属性,10,FALSE))*$L$13)*G181)</f>
        <v>44698</v>
      </c>
      <c r="H182">
        <f>H181+F182+G182</f>
        <v>100827</v>
      </c>
      <c r="I182">
        <f>IF($B174&gt;10000,VLOOKUP($B174,实战属性,12,FALSE),VLOOKUP($B174,总基本属性,6,FALSE))</f>
        <v>105480</v>
      </c>
      <c r="J182">
        <f>ROUND(I182/H182,2)</f>
        <v>1.05</v>
      </c>
    </row>
    <row r="185" spans="1:10" x14ac:dyDescent="0.15">
      <c r="A185" s="9" t="s">
        <v>3</v>
      </c>
      <c r="B185" s="9" t="s">
        <v>415</v>
      </c>
      <c r="C185" s="9" t="s">
        <v>178</v>
      </c>
      <c r="D185" s="9" t="s">
        <v>0</v>
      </c>
    </row>
    <row r="186" spans="1:10" x14ac:dyDescent="0.15">
      <c r="A186">
        <f>A162+10</f>
        <v>2070</v>
      </c>
      <c r="B186">
        <f>B162+1</f>
        <v>11107</v>
      </c>
      <c r="C186">
        <v>25</v>
      </c>
      <c r="D186">
        <f>MOD(A186,1000)</f>
        <v>70</v>
      </c>
    </row>
    <row r="187" spans="1:10" x14ac:dyDescent="0.15">
      <c r="A187" t="s">
        <v>156</v>
      </c>
      <c r="B187" t="s">
        <v>95</v>
      </c>
      <c r="C187" t="s">
        <v>177</v>
      </c>
      <c r="D187" t="s">
        <v>143</v>
      </c>
      <c r="E187" t="s">
        <v>182</v>
      </c>
      <c r="F187" t="s">
        <v>192</v>
      </c>
      <c r="G187" t="s">
        <v>193</v>
      </c>
      <c r="H187" t="s">
        <v>176</v>
      </c>
      <c r="I187" t="s">
        <v>205</v>
      </c>
      <c r="J187" t="s">
        <v>206</v>
      </c>
    </row>
    <row r="188" spans="1:10" x14ac:dyDescent="0.15">
      <c r="A188">
        <v>25</v>
      </c>
      <c r="B188" t="s">
        <v>23</v>
      </c>
      <c r="C188">
        <v>1</v>
      </c>
      <c r="D188">
        <f>VLOOKUP(A188,技能参数,4,FALSE)</f>
        <v>2</v>
      </c>
      <c r="E188">
        <f>IFERROR(VLOOKUP(A188*1000+D186,学习等级编码,2),0)</f>
        <v>2505</v>
      </c>
      <c r="F188">
        <f t="shared" ref="F188:F190" si="23">IFERROR(INT(VLOOKUP($E188,技能升级,9,FALSE)*$C188*I188*J188),0)</f>
        <v>6000</v>
      </c>
      <c r="G188">
        <f t="shared" ref="G188:G191" si="24">IFERROR(INT(VLOOKUP($E188,技能升级,10,FALSE)*$C188*I188*J188),0)</f>
        <v>0</v>
      </c>
      <c r="H188">
        <f>INT(VLOOKUP($E188,技能升级,11,FALSE)*$C188*I188*J188)</f>
        <v>441</v>
      </c>
      <c r="I188">
        <v>1</v>
      </c>
      <c r="J188">
        <v>1</v>
      </c>
    </row>
    <row r="189" spans="1:10" x14ac:dyDescent="0.15">
      <c r="A189">
        <v>23</v>
      </c>
      <c r="B189" t="s">
        <v>24</v>
      </c>
      <c r="C189">
        <f>INT((C186-D189-D190*3)/(VLOOKUP(A189,技能参数,5,FALSE)+2*VLOOKUP(A189,技能参数,4,FALSE))+1)+1</f>
        <v>3</v>
      </c>
      <c r="D189">
        <f>VLOOKUP(A189,技能参数,4,FALSE)</f>
        <v>1</v>
      </c>
      <c r="E189">
        <f>IFERROR(VLOOKUP(A189*1000+D186,学习等级编码,2),0)</f>
        <v>2307</v>
      </c>
      <c r="F189">
        <f t="shared" si="23"/>
        <v>3600</v>
      </c>
      <c r="G189">
        <f t="shared" si="24"/>
        <v>0</v>
      </c>
      <c r="H189">
        <f>INT(VLOOKUP($E189,技能升级,11,FALSE)*$C189*I189*J189)</f>
        <v>1047</v>
      </c>
      <c r="I189">
        <v>1</v>
      </c>
      <c r="J189">
        <v>1</v>
      </c>
    </row>
    <row r="190" spans="1:10" x14ac:dyDescent="0.15">
      <c r="A190">
        <v>22</v>
      </c>
      <c r="B190" t="s">
        <v>22</v>
      </c>
      <c r="C190">
        <f>INT((C186-D189-D190*7)/(VLOOKUP(A190,技能参数,5,FALSE)+2*VLOOKUP(A190,技能参数,4,FALSE))+1)+7</f>
        <v>9</v>
      </c>
      <c r="D190">
        <f>VLOOKUP(A190,技能参数,4,FALSE)</f>
        <v>1.5</v>
      </c>
      <c r="E190">
        <f>IFERROR(VLOOKUP(A190*1000+D186,学习等级编码,2),0)</f>
        <v>2207</v>
      </c>
      <c r="F190">
        <f t="shared" si="23"/>
        <v>33185</v>
      </c>
      <c r="G190">
        <f t="shared" si="24"/>
        <v>0</v>
      </c>
      <c r="H190">
        <f>INT(VLOOKUP($E190,技能升级,11,FALSE)*$C190*I190*J190)</f>
        <v>3893</v>
      </c>
      <c r="I190">
        <v>1</v>
      </c>
      <c r="J190">
        <f>VLOOKUP(A186,$A$2:$I$21,9,FALSE)</f>
        <v>1.2050000000000001</v>
      </c>
    </row>
    <row r="191" spans="1:10" x14ac:dyDescent="0.15">
      <c r="A191">
        <v>21</v>
      </c>
      <c r="B191" t="s">
        <v>90</v>
      </c>
      <c r="C191">
        <f>INT((C186-C188*D188-C189*D189-C190*D190)/D191)</f>
        <v>6</v>
      </c>
      <c r="D191">
        <f>VLOOKUP(A191,技能参数,4,FALSE)</f>
        <v>1</v>
      </c>
      <c r="E191">
        <f>IFERROR(VLOOKUP(A191*1000+D186,学习等级编码,2),0)</f>
        <v>2111</v>
      </c>
      <c r="F191">
        <f>IFERROR(INT(VLOOKUP($E191,技能升级,9,FALSE)*$C191*I191*J191),0)</f>
        <v>9832</v>
      </c>
      <c r="G191">
        <f t="shared" si="24"/>
        <v>0</v>
      </c>
      <c r="H191">
        <f>INT(VLOOKUP($E191,技能升级,11,FALSE)*$C191*I191*J191)</f>
        <v>2935</v>
      </c>
      <c r="I191">
        <v>1</v>
      </c>
      <c r="J191">
        <f>VLOOKUP(A186,$A$2:$I$21,9,FALSE)</f>
        <v>1.2050000000000001</v>
      </c>
    </row>
    <row r="192" spans="1:10" x14ac:dyDescent="0.15">
      <c r="E192" t="s">
        <v>194</v>
      </c>
      <c r="F192">
        <f>SUM(F188:F191)/1000</f>
        <v>52.616999999999997</v>
      </c>
      <c r="G192">
        <f>SUM(G188:G191)/1000</f>
        <v>0</v>
      </c>
      <c r="H192">
        <f>SUM(H188:H191)</f>
        <v>8316</v>
      </c>
      <c r="I192" t="s">
        <v>196</v>
      </c>
      <c r="J192" t="s">
        <v>197</v>
      </c>
    </row>
    <row r="193" spans="1:10" x14ac:dyDescent="0.15">
      <c r="E193" t="s">
        <v>195</v>
      </c>
      <c r="F193">
        <f>INT((IF($A186&gt;10000,VLOOKUP($A186,实战属性,13,FALSE),VLOOKUP($A186,总基本属性,7,FALSE))-
IF($B186&gt;10000,VLOOKUP($B186,实战属性,15,FALSE),VLOOKUP($B186,总基本属性,9,FALSE))*$L$13)*F192)</f>
        <v>144933</v>
      </c>
      <c r="G193">
        <f>INT((IF($A186&gt;10000,VLOOKUP($A186,实战属性,14,FALSE),VLOOKUP($A186,总基本属性,8,FALSE))-
IF($B186&gt;10000,VLOOKUP($B186,实战属性,16,FALSE),VLOOKUP($B186,总基本属性,10,FALSE))*$L$13)*G192)</f>
        <v>0</v>
      </c>
      <c r="H193">
        <f>H192+F193+G193</f>
        <v>153249</v>
      </c>
      <c r="I193">
        <f>IF($B186&gt;10000,VLOOKUP($B186,实战属性,12,FALSE),VLOOKUP($B186,总基本属性,6,FALSE))</f>
        <v>152179</v>
      </c>
      <c r="J193">
        <f>ROUND(I193/H193,2)</f>
        <v>0.99</v>
      </c>
    </row>
    <row r="197" spans="1:10" x14ac:dyDescent="0.15">
      <c r="A197" s="8" t="s">
        <v>2</v>
      </c>
      <c r="B197" s="8" t="s">
        <v>412</v>
      </c>
      <c r="C197" s="8" t="s">
        <v>178</v>
      </c>
      <c r="D197" s="8" t="s">
        <v>0</v>
      </c>
    </row>
    <row r="198" spans="1:10" x14ac:dyDescent="0.15">
      <c r="A198">
        <f>A174+1</f>
        <v>11108</v>
      </c>
      <c r="B198">
        <f>B174+10</f>
        <v>2080</v>
      </c>
      <c r="C198">
        <v>26</v>
      </c>
      <c r="D198">
        <f>MOD(B198,1000)</f>
        <v>80</v>
      </c>
    </row>
    <row r="199" spans="1:10" x14ac:dyDescent="0.15">
      <c r="A199" t="s">
        <v>156</v>
      </c>
      <c r="B199" t="s">
        <v>95</v>
      </c>
      <c r="C199" t="s">
        <v>177</v>
      </c>
      <c r="D199" t="s">
        <v>143</v>
      </c>
      <c r="E199" t="s">
        <v>182</v>
      </c>
      <c r="F199" t="s">
        <v>192</v>
      </c>
      <c r="G199" t="s">
        <v>193</v>
      </c>
      <c r="H199" t="s">
        <v>176</v>
      </c>
      <c r="I199" t="s">
        <v>205</v>
      </c>
      <c r="J199" t="s">
        <v>206</v>
      </c>
    </row>
    <row r="200" spans="1:10" x14ac:dyDescent="0.15">
      <c r="A200">
        <v>12</v>
      </c>
      <c r="B200" t="s">
        <v>9</v>
      </c>
      <c r="C200">
        <f>C198</f>
        <v>26</v>
      </c>
      <c r="D200">
        <f>VLOOKUP(A200,技能参数,4,FALSE)</f>
        <v>0.6</v>
      </c>
      <c r="E200">
        <f>VLOOKUP(A200*1000+D198,学习等级编码,2)</f>
        <v>1208</v>
      </c>
      <c r="F200">
        <f>INT(VLOOKUP($E200,技能升级,9,FALSE)*$C200*I200*J200)</f>
        <v>0</v>
      </c>
      <c r="G200">
        <f>INT(VLOOKUP($E200,技能升级,10,FALSE)*$C200*I200*J200)</f>
        <v>34218</v>
      </c>
      <c r="H200">
        <f>VLOOKUP(E200,技能升级,11,FALSE)*C200</f>
        <v>11258</v>
      </c>
      <c r="I200">
        <v>1</v>
      </c>
      <c r="J200">
        <f>VLOOKUP(A198,$A$2:$I$21,8,FALSE)</f>
        <v>1.07</v>
      </c>
    </row>
    <row r="201" spans="1:10" x14ac:dyDescent="0.15">
      <c r="A201">
        <v>15</v>
      </c>
      <c r="B201" t="s">
        <v>12</v>
      </c>
      <c r="C201">
        <v>1</v>
      </c>
      <c r="D201">
        <f>VLOOKUP(A201,技能参数,4,FALSE)</f>
        <v>1.5</v>
      </c>
      <c r="E201">
        <f>VLOOKUP(A201*1000+D198,学习等级编码,2)</f>
        <v>1505</v>
      </c>
      <c r="F201">
        <f>INT(VLOOKUP($E201,技能升级,9,FALSE)*$C201*I201*J201)</f>
        <v>0</v>
      </c>
      <c r="G201">
        <f>INT(VLOOKUP($E201,技能升级,10,FALSE)*$C201*I201*J201)</f>
        <v>0</v>
      </c>
      <c r="H201">
        <f>VLOOKUP(E201,技能升级,11,FALSE)*C201</f>
        <v>0</v>
      </c>
      <c r="I201">
        <v>1</v>
      </c>
      <c r="J201">
        <v>1</v>
      </c>
    </row>
    <row r="202" spans="1:10" x14ac:dyDescent="0.15">
      <c r="A202">
        <v>11</v>
      </c>
      <c r="B202" t="s">
        <v>94</v>
      </c>
      <c r="C202">
        <f>INT((C198-D200-D201-C204)/D202)</f>
        <v>17</v>
      </c>
      <c r="D202">
        <f>VLOOKUP(A202,技能参数,4,FALSE)</f>
        <v>1</v>
      </c>
      <c r="E202">
        <f>VLOOKUP(A202*1000+D198,学习等级编码,2)</f>
        <v>1112</v>
      </c>
      <c r="F202">
        <f>INT(VLOOKUP($E202,技能升级,9,FALSE)*$C202*I202*J202)</f>
        <v>23293</v>
      </c>
      <c r="G202">
        <f>INT(VLOOKUP($E202,技能升级,10,FALSE)*$C202*I202*J202)</f>
        <v>0</v>
      </c>
      <c r="H202">
        <f>VLOOKUP(E202,技能升级,11,FALSE)*C202</f>
        <v>8279</v>
      </c>
      <c r="I202">
        <v>1</v>
      </c>
      <c r="J202">
        <f>VLOOKUP(A198,$A$2:$I$21,7,FALSE)</f>
        <v>1.105</v>
      </c>
    </row>
    <row r="203" spans="1:10" x14ac:dyDescent="0.15">
      <c r="A203">
        <v>14</v>
      </c>
      <c r="B203" t="s">
        <v>11</v>
      </c>
      <c r="C203">
        <v>1</v>
      </c>
      <c r="D203">
        <v>0</v>
      </c>
      <c r="E203">
        <f>VLOOKUP(A203*1000+D198,学习等级编码,2)</f>
        <v>1408</v>
      </c>
      <c r="F203">
        <f>INT(VLOOKUP($E203,技能升级,9,FALSE)*$C203*I203*J203)</f>
        <v>0</v>
      </c>
      <c r="G203">
        <f>INT(VLOOKUP($E203,技能升级,10,FALSE)*$C203*I203*J203)</f>
        <v>0</v>
      </c>
      <c r="H203">
        <f>VLOOKUP(E203,技能升级,11,FALSE)*C203</f>
        <v>0</v>
      </c>
      <c r="I203">
        <v>1</v>
      </c>
      <c r="J203">
        <v>1</v>
      </c>
    </row>
    <row r="204" spans="1:10" x14ac:dyDescent="0.15">
      <c r="A204">
        <v>204</v>
      </c>
      <c r="B204" t="s">
        <v>411</v>
      </c>
      <c r="C204">
        <f>C213*1.5+2</f>
        <v>6.5</v>
      </c>
      <c r="D204">
        <v>0</v>
      </c>
      <c r="E204">
        <f>IFERROR(VLOOKUP(A204*1000+D197,学习等级编码,2),0)</f>
        <v>0</v>
      </c>
      <c r="F204">
        <f>IFERROR(INT(VLOOKUP($E204,技能升级,9,FALSE)*$C204*I204*J204),0)</f>
        <v>0</v>
      </c>
      <c r="G204">
        <f>IFERROR(INT(VLOOKUP($E204,技能升级,10,FALSE)*$C204*I204*J204),0)</f>
        <v>0</v>
      </c>
      <c r="H204">
        <f>IFERROR(VLOOKUP(E204,技能升级,11,FALSE)*C204,0)</f>
        <v>0</v>
      </c>
      <c r="I204">
        <v>1</v>
      </c>
      <c r="J204">
        <v>1</v>
      </c>
    </row>
    <row r="205" spans="1:10" x14ac:dyDescent="0.15">
      <c r="E205" t="s">
        <v>194</v>
      </c>
      <c r="F205">
        <f>SUM(F200:F202)/1000</f>
        <v>23.292999999999999</v>
      </c>
      <c r="G205">
        <f>SUM(G200:G202)/1000</f>
        <v>34.218000000000004</v>
      </c>
      <c r="H205">
        <f>SUM(H200:H202)</f>
        <v>19537</v>
      </c>
      <c r="I205" t="s">
        <v>196</v>
      </c>
      <c r="J205" t="s">
        <v>197</v>
      </c>
    </row>
    <row r="206" spans="1:10" x14ac:dyDescent="0.15">
      <c r="E206" t="s">
        <v>195</v>
      </c>
      <c r="F206">
        <f>INT((IF($A198&gt;10000,VLOOKUP($A198,实战属性,13,FALSE),VLOOKUP($A198,总基本属性,7,FALSE))-
IF($B198&gt;10000,VLOOKUP($B198,实战属性,15,FALSE),VLOOKUP($B198,总基本属性,9,FALSE))*$L$13)*F205)</f>
        <v>58907</v>
      </c>
      <c r="G206">
        <f>INT((IF($A198&gt;10000,VLOOKUP($A198,实战属性,14,FALSE),VLOOKUP($A198,总基本属性,8,FALSE))-
IF($B198&gt;10000,VLOOKUP($B198,实战属性,16,FALSE),VLOOKUP($B198,总基本属性,10,FALSE))*$L$13)*G205)</f>
        <v>55638</v>
      </c>
      <c r="H206">
        <f>H205+F206+G206</f>
        <v>134082</v>
      </c>
      <c r="I206">
        <f>IF($B198&gt;10000,VLOOKUP($B198,实战属性,12,FALSE),VLOOKUP($B198,总基本属性,6,FALSE))</f>
        <v>136440</v>
      </c>
      <c r="J206">
        <f>ROUND(I206/H206,2)</f>
        <v>1.02</v>
      </c>
    </row>
    <row r="209" spans="1:10" x14ac:dyDescent="0.15">
      <c r="A209" s="9" t="s">
        <v>3</v>
      </c>
      <c r="B209" s="9" t="s">
        <v>415</v>
      </c>
      <c r="C209" s="9" t="s">
        <v>178</v>
      </c>
      <c r="D209" s="9" t="s">
        <v>0</v>
      </c>
    </row>
    <row r="210" spans="1:10" x14ac:dyDescent="0.15">
      <c r="A210">
        <f>A186+10</f>
        <v>2080</v>
      </c>
      <c r="B210">
        <f>B186+1</f>
        <v>11108</v>
      </c>
      <c r="C210">
        <v>25</v>
      </c>
      <c r="D210">
        <f>MOD(A210,1000)</f>
        <v>80</v>
      </c>
    </row>
    <row r="211" spans="1:10" x14ac:dyDescent="0.15">
      <c r="A211" t="s">
        <v>156</v>
      </c>
      <c r="B211" t="s">
        <v>95</v>
      </c>
      <c r="C211" t="s">
        <v>177</v>
      </c>
      <c r="D211" t="s">
        <v>143</v>
      </c>
      <c r="E211" t="s">
        <v>182</v>
      </c>
      <c r="F211" t="s">
        <v>192</v>
      </c>
      <c r="G211" t="s">
        <v>193</v>
      </c>
      <c r="H211" t="s">
        <v>176</v>
      </c>
      <c r="I211" t="s">
        <v>205</v>
      </c>
      <c r="J211" t="s">
        <v>206</v>
      </c>
    </row>
    <row r="212" spans="1:10" x14ac:dyDescent="0.15">
      <c r="A212">
        <v>25</v>
      </c>
      <c r="B212" t="s">
        <v>23</v>
      </c>
      <c r="C212">
        <v>1</v>
      </c>
      <c r="D212">
        <f>VLOOKUP(A212,技能参数,4,FALSE)</f>
        <v>2</v>
      </c>
      <c r="E212">
        <f>IFERROR(VLOOKUP(A212*1000+D210,学习等级编码,2),0)</f>
        <v>2505</v>
      </c>
      <c r="F212">
        <f t="shared" ref="F212:F214" si="25">IFERROR(INT(VLOOKUP($E212,技能升级,9,FALSE)*$C212*I212*J212),0)</f>
        <v>6000</v>
      </c>
      <c r="G212">
        <f t="shared" ref="G212:G215" si="26">IFERROR(INT(VLOOKUP($E212,技能升级,10,FALSE)*$C212*I212*J212),0)</f>
        <v>0</v>
      </c>
      <c r="H212">
        <f>INT(VLOOKUP($E212,技能升级,11,FALSE)*$C212*I212*J212)</f>
        <v>441</v>
      </c>
      <c r="I212">
        <v>1</v>
      </c>
      <c r="J212">
        <v>1</v>
      </c>
    </row>
    <row r="213" spans="1:10" x14ac:dyDescent="0.15">
      <c r="A213">
        <v>23</v>
      </c>
      <c r="B213" t="s">
        <v>24</v>
      </c>
      <c r="C213">
        <f>INT((C210-D213-D214*3)/(VLOOKUP(A213,技能参数,5,FALSE)+2*VLOOKUP(A213,技能参数,4,FALSE))+1)+1</f>
        <v>3</v>
      </c>
      <c r="D213">
        <f>VLOOKUP(A213,技能参数,4,FALSE)</f>
        <v>1</v>
      </c>
      <c r="E213">
        <f>IFERROR(VLOOKUP(A213*1000+D210,学习等级编码,2),0)</f>
        <v>2308</v>
      </c>
      <c r="F213">
        <f t="shared" si="25"/>
        <v>3690</v>
      </c>
      <c r="G213">
        <f t="shared" si="26"/>
        <v>0</v>
      </c>
      <c r="H213">
        <f>INT(VLOOKUP($E213,技能升级,11,FALSE)*$C213*I213*J213)</f>
        <v>1371</v>
      </c>
      <c r="I213">
        <v>1</v>
      </c>
      <c r="J213">
        <v>1</v>
      </c>
    </row>
    <row r="214" spans="1:10" x14ac:dyDescent="0.15">
      <c r="A214">
        <v>22</v>
      </c>
      <c r="B214" t="s">
        <v>22</v>
      </c>
      <c r="C214">
        <f>INT((C210-D213-D214*7)/(VLOOKUP(A214,技能参数,5,FALSE)+2*VLOOKUP(A214,技能参数,4,FALSE))+1)+7</f>
        <v>9</v>
      </c>
      <c r="D214">
        <f>VLOOKUP(A214,技能参数,4,FALSE)</f>
        <v>1.5</v>
      </c>
      <c r="E214">
        <f>IFERROR(VLOOKUP(A214*1000+D210,学习等级编码,2),0)</f>
        <v>2208</v>
      </c>
      <c r="F214">
        <f t="shared" si="25"/>
        <v>36363</v>
      </c>
      <c r="G214">
        <f t="shared" si="26"/>
        <v>0</v>
      </c>
      <c r="H214">
        <f>INT(VLOOKUP($E214,技能升级,11,FALSE)*$C214*I214*J214)</f>
        <v>5396</v>
      </c>
      <c r="I214">
        <v>1</v>
      </c>
      <c r="J214">
        <f>VLOOKUP(A210,$A$2:$I$21,9,FALSE)</f>
        <v>1.2949999999999999</v>
      </c>
    </row>
    <row r="215" spans="1:10" x14ac:dyDescent="0.15">
      <c r="A215">
        <v>21</v>
      </c>
      <c r="B215" t="s">
        <v>90</v>
      </c>
      <c r="C215">
        <f>INT((C210-C212*D212-C213*D213-C214*D214)/D215)</f>
        <v>6</v>
      </c>
      <c r="D215">
        <f>VLOOKUP(A215,技能参数,4,FALSE)</f>
        <v>1</v>
      </c>
      <c r="E215">
        <f>IFERROR(VLOOKUP(A215*1000+D210,学习等级编码,2),0)</f>
        <v>2112</v>
      </c>
      <c r="F215">
        <f>IFERROR(INT(VLOOKUP($E215,技能升级,9,FALSE)*$C215*I215*J215),0)</f>
        <v>10800</v>
      </c>
      <c r="G215">
        <f t="shared" si="26"/>
        <v>0</v>
      </c>
      <c r="H215">
        <f>INT(VLOOKUP($E215,技能升级,11,FALSE)*$C215*I215*J215)</f>
        <v>3783</v>
      </c>
      <c r="I215">
        <v>1</v>
      </c>
      <c r="J215">
        <f>VLOOKUP(A210,$A$2:$I$21,9,FALSE)</f>
        <v>1.2949999999999999</v>
      </c>
    </row>
    <row r="216" spans="1:10" x14ac:dyDescent="0.15">
      <c r="E216" t="s">
        <v>194</v>
      </c>
      <c r="F216">
        <f>SUM(F212:F215)/1000</f>
        <v>56.853000000000002</v>
      </c>
      <c r="G216">
        <f>SUM(G212:G215)/1000</f>
        <v>0</v>
      </c>
      <c r="H216">
        <f>SUM(H212:H215)</f>
        <v>10991</v>
      </c>
      <c r="I216" t="s">
        <v>196</v>
      </c>
      <c r="J216" t="s">
        <v>197</v>
      </c>
    </row>
    <row r="217" spans="1:10" x14ac:dyDescent="0.15">
      <c r="E217" t="s">
        <v>195</v>
      </c>
      <c r="F217">
        <f>INT((IF($A210&gt;10000,VLOOKUP($A210,实战属性,13,FALSE),VLOOKUP($A210,总基本属性,7,FALSE))-
IF($B210&gt;10000,VLOOKUP($B210,实战属性,15,FALSE),VLOOKUP($B210,总基本属性,9,FALSE))*$L$13)*F216)</f>
        <v>178859</v>
      </c>
      <c r="G217">
        <f>INT((IF($A210&gt;10000,VLOOKUP($A210,实战属性,14,FALSE),VLOOKUP($A210,总基本属性,8,FALSE))-
IF($B210&gt;10000,VLOOKUP($B210,实战属性,16,FALSE),VLOOKUP($B210,总基本属性,10,FALSE))*$L$13)*G216)</f>
        <v>0</v>
      </c>
      <c r="H217">
        <f>H216+F217+G217</f>
        <v>189850</v>
      </c>
      <c r="I217">
        <f>IF($B210&gt;10000,VLOOKUP($B210,实战属性,12,FALSE),VLOOKUP($B210,总基本属性,6,FALSE))</f>
        <v>194386</v>
      </c>
      <c r="J217">
        <f>ROUND(I217/H217,2)</f>
        <v>1.02</v>
      </c>
    </row>
    <row r="221" spans="1:10" x14ac:dyDescent="0.15">
      <c r="A221" s="8" t="s">
        <v>2</v>
      </c>
      <c r="B221" s="8" t="s">
        <v>412</v>
      </c>
      <c r="C221" s="8" t="s">
        <v>178</v>
      </c>
      <c r="D221" s="8" t="s">
        <v>0</v>
      </c>
    </row>
    <row r="222" spans="1:10" x14ac:dyDescent="0.15">
      <c r="A222">
        <f>A198+1</f>
        <v>11109</v>
      </c>
      <c r="B222">
        <f>B198+10</f>
        <v>2090</v>
      </c>
      <c r="C222">
        <v>25</v>
      </c>
      <c r="D222">
        <f>MOD(B222,1000)</f>
        <v>90</v>
      </c>
    </row>
    <row r="223" spans="1:10" x14ac:dyDescent="0.15">
      <c r="A223" t="s">
        <v>156</v>
      </c>
      <c r="B223" t="s">
        <v>95</v>
      </c>
      <c r="C223" t="s">
        <v>177</v>
      </c>
      <c r="D223" t="s">
        <v>143</v>
      </c>
      <c r="E223" t="s">
        <v>182</v>
      </c>
      <c r="F223" t="s">
        <v>192</v>
      </c>
      <c r="G223" t="s">
        <v>193</v>
      </c>
      <c r="H223" t="s">
        <v>176</v>
      </c>
      <c r="I223" t="s">
        <v>205</v>
      </c>
      <c r="J223" t="s">
        <v>206</v>
      </c>
    </row>
    <row r="224" spans="1:10" x14ac:dyDescent="0.15">
      <c r="A224">
        <v>12</v>
      </c>
      <c r="B224" t="s">
        <v>9</v>
      </c>
      <c r="C224">
        <f>C222</f>
        <v>25</v>
      </c>
      <c r="D224">
        <f>VLOOKUP(A224,技能参数,4,FALSE)</f>
        <v>0.6</v>
      </c>
      <c r="E224">
        <f>VLOOKUP(A224*1000+D222,学习等级编码,2)</f>
        <v>1209</v>
      </c>
      <c r="F224">
        <f>INT(VLOOKUP($E224,技能升级,9,FALSE)*$C224*I224*J224)</f>
        <v>0</v>
      </c>
      <c r="G224">
        <f>INT(VLOOKUP($E224,技能升级,10,FALSE)*$C224*I224*J224)</f>
        <v>34766</v>
      </c>
      <c r="H224">
        <f>VLOOKUP(E224,技能升级,11,FALSE)*C224</f>
        <v>13800</v>
      </c>
      <c r="I224">
        <v>1</v>
      </c>
      <c r="J224">
        <f>VLOOKUP(A222,$A$2:$I$21,8,FALSE)</f>
        <v>1.095</v>
      </c>
    </row>
    <row r="225" spans="1:10" x14ac:dyDescent="0.15">
      <c r="A225">
        <v>15</v>
      </c>
      <c r="B225" t="s">
        <v>12</v>
      </c>
      <c r="C225">
        <v>1</v>
      </c>
      <c r="D225">
        <f>VLOOKUP(A225,技能参数,4,FALSE)</f>
        <v>1.5</v>
      </c>
      <c r="E225">
        <f>VLOOKUP(A225*1000+D222,学习等级编码,2)</f>
        <v>1506</v>
      </c>
      <c r="F225">
        <f>INT(VLOOKUP($E225,技能升级,9,FALSE)*$C225*I225*J225)</f>
        <v>0</v>
      </c>
      <c r="G225">
        <f>INT(VLOOKUP($E225,技能升级,10,FALSE)*$C225*I225*J225)</f>
        <v>0</v>
      </c>
      <c r="H225">
        <f>VLOOKUP(E225,技能升级,11,FALSE)*C225</f>
        <v>0</v>
      </c>
      <c r="I225">
        <v>1</v>
      </c>
      <c r="J225">
        <v>1</v>
      </c>
    </row>
    <row r="226" spans="1:10" x14ac:dyDescent="0.15">
      <c r="A226">
        <v>11</v>
      </c>
      <c r="B226" t="s">
        <v>94</v>
      </c>
      <c r="C226">
        <f>INT((C222-D224-D225-C228)/D226)</f>
        <v>16</v>
      </c>
      <c r="D226">
        <f>VLOOKUP(A226,技能参数,4,FALSE)</f>
        <v>1</v>
      </c>
      <c r="E226">
        <f>VLOOKUP(A226*1000+D222,学习等级编码,2)</f>
        <v>1114</v>
      </c>
      <c r="F226">
        <f>INT(VLOOKUP($E226,技能升级,9,FALSE)*$C226*I226*J226)</f>
        <v>23347</v>
      </c>
      <c r="G226">
        <f>INT(VLOOKUP($E226,技能升级,10,FALSE)*$C226*I226*J226)</f>
        <v>0</v>
      </c>
      <c r="H226">
        <f>VLOOKUP(E226,技能升级,11,FALSE)*C226</f>
        <v>10672</v>
      </c>
      <c r="I226">
        <v>1</v>
      </c>
      <c r="J226">
        <f>VLOOKUP(A222,$A$2:$I$21,7,FALSE)</f>
        <v>1.1399999999999999</v>
      </c>
    </row>
    <row r="227" spans="1:10" x14ac:dyDescent="0.15">
      <c r="A227">
        <v>14</v>
      </c>
      <c r="B227" t="s">
        <v>11</v>
      </c>
      <c r="C227">
        <v>1</v>
      </c>
      <c r="D227">
        <v>0</v>
      </c>
      <c r="E227">
        <f>VLOOKUP(A227*1000+D222,学习等级编码,2)</f>
        <v>1409</v>
      </c>
      <c r="F227">
        <f>INT(VLOOKUP($E227,技能升级,9,FALSE)*$C227*I227*J227)</f>
        <v>0</v>
      </c>
      <c r="G227">
        <f>INT(VLOOKUP($E227,技能升级,10,FALSE)*$C227*I227*J227)</f>
        <v>0</v>
      </c>
      <c r="H227">
        <f>VLOOKUP(E227,技能升级,11,FALSE)*C227</f>
        <v>0</v>
      </c>
      <c r="I227">
        <v>1</v>
      </c>
      <c r="J227">
        <v>1</v>
      </c>
    </row>
    <row r="228" spans="1:10" x14ac:dyDescent="0.15">
      <c r="A228">
        <v>204</v>
      </c>
      <c r="B228" t="s">
        <v>411</v>
      </c>
      <c r="C228">
        <f>C237*1.5+2</f>
        <v>6.5</v>
      </c>
      <c r="D228">
        <v>0</v>
      </c>
      <c r="E228">
        <f>IFERROR(VLOOKUP(A228*1000+D221,学习等级编码,2),0)</f>
        <v>0</v>
      </c>
      <c r="F228">
        <f>IFERROR(INT(VLOOKUP($E228,技能升级,9,FALSE)*$C228*I228*J228),0)</f>
        <v>0</v>
      </c>
      <c r="G228">
        <f>IFERROR(INT(VLOOKUP($E228,技能升级,10,FALSE)*$C228*I228*J228),0)</f>
        <v>0</v>
      </c>
      <c r="H228">
        <f>IFERROR(VLOOKUP(E228,技能升级,11,FALSE)*C228,0)</f>
        <v>0</v>
      </c>
      <c r="I228">
        <v>1</v>
      </c>
      <c r="J228">
        <v>1</v>
      </c>
    </row>
    <row r="229" spans="1:10" x14ac:dyDescent="0.15">
      <c r="E229" t="s">
        <v>194</v>
      </c>
      <c r="F229">
        <f>SUM(F224:F226)/1000</f>
        <v>23.347000000000001</v>
      </c>
      <c r="G229">
        <f>SUM(G224:G226)/1000</f>
        <v>34.765999999999998</v>
      </c>
      <c r="H229">
        <f>SUM(H224:H226)</f>
        <v>24472</v>
      </c>
      <c r="I229" t="s">
        <v>196</v>
      </c>
      <c r="J229" t="s">
        <v>197</v>
      </c>
    </row>
    <row r="230" spans="1:10" x14ac:dyDescent="0.15">
      <c r="E230" t="s">
        <v>195</v>
      </c>
      <c r="F230">
        <f>INT((IF($A222&gt;10000,VLOOKUP($A222,实战属性,13,FALSE),VLOOKUP($A222,总基本属性,7,FALSE))-
IF($B222&gt;10000,VLOOKUP($B222,实战属性,15,FALSE),VLOOKUP($B222,总基本属性,9,FALSE))*$L$13)*F229)</f>
        <v>74301</v>
      </c>
      <c r="G230">
        <f>INT((IF($A222&gt;10000,VLOOKUP($A222,实战属性,14,FALSE),VLOOKUP($A222,总基本属性,8,FALSE))-
IF($B222&gt;10000,VLOOKUP($B222,实战属性,16,FALSE),VLOOKUP($B222,总基本属性,10,FALSE))*$L$13)*G229)</f>
        <v>65672</v>
      </c>
      <c r="H230">
        <f>H229+F230+G230</f>
        <v>164445</v>
      </c>
      <c r="I230">
        <f>IF($B222&gt;10000,VLOOKUP($B222,实战属性,12,FALSE),VLOOKUP($B222,总基本属性,6,FALSE))</f>
        <v>171480</v>
      </c>
      <c r="J230">
        <f>ROUND(I230/H230,2)</f>
        <v>1.04</v>
      </c>
    </row>
    <row r="233" spans="1:10" x14ac:dyDescent="0.15">
      <c r="A233" s="9" t="s">
        <v>3</v>
      </c>
      <c r="B233" s="9" t="s">
        <v>415</v>
      </c>
      <c r="C233" s="9" t="s">
        <v>178</v>
      </c>
      <c r="D233" s="9" t="s">
        <v>0</v>
      </c>
    </row>
    <row r="234" spans="1:10" x14ac:dyDescent="0.15">
      <c r="A234">
        <f>A210+10</f>
        <v>2090</v>
      </c>
      <c r="B234">
        <f>B210+1</f>
        <v>11109</v>
      </c>
      <c r="C234">
        <v>25</v>
      </c>
      <c r="D234">
        <f>MOD(A234,1000)</f>
        <v>90</v>
      </c>
    </row>
    <row r="235" spans="1:10" x14ac:dyDescent="0.15">
      <c r="A235" t="s">
        <v>156</v>
      </c>
      <c r="B235" t="s">
        <v>95</v>
      </c>
      <c r="C235" t="s">
        <v>177</v>
      </c>
      <c r="D235" t="s">
        <v>143</v>
      </c>
      <c r="E235" t="s">
        <v>182</v>
      </c>
      <c r="F235" t="s">
        <v>192</v>
      </c>
      <c r="G235" t="s">
        <v>193</v>
      </c>
      <c r="H235" t="s">
        <v>176</v>
      </c>
      <c r="I235" t="s">
        <v>205</v>
      </c>
      <c r="J235" t="s">
        <v>206</v>
      </c>
    </row>
    <row r="236" spans="1:10" x14ac:dyDescent="0.15">
      <c r="A236">
        <v>25</v>
      </c>
      <c r="B236" t="s">
        <v>23</v>
      </c>
      <c r="C236">
        <v>1</v>
      </c>
      <c r="D236">
        <f>VLOOKUP(A236,技能参数,4,FALSE)</f>
        <v>2</v>
      </c>
      <c r="E236">
        <f>IFERROR(VLOOKUP(A236*1000+D234,学习等级编码,2),0)</f>
        <v>2506</v>
      </c>
      <c r="F236">
        <f t="shared" ref="F236:F238" si="27">IFERROR(INT(VLOOKUP($E236,技能升级,9,FALSE)*$C236*I236*J236),0)</f>
        <v>6250</v>
      </c>
      <c r="G236">
        <f t="shared" ref="G236:G239" si="28">IFERROR(INT(VLOOKUP($E236,技能升级,10,FALSE)*$C236*I236*J236),0)</f>
        <v>0</v>
      </c>
      <c r="H236">
        <f>INT(VLOOKUP($E236,技能升级,11,FALSE)*$C236*I236*J236)</f>
        <v>632</v>
      </c>
      <c r="I236">
        <v>1</v>
      </c>
      <c r="J236">
        <v>1</v>
      </c>
    </row>
    <row r="237" spans="1:10" x14ac:dyDescent="0.15">
      <c r="A237">
        <v>23</v>
      </c>
      <c r="B237" t="s">
        <v>24</v>
      </c>
      <c r="C237">
        <f>INT((C234-D237-D238*3)/(VLOOKUP(A237,技能参数,5,FALSE)+2*VLOOKUP(A237,技能参数,4,FALSE))+1)+1</f>
        <v>3</v>
      </c>
      <c r="D237">
        <f>VLOOKUP(A237,技能参数,4,FALSE)</f>
        <v>1</v>
      </c>
      <c r="E237">
        <f>IFERROR(VLOOKUP(A237*1000+D234,学习等级编码,2),0)</f>
        <v>2309</v>
      </c>
      <c r="F237">
        <f t="shared" si="27"/>
        <v>3810</v>
      </c>
      <c r="G237">
        <f t="shared" si="28"/>
        <v>0</v>
      </c>
      <c r="H237">
        <f>INT(VLOOKUP($E237,技能升级,11,FALSE)*$C237*I237*J237)</f>
        <v>1734</v>
      </c>
      <c r="I237">
        <v>1</v>
      </c>
      <c r="J237">
        <v>1</v>
      </c>
    </row>
    <row r="238" spans="1:10" x14ac:dyDescent="0.15">
      <c r="A238">
        <v>22</v>
      </c>
      <c r="B238" t="s">
        <v>22</v>
      </c>
      <c r="C238">
        <f>INT((C234-D237-D238*7)/(VLOOKUP(A238,技能参数,5,FALSE)+2*VLOOKUP(A238,技能参数,4,FALSE))+1)+7</f>
        <v>9</v>
      </c>
      <c r="D238">
        <f>VLOOKUP(A238,技能参数,4,FALSE)</f>
        <v>1.5</v>
      </c>
      <c r="E238">
        <f>IFERROR(VLOOKUP(A238*1000+D234,学习等级编码,2),0)</f>
        <v>2209</v>
      </c>
      <c r="F238">
        <f t="shared" si="27"/>
        <v>40640</v>
      </c>
      <c r="G238">
        <f t="shared" si="28"/>
        <v>0</v>
      </c>
      <c r="H238">
        <f>INT(VLOOKUP($E238,技能升级,11,FALSE)*$C238*I238*J238)</f>
        <v>7437</v>
      </c>
      <c r="I238">
        <v>1</v>
      </c>
      <c r="J238">
        <f>VLOOKUP(A234,$A$2:$I$21,9,FALSE)</f>
        <v>1.42</v>
      </c>
    </row>
    <row r="239" spans="1:10" x14ac:dyDescent="0.15">
      <c r="A239">
        <v>21</v>
      </c>
      <c r="B239" t="s">
        <v>90</v>
      </c>
      <c r="C239">
        <f>INT((C234-C236*D236-C237*D237-C238*D238)/D239)</f>
        <v>6</v>
      </c>
      <c r="D239">
        <f>VLOOKUP(A239,技能参数,4,FALSE)</f>
        <v>1</v>
      </c>
      <c r="E239">
        <f>IFERROR(VLOOKUP(A239*1000+D234,学习等级编码,2),0)</f>
        <v>2114</v>
      </c>
      <c r="F239">
        <f>IFERROR(INT(VLOOKUP($E239,技能升级,9,FALSE)*$C239*I239*J239),0)</f>
        <v>12439</v>
      </c>
      <c r="G239">
        <f t="shared" si="28"/>
        <v>0</v>
      </c>
      <c r="H239">
        <f>INT(VLOOKUP($E239,技能升级,11,FALSE)*$C239*I239*J239)</f>
        <v>5682</v>
      </c>
      <c r="I239">
        <v>1</v>
      </c>
      <c r="J239">
        <f>VLOOKUP(A234,$A$2:$I$21,9,FALSE)</f>
        <v>1.42</v>
      </c>
    </row>
    <row r="240" spans="1:10" x14ac:dyDescent="0.15">
      <c r="E240" t="s">
        <v>194</v>
      </c>
      <c r="F240">
        <f>SUM(F236:F239)/1000</f>
        <v>63.139000000000003</v>
      </c>
      <c r="G240">
        <f>SUM(G236:G239)/1000</f>
        <v>0</v>
      </c>
      <c r="H240">
        <f>SUM(H236:H239)</f>
        <v>15485</v>
      </c>
      <c r="I240" t="s">
        <v>196</v>
      </c>
      <c r="J240" t="s">
        <v>197</v>
      </c>
    </row>
    <row r="241" spans="1:10" x14ac:dyDescent="0.15">
      <c r="E241" t="s">
        <v>195</v>
      </c>
      <c r="F241">
        <f>INT((IF($A234&gt;10000,VLOOKUP($A234,实战属性,13,FALSE),VLOOKUP($A234,总基本属性,7,FALSE))-
IF($B234&gt;10000,VLOOKUP($B234,实战属性,15,FALSE),VLOOKUP($B234,总基本属性,9,FALSE))*$L$13)*F240)</f>
        <v>240843</v>
      </c>
      <c r="G241">
        <f>INT((IF($A234&gt;10000,VLOOKUP($A234,实战属性,14,FALSE),VLOOKUP($A234,总基本属性,8,FALSE))-
IF($B234&gt;10000,VLOOKUP($B234,实战属性,16,FALSE),VLOOKUP($B234,总基本属性,10,FALSE))*$L$13)*G240)</f>
        <v>0</v>
      </c>
      <c r="H241">
        <f>H240+F241+G241</f>
        <v>256328</v>
      </c>
      <c r="I241">
        <f>IF($B234&gt;10000,VLOOKUP($B234,实战属性,12,FALSE),VLOOKUP($B234,总基本属性,6,FALSE))</f>
        <v>256315</v>
      </c>
      <c r="J241">
        <f>ROUND(I241/H241,2)</f>
        <v>1</v>
      </c>
    </row>
    <row r="245" spans="1:10" x14ac:dyDescent="0.15">
      <c r="A245" s="8" t="s">
        <v>2</v>
      </c>
      <c r="B245" s="8" t="s">
        <v>412</v>
      </c>
      <c r="C245" s="8" t="s">
        <v>178</v>
      </c>
      <c r="D245" s="8" t="s">
        <v>0</v>
      </c>
    </row>
    <row r="246" spans="1:10" x14ac:dyDescent="0.15">
      <c r="A246">
        <f>A222+1</f>
        <v>11110</v>
      </c>
      <c r="B246">
        <f>B222+10</f>
        <v>2100</v>
      </c>
      <c r="C246">
        <v>25</v>
      </c>
      <c r="D246">
        <f>MOD(B246,1000)</f>
        <v>100</v>
      </c>
    </row>
    <row r="247" spans="1:10" x14ac:dyDescent="0.15">
      <c r="A247" t="s">
        <v>156</v>
      </c>
      <c r="B247" t="s">
        <v>95</v>
      </c>
      <c r="C247" t="s">
        <v>177</v>
      </c>
      <c r="D247" t="s">
        <v>143</v>
      </c>
      <c r="E247" t="s">
        <v>182</v>
      </c>
      <c r="F247" t="s">
        <v>192</v>
      </c>
      <c r="G247" t="s">
        <v>193</v>
      </c>
      <c r="H247" t="s">
        <v>176</v>
      </c>
      <c r="I247" t="s">
        <v>205</v>
      </c>
      <c r="J247" t="s">
        <v>206</v>
      </c>
    </row>
    <row r="248" spans="1:10" x14ac:dyDescent="0.15">
      <c r="A248">
        <v>12</v>
      </c>
      <c r="B248" t="s">
        <v>9</v>
      </c>
      <c r="C248">
        <f>C246</f>
        <v>25</v>
      </c>
      <c r="D248">
        <f>VLOOKUP(A248,技能参数,4,FALSE)</f>
        <v>0.6</v>
      </c>
      <c r="E248">
        <f>VLOOKUP(A248*1000+D246,学习等级编码,2)</f>
        <v>1210</v>
      </c>
      <c r="F248">
        <f>INT(VLOOKUP($E248,技能升级,9,FALSE)*$C248*I248*J248)</f>
        <v>0</v>
      </c>
      <c r="G248">
        <f>INT(VLOOKUP($E248,技能升级,10,FALSE)*$C248*I248*J248)</f>
        <v>36237</v>
      </c>
      <c r="H248">
        <f>VLOOKUP(E248,技能升级,11,FALSE)*C248</f>
        <v>17150</v>
      </c>
      <c r="I248">
        <v>1</v>
      </c>
      <c r="J248">
        <f>VLOOKUP(A246,$A$2:$I$21,8,FALSE)</f>
        <v>1.1149999999999998</v>
      </c>
    </row>
    <row r="249" spans="1:10" x14ac:dyDescent="0.15">
      <c r="A249">
        <v>15</v>
      </c>
      <c r="B249" t="s">
        <v>12</v>
      </c>
      <c r="C249">
        <v>1</v>
      </c>
      <c r="D249">
        <f>VLOOKUP(A249,技能参数,4,FALSE)</f>
        <v>1.5</v>
      </c>
      <c r="E249">
        <f>VLOOKUP(A249*1000+D246,学习等级编码,2)</f>
        <v>1507</v>
      </c>
      <c r="F249">
        <f>INT(VLOOKUP($E249,技能升级,9,FALSE)*$C249*I249*J249)</f>
        <v>0</v>
      </c>
      <c r="G249">
        <f>INT(VLOOKUP($E249,技能升级,10,FALSE)*$C249*I249*J249)</f>
        <v>0</v>
      </c>
      <c r="H249">
        <f>VLOOKUP(E249,技能升级,11,FALSE)*C249</f>
        <v>0</v>
      </c>
      <c r="I249">
        <v>1</v>
      </c>
      <c r="J249">
        <v>1</v>
      </c>
    </row>
    <row r="250" spans="1:10" x14ac:dyDescent="0.15">
      <c r="A250">
        <v>11</v>
      </c>
      <c r="B250" t="s">
        <v>94</v>
      </c>
      <c r="C250">
        <f>INT((C246-D248-D249-C252)/D250)</f>
        <v>16</v>
      </c>
      <c r="D250">
        <f>VLOOKUP(A250,技能参数,4,FALSE)</f>
        <v>1</v>
      </c>
      <c r="E250">
        <f>VLOOKUP(A250*1000+D246,学习等级编码,2)</f>
        <v>1115</v>
      </c>
      <c r="F250">
        <f>INT(VLOOKUP($E250,技能升级,9,FALSE)*$C250*I250*J250)</f>
        <v>24336</v>
      </c>
      <c r="G250">
        <f>INT(VLOOKUP($E250,技能升级,10,FALSE)*$C250*I250*J250)</f>
        <v>0</v>
      </c>
      <c r="H250">
        <f>VLOOKUP(E250,技能升级,11,FALSE)*C250</f>
        <v>12304</v>
      </c>
      <c r="I250">
        <v>1</v>
      </c>
      <c r="J250">
        <f>VLOOKUP(A246,$A$2:$I$21,7,FALSE)</f>
        <v>1.17</v>
      </c>
    </row>
    <row r="251" spans="1:10" x14ac:dyDescent="0.15">
      <c r="A251">
        <v>14</v>
      </c>
      <c r="B251" t="s">
        <v>11</v>
      </c>
      <c r="C251">
        <v>1</v>
      </c>
      <c r="D251">
        <v>0</v>
      </c>
      <c r="E251">
        <f>VLOOKUP(A251*1000+D246,学习等级编码,2)</f>
        <v>1410</v>
      </c>
      <c r="F251">
        <f>INT(VLOOKUP($E251,技能升级,9,FALSE)*$C251*I251*J251)</f>
        <v>0</v>
      </c>
      <c r="G251">
        <f>INT(VLOOKUP($E251,技能升级,10,FALSE)*$C251*I251*J251)</f>
        <v>0</v>
      </c>
      <c r="H251">
        <f>VLOOKUP(E251,技能升级,11,FALSE)*C251</f>
        <v>0</v>
      </c>
      <c r="I251">
        <v>1</v>
      </c>
      <c r="J251">
        <v>1</v>
      </c>
    </row>
    <row r="252" spans="1:10" x14ac:dyDescent="0.15">
      <c r="B252" t="s">
        <v>411</v>
      </c>
      <c r="C252">
        <f>C261*1.5+2</f>
        <v>6.5</v>
      </c>
      <c r="D252">
        <v>0</v>
      </c>
      <c r="E252">
        <f>IFERROR(VLOOKUP(A252*1000+D245,学习等级编码,2),0)</f>
        <v>0</v>
      </c>
      <c r="F252">
        <f>IFERROR(INT(VLOOKUP($E252,技能升级,9,FALSE)*$C252*I252*J252),0)</f>
        <v>0</v>
      </c>
      <c r="G252">
        <f>IFERROR(INT(VLOOKUP($E252,技能升级,10,FALSE)*$C252*I252*J252),0)</f>
        <v>0</v>
      </c>
      <c r="H252">
        <f>IFERROR(VLOOKUP(E252,技能升级,11,FALSE)*C252,0)</f>
        <v>0</v>
      </c>
      <c r="I252">
        <v>1</v>
      </c>
      <c r="J252">
        <v>1</v>
      </c>
    </row>
    <row r="253" spans="1:10" x14ac:dyDescent="0.15">
      <c r="E253" t="s">
        <v>194</v>
      </c>
      <c r="F253">
        <f>SUM(F248:F250)/1000</f>
        <v>24.335999999999999</v>
      </c>
      <c r="G253">
        <f>SUM(G248:G250)/1000</f>
        <v>36.237000000000002</v>
      </c>
      <c r="H253">
        <f>SUM(H248:H250)</f>
        <v>29454</v>
      </c>
      <c r="I253" t="s">
        <v>196</v>
      </c>
      <c r="J253" t="s">
        <v>197</v>
      </c>
    </row>
    <row r="254" spans="1:10" x14ac:dyDescent="0.15">
      <c r="E254" t="s">
        <v>195</v>
      </c>
      <c r="F254">
        <f>INT((IF($A246&gt;10000,VLOOKUP($A246,实战属性,13,FALSE),VLOOKUP($A246,总基本属性,7,FALSE))-
IF($B246&gt;10000,VLOOKUP($B246,实战属性,15,FALSE),VLOOKUP($B246,总基本属性,9,FALSE))*$L$13)*F253)</f>
        <v>95238</v>
      </c>
      <c r="G254">
        <f>INT((IF($A246&gt;10000,VLOOKUP($A246,实战属性,14,FALSE),VLOOKUP($A246,总基本属性,8,FALSE))-
IF($B246&gt;10000,VLOOKUP($B246,实战属性,16,FALSE),VLOOKUP($B246,总基本属性,10,FALSE))*$L$13)*G253)</f>
        <v>84124</v>
      </c>
      <c r="H254">
        <f>H253+F254+G254</f>
        <v>208816</v>
      </c>
      <c r="I254">
        <f>IF($B246&gt;10000,VLOOKUP($B246,实战属性,12,FALSE),VLOOKUP($B246,总基本属性,6,FALSE))</f>
        <v>210480</v>
      </c>
      <c r="J254">
        <f>ROUND(I254/H254,2)</f>
        <v>1.01</v>
      </c>
    </row>
    <row r="257" spans="1:10" x14ac:dyDescent="0.15">
      <c r="A257" s="9" t="s">
        <v>3</v>
      </c>
      <c r="B257" s="9" t="s">
        <v>415</v>
      </c>
      <c r="C257" s="9" t="s">
        <v>178</v>
      </c>
      <c r="D257" s="9" t="s">
        <v>0</v>
      </c>
    </row>
    <row r="258" spans="1:10" x14ac:dyDescent="0.15">
      <c r="A258">
        <f>A234+10</f>
        <v>2100</v>
      </c>
      <c r="B258">
        <f>B234+1</f>
        <v>11110</v>
      </c>
      <c r="C258">
        <v>25</v>
      </c>
      <c r="D258">
        <f>MOD(A258,1000)</f>
        <v>100</v>
      </c>
    </row>
    <row r="259" spans="1:10" x14ac:dyDescent="0.15">
      <c r="A259" t="s">
        <v>156</v>
      </c>
      <c r="B259" t="s">
        <v>95</v>
      </c>
      <c r="C259" t="s">
        <v>177</v>
      </c>
      <c r="D259" t="s">
        <v>143</v>
      </c>
      <c r="E259" t="s">
        <v>182</v>
      </c>
      <c r="F259" t="s">
        <v>192</v>
      </c>
      <c r="G259" t="s">
        <v>193</v>
      </c>
      <c r="H259" t="s">
        <v>176</v>
      </c>
      <c r="I259" t="s">
        <v>205</v>
      </c>
      <c r="J259" t="s">
        <v>206</v>
      </c>
    </row>
    <row r="260" spans="1:10" x14ac:dyDescent="0.15">
      <c r="A260">
        <v>25</v>
      </c>
      <c r="B260" t="s">
        <v>23</v>
      </c>
      <c r="C260">
        <v>1</v>
      </c>
      <c r="D260">
        <f>VLOOKUP(A260,技能参数,4,FALSE)</f>
        <v>2</v>
      </c>
      <c r="E260">
        <f>IFERROR(VLOOKUP(A260*1000+D258,学习等级编码,2),0)</f>
        <v>2507</v>
      </c>
      <c r="F260">
        <f t="shared" ref="F260:F262" si="29">IFERROR(INT(VLOOKUP($E260,技能升级,9,FALSE)*$C260*I260*J260),0)</f>
        <v>6500</v>
      </c>
      <c r="G260">
        <f t="shared" ref="G260:G263" si="30">IFERROR(INT(VLOOKUP($E260,技能升级,10,FALSE)*$C260*I260*J260),0)</f>
        <v>0</v>
      </c>
      <c r="H260">
        <f>INT(VLOOKUP($E260,技能升级,11,FALSE)*$C260*I260*J260)</f>
        <v>859</v>
      </c>
      <c r="I260">
        <v>1</v>
      </c>
      <c r="J260">
        <v>1</v>
      </c>
    </row>
    <row r="261" spans="1:10" x14ac:dyDescent="0.15">
      <c r="A261">
        <v>23</v>
      </c>
      <c r="B261" t="s">
        <v>24</v>
      </c>
      <c r="C261">
        <f>INT((C258-D261-D262*3)/(VLOOKUP(A261,技能参数,5,FALSE)+2*VLOOKUP(A261,技能参数,4,FALSE))+1)+1</f>
        <v>3</v>
      </c>
      <c r="D261">
        <f>VLOOKUP(A261,技能参数,4,FALSE)</f>
        <v>1</v>
      </c>
      <c r="E261">
        <f>IFERROR(VLOOKUP(A261*1000+D258,学习等级编码,2),0)</f>
        <v>2310</v>
      </c>
      <c r="F261">
        <f t="shared" si="29"/>
        <v>3900</v>
      </c>
      <c r="G261">
        <f t="shared" si="30"/>
        <v>0</v>
      </c>
      <c r="H261">
        <f>INT(VLOOKUP($E261,技能升级,11,FALSE)*$C261*I261*J261)</f>
        <v>2148</v>
      </c>
      <c r="I261">
        <v>1</v>
      </c>
      <c r="J261">
        <v>1</v>
      </c>
    </row>
    <row r="262" spans="1:10" x14ac:dyDescent="0.15">
      <c r="A262">
        <v>22</v>
      </c>
      <c r="B262" t="s">
        <v>22</v>
      </c>
      <c r="C262">
        <f>INT((C258-D261-D262*7)/(VLOOKUP(A262,技能参数,5,FALSE)+2*VLOOKUP(A262,技能参数,4,FALSE))+1)+7</f>
        <v>9</v>
      </c>
      <c r="D262">
        <f>VLOOKUP(A262,技能参数,4,FALSE)</f>
        <v>1.5</v>
      </c>
      <c r="E262">
        <f>IFERROR(VLOOKUP(A262*1000+D258,学习等级编码,2),0)</f>
        <v>2210</v>
      </c>
      <c r="F262">
        <f t="shared" si="29"/>
        <v>44469</v>
      </c>
      <c r="G262">
        <f t="shared" si="30"/>
        <v>0</v>
      </c>
      <c r="H262">
        <f>INT(VLOOKUP($E262,技能升级,11,FALSE)*$C262*I262*J262)</f>
        <v>9827</v>
      </c>
      <c r="I262">
        <v>1</v>
      </c>
      <c r="J262">
        <f>VLOOKUP(A258,$A$2:$I$21,9,FALSE)</f>
        <v>1.5249999999999997</v>
      </c>
    </row>
    <row r="263" spans="1:10" x14ac:dyDescent="0.15">
      <c r="A263">
        <v>21</v>
      </c>
      <c r="B263" t="s">
        <v>90</v>
      </c>
      <c r="C263">
        <f>INT((C258-C260*D260-C261*D261-C262*D262)/D263)</f>
        <v>6</v>
      </c>
      <c r="D263">
        <f>VLOOKUP(A263,技能参数,4,FALSE)</f>
        <v>1</v>
      </c>
      <c r="E263">
        <f>IFERROR(VLOOKUP(A263*1000+D258,学习等级编码,2),0)</f>
        <v>2115</v>
      </c>
      <c r="F263">
        <f>IFERROR(INT(VLOOKUP($E263,技能升级,9,FALSE)*$C263*I263*J263),0)</f>
        <v>13725</v>
      </c>
      <c r="G263">
        <f t="shared" si="30"/>
        <v>0</v>
      </c>
      <c r="H263">
        <f>INT(VLOOKUP($E263,技能升级,11,FALSE)*$C263*I263*J263)</f>
        <v>7036</v>
      </c>
      <c r="I263">
        <v>1</v>
      </c>
      <c r="J263">
        <f>VLOOKUP(A258,$A$2:$I$21,9,FALSE)</f>
        <v>1.5249999999999997</v>
      </c>
    </row>
    <row r="264" spans="1:10" x14ac:dyDescent="0.15">
      <c r="E264" t="s">
        <v>194</v>
      </c>
      <c r="F264">
        <f>SUM(F260:F263)/1000</f>
        <v>68.593999999999994</v>
      </c>
      <c r="G264">
        <f>SUM(G260:G263)/1000</f>
        <v>0</v>
      </c>
      <c r="H264">
        <f>SUM(H260:H263)</f>
        <v>19870</v>
      </c>
      <c r="I264" t="s">
        <v>196</v>
      </c>
      <c r="J264" t="s">
        <v>197</v>
      </c>
    </row>
    <row r="265" spans="1:10" x14ac:dyDescent="0.15">
      <c r="E265" t="s">
        <v>195</v>
      </c>
      <c r="F265">
        <f>INT((IF($A258&gt;10000,VLOOKUP($A258,实战属性,13,FALSE),VLOOKUP($A258,总基本属性,7,FALSE))-
IF($B258&gt;10000,VLOOKUP($B258,实战属性,15,FALSE),VLOOKUP($B258,总基本属性,9,FALSE))*$L$13)*F264)</f>
        <v>320333</v>
      </c>
      <c r="G265">
        <f>INT((IF($A258&gt;10000,VLOOKUP($A258,实战属性,14,FALSE),VLOOKUP($A258,总基本属性,8,FALSE))-
IF($B258&gt;10000,VLOOKUP($B258,实战属性,16,FALSE),VLOOKUP($B258,总基本属性,10,FALSE))*$L$13)*G264)</f>
        <v>0</v>
      </c>
      <c r="H265">
        <f>H264+F265+G265</f>
        <v>340203</v>
      </c>
      <c r="I265">
        <f>IF($B258&gt;10000,VLOOKUP($B258,实战属性,12,FALSE),VLOOKUP($B258,总基本属性,6,FALSE))</f>
        <v>333153</v>
      </c>
      <c r="J265">
        <f>ROUND(I265/H265,2)</f>
        <v>0.98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5"/>
  <sheetViews>
    <sheetView topLeftCell="A250" workbookViewId="0">
      <selection activeCell="S282" sqref="S282"/>
    </sheetView>
  </sheetViews>
  <sheetFormatPr defaultRowHeight="13.5" x14ac:dyDescent="0.15"/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398</v>
      </c>
      <c r="H1" t="s">
        <v>417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2010</v>
      </c>
      <c r="B2">
        <v>5010</v>
      </c>
      <c r="C2">
        <f t="shared" ref="C2:C2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2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2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2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H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>A2+10</f>
        <v>2020</v>
      </c>
      <c r="B3">
        <f>B2+10</f>
        <v>5020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0.01</v>
      </c>
      <c r="G3">
        <v>1</v>
      </c>
      <c r="H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 t="shared" ref="A4:A11" si="4">A3+10</f>
        <v>2030</v>
      </c>
      <c r="B4">
        <f>B3+10</f>
        <v>5030</v>
      </c>
      <c r="C4">
        <f>(ROUND(
IF(IF($A4&gt;10000,VLOOKUP($A4,实战属性,$P$2,FALSE),VLOOKUP($A4,总基本属性,$P$3,FALSE))-
IF($B4&gt;10000,VLOOKUP($B4,实战属性,$Q$2,FALSE),VLOOKUP($B4,总基本属性,$Q$3,FALSE))&gt;0,
(
(IF($A4&gt;10000,VLOOKUP($A4,实战属性,$P$2,FALSE),VLOOKUP($A4,总基本属性,$P$3,FALSE))-
IF($B4&gt;10000,VLOOKUP($B4,实战属性,$Q$2,FALSE),VLOOKUP($B4,总基本属性,$Q$3,FALSE)))*$R$2+
IF($A4&gt;10000,VLOOKUP($A4,实战属性,$S$2,FALSE),VLOOKUP($A4,总基本属性,$S$3,FALSE))*$T$2)/
($U$2+IF($A4&gt;10000,VLOOKUP($A4,实战属性,$S$2,FALSE),VLOOKUP($A4,总基本属性,$S$3,FALSE))*$T$2),
IF($A4&gt;10000,VLOOKUP($A4,实战属性,$S$2,FALSE),VLOOKUP($A4,总基本属性,$S$3,FALSE))*$T$2/
($U$2+IF($A4&gt;10000,VLOOKUP($A4,实战属性,$S$2,FALSE),VLOOKUP($A4,总基本属性,$S$3,FALSE))*$T$2)),2)+
IF($A4&gt;10000,VLOOKUP($A4,实战属性,$X$2,FALSE),0))</f>
        <v>0</v>
      </c>
      <c r="D4">
        <f t="shared" si="1"/>
        <v>0</v>
      </c>
      <c r="E4">
        <f t="shared" si="2"/>
        <v>0.01</v>
      </c>
      <c r="F4">
        <f t="shared" si="3"/>
        <v>0.02</v>
      </c>
      <c r="G4">
        <v>1</v>
      </c>
      <c r="H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si="4"/>
        <v>2040</v>
      </c>
      <c r="B5">
        <f t="shared" ref="B5:B11" si="5">B4+10</f>
        <v>5040</v>
      </c>
      <c r="C5">
        <f t="shared" si="0"/>
        <v>0</v>
      </c>
      <c r="D5">
        <f t="shared" si="1"/>
        <v>0</v>
      </c>
      <c r="E5">
        <f t="shared" si="2"/>
        <v>0.01</v>
      </c>
      <c r="F5">
        <f t="shared" si="3"/>
        <v>0.04</v>
      </c>
      <c r="G5">
        <v>1</v>
      </c>
      <c r="H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4"/>
        <v>2050</v>
      </c>
      <c r="B6">
        <f t="shared" si="5"/>
        <v>5050</v>
      </c>
      <c r="C6">
        <f t="shared" si="0"/>
        <v>7.0000000000000007E-2</v>
      </c>
      <c r="D6">
        <f t="shared" si="1"/>
        <v>7.0000000000000007E-2</v>
      </c>
      <c r="E6">
        <f t="shared" si="2"/>
        <v>0.02</v>
      </c>
      <c r="F6">
        <f t="shared" si="3"/>
        <v>0.15</v>
      </c>
      <c r="G6">
        <v>1</v>
      </c>
      <c r="H6">
        <f>C6*1.5+D6*2+E6*0.3+1-C6-D6-E6</f>
        <v>1.0909999999999997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4"/>
        <v>2060</v>
      </c>
      <c r="B7">
        <f t="shared" si="5"/>
        <v>5060</v>
      </c>
      <c r="C7">
        <f t="shared" si="0"/>
        <v>0.12</v>
      </c>
      <c r="D7">
        <f t="shared" si="1"/>
        <v>0.11</v>
      </c>
      <c r="E7">
        <f t="shared" si="2"/>
        <v>0.03</v>
      </c>
      <c r="F7">
        <f t="shared" si="3"/>
        <v>0.19</v>
      </c>
      <c r="G7">
        <v>1</v>
      </c>
      <c r="H7">
        <f t="shared" ref="H7:H11" si="6">C7*1.5+D7*2+E7*0.3+1-C7-D7-E7</f>
        <v>1.149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4"/>
        <v>2070</v>
      </c>
      <c r="B8">
        <f t="shared" si="5"/>
        <v>5070</v>
      </c>
      <c r="C8">
        <f t="shared" si="0"/>
        <v>0.19</v>
      </c>
      <c r="D8">
        <f t="shared" si="1"/>
        <v>0.16</v>
      </c>
      <c r="E8">
        <f t="shared" si="2"/>
        <v>0.04</v>
      </c>
      <c r="F8">
        <f t="shared" si="3"/>
        <v>0.26</v>
      </c>
      <c r="G8">
        <v>1</v>
      </c>
      <c r="H8">
        <f t="shared" si="6"/>
        <v>1.2270000000000001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4"/>
        <v>2080</v>
      </c>
      <c r="B9">
        <f t="shared" si="5"/>
        <v>5080</v>
      </c>
      <c r="C9">
        <f t="shared" si="0"/>
        <v>0.28000000000000003</v>
      </c>
      <c r="D9">
        <f t="shared" si="1"/>
        <v>0.21</v>
      </c>
      <c r="E9">
        <f t="shared" si="2"/>
        <v>0.05</v>
      </c>
      <c r="F9">
        <f t="shared" si="3"/>
        <v>0.33</v>
      </c>
      <c r="G9">
        <v>1</v>
      </c>
      <c r="H9">
        <f t="shared" si="6"/>
        <v>1.3149999999999999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4"/>
        <v>2090</v>
      </c>
      <c r="B10">
        <f t="shared" si="5"/>
        <v>5090</v>
      </c>
      <c r="C10">
        <f t="shared" si="0"/>
        <v>0.36</v>
      </c>
      <c r="D10">
        <f t="shared" si="1"/>
        <v>0.28999999999999998</v>
      </c>
      <c r="E10">
        <f t="shared" si="2"/>
        <v>0.06</v>
      </c>
      <c r="F10">
        <f t="shared" si="3"/>
        <v>0.41</v>
      </c>
      <c r="G10">
        <v>1</v>
      </c>
      <c r="H10">
        <f t="shared" si="6"/>
        <v>1.4279999999999999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4"/>
        <v>2100</v>
      </c>
      <c r="B11">
        <f t="shared" si="5"/>
        <v>5100</v>
      </c>
      <c r="C11">
        <f t="shared" si="0"/>
        <v>0.44</v>
      </c>
      <c r="D11">
        <f t="shared" si="1"/>
        <v>0.35</v>
      </c>
      <c r="E11">
        <f t="shared" si="2"/>
        <v>7.0000000000000007E-2</v>
      </c>
      <c r="F11">
        <f t="shared" si="3"/>
        <v>0.48</v>
      </c>
      <c r="G11">
        <v>1</v>
      </c>
      <c r="H11">
        <f t="shared" si="6"/>
        <v>1.5209999999999997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A12">
        <v>5010</v>
      </c>
      <c r="B12">
        <v>2010</v>
      </c>
      <c r="C12">
        <f t="shared" si="0"/>
        <v>0</v>
      </c>
      <c r="D12">
        <f t="shared" si="1"/>
        <v>0.2</v>
      </c>
      <c r="E12">
        <f t="shared" si="2"/>
        <v>0</v>
      </c>
      <c r="F12">
        <f t="shared" si="3"/>
        <v>0</v>
      </c>
      <c r="G12">
        <f>D12*2+E12*0.3+1-D12-E12</f>
        <v>1.2</v>
      </c>
      <c r="H12">
        <v>1</v>
      </c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A13">
        <f>A12+10</f>
        <v>5020</v>
      </c>
      <c r="B13">
        <f>B12+10</f>
        <v>2020</v>
      </c>
      <c r="C13">
        <f t="shared" si="0"/>
        <v>0</v>
      </c>
      <c r="D13">
        <f t="shared" si="1"/>
        <v>0.22</v>
      </c>
      <c r="E13">
        <f t="shared" si="2"/>
        <v>0</v>
      </c>
      <c r="F13">
        <f t="shared" si="3"/>
        <v>0.01</v>
      </c>
      <c r="G13">
        <f t="shared" ref="G13:G21" si="7">D13*2+E13*0.3+1-D13-E13</f>
        <v>1.22</v>
      </c>
      <c r="H13">
        <v>1</v>
      </c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4" spans="1:24" x14ac:dyDescent="0.15">
      <c r="A14">
        <f>A13+10</f>
        <v>5030</v>
      </c>
      <c r="B14">
        <f t="shared" ref="B14:B21" si="8">B13+10</f>
        <v>2030</v>
      </c>
      <c r="C14">
        <f t="shared" si="0"/>
        <v>0</v>
      </c>
      <c r="D14">
        <f t="shared" si="1"/>
        <v>0.25</v>
      </c>
      <c r="E14">
        <f t="shared" si="2"/>
        <v>0.01</v>
      </c>
      <c r="F14">
        <f t="shared" si="3"/>
        <v>0.01</v>
      </c>
      <c r="G14">
        <f t="shared" si="7"/>
        <v>1.2430000000000001</v>
      </c>
      <c r="H14">
        <v>1</v>
      </c>
    </row>
    <row r="15" spans="1:24" x14ac:dyDescent="0.15">
      <c r="A15">
        <f t="shared" ref="A15:A21" si="9">A14+10</f>
        <v>5040</v>
      </c>
      <c r="B15">
        <f t="shared" si="8"/>
        <v>2040</v>
      </c>
      <c r="C15">
        <f t="shared" si="0"/>
        <v>0</v>
      </c>
      <c r="D15">
        <f t="shared" si="1"/>
        <v>0.28999999999999998</v>
      </c>
      <c r="E15">
        <f t="shared" si="2"/>
        <v>0.01</v>
      </c>
      <c r="F15">
        <f t="shared" si="3"/>
        <v>0.02</v>
      </c>
      <c r="G15">
        <f t="shared" si="7"/>
        <v>1.2829999999999999</v>
      </c>
      <c r="H15">
        <v>1</v>
      </c>
    </row>
    <row r="16" spans="1:24" x14ac:dyDescent="0.15">
      <c r="A16">
        <f t="shared" si="9"/>
        <v>5050</v>
      </c>
      <c r="B16">
        <f t="shared" si="8"/>
        <v>2050</v>
      </c>
      <c r="C16">
        <f t="shared" si="0"/>
        <v>0</v>
      </c>
      <c r="D16">
        <f t="shared" si="1"/>
        <v>0.32</v>
      </c>
      <c r="E16">
        <f t="shared" si="2"/>
        <v>0.02</v>
      </c>
      <c r="F16">
        <f t="shared" si="3"/>
        <v>0.03</v>
      </c>
      <c r="G16">
        <f t="shared" si="7"/>
        <v>1.3059999999999998</v>
      </c>
      <c r="H16">
        <v>1</v>
      </c>
    </row>
    <row r="17" spans="1:21" x14ac:dyDescent="0.15">
      <c r="A17">
        <f t="shared" si="9"/>
        <v>5060</v>
      </c>
      <c r="B17">
        <f t="shared" si="8"/>
        <v>2060</v>
      </c>
      <c r="C17">
        <f t="shared" si="0"/>
        <v>0</v>
      </c>
      <c r="D17">
        <f t="shared" si="1"/>
        <v>0.36</v>
      </c>
      <c r="E17">
        <f t="shared" si="2"/>
        <v>0.03</v>
      </c>
      <c r="F17">
        <f t="shared" si="3"/>
        <v>0.04</v>
      </c>
      <c r="G17">
        <f t="shared" si="7"/>
        <v>1.3390000000000002</v>
      </c>
      <c r="H17">
        <v>1</v>
      </c>
    </row>
    <row r="18" spans="1:21" x14ac:dyDescent="0.15">
      <c r="A18">
        <f t="shared" si="9"/>
        <v>5070</v>
      </c>
      <c r="B18">
        <f t="shared" si="8"/>
        <v>2070</v>
      </c>
      <c r="C18">
        <f t="shared" si="0"/>
        <v>0</v>
      </c>
      <c r="D18">
        <f t="shared" si="1"/>
        <v>0.4</v>
      </c>
      <c r="E18">
        <f t="shared" si="2"/>
        <v>0.04</v>
      </c>
      <c r="F18">
        <f t="shared" si="3"/>
        <v>0.05</v>
      </c>
      <c r="G18">
        <f t="shared" si="7"/>
        <v>1.3719999999999999</v>
      </c>
      <c r="H18">
        <v>1</v>
      </c>
    </row>
    <row r="19" spans="1:21" x14ac:dyDescent="0.15">
      <c r="A19">
        <f t="shared" si="9"/>
        <v>5080</v>
      </c>
      <c r="B19">
        <f t="shared" si="8"/>
        <v>2080</v>
      </c>
      <c r="C19">
        <f t="shared" si="0"/>
        <v>0</v>
      </c>
      <c r="D19">
        <f t="shared" si="1"/>
        <v>0.43</v>
      </c>
      <c r="E19">
        <f t="shared" si="2"/>
        <v>0.05</v>
      </c>
      <c r="F19">
        <f t="shared" si="3"/>
        <v>7.0000000000000007E-2</v>
      </c>
      <c r="G19">
        <f t="shared" si="7"/>
        <v>1.395</v>
      </c>
      <c r="H19">
        <v>1</v>
      </c>
    </row>
    <row r="20" spans="1:21" x14ac:dyDescent="0.15">
      <c r="A20">
        <f t="shared" si="9"/>
        <v>5090</v>
      </c>
      <c r="B20">
        <f t="shared" si="8"/>
        <v>2090</v>
      </c>
      <c r="C20">
        <f t="shared" si="0"/>
        <v>0</v>
      </c>
      <c r="D20">
        <f t="shared" si="1"/>
        <v>0.47</v>
      </c>
      <c r="E20">
        <f t="shared" si="2"/>
        <v>0.06</v>
      </c>
      <c r="F20">
        <f t="shared" si="3"/>
        <v>0.09</v>
      </c>
      <c r="G20">
        <f t="shared" si="7"/>
        <v>1.4279999999999999</v>
      </c>
      <c r="H20">
        <v>1</v>
      </c>
    </row>
    <row r="21" spans="1:21" x14ac:dyDescent="0.15">
      <c r="A21">
        <f t="shared" si="9"/>
        <v>5100</v>
      </c>
      <c r="B21">
        <f t="shared" si="8"/>
        <v>2100</v>
      </c>
      <c r="C21">
        <f t="shared" si="0"/>
        <v>0</v>
      </c>
      <c r="D21">
        <f t="shared" si="1"/>
        <v>0.51</v>
      </c>
      <c r="E21">
        <f t="shared" si="2"/>
        <v>7.0000000000000007E-2</v>
      </c>
      <c r="F21">
        <f t="shared" si="3"/>
        <v>0.11</v>
      </c>
      <c r="G21">
        <f t="shared" si="7"/>
        <v>1.4609999999999999</v>
      </c>
      <c r="H21">
        <v>1</v>
      </c>
    </row>
    <row r="29" spans="1:21" x14ac:dyDescent="0.15">
      <c r="A29" s="8" t="s">
        <v>6</v>
      </c>
      <c r="B29" s="8" t="s">
        <v>3</v>
      </c>
      <c r="C29" s="8" t="s">
        <v>178</v>
      </c>
      <c r="D29" s="8" t="s">
        <v>0</v>
      </c>
      <c r="L29" s="8" t="s">
        <v>6</v>
      </c>
      <c r="M29" s="8" t="s">
        <v>3</v>
      </c>
      <c r="N29" s="8" t="s">
        <v>178</v>
      </c>
      <c r="O29" s="8" t="s">
        <v>0</v>
      </c>
    </row>
    <row r="30" spans="1:21" x14ac:dyDescent="0.15">
      <c r="A30">
        <v>5010</v>
      </c>
      <c r="B30">
        <v>2010</v>
      </c>
      <c r="C30">
        <v>17</v>
      </c>
      <c r="D30">
        <f>MOD(A30,1000)</f>
        <v>10</v>
      </c>
      <c r="L30">
        <f>A30</f>
        <v>5010</v>
      </c>
      <c r="M30">
        <f>B30</f>
        <v>2010</v>
      </c>
      <c r="N30">
        <v>11</v>
      </c>
      <c r="O30">
        <f>MOD(L30,1000)</f>
        <v>10</v>
      </c>
    </row>
    <row r="31" spans="1:21" x14ac:dyDescent="0.15">
      <c r="A31" t="s">
        <v>156</v>
      </c>
      <c r="B31" t="s">
        <v>95</v>
      </c>
      <c r="C31" t="s">
        <v>142</v>
      </c>
      <c r="D31" t="s">
        <v>143</v>
      </c>
      <c r="E31" t="s">
        <v>182</v>
      </c>
      <c r="F31" t="s">
        <v>192</v>
      </c>
      <c r="G31" t="s">
        <v>193</v>
      </c>
      <c r="H31" t="s">
        <v>176</v>
      </c>
      <c r="I31" t="s">
        <v>205</v>
      </c>
      <c r="J31" t="s">
        <v>206</v>
      </c>
      <c r="L31" t="s">
        <v>156</v>
      </c>
      <c r="M31" t="s">
        <v>95</v>
      </c>
      <c r="N31" t="s">
        <v>142</v>
      </c>
      <c r="O31" t="s">
        <v>143</v>
      </c>
      <c r="P31" t="s">
        <v>182</v>
      </c>
      <c r="Q31" t="s">
        <v>192</v>
      </c>
      <c r="R31" t="s">
        <v>193</v>
      </c>
      <c r="S31" t="s">
        <v>176</v>
      </c>
      <c r="T31" t="s">
        <v>205</v>
      </c>
      <c r="U31" t="s">
        <v>206</v>
      </c>
    </row>
    <row r="32" spans="1:21" x14ac:dyDescent="0.15">
      <c r="A32">
        <v>52</v>
      </c>
      <c r="B32" t="s">
        <v>44</v>
      </c>
      <c r="C32">
        <f>INT(C30/(VLOOKUP(A32,技能参数,5,FALSE)+2*VLOOKUP(A32,技能参数,4,FALSE))+1)</f>
        <v>2</v>
      </c>
      <c r="D32">
        <f>VLOOKUP(A32,技能参数,4,FALSE)</f>
        <v>1.5</v>
      </c>
      <c r="E32">
        <f>VLOOKUP(A32*1000+D30,学习等级编码,2)</f>
        <v>5201</v>
      </c>
      <c r="F32">
        <f>INT(VLOOKUP(E32,技能升级,9,FALSE)*C32*I32*J32)</f>
        <v>5000</v>
      </c>
      <c r="G32">
        <f>INT(VLOOKUP(E32,技能升级,10,FALSE)*C32*I32*J32)</f>
        <v>0</v>
      </c>
      <c r="H32">
        <f>INT(VLOOKUP(E32,技能升级,11,FALSE)*C32*I32*J32)</f>
        <v>60</v>
      </c>
      <c r="I32">
        <v>1</v>
      </c>
      <c r="J32">
        <v>1</v>
      </c>
      <c r="L32">
        <v>52</v>
      </c>
      <c r="M32" t="s">
        <v>44</v>
      </c>
      <c r="N32">
        <v>0</v>
      </c>
      <c r="O32">
        <f>VLOOKUP(L32,技能参数,4,FALSE)</f>
        <v>1.5</v>
      </c>
      <c r="P32">
        <f>VLOOKUP(L32*1000+O30,学习等级编码,2)</f>
        <v>5201</v>
      </c>
      <c r="Q32">
        <f>INT(VLOOKUP(P32,技能升级,9,FALSE)*N32*T32*U32)</f>
        <v>0</v>
      </c>
      <c r="R32">
        <f>INT(VLOOKUP(P32,技能升级,10,FALSE)*N32*T32*U32)</f>
        <v>0</v>
      </c>
      <c r="S32">
        <f>INT(VLOOKUP(P32,技能升级,11,FALSE)*N32*T32*U32)</f>
        <v>0</v>
      </c>
      <c r="T32">
        <v>1</v>
      </c>
      <c r="U32">
        <v>1</v>
      </c>
    </row>
    <row r="33" spans="1:21" x14ac:dyDescent="0.15">
      <c r="A33">
        <v>54</v>
      </c>
      <c r="B33" t="s">
        <v>40</v>
      </c>
      <c r="C33">
        <f>INT(C30/(VLOOKUP(A33,技能参数,5,FALSE)+2*VLOOKUP(A33,技能参数,4,FALSE))+1)</f>
        <v>1</v>
      </c>
      <c r="D33">
        <f>VLOOKUP(A33,技能参数,4,FALSE)</f>
        <v>1.2</v>
      </c>
      <c r="E33">
        <f>VLOOKUP(A33*1000+D30,学习等级编码,2)</f>
        <v>5401</v>
      </c>
      <c r="F33">
        <f>INT(VLOOKUP(E33,技能升级,9,FALSE)*C33*I33*J33)</f>
        <v>2000</v>
      </c>
      <c r="G33">
        <f>INT(VLOOKUP(E33,技能升级,10,FALSE)*C33*I33*J33)</f>
        <v>0</v>
      </c>
      <c r="H33">
        <f>INT(VLOOKUP(E33,技能升级,11,FALSE)*C33*I33*J33)</f>
        <v>35</v>
      </c>
      <c r="I33">
        <v>1</v>
      </c>
      <c r="J33">
        <v>1</v>
      </c>
      <c r="L33">
        <v>54</v>
      </c>
      <c r="M33" t="s">
        <v>40</v>
      </c>
      <c r="N33">
        <v>0</v>
      </c>
      <c r="O33">
        <f>VLOOKUP(L33,技能参数,4,FALSE)</f>
        <v>1.2</v>
      </c>
      <c r="P33">
        <f>VLOOKUP(L33*1000+O30,学习等级编码,2)</f>
        <v>5401</v>
      </c>
      <c r="Q33">
        <f>INT(VLOOKUP(P33,技能升级,9,FALSE)*N33*T33*U33)</f>
        <v>0</v>
      </c>
      <c r="R33">
        <f>INT(VLOOKUP(P33,技能升级,10,FALSE)*N33*T33*U33)</f>
        <v>0</v>
      </c>
      <c r="S33">
        <f>INT(VLOOKUP(P33,技能升级,11,FALSE)*N33*T33*U33)</f>
        <v>0</v>
      </c>
      <c r="T33">
        <v>1</v>
      </c>
      <c r="U33">
        <v>1</v>
      </c>
    </row>
    <row r="34" spans="1:21" x14ac:dyDescent="0.15">
      <c r="A34">
        <v>51</v>
      </c>
      <c r="B34" t="s">
        <v>203</v>
      </c>
      <c r="C34">
        <v>2</v>
      </c>
      <c r="D34">
        <f>VLOOKUP(A34,技能参数,4,FALSE)</f>
        <v>0.9</v>
      </c>
      <c r="E34">
        <f>VLOOKUP(A34*1000+D30,学习等级编码,2)</f>
        <v>5102</v>
      </c>
      <c r="F34">
        <f>INT(VLOOKUP(E34,技能升级,9,FALSE)*C34*I34*J34)</f>
        <v>2540</v>
      </c>
      <c r="G34">
        <f>INT(VLOOKUP(E34,技能升级,10,FALSE)*C34*I34*J34)</f>
        <v>0</v>
      </c>
      <c r="H34">
        <f>INT(VLOOKUP(E34,技能升级,11,FALSE)*C34*I34*J34)</f>
        <v>46</v>
      </c>
      <c r="I34">
        <v>1</v>
      </c>
      <c r="J34">
        <v>1</v>
      </c>
      <c r="L34">
        <v>51</v>
      </c>
      <c r="M34" t="s">
        <v>203</v>
      </c>
      <c r="N34">
        <v>2</v>
      </c>
      <c r="O34">
        <f>VLOOKUP(L34,技能参数,4,FALSE)</f>
        <v>0.9</v>
      </c>
      <c r="P34">
        <f>VLOOKUP(L34*1000+O30,学习等级编码,2)</f>
        <v>5102</v>
      </c>
      <c r="Q34">
        <f>INT(VLOOKUP(P34,技能升级,9,FALSE)*N34*T34*U34)</f>
        <v>2540</v>
      </c>
      <c r="R34">
        <f>INT(VLOOKUP(P34,技能升级,10,FALSE)*N34*T34*U34)</f>
        <v>0</v>
      </c>
      <c r="S34">
        <f>INT(VLOOKUP(P34,技能升级,11,FALSE)*N34*T34*U34)</f>
        <v>46</v>
      </c>
      <c r="T34">
        <v>1</v>
      </c>
      <c r="U34">
        <v>1</v>
      </c>
    </row>
    <row r="35" spans="1:21" x14ac:dyDescent="0.15">
      <c r="A35">
        <v>51</v>
      </c>
      <c r="B35" t="s">
        <v>204</v>
      </c>
      <c r="C35">
        <f>INT((C30-C32*D32-C33*D33-D34*C34-C37)/D35*3)</f>
        <v>20</v>
      </c>
      <c r="D35">
        <f>VLOOKUP(A35,技能参数,4,FALSE)</f>
        <v>0.9</v>
      </c>
      <c r="E35">
        <f>VLOOKUP(A35*1000+D30,学习等级编码,2)</f>
        <v>5102</v>
      </c>
      <c r="F35">
        <f>INT(VLOOKUP(E35,技能升级,9,FALSE)*C35*I35*J35)</f>
        <v>12192</v>
      </c>
      <c r="G35">
        <f>INT(VLOOKUP(E35,技能升级,10,FALSE)*C35*I35*J35)</f>
        <v>0</v>
      </c>
      <c r="H35">
        <f>INT(VLOOKUP(E35,技能升级,11,FALSE)*C35*I35*J35)</f>
        <v>220</v>
      </c>
      <c r="I35">
        <f>F36/1000</f>
        <v>0.4</v>
      </c>
      <c r="J35">
        <f>VLOOKUP(A30,$A$2:$I$21,7,FALSE)</f>
        <v>1.2</v>
      </c>
      <c r="L35">
        <v>51</v>
      </c>
      <c r="M35" t="s">
        <v>204</v>
      </c>
      <c r="N35">
        <f>INT((N30-N32*O32-N33*O33-O34*N34-N37)/O35*3)</f>
        <v>30</v>
      </c>
      <c r="O35">
        <f>VLOOKUP(L35,技能参数,4,FALSE)</f>
        <v>0.9</v>
      </c>
      <c r="P35">
        <f>VLOOKUP(L35*1000+O30,学习等级编码,2)</f>
        <v>5102</v>
      </c>
      <c r="Q35">
        <f>INT(VLOOKUP(P35,技能升级,9,FALSE)*N35*T35*U35)</f>
        <v>18288</v>
      </c>
      <c r="R35">
        <f>INT(VLOOKUP(P35,技能升级,10,FALSE)*N35*T35*U35)</f>
        <v>0</v>
      </c>
      <c r="S35">
        <f>INT(VLOOKUP(P35,技能升级,11,FALSE)*N35*T35*U35)</f>
        <v>331</v>
      </c>
      <c r="T35">
        <f>Q36/1000</f>
        <v>0.4</v>
      </c>
      <c r="U35">
        <f>VLOOKUP(L30,$A$2:$I$21,7,FALSE)</f>
        <v>1.2</v>
      </c>
    </row>
    <row r="36" spans="1:21" x14ac:dyDescent="0.15">
      <c r="A36">
        <v>55</v>
      </c>
      <c r="B36" t="s">
        <v>46</v>
      </c>
      <c r="C36">
        <v>1</v>
      </c>
      <c r="D36">
        <v>0</v>
      </c>
      <c r="E36">
        <f>VLOOKUP(A36*1000+D30,学习等级编码,2)</f>
        <v>5501</v>
      </c>
      <c r="F36">
        <f>INT(VLOOKUP(E36,技能升级,9,FALSE)*C36*I36*J36)</f>
        <v>400</v>
      </c>
      <c r="G36">
        <f>INT(VLOOKUP(E36,技能升级,10,FALSE)*C36*I36*J36)</f>
        <v>0</v>
      </c>
      <c r="H36">
        <f>INT(VLOOKUP(E36,技能升级,11,FALSE)*C36*I36*J36)</f>
        <v>0</v>
      </c>
      <c r="I36">
        <v>1</v>
      </c>
      <c r="J36">
        <v>1</v>
      </c>
      <c r="L36">
        <v>55</v>
      </c>
      <c r="M36" t="s">
        <v>46</v>
      </c>
      <c r="N36">
        <v>1</v>
      </c>
      <c r="O36">
        <v>0</v>
      </c>
      <c r="P36">
        <f>VLOOKUP(L36*1000+O30,学习等级编码,2)</f>
        <v>5501</v>
      </c>
      <c r="Q36">
        <f>INT(VLOOKUP(P36,技能升级,9,FALSE)*N36*T36*U36)</f>
        <v>400</v>
      </c>
      <c r="R36">
        <f>INT(VLOOKUP(P36,技能升级,10,FALSE)*N36*T36*U36)</f>
        <v>0</v>
      </c>
      <c r="S36">
        <f>INT(VLOOKUP(P36,技能升级,11,FALSE)*N36*T36*U36)</f>
        <v>0</v>
      </c>
      <c r="T36">
        <v>1</v>
      </c>
      <c r="U36">
        <v>1</v>
      </c>
    </row>
    <row r="37" spans="1:21" x14ac:dyDescent="0.15">
      <c r="B37" t="s">
        <v>411</v>
      </c>
      <c r="C37">
        <f>C46*1.5+2</f>
        <v>5</v>
      </c>
      <c r="M37" t="s">
        <v>411</v>
      </c>
      <c r="N37">
        <v>0</v>
      </c>
    </row>
    <row r="38" spans="1:21" x14ac:dyDescent="0.15">
      <c r="E38" t="s">
        <v>194</v>
      </c>
      <c r="F38">
        <f>SUM(F32:F35)/1000</f>
        <v>21.731999999999999</v>
      </c>
      <c r="G38">
        <f>SUM(G32:G35)/1000</f>
        <v>0</v>
      </c>
      <c r="H38">
        <f>SUM(H32:H35)</f>
        <v>361</v>
      </c>
      <c r="I38" t="s">
        <v>196</v>
      </c>
      <c r="J38" t="s">
        <v>197</v>
      </c>
      <c r="P38" t="s">
        <v>194</v>
      </c>
      <c r="Q38">
        <f>SUM(Q32:Q35)/1000</f>
        <v>20.827999999999999</v>
      </c>
      <c r="R38">
        <f>SUM(R32:R35)/1000</f>
        <v>0</v>
      </c>
      <c r="S38">
        <f>SUM(S32:S35)</f>
        <v>377</v>
      </c>
      <c r="T38" t="s">
        <v>196</v>
      </c>
      <c r="U38" t="s">
        <v>197</v>
      </c>
    </row>
    <row r="39" spans="1:21" x14ac:dyDescent="0.15">
      <c r="E39" t="s">
        <v>195</v>
      </c>
      <c r="F39">
        <f>INT((IF($A30&gt;10000,VLOOKUP($A30,实战属性,13,FALSE),VLOOKUP($A30,总基本属性,7,FALSE))-
IF($B30&gt;10000,VLOOKUP($B30,实战属性,15,FALSE),VLOOKUP($B30,总基本属性,9,FALSE))*$L$13)*F38)</f>
        <v>3238</v>
      </c>
      <c r="G39">
        <f>INT((IF($A30&gt;10000,VLOOKUP($A30,实战属性,14,FALSE),VLOOKUP($A30,总基本属性,8,FALSE))-
IF($B30&gt;10000,VLOOKUP($B30,实战属性,16,FALSE),VLOOKUP($B30,总基本属性,10,FALSE))*$L$13)*G38)</f>
        <v>0</v>
      </c>
      <c r="H39">
        <f>H38+F39+G39</f>
        <v>3599</v>
      </c>
      <c r="I39">
        <f>IF($B30&gt;10000,VLOOKUP($B30,实战属性,12,FALSE),VLOOKUP($B30,总基本属性,6,FALSE))</f>
        <v>3480</v>
      </c>
      <c r="J39">
        <f>ROUND(I39/H39,2)</f>
        <v>0.97</v>
      </c>
      <c r="P39" t="s">
        <v>195</v>
      </c>
      <c r="Q39">
        <f>INT((IF($A30&gt;10000,VLOOKUP($A30,实战属性,13,FALSE),VLOOKUP($A30,总基本属性,7,FALSE))-
IF($B30&gt;10000,VLOOKUP($B30,实战属性,15,FALSE),VLOOKUP($B30,总基本属性,9,FALSE))*$L$13)*Q38)</f>
        <v>3103</v>
      </c>
      <c r="R39">
        <f>INT((IF($A30&gt;10000,VLOOKUP($A30,实战属性,14,FALSE),VLOOKUP($A30,总基本属性,8,FALSE))-
IF($B30&gt;10000,VLOOKUP($B30,实战属性,16,FALSE),VLOOKUP($B30,总基本属性,10,FALSE))*$L$13)*R38)</f>
        <v>0</v>
      </c>
      <c r="S39">
        <f>S38+Q39+R39</f>
        <v>3480</v>
      </c>
      <c r="T39">
        <f>IF($B30&gt;10000,VLOOKUP($B30,实战属性,12,FALSE),VLOOKUP($B30,总基本属性,6,FALSE))</f>
        <v>3480</v>
      </c>
      <c r="U39">
        <f>ROUND(T39/S39,2)</f>
        <v>1</v>
      </c>
    </row>
    <row r="42" spans="1:21" x14ac:dyDescent="0.15">
      <c r="A42" s="9" t="s">
        <v>3</v>
      </c>
      <c r="B42" s="9" t="s">
        <v>416</v>
      </c>
      <c r="C42" s="9" t="s">
        <v>178</v>
      </c>
      <c r="D42" s="9" t="s">
        <v>0</v>
      </c>
    </row>
    <row r="43" spans="1:21" x14ac:dyDescent="0.15">
      <c r="A43">
        <v>2010</v>
      </c>
      <c r="B43">
        <v>5010</v>
      </c>
      <c r="C43">
        <v>12</v>
      </c>
      <c r="D43">
        <f>MOD(A43,1000)</f>
        <v>10</v>
      </c>
    </row>
    <row r="44" spans="1:21" x14ac:dyDescent="0.15">
      <c r="A44" t="s">
        <v>156</v>
      </c>
      <c r="B44" t="s">
        <v>95</v>
      </c>
      <c r="C44" t="s">
        <v>177</v>
      </c>
      <c r="D44" t="s">
        <v>143</v>
      </c>
      <c r="E44" t="s">
        <v>182</v>
      </c>
      <c r="F44" t="s">
        <v>192</v>
      </c>
      <c r="G44" t="s">
        <v>193</v>
      </c>
      <c r="H44" t="s">
        <v>176</v>
      </c>
      <c r="I44" t="s">
        <v>205</v>
      </c>
      <c r="J44" t="s">
        <v>206</v>
      </c>
    </row>
    <row r="45" spans="1:21" x14ac:dyDescent="0.15">
      <c r="A45">
        <v>25</v>
      </c>
      <c r="B45" t="s">
        <v>23</v>
      </c>
      <c r="C45">
        <v>1</v>
      </c>
      <c r="D45">
        <f>VLOOKUP(A45,技能参数,4,FALSE)</f>
        <v>2</v>
      </c>
      <c r="E45">
        <f>IFERROR(VLOOKUP(A45*1000+D43,学习等级编码,2),0)</f>
        <v>2501</v>
      </c>
      <c r="F45">
        <f t="shared" ref="F45:F46" si="10">IFERROR(INT(VLOOKUP($E45,技能升级,9,FALSE)*$C45*I45*J45),0)</f>
        <v>5000</v>
      </c>
      <c r="G45">
        <f t="shared" ref="G45:G48" si="11">IFERROR(INT(VLOOKUP($E45,技能升级,10,FALSE)*$C45*I45*J45),0)</f>
        <v>0</v>
      </c>
      <c r="H45">
        <f>INT(VLOOKUP($E45,技能升级,11,FALSE)*$C45*I45*J45)</f>
        <v>66</v>
      </c>
      <c r="I45">
        <v>1</v>
      </c>
      <c r="J45">
        <v>1</v>
      </c>
    </row>
    <row r="46" spans="1:21" x14ac:dyDescent="0.15">
      <c r="A46">
        <v>23</v>
      </c>
      <c r="B46" t="s">
        <v>24</v>
      </c>
      <c r="C46">
        <f>INT((C43-D46-D47*3)/(VLOOKUP(A46,技能参数,5,FALSE)+2*VLOOKUP(A46,技能参数,4,FALSE))+1)+1</f>
        <v>2</v>
      </c>
      <c r="D46">
        <f>VLOOKUP(A46,技能参数,4,FALSE)</f>
        <v>1</v>
      </c>
      <c r="E46">
        <f>IFERROR(VLOOKUP(A46*1000+D43,学习等级编码,2),0)</f>
        <v>2301</v>
      </c>
      <c r="F46">
        <f t="shared" si="10"/>
        <v>2000</v>
      </c>
      <c r="G46">
        <f t="shared" si="11"/>
        <v>0</v>
      </c>
      <c r="H46">
        <f>INT(VLOOKUP($E46,技能升级,11,FALSE)*$C46*I46*J46)</f>
        <v>44</v>
      </c>
      <c r="I46">
        <v>1</v>
      </c>
      <c r="J46">
        <v>1</v>
      </c>
    </row>
    <row r="47" spans="1:21" x14ac:dyDescent="0.15">
      <c r="A47">
        <v>22</v>
      </c>
      <c r="B47" t="s">
        <v>22</v>
      </c>
      <c r="C47">
        <f>INT((C43-D46-D47*3)/(VLOOKUP(A47,技能参数,5,FALSE)+2*VLOOKUP(A47,技能参数,4,FALSE))+1)+3</f>
        <v>4</v>
      </c>
      <c r="D47">
        <f>VLOOKUP(A47,技能参数,4,FALSE)</f>
        <v>1.5</v>
      </c>
      <c r="E47">
        <f>IFERROR(VLOOKUP(A47*1000+D43,学习等级编码,2),0)</f>
        <v>2201</v>
      </c>
      <c r="F47">
        <f>IFERROR(INT(VLOOKUP($E47,技能升级,9,FALSE)*$C47*I47*J47),0)</f>
        <v>10800</v>
      </c>
      <c r="G47">
        <f t="shared" si="11"/>
        <v>0</v>
      </c>
      <c r="H47">
        <f>INT(VLOOKUP($E47,技能升级,11,FALSE)*$C47*I47*J47)</f>
        <v>200</v>
      </c>
      <c r="I47">
        <v>1</v>
      </c>
      <c r="J47">
        <f>VLOOKUP(A43,$A$2:$H$21,8,FALSE)</f>
        <v>1</v>
      </c>
    </row>
    <row r="48" spans="1:21" x14ac:dyDescent="0.15">
      <c r="A48">
        <v>21</v>
      </c>
      <c r="B48" t="s">
        <v>90</v>
      </c>
      <c r="C48">
        <f>INT((C43-C45*D45-C46*D46-C47*D47-C49)/D48)</f>
        <v>0</v>
      </c>
      <c r="D48">
        <f>VLOOKUP(A48,技能参数,4,FALSE)</f>
        <v>1</v>
      </c>
      <c r="E48">
        <f>IFERROR(VLOOKUP(A48*1000+D43,学习等级编码,2),0)</f>
        <v>2102</v>
      </c>
      <c r="F48">
        <f>IFERROR(INT(VLOOKUP($E48,技能升级,9,FALSE)*$C48*I48*J48),0)</f>
        <v>0</v>
      </c>
      <c r="G48">
        <f t="shared" si="11"/>
        <v>0</v>
      </c>
      <c r="H48">
        <f>INT(VLOOKUP($E48,技能升级,11,FALSE)*$C48*I48*J48)</f>
        <v>0</v>
      </c>
      <c r="I48">
        <v>1</v>
      </c>
      <c r="J48">
        <f>VLOOKUP(A43,$A$2:$H$21,8,FALSE)</f>
        <v>1</v>
      </c>
    </row>
    <row r="49" spans="1:21" x14ac:dyDescent="0.15">
      <c r="B49" t="s">
        <v>418</v>
      </c>
      <c r="C49">
        <f>C32*D34</f>
        <v>1.8</v>
      </c>
      <c r="K49" t="s">
        <v>430</v>
      </c>
    </row>
    <row r="50" spans="1:21" x14ac:dyDescent="0.15">
      <c r="E50" t="s">
        <v>194</v>
      </c>
      <c r="F50">
        <f>SUM(F45:F48)/1000</f>
        <v>17.8</v>
      </c>
      <c r="G50">
        <f>SUM(G45:G48)/1000</f>
        <v>0</v>
      </c>
      <c r="H50">
        <f>SUM(H45:H48)</f>
        <v>310</v>
      </c>
      <c r="I50" t="s">
        <v>196</v>
      </c>
      <c r="J50" t="s">
        <v>197</v>
      </c>
    </row>
    <row r="51" spans="1:21" x14ac:dyDescent="0.15">
      <c r="E51" t="s">
        <v>195</v>
      </c>
      <c r="F51">
        <f>INT((IF($A43&gt;10000,VLOOKUP($A43,实战属性,13,FALSE),VLOOKUP($A43,总基本属性,7,FALSE))-
IF($B43&gt;10000,VLOOKUP($B43,实战属性,15,FALSE),VLOOKUP($B43,总基本属性,9,FALSE))*$L$13)*F50)</f>
        <v>2732</v>
      </c>
      <c r="G51">
        <f>INT((IF($A43&gt;10000,VLOOKUP($A43,实战属性,14,FALSE),VLOOKUP($A43,总基本属性,8,FALSE))-
IF($B43&gt;10000,VLOOKUP($B43,实战属性,16,FALSE),VLOOKUP($B43,总基本属性,10,FALSE))*$L$13)*G50)</f>
        <v>0</v>
      </c>
      <c r="H51">
        <f>H50+F51+G51</f>
        <v>3042</v>
      </c>
      <c r="I51">
        <f>IF($B43&gt;10000,VLOOKUP($B43,实战属性,12,FALSE),VLOOKUP($B43,总基本属性,6,FALSE))</f>
        <v>2784</v>
      </c>
      <c r="J51">
        <f>ROUND(I51/H51,2)</f>
        <v>0.92</v>
      </c>
    </row>
    <row r="55" spans="1:21" x14ac:dyDescent="0.15">
      <c r="A55" s="8" t="s">
        <v>6</v>
      </c>
      <c r="B55" s="8" t="s">
        <v>3</v>
      </c>
      <c r="C55" s="8" t="s">
        <v>178</v>
      </c>
      <c r="D55" s="8" t="s">
        <v>0</v>
      </c>
      <c r="L55" s="8" t="s">
        <v>6</v>
      </c>
      <c r="M55" s="8" t="s">
        <v>3</v>
      </c>
      <c r="N55" s="8" t="s">
        <v>178</v>
      </c>
      <c r="O55" s="8" t="s">
        <v>0</v>
      </c>
    </row>
    <row r="56" spans="1:21" x14ac:dyDescent="0.15">
      <c r="A56">
        <f>A30+10</f>
        <v>5020</v>
      </c>
      <c r="B56">
        <f>B30+10</f>
        <v>2020</v>
      </c>
      <c r="C56">
        <v>19</v>
      </c>
      <c r="D56">
        <f>MOD(A56,1000)</f>
        <v>20</v>
      </c>
      <c r="L56">
        <f>A56</f>
        <v>5020</v>
      </c>
      <c r="M56">
        <f>B56</f>
        <v>2020</v>
      </c>
      <c r="N56">
        <v>13</v>
      </c>
      <c r="O56">
        <f>MOD(L56,1000)</f>
        <v>20</v>
      </c>
    </row>
    <row r="57" spans="1:21" x14ac:dyDescent="0.15">
      <c r="A57" t="s">
        <v>156</v>
      </c>
      <c r="B57" t="s">
        <v>95</v>
      </c>
      <c r="C57" t="s">
        <v>142</v>
      </c>
      <c r="D57" t="s">
        <v>143</v>
      </c>
      <c r="E57" t="s">
        <v>182</v>
      </c>
      <c r="F57" t="s">
        <v>192</v>
      </c>
      <c r="G57" t="s">
        <v>193</v>
      </c>
      <c r="H57" t="s">
        <v>176</v>
      </c>
      <c r="I57" t="s">
        <v>205</v>
      </c>
      <c r="J57" t="s">
        <v>206</v>
      </c>
      <c r="L57" t="s">
        <v>156</v>
      </c>
      <c r="M57" t="s">
        <v>95</v>
      </c>
      <c r="N57" t="s">
        <v>142</v>
      </c>
      <c r="O57" t="s">
        <v>143</v>
      </c>
      <c r="P57" t="s">
        <v>182</v>
      </c>
      <c r="Q57" t="s">
        <v>192</v>
      </c>
      <c r="R57" t="s">
        <v>193</v>
      </c>
      <c r="S57" t="s">
        <v>176</v>
      </c>
      <c r="T57" t="s">
        <v>205</v>
      </c>
      <c r="U57" t="s">
        <v>206</v>
      </c>
    </row>
    <row r="58" spans="1:21" x14ac:dyDescent="0.15">
      <c r="A58">
        <v>52</v>
      </c>
      <c r="B58" t="s">
        <v>44</v>
      </c>
      <c r="C58">
        <f>INT(C56/(VLOOKUP(A58,技能参数,5,FALSE)+2*VLOOKUP(A58,技能参数,4,FALSE))+1)</f>
        <v>2</v>
      </c>
      <c r="D58">
        <f>VLOOKUP(A58,技能参数,4,FALSE)</f>
        <v>1.5</v>
      </c>
      <c r="E58">
        <f>VLOOKUP(A58*1000+D56,学习等级编码,2)</f>
        <v>5202</v>
      </c>
      <c r="F58">
        <f>INT(VLOOKUP($E58,技能升级,9,FALSE)*$C58*I58*J58)</f>
        <v>5160</v>
      </c>
      <c r="G58">
        <f>INT(VLOOKUP($E58,技能升级,10,FALSE)*$C58*I58*J58)</f>
        <v>0</v>
      </c>
      <c r="H58">
        <f>INT(VLOOKUP($E58,技能升级,11,FALSE)*$C58*I58*J58)</f>
        <v>88</v>
      </c>
      <c r="I58">
        <v>1</v>
      </c>
      <c r="J58">
        <v>1</v>
      </c>
      <c r="L58">
        <v>52</v>
      </c>
      <c r="M58" t="s">
        <v>44</v>
      </c>
      <c r="N58">
        <v>0</v>
      </c>
      <c r="O58">
        <f>VLOOKUP(L58,技能参数,4,FALSE)</f>
        <v>1.5</v>
      </c>
      <c r="P58">
        <f>VLOOKUP(L58*1000+O56,学习等级编码,2)</f>
        <v>5202</v>
      </c>
      <c r="Q58">
        <f>INT(VLOOKUP(P58,技能升级,9,FALSE)*N58*T58*U58)</f>
        <v>0</v>
      </c>
      <c r="R58">
        <f>INT(VLOOKUP(P58,技能升级,10,FALSE)*N58*T58*U58)</f>
        <v>0</v>
      </c>
      <c r="S58">
        <f>INT(VLOOKUP(P58,技能升级,11,FALSE)*N58*T58*U58)</f>
        <v>0</v>
      </c>
      <c r="T58">
        <v>1</v>
      </c>
      <c r="U58">
        <v>1</v>
      </c>
    </row>
    <row r="59" spans="1:21" x14ac:dyDescent="0.15">
      <c r="A59">
        <v>54</v>
      </c>
      <c r="B59" t="s">
        <v>40</v>
      </c>
      <c r="C59">
        <f>INT(C56/(VLOOKUP(A59,技能参数,5,FALSE)+2*VLOOKUP(A59,技能参数,4,FALSE))+1)</f>
        <v>1</v>
      </c>
      <c r="D59">
        <f>VLOOKUP(A59,技能参数,4,FALSE)</f>
        <v>1.2</v>
      </c>
      <c r="E59">
        <f>VLOOKUP(A59*1000+D56,学习等级编码,2)</f>
        <v>5402</v>
      </c>
      <c r="F59">
        <f>INT(VLOOKUP($E59,技能升级,9,FALSE)*$C59*I59*J59)</f>
        <v>2070</v>
      </c>
      <c r="G59">
        <f>INT(VLOOKUP($E59,技能升级,10,FALSE)*$C59*I59*J59)</f>
        <v>0</v>
      </c>
      <c r="H59">
        <f>INT(VLOOKUP($E59,技能升级,11,FALSE)*$C59*I59*J59)</f>
        <v>55</v>
      </c>
      <c r="I59">
        <v>1</v>
      </c>
      <c r="J59">
        <v>1</v>
      </c>
      <c r="L59">
        <v>54</v>
      </c>
      <c r="M59" t="s">
        <v>40</v>
      </c>
      <c r="N59">
        <v>0</v>
      </c>
      <c r="O59">
        <f>VLOOKUP(L59,技能参数,4,FALSE)</f>
        <v>1.2</v>
      </c>
      <c r="P59">
        <f>VLOOKUP(L59*1000+O56,学习等级编码,2)</f>
        <v>5402</v>
      </c>
      <c r="Q59">
        <f>INT(VLOOKUP(P59,技能升级,9,FALSE)*N59*T59*U59)</f>
        <v>0</v>
      </c>
      <c r="R59">
        <f>INT(VLOOKUP(P59,技能升级,10,FALSE)*N59*T59*U59)</f>
        <v>0</v>
      </c>
      <c r="S59">
        <f>INT(VLOOKUP(P59,技能升级,11,FALSE)*N59*T59*U59)</f>
        <v>0</v>
      </c>
      <c r="T59">
        <v>1</v>
      </c>
      <c r="U59">
        <v>1</v>
      </c>
    </row>
    <row r="60" spans="1:21" x14ac:dyDescent="0.15">
      <c r="A60">
        <v>51</v>
      </c>
      <c r="B60" t="s">
        <v>203</v>
      </c>
      <c r="C60">
        <v>2</v>
      </c>
      <c r="D60">
        <f>VLOOKUP(A60,技能参数,4,FALSE)</f>
        <v>0.9</v>
      </c>
      <c r="E60">
        <f>VLOOKUP(A60*1000+D56,学习等级编码,2)</f>
        <v>5103</v>
      </c>
      <c r="F60">
        <f>INT(VLOOKUP($E60,技能升级,9,FALSE)*$C60*I60*J60)</f>
        <v>2580</v>
      </c>
      <c r="G60">
        <f>INT(VLOOKUP($E60,技能升级,10,FALSE)*$C60*I60*J60)</f>
        <v>0</v>
      </c>
      <c r="H60">
        <f>INT(VLOOKUP($E60,技能升级,11,FALSE)*$C60*I60*J60)</f>
        <v>74</v>
      </c>
      <c r="I60">
        <v>1</v>
      </c>
      <c r="J60">
        <v>1</v>
      </c>
      <c r="L60">
        <v>51</v>
      </c>
      <c r="M60" t="s">
        <v>203</v>
      </c>
      <c r="N60">
        <v>2</v>
      </c>
      <c r="O60">
        <f>VLOOKUP(L60,技能参数,4,FALSE)</f>
        <v>0.9</v>
      </c>
      <c r="P60">
        <f>VLOOKUP(L60*1000+O56,学习等级编码,2)</f>
        <v>5103</v>
      </c>
      <c r="Q60">
        <f>INT(VLOOKUP(P60,技能升级,9,FALSE)*N60*T60*U60)</f>
        <v>2580</v>
      </c>
      <c r="R60">
        <f>INT(VLOOKUP(P60,技能升级,10,FALSE)*N60*T60*U60)</f>
        <v>0</v>
      </c>
      <c r="S60">
        <f>INT(VLOOKUP(P60,技能升级,11,FALSE)*N60*T60*U60)</f>
        <v>74</v>
      </c>
      <c r="T60">
        <v>1</v>
      </c>
      <c r="U60">
        <v>1</v>
      </c>
    </row>
    <row r="61" spans="1:21" x14ac:dyDescent="0.15">
      <c r="A61">
        <v>51</v>
      </c>
      <c r="B61" t="s">
        <v>204</v>
      </c>
      <c r="C61">
        <f>INT((C56-C58*D58-C59*D59-D60*C60-C63)/D61*3)</f>
        <v>26</v>
      </c>
      <c r="D61">
        <f>VLOOKUP(A61,技能参数,4,FALSE)</f>
        <v>0.9</v>
      </c>
      <c r="E61">
        <f>VLOOKUP(A61*1000+D56,学习等级编码,2)</f>
        <v>5103</v>
      </c>
      <c r="F61">
        <f>INT(VLOOKUP($E61,技能升级,9,FALSE)*$C61*I61*J61)</f>
        <v>16367</v>
      </c>
      <c r="G61">
        <f>INT(VLOOKUP($E61,技能升级,10,FALSE)*$C61*I61*J61)</f>
        <v>0</v>
      </c>
      <c r="H61">
        <f>INT(VLOOKUP($E61,技能升级,11,FALSE)*$C61*I61*J61)</f>
        <v>469</v>
      </c>
      <c r="I61">
        <f>F62/1000</f>
        <v>0.4</v>
      </c>
      <c r="J61">
        <f>VLOOKUP(A56,$A$2:$I$21,7,FALSE)</f>
        <v>1.22</v>
      </c>
      <c r="L61">
        <v>51</v>
      </c>
      <c r="M61" t="s">
        <v>204</v>
      </c>
      <c r="N61">
        <f>INT((N56-N58*O58-N59*O59-O60*N60-N63)/O61*3)</f>
        <v>37</v>
      </c>
      <c r="O61">
        <f>VLOOKUP(L61,技能参数,4,FALSE)</f>
        <v>0.9</v>
      </c>
      <c r="P61">
        <f>VLOOKUP(L61*1000+O56,学习等级编码,2)</f>
        <v>5103</v>
      </c>
      <c r="Q61">
        <f>INT(VLOOKUP(P61,技能升级,9,FALSE)*N61*T61*U61)</f>
        <v>23292</v>
      </c>
      <c r="R61">
        <f>INT(VLOOKUP(P61,技能升级,10,FALSE)*N61*T61*U61)</f>
        <v>0</v>
      </c>
      <c r="S61">
        <f>INT(VLOOKUP(P61,技能升级,11,FALSE)*N61*T61*U61)</f>
        <v>668</v>
      </c>
      <c r="T61">
        <f>Q62/1000</f>
        <v>0.4</v>
      </c>
      <c r="U61">
        <f>VLOOKUP(L56,$A$2:$I$21,7,FALSE)</f>
        <v>1.22</v>
      </c>
    </row>
    <row r="62" spans="1:21" x14ac:dyDescent="0.15">
      <c r="A62">
        <v>55</v>
      </c>
      <c r="B62" t="s">
        <v>46</v>
      </c>
      <c r="C62">
        <v>1</v>
      </c>
      <c r="D62">
        <v>0</v>
      </c>
      <c r="E62">
        <f>VLOOKUP(A62*1000+D56,学习等级编码,2)</f>
        <v>5501</v>
      </c>
      <c r="F62">
        <f>INT(VLOOKUP($E62,技能升级,14,FALSE)*$C62*I62)</f>
        <v>400</v>
      </c>
      <c r="G62">
        <f>INT(VLOOKUP($E62,技能升级,10,FALSE)*$C62*I62)</f>
        <v>0</v>
      </c>
      <c r="H62">
        <f>INT(VLOOKUP($E62,技能升级,11,FALSE)*$C62*I62*J62)</f>
        <v>0</v>
      </c>
      <c r="I62">
        <v>1</v>
      </c>
      <c r="J62">
        <v>1</v>
      </c>
      <c r="L62">
        <v>55</v>
      </c>
      <c r="M62" t="s">
        <v>46</v>
      </c>
      <c r="N62">
        <v>1</v>
      </c>
      <c r="O62">
        <v>0</v>
      </c>
      <c r="P62">
        <f>VLOOKUP(L62*1000+O56,学习等级编码,2)</f>
        <v>5501</v>
      </c>
      <c r="Q62">
        <f>INT(VLOOKUP(P62,技能升级,9,FALSE)*N62*T62*U62)</f>
        <v>400</v>
      </c>
      <c r="R62">
        <f>INT(VLOOKUP(P62,技能升级,10,FALSE)*N62*T62*U62)</f>
        <v>0</v>
      </c>
      <c r="S62">
        <f>INT(VLOOKUP(P62,技能升级,11,FALSE)*N62*T62*U62)</f>
        <v>0</v>
      </c>
      <c r="T62">
        <v>1</v>
      </c>
      <c r="U62">
        <v>1</v>
      </c>
    </row>
    <row r="63" spans="1:21" x14ac:dyDescent="0.15">
      <c r="B63" t="s">
        <v>411</v>
      </c>
      <c r="C63">
        <f>C72*1.5+2</f>
        <v>5</v>
      </c>
      <c r="M63" t="s">
        <v>411</v>
      </c>
      <c r="N63">
        <v>0</v>
      </c>
    </row>
    <row r="64" spans="1:21" x14ac:dyDescent="0.15">
      <c r="E64" t="s">
        <v>194</v>
      </c>
      <c r="F64">
        <f>SUM(F58:F61)/1000</f>
        <v>26.177</v>
      </c>
      <c r="G64">
        <f>SUM(G58:G61)/1000</f>
        <v>0</v>
      </c>
      <c r="H64">
        <f>SUM(H58:H61)</f>
        <v>686</v>
      </c>
      <c r="I64" t="s">
        <v>196</v>
      </c>
      <c r="J64" t="s">
        <v>197</v>
      </c>
      <c r="P64" t="s">
        <v>194</v>
      </c>
      <c r="Q64">
        <f>SUM(Q58:Q61)/1000</f>
        <v>25.872</v>
      </c>
      <c r="R64">
        <f>SUM(R58:R61)/1000</f>
        <v>0</v>
      </c>
      <c r="S64">
        <f>SUM(S58:S61)</f>
        <v>742</v>
      </c>
      <c r="T64" t="s">
        <v>196</v>
      </c>
      <c r="U64" t="s">
        <v>197</v>
      </c>
    </row>
    <row r="65" spans="1:21" x14ac:dyDescent="0.15">
      <c r="E65" t="s">
        <v>195</v>
      </c>
      <c r="F65">
        <f>INT((IF($A56&gt;10000,VLOOKUP($A56,实战属性,13,FALSE),VLOOKUP($A56,总基本属性,7,FALSE))-
IF($B56&gt;10000,VLOOKUP($B56,实战属性,15,FALSE),VLOOKUP($B56,总基本属性,9,FALSE))*$L$13)*F64)</f>
        <v>9894</v>
      </c>
      <c r="G65">
        <f>INT((IF($A56&gt;10000,VLOOKUP($A56,实战属性,14,FALSE),VLOOKUP($A56,总基本属性,8,FALSE))-
IF($B56&gt;10000,VLOOKUP($B56,实战属性,16,FALSE),VLOOKUP($B56,总基本属性,10,FALSE))*$L$13)*G64)</f>
        <v>0</v>
      </c>
      <c r="H65">
        <f>H64+F65+G65</f>
        <v>10580</v>
      </c>
      <c r="I65">
        <f>IF($B56&gt;10000,VLOOKUP($B56,实战属性,12,FALSE),VLOOKUP($B56,总基本属性,6,FALSE))</f>
        <v>10440</v>
      </c>
      <c r="J65">
        <f>ROUND(I65/H65,2)</f>
        <v>0.99</v>
      </c>
      <c r="P65" t="s">
        <v>195</v>
      </c>
      <c r="Q65">
        <f>INT((IF($A56&gt;10000,VLOOKUP($A56,实战属性,13,FALSE),VLOOKUP($A56,总基本属性,7,FALSE))-
IF($B56&gt;10000,VLOOKUP($B56,实战属性,15,FALSE),VLOOKUP($B56,总基本属性,9,FALSE))*$L$13)*Q64)</f>
        <v>9779</v>
      </c>
      <c r="R65">
        <f>INT((IF($A56&gt;10000,VLOOKUP($A56,实战属性,14,FALSE),VLOOKUP($A56,总基本属性,8,FALSE))-
IF($B56&gt;10000,VLOOKUP($B56,实战属性,16,FALSE),VLOOKUP($B56,总基本属性,10,FALSE))*$L$13)*R64)</f>
        <v>0</v>
      </c>
      <c r="S65">
        <f>S64+Q65+R65</f>
        <v>10521</v>
      </c>
      <c r="T65">
        <f>IF($B56&gt;10000,VLOOKUP($B56,实战属性,12,FALSE),VLOOKUP($B56,总基本属性,6,FALSE))</f>
        <v>10440</v>
      </c>
      <c r="U65">
        <f>ROUND(T65/S65,2)</f>
        <v>0.99</v>
      </c>
    </row>
    <row r="68" spans="1:21" x14ac:dyDescent="0.15">
      <c r="A68" s="9" t="s">
        <v>3</v>
      </c>
      <c r="B68" s="9" t="s">
        <v>416</v>
      </c>
      <c r="C68" s="9" t="s">
        <v>178</v>
      </c>
      <c r="D68" s="9" t="s">
        <v>0</v>
      </c>
    </row>
    <row r="69" spans="1:21" x14ac:dyDescent="0.15">
      <c r="A69">
        <f>A43+10</f>
        <v>2020</v>
      </c>
      <c r="B69">
        <f>B43+10</f>
        <v>5020</v>
      </c>
      <c r="C69">
        <v>13</v>
      </c>
      <c r="D69">
        <f>MOD(A69,1000)</f>
        <v>20</v>
      </c>
    </row>
    <row r="70" spans="1:21" x14ac:dyDescent="0.15">
      <c r="A70" t="s">
        <v>156</v>
      </c>
      <c r="B70" t="s">
        <v>95</v>
      </c>
      <c r="C70" t="s">
        <v>177</v>
      </c>
      <c r="D70" t="s">
        <v>143</v>
      </c>
      <c r="E70" t="s">
        <v>182</v>
      </c>
      <c r="F70" t="s">
        <v>192</v>
      </c>
      <c r="G70" t="s">
        <v>193</v>
      </c>
      <c r="H70" t="s">
        <v>176</v>
      </c>
      <c r="I70" t="s">
        <v>205</v>
      </c>
      <c r="J70" t="s">
        <v>206</v>
      </c>
    </row>
    <row r="71" spans="1:21" x14ac:dyDescent="0.15">
      <c r="A71">
        <v>25</v>
      </c>
      <c r="B71" t="s">
        <v>23</v>
      </c>
      <c r="C71">
        <v>1</v>
      </c>
      <c r="D71">
        <f>VLOOKUP(A71,技能参数,4,FALSE)</f>
        <v>2</v>
      </c>
      <c r="E71">
        <f>IFERROR(VLOOKUP(A71*1000+D69,学习等级编码,2),0)</f>
        <v>2501</v>
      </c>
      <c r="F71">
        <f t="shared" ref="F71:F72" si="12">IFERROR(INT(VLOOKUP($E71,技能升级,9,FALSE)*$C71*I71*J71),0)</f>
        <v>5000</v>
      </c>
      <c r="G71">
        <f t="shared" ref="G71:G74" si="13">IFERROR(INT(VLOOKUP($E71,技能升级,10,FALSE)*$C71*I71*J71),0)</f>
        <v>0</v>
      </c>
      <c r="H71">
        <f>INT(VLOOKUP($E71,技能升级,11,FALSE)*$C71*I71*J71)</f>
        <v>66</v>
      </c>
      <c r="I71">
        <v>1</v>
      </c>
      <c r="J71">
        <v>1</v>
      </c>
    </row>
    <row r="72" spans="1:21" x14ac:dyDescent="0.15">
      <c r="A72">
        <v>23</v>
      </c>
      <c r="B72" t="s">
        <v>24</v>
      </c>
      <c r="C72">
        <f>INT((C69-D72-D73*3)/(VLOOKUP(A72,技能参数,5,FALSE)+2*VLOOKUP(A72,技能参数,4,FALSE))+1)+1</f>
        <v>2</v>
      </c>
      <c r="D72">
        <f>VLOOKUP(A72,技能参数,4,FALSE)</f>
        <v>1</v>
      </c>
      <c r="E72">
        <f>IFERROR(VLOOKUP(A72*1000+D69,学习等级编码,2),0)</f>
        <v>2302</v>
      </c>
      <c r="F72">
        <f t="shared" si="12"/>
        <v>2060</v>
      </c>
      <c r="G72">
        <f t="shared" si="13"/>
        <v>0</v>
      </c>
      <c r="H72">
        <f>INT(VLOOKUP($E72,技能升级,11,FALSE)*$C72*I72*J72)</f>
        <v>80</v>
      </c>
      <c r="I72">
        <v>1</v>
      </c>
      <c r="J72">
        <v>1</v>
      </c>
    </row>
    <row r="73" spans="1:21" x14ac:dyDescent="0.15">
      <c r="A73">
        <v>22</v>
      </c>
      <c r="B73" t="s">
        <v>22</v>
      </c>
      <c r="C73">
        <f>INT((C69-D72-D73*3)/(VLOOKUP(A73,技能参数,5,FALSE)+2*VLOOKUP(A73,技能参数,4,FALSE))+1)+3</f>
        <v>4</v>
      </c>
      <c r="D73">
        <f>VLOOKUP(A73,技能参数,4,FALSE)</f>
        <v>1.5</v>
      </c>
      <c r="E73">
        <f>IFERROR(VLOOKUP(A73*1000+D69,学习等级编码,2),0)</f>
        <v>2202</v>
      </c>
      <c r="F73">
        <f>IFERROR(INT(VLOOKUP($E73,技能升级,9,FALSE)*$C73*I73*J73),0)</f>
        <v>11040</v>
      </c>
      <c r="G73">
        <f t="shared" si="13"/>
        <v>0</v>
      </c>
      <c r="H73">
        <f>INT(VLOOKUP($E73,技能升级,11,FALSE)*$C73*I73*J73)</f>
        <v>256</v>
      </c>
      <c r="I73">
        <v>1</v>
      </c>
      <c r="J73">
        <f>VLOOKUP(A69,$A$2:$H$21,8,FALSE)</f>
        <v>1</v>
      </c>
    </row>
    <row r="74" spans="1:21" x14ac:dyDescent="0.15">
      <c r="A74">
        <v>21</v>
      </c>
      <c r="B74" t="s">
        <v>90</v>
      </c>
      <c r="C74">
        <f>INT((C69-C71*D71-C72*D72-C73*D73-C75)/D74)</f>
        <v>1</v>
      </c>
      <c r="D74">
        <f>VLOOKUP(A74,技能参数,4,FALSE)</f>
        <v>1</v>
      </c>
      <c r="E74">
        <f>IFERROR(VLOOKUP(A74*1000+D69,学习等级编码,2),0)</f>
        <v>2103</v>
      </c>
      <c r="F74">
        <f>IFERROR(INT(VLOOKUP($E74,技能升级,9,FALSE)*$C74*I74*J74),0)</f>
        <v>1070</v>
      </c>
      <c r="G74">
        <f t="shared" si="13"/>
        <v>0</v>
      </c>
      <c r="H74">
        <f>INT(VLOOKUP($E74,技能升级,11,FALSE)*$C74*I74*J74)</f>
        <v>37</v>
      </c>
      <c r="I74">
        <v>1</v>
      </c>
      <c r="J74">
        <f>VLOOKUP(A69,$A$2:$H$21,8,FALSE)</f>
        <v>1</v>
      </c>
    </row>
    <row r="75" spans="1:21" x14ac:dyDescent="0.15">
      <c r="B75" t="s">
        <v>418</v>
      </c>
      <c r="C75">
        <f>C58*D60</f>
        <v>1.8</v>
      </c>
    </row>
    <row r="76" spans="1:21" x14ac:dyDescent="0.15">
      <c r="E76" t="s">
        <v>194</v>
      </c>
      <c r="F76">
        <f>SUM(F71:F74)/1000</f>
        <v>19.170000000000002</v>
      </c>
      <c r="G76">
        <f>SUM(G71:G74)/1000</f>
        <v>0</v>
      </c>
      <c r="H76">
        <f>SUM(H71:H74)</f>
        <v>439</v>
      </c>
      <c r="I76" t="s">
        <v>196</v>
      </c>
      <c r="J76" t="s">
        <v>197</v>
      </c>
    </row>
    <row r="77" spans="1:21" x14ac:dyDescent="0.15">
      <c r="E77" t="s">
        <v>195</v>
      </c>
      <c r="F77">
        <f>INT((IF($A69&gt;10000,VLOOKUP($A69,实战属性,13,FALSE),VLOOKUP($A69,总基本属性,7,FALSE))-
IF($B69&gt;10000,VLOOKUP($B69,实战属性,15,FALSE),VLOOKUP($B69,总基本属性,9,FALSE))*$L$13)*F76)</f>
        <v>7945</v>
      </c>
      <c r="G77">
        <f>INT((IF($A69&gt;10000,VLOOKUP($A69,实战属性,14,FALSE),VLOOKUP($A69,总基本属性,8,FALSE))-
IF($B69&gt;10000,VLOOKUP($B69,实战属性,16,FALSE),VLOOKUP($B69,总基本属性,10,FALSE))*$L$13)*G76)</f>
        <v>0</v>
      </c>
      <c r="H77">
        <f>H76+F77+G77</f>
        <v>8384</v>
      </c>
      <c r="I77">
        <f>IF($B69&gt;10000,VLOOKUP($B69,实战属性,12,FALSE),VLOOKUP($B69,总基本属性,6,FALSE))</f>
        <v>8352</v>
      </c>
      <c r="J77">
        <f>ROUND(I77/H77,2)</f>
        <v>1</v>
      </c>
    </row>
    <row r="81" spans="1:21" x14ac:dyDescent="0.15">
      <c r="A81" s="8" t="s">
        <v>6</v>
      </c>
      <c r="B81" s="8" t="s">
        <v>3</v>
      </c>
      <c r="C81" s="8" t="s">
        <v>178</v>
      </c>
      <c r="D81" s="8" t="s">
        <v>0</v>
      </c>
      <c r="L81" s="8" t="s">
        <v>6</v>
      </c>
      <c r="M81" s="8" t="s">
        <v>3</v>
      </c>
      <c r="N81" s="8" t="s">
        <v>178</v>
      </c>
      <c r="O81" s="8" t="s">
        <v>0</v>
      </c>
    </row>
    <row r="82" spans="1:21" x14ac:dyDescent="0.15">
      <c r="A82">
        <f>A56+10</f>
        <v>5030</v>
      </c>
      <c r="B82">
        <f>B56+10</f>
        <v>2030</v>
      </c>
      <c r="C82">
        <v>19</v>
      </c>
      <c r="D82">
        <f>MOD(A82,1000)</f>
        <v>30</v>
      </c>
      <c r="L82">
        <f>A82</f>
        <v>5030</v>
      </c>
      <c r="M82">
        <f>B82</f>
        <v>2030</v>
      </c>
      <c r="N82">
        <v>13</v>
      </c>
      <c r="O82">
        <f>MOD(L82,1000)</f>
        <v>30</v>
      </c>
    </row>
    <row r="83" spans="1:21" x14ac:dyDescent="0.15">
      <c r="A83" t="s">
        <v>156</v>
      </c>
      <c r="B83" t="s">
        <v>95</v>
      </c>
      <c r="C83" t="s">
        <v>142</v>
      </c>
      <c r="D83" t="s">
        <v>143</v>
      </c>
      <c r="E83" t="s">
        <v>182</v>
      </c>
      <c r="F83" t="s">
        <v>192</v>
      </c>
      <c r="G83" t="s">
        <v>193</v>
      </c>
      <c r="H83" t="s">
        <v>176</v>
      </c>
      <c r="I83" t="s">
        <v>205</v>
      </c>
      <c r="J83" t="s">
        <v>206</v>
      </c>
      <c r="L83" t="s">
        <v>156</v>
      </c>
      <c r="M83" t="s">
        <v>95</v>
      </c>
      <c r="N83" t="s">
        <v>142</v>
      </c>
      <c r="O83" t="s">
        <v>143</v>
      </c>
      <c r="P83" t="s">
        <v>182</v>
      </c>
      <c r="Q83" t="s">
        <v>192</v>
      </c>
      <c r="R83" t="s">
        <v>193</v>
      </c>
      <c r="S83" t="s">
        <v>176</v>
      </c>
      <c r="T83" t="s">
        <v>205</v>
      </c>
      <c r="U83" t="s">
        <v>206</v>
      </c>
    </row>
    <row r="84" spans="1:21" x14ac:dyDescent="0.15">
      <c r="A84">
        <v>52</v>
      </c>
      <c r="B84" t="s">
        <v>44</v>
      </c>
      <c r="C84">
        <f>INT(C82/(VLOOKUP(A84,技能参数,5,FALSE)+2*VLOOKUP(A84,技能参数,4,FALSE))+1)</f>
        <v>2</v>
      </c>
      <c r="D84">
        <f>VLOOKUP(A84,技能参数,4,FALSE)</f>
        <v>1.5</v>
      </c>
      <c r="E84">
        <f>VLOOKUP(A84*1000+D82,学习等级编码,2)</f>
        <v>5203</v>
      </c>
      <c r="F84">
        <f>INT(VLOOKUP($E84,技能升级,9,FALSE)*$C84*I84*J84)</f>
        <v>5340</v>
      </c>
      <c r="G84">
        <f>INT(VLOOKUP($E84,技能升级,10,FALSE)*$C84*I84*J84)</f>
        <v>0</v>
      </c>
      <c r="H84">
        <f>INT(VLOOKUP($E84,技能升级,11,FALSE)*$C84*I84*J84)</f>
        <v>146</v>
      </c>
      <c r="I84">
        <v>1</v>
      </c>
      <c r="J84">
        <v>1</v>
      </c>
      <c r="L84">
        <v>52</v>
      </c>
      <c r="M84" t="s">
        <v>44</v>
      </c>
      <c r="N84">
        <v>0</v>
      </c>
      <c r="O84">
        <f>VLOOKUP(L84,技能参数,4,FALSE)</f>
        <v>1.5</v>
      </c>
      <c r="P84">
        <f>VLOOKUP(L84*1000+O82,学习等级编码,2)</f>
        <v>5203</v>
      </c>
      <c r="Q84">
        <f>INT(VLOOKUP(P84,技能升级,9,FALSE)*N84*T84*U84)</f>
        <v>0</v>
      </c>
      <c r="R84">
        <f>INT(VLOOKUP(P84,技能升级,10,FALSE)*N84*T84*U84)</f>
        <v>0</v>
      </c>
      <c r="S84">
        <f>INT(VLOOKUP(P84,技能升级,11,FALSE)*N84*T84*U84)</f>
        <v>0</v>
      </c>
      <c r="T84">
        <v>1</v>
      </c>
      <c r="U84">
        <v>1</v>
      </c>
    </row>
    <row r="85" spans="1:21" x14ac:dyDescent="0.15">
      <c r="A85">
        <v>54</v>
      </c>
      <c r="B85" t="s">
        <v>40</v>
      </c>
      <c r="C85">
        <f>INT(C82/(VLOOKUP(A85,技能参数,5,FALSE)+2*VLOOKUP(A85,技能参数,4,FALSE))+1)</f>
        <v>1</v>
      </c>
      <c r="D85">
        <f>VLOOKUP(A85,技能参数,4,FALSE)</f>
        <v>1.2</v>
      </c>
      <c r="E85">
        <f>VLOOKUP(A85*1000+D82,学习等级编码,2)</f>
        <v>5403</v>
      </c>
      <c r="F85">
        <f>INT(VLOOKUP($E85,技能升级,9,FALSE)*$C85*I85*J85)</f>
        <v>2130</v>
      </c>
      <c r="G85">
        <f>INT(VLOOKUP($E85,技能升级,10,FALSE)*$C85*I85*J85)</f>
        <v>0</v>
      </c>
      <c r="H85">
        <f>INT(VLOOKUP($E85,技能升级,11,FALSE)*$C85*I85*J85)</f>
        <v>90</v>
      </c>
      <c r="I85">
        <v>1</v>
      </c>
      <c r="J85">
        <v>1</v>
      </c>
      <c r="L85">
        <v>54</v>
      </c>
      <c r="M85" t="s">
        <v>40</v>
      </c>
      <c r="N85">
        <v>0</v>
      </c>
      <c r="O85">
        <f>VLOOKUP(L85,技能参数,4,FALSE)</f>
        <v>1.2</v>
      </c>
      <c r="P85">
        <f>VLOOKUP(L85*1000+O82,学习等级编码,2)</f>
        <v>5403</v>
      </c>
      <c r="Q85">
        <f>INT(VLOOKUP(P85,技能升级,9,FALSE)*N85*T85*U85)</f>
        <v>0</v>
      </c>
      <c r="R85">
        <f>INT(VLOOKUP(P85,技能升级,10,FALSE)*N85*T85*U85)</f>
        <v>0</v>
      </c>
      <c r="S85">
        <f>INT(VLOOKUP(P85,技能升级,11,FALSE)*N85*T85*U85)</f>
        <v>0</v>
      </c>
      <c r="T85">
        <v>1</v>
      </c>
      <c r="U85">
        <v>1</v>
      </c>
    </row>
    <row r="86" spans="1:21" x14ac:dyDescent="0.15">
      <c r="A86">
        <v>51</v>
      </c>
      <c r="B86" t="s">
        <v>203</v>
      </c>
      <c r="C86">
        <v>2</v>
      </c>
      <c r="D86">
        <f>VLOOKUP(A86,技能参数,4,FALSE)</f>
        <v>0.9</v>
      </c>
      <c r="E86">
        <f>VLOOKUP(A86*1000+D82,学习等级编码,2)</f>
        <v>5105</v>
      </c>
      <c r="F86">
        <f>INT(VLOOKUP($E86,技能升级,9,FALSE)*$C86*I86*J86)</f>
        <v>2680</v>
      </c>
      <c r="G86">
        <f>INT(VLOOKUP($E86,技能升级,10,FALSE)*$C86*I86*J86)</f>
        <v>0</v>
      </c>
      <c r="H86">
        <f>INT(VLOOKUP($E86,技能升级,11,FALSE)*$C86*I86*J86)</f>
        <v>176</v>
      </c>
      <c r="I86">
        <v>1</v>
      </c>
      <c r="J86">
        <v>1</v>
      </c>
      <c r="L86">
        <v>51</v>
      </c>
      <c r="M86" t="s">
        <v>203</v>
      </c>
      <c r="N86">
        <v>2</v>
      </c>
      <c r="O86">
        <f>VLOOKUP(L86,技能参数,4,FALSE)</f>
        <v>0.9</v>
      </c>
      <c r="P86">
        <f>VLOOKUP(L86*1000+O82,学习等级编码,2)</f>
        <v>5105</v>
      </c>
      <c r="Q86">
        <f>INT(VLOOKUP(P86,技能升级,9,FALSE)*N86*T86*U86)</f>
        <v>2680</v>
      </c>
      <c r="R86">
        <f>INT(VLOOKUP(P86,技能升级,10,FALSE)*N86*T86*U86)</f>
        <v>0</v>
      </c>
      <c r="S86">
        <f>INT(VLOOKUP(P86,技能升级,11,FALSE)*N86*T86*U86)</f>
        <v>176</v>
      </c>
      <c r="T86">
        <v>1</v>
      </c>
      <c r="U86">
        <v>1</v>
      </c>
    </row>
    <row r="87" spans="1:21" x14ac:dyDescent="0.15">
      <c r="A87">
        <v>51</v>
      </c>
      <c r="B87" t="s">
        <v>204</v>
      </c>
      <c r="C87">
        <f>INT((C82-C84*D84-C85*D85-D86*C86-C89)/D87*3)</f>
        <v>26</v>
      </c>
      <c r="D87">
        <f>VLOOKUP(A87,技能参数,4,FALSE)</f>
        <v>0.9</v>
      </c>
      <c r="E87">
        <f>VLOOKUP(A87*1000+D82,学习等级编码,2)</f>
        <v>5105</v>
      </c>
      <c r="F87">
        <f>INT(VLOOKUP($E87,技能升级,9,FALSE)*$C87*I87*J87)</f>
        <v>18188</v>
      </c>
      <c r="G87">
        <f>INT(VLOOKUP($E87,技能升级,10,FALSE)*$C87*I87*J87)</f>
        <v>0</v>
      </c>
      <c r="H87">
        <f>INT(VLOOKUP($E87,技能升级,11,FALSE)*$C87*I87*J87)</f>
        <v>1194</v>
      </c>
      <c r="I87">
        <f>F88/1000</f>
        <v>0.42</v>
      </c>
      <c r="J87">
        <f>VLOOKUP(A82,$A$2:$I$21,7,FALSE)</f>
        <v>1.2430000000000001</v>
      </c>
      <c r="L87">
        <v>51</v>
      </c>
      <c r="M87" t="s">
        <v>204</v>
      </c>
      <c r="N87">
        <f>INT((N82-N84*O84-N85*O85-O86*N86-N89)/O87*3)</f>
        <v>37</v>
      </c>
      <c r="O87">
        <f>VLOOKUP(L87,技能参数,4,FALSE)</f>
        <v>0.9</v>
      </c>
      <c r="P87">
        <f>VLOOKUP(L87*1000+O82,学习等级编码,2)</f>
        <v>5105</v>
      </c>
      <c r="Q87">
        <f>INT(VLOOKUP(P87,技能升级,9,FALSE)*N87*T87*U87)</f>
        <v>25883</v>
      </c>
      <c r="R87">
        <f>INT(VLOOKUP(P87,技能升级,10,FALSE)*N87*T87*U87)</f>
        <v>0</v>
      </c>
      <c r="S87">
        <f>INT(VLOOKUP(P87,技能升级,11,FALSE)*N87*T87*U87)</f>
        <v>1699</v>
      </c>
      <c r="T87">
        <f>Q88/1000</f>
        <v>0.42</v>
      </c>
      <c r="U87">
        <f>VLOOKUP(L82,$A$2:$I$21,7,FALSE)</f>
        <v>1.2430000000000001</v>
      </c>
    </row>
    <row r="88" spans="1:21" x14ac:dyDescent="0.15">
      <c r="A88">
        <v>55</v>
      </c>
      <c r="B88" t="s">
        <v>46</v>
      </c>
      <c r="C88">
        <v>1</v>
      </c>
      <c r="D88">
        <v>0</v>
      </c>
      <c r="E88">
        <f>VLOOKUP(A88*1000+D82,学习等级编码,2)</f>
        <v>5502</v>
      </c>
      <c r="F88">
        <f>INT(VLOOKUP($E88,技能升级,14,FALSE)*$C88*I88)</f>
        <v>420</v>
      </c>
      <c r="G88">
        <f>INT(VLOOKUP($E88,技能升级,10,FALSE)*$C88*I88)</f>
        <v>0</v>
      </c>
      <c r="H88">
        <f>INT(VLOOKUP($E88,技能升级,11,FALSE)*$C88*I88*J88)</f>
        <v>0</v>
      </c>
      <c r="I88">
        <v>1</v>
      </c>
      <c r="J88">
        <v>1</v>
      </c>
      <c r="L88">
        <v>55</v>
      </c>
      <c r="M88" t="s">
        <v>46</v>
      </c>
      <c r="N88">
        <v>1</v>
      </c>
      <c r="O88">
        <v>0</v>
      </c>
      <c r="P88">
        <f>VLOOKUP(L88*1000+O82,学习等级编码,2)</f>
        <v>5502</v>
      </c>
      <c r="Q88">
        <f>INT(VLOOKUP(P88,技能升级,9,FALSE)*N88*T88*U88)</f>
        <v>420</v>
      </c>
      <c r="R88">
        <f>INT(VLOOKUP(P88,技能升级,10,FALSE)*N88*T88*U88)</f>
        <v>0</v>
      </c>
      <c r="S88">
        <f>INT(VLOOKUP(P88,技能升级,11,FALSE)*N88*T88*U88)</f>
        <v>0</v>
      </c>
      <c r="T88">
        <v>1</v>
      </c>
      <c r="U88">
        <v>1</v>
      </c>
    </row>
    <row r="89" spans="1:21" x14ac:dyDescent="0.15">
      <c r="B89" t="s">
        <v>411</v>
      </c>
      <c r="C89">
        <f>C98*1.5+2</f>
        <v>5</v>
      </c>
      <c r="M89" t="s">
        <v>411</v>
      </c>
      <c r="N89">
        <v>0</v>
      </c>
    </row>
    <row r="90" spans="1:21" x14ac:dyDescent="0.15">
      <c r="E90" t="s">
        <v>194</v>
      </c>
      <c r="F90">
        <f>SUM(F84:F87)/1000</f>
        <v>28.338000000000001</v>
      </c>
      <c r="G90">
        <f>SUM(G84:G87)/1000</f>
        <v>0</v>
      </c>
      <c r="H90">
        <f>SUM(H84:H87)</f>
        <v>1606</v>
      </c>
      <c r="I90" t="s">
        <v>196</v>
      </c>
      <c r="J90" t="s">
        <v>197</v>
      </c>
      <c r="P90" t="s">
        <v>194</v>
      </c>
      <c r="Q90">
        <f>SUM(Q84:Q87)/1000</f>
        <v>28.562999999999999</v>
      </c>
      <c r="R90">
        <f>SUM(R84:R87)/1000</f>
        <v>0</v>
      </c>
      <c r="S90">
        <f>SUM(S84:S87)</f>
        <v>1875</v>
      </c>
      <c r="T90" t="s">
        <v>196</v>
      </c>
      <c r="U90" t="s">
        <v>197</v>
      </c>
    </row>
    <row r="91" spans="1:21" x14ac:dyDescent="0.15">
      <c r="E91" t="s">
        <v>195</v>
      </c>
      <c r="F91">
        <f>INT((IF($A82&gt;10000,VLOOKUP($A82,实战属性,13,FALSE),VLOOKUP($A82,总基本属性,7,FALSE))-
IF($B82&gt;10000,VLOOKUP($B82,实战属性,15,FALSE),VLOOKUP($B82,总基本属性,9,FALSE))*$L$13)*F90)</f>
        <v>19312</v>
      </c>
      <c r="G91">
        <f>INT((IF($A82&gt;10000,VLOOKUP($A82,实战属性,14,FALSE),VLOOKUP($A82,总基本属性,8,FALSE))-
IF($B82&gt;10000,VLOOKUP($B82,实战属性,16,FALSE),VLOOKUP($B82,总基本属性,10,FALSE))*$L$13)*G90)</f>
        <v>0</v>
      </c>
      <c r="H91">
        <f>H90+F91+G91</f>
        <v>20918</v>
      </c>
      <c r="I91">
        <f>IF($B82&gt;10000,VLOOKUP($B82,实战属性,12,FALSE),VLOOKUP($B82,总基本属性,6,FALSE))</f>
        <v>21480</v>
      </c>
      <c r="J91">
        <f>ROUND(I91/H91,2)</f>
        <v>1.03</v>
      </c>
      <c r="P91" t="s">
        <v>195</v>
      </c>
      <c r="Q91">
        <f>INT((IF($A82&gt;10000,VLOOKUP($A82,实战属性,13,FALSE),VLOOKUP($A82,总基本属性,7,FALSE))-
IF($B82&gt;10000,VLOOKUP($B82,实战属性,15,FALSE),VLOOKUP($B82,总基本属性,9,FALSE))*$L$13)*Q90)</f>
        <v>19465</v>
      </c>
      <c r="R91">
        <f>INT((IF($A82&gt;10000,VLOOKUP($A82,实战属性,14,FALSE),VLOOKUP($A82,总基本属性,8,FALSE))-
IF($B82&gt;10000,VLOOKUP($B82,实战属性,16,FALSE),VLOOKUP($B82,总基本属性,10,FALSE))*$L$13)*R90)</f>
        <v>0</v>
      </c>
      <c r="S91">
        <f>S90+Q91+R91</f>
        <v>21340</v>
      </c>
      <c r="T91">
        <f>IF($B82&gt;10000,VLOOKUP($B82,实战属性,12,FALSE),VLOOKUP($B82,总基本属性,6,FALSE))</f>
        <v>21480</v>
      </c>
      <c r="U91">
        <f>ROUND(T91/S91,2)</f>
        <v>1.01</v>
      </c>
    </row>
    <row r="94" spans="1:21" x14ac:dyDescent="0.15">
      <c r="A94" s="9" t="s">
        <v>3</v>
      </c>
      <c r="B94" s="9" t="s">
        <v>416</v>
      </c>
      <c r="C94" s="9" t="s">
        <v>178</v>
      </c>
      <c r="D94" s="9" t="s">
        <v>0</v>
      </c>
    </row>
    <row r="95" spans="1:21" x14ac:dyDescent="0.15">
      <c r="A95">
        <f>A69+10</f>
        <v>2030</v>
      </c>
      <c r="B95">
        <f>B69+10</f>
        <v>5030</v>
      </c>
      <c r="C95">
        <v>13</v>
      </c>
      <c r="D95">
        <f>MOD(A95,1000)</f>
        <v>30</v>
      </c>
    </row>
    <row r="96" spans="1:21" x14ac:dyDescent="0.15">
      <c r="A96" t="s">
        <v>156</v>
      </c>
      <c r="B96" t="s">
        <v>95</v>
      </c>
      <c r="C96" t="s">
        <v>177</v>
      </c>
      <c r="D96" t="s">
        <v>143</v>
      </c>
      <c r="E96" t="s">
        <v>182</v>
      </c>
      <c r="F96" t="s">
        <v>192</v>
      </c>
      <c r="G96" t="s">
        <v>193</v>
      </c>
      <c r="H96" t="s">
        <v>176</v>
      </c>
      <c r="I96" t="s">
        <v>205</v>
      </c>
      <c r="J96" t="s">
        <v>206</v>
      </c>
    </row>
    <row r="97" spans="1:21" x14ac:dyDescent="0.15">
      <c r="A97">
        <v>25</v>
      </c>
      <c r="B97" t="s">
        <v>23</v>
      </c>
      <c r="C97">
        <v>1</v>
      </c>
      <c r="D97">
        <f>VLOOKUP(A97,技能参数,4,FALSE)</f>
        <v>2</v>
      </c>
      <c r="E97">
        <f>IFERROR(VLOOKUP(A97*1000+D95,学习等级编码,2),0)</f>
        <v>2502</v>
      </c>
      <c r="F97">
        <f t="shared" ref="F97:F98" si="14">IFERROR(INT(VLOOKUP($E97,技能升级,9,FALSE)*$C97*I97*J97),0)</f>
        <v>5250</v>
      </c>
      <c r="G97">
        <f t="shared" ref="G97:G100" si="15">IFERROR(INT(VLOOKUP($E97,技能升级,10,FALSE)*$C97*I97*J97),0)</f>
        <v>0</v>
      </c>
      <c r="H97">
        <f>INT(VLOOKUP($E97,技能升级,11,FALSE)*$C97*I97*J97)</f>
        <v>103</v>
      </c>
      <c r="I97">
        <v>1</v>
      </c>
      <c r="J97">
        <v>1</v>
      </c>
    </row>
    <row r="98" spans="1:21" x14ac:dyDescent="0.15">
      <c r="A98">
        <v>23</v>
      </c>
      <c r="B98" t="s">
        <v>24</v>
      </c>
      <c r="C98">
        <f>INT((C95-D98-D99*3)/(VLOOKUP(A98,技能参数,5,FALSE)+2*VLOOKUP(A98,技能参数,4,FALSE))+1)+1</f>
        <v>2</v>
      </c>
      <c r="D98">
        <f>VLOOKUP(A98,技能参数,4,FALSE)</f>
        <v>1</v>
      </c>
      <c r="E98">
        <f>IFERROR(VLOOKUP(A98*1000+D95,学习等级编码,2),0)</f>
        <v>2303</v>
      </c>
      <c r="F98">
        <f t="shared" si="14"/>
        <v>2140</v>
      </c>
      <c r="G98">
        <f t="shared" si="15"/>
        <v>0</v>
      </c>
      <c r="H98">
        <f>INT(VLOOKUP($E98,技能升级,11,FALSE)*$C98*I98*J98)</f>
        <v>142</v>
      </c>
      <c r="I98">
        <v>1</v>
      </c>
      <c r="J98">
        <v>1</v>
      </c>
    </row>
    <row r="99" spans="1:21" x14ac:dyDescent="0.15">
      <c r="A99">
        <v>22</v>
      </c>
      <c r="B99" t="s">
        <v>22</v>
      </c>
      <c r="C99">
        <f>INT((C95-D98-D99*3)/(VLOOKUP(A99,技能参数,5,FALSE)+2*VLOOKUP(A99,技能参数,4,FALSE))+1)+3</f>
        <v>4</v>
      </c>
      <c r="D99">
        <f>VLOOKUP(A99,技能参数,4,FALSE)</f>
        <v>1.5</v>
      </c>
      <c r="E99">
        <f>IFERROR(VLOOKUP(A99*1000+D95,学习等级编码,2),0)</f>
        <v>2203</v>
      </c>
      <c r="F99">
        <f>IFERROR(INT(VLOOKUP($E99,技能升级,9,FALSE)*$C99*I99*J99),0)</f>
        <v>11280</v>
      </c>
      <c r="G99">
        <f t="shared" si="15"/>
        <v>0</v>
      </c>
      <c r="H99">
        <f>INT(VLOOKUP($E99,技能升级,11,FALSE)*$C99*I99*J99)</f>
        <v>372</v>
      </c>
      <c r="I99">
        <v>1</v>
      </c>
      <c r="J99">
        <f>VLOOKUP(A95,$A$2:$H$21,8,FALSE)</f>
        <v>1</v>
      </c>
    </row>
    <row r="100" spans="1:21" x14ac:dyDescent="0.15">
      <c r="A100">
        <v>21</v>
      </c>
      <c r="B100" t="s">
        <v>90</v>
      </c>
      <c r="C100">
        <f>INT((C95-C97*D97-C98*D98-C99*D99-C101)/D100)</f>
        <v>1</v>
      </c>
      <c r="D100">
        <f>VLOOKUP(A100,技能参数,4,FALSE)</f>
        <v>1</v>
      </c>
      <c r="E100">
        <f>IFERROR(VLOOKUP(A100*1000+D95,学习等级编码,2),0)</f>
        <v>2105</v>
      </c>
      <c r="F100">
        <f>IFERROR(INT(VLOOKUP($E100,技能升级,9,FALSE)*$C100*I100*J100),0)</f>
        <v>1140</v>
      </c>
      <c r="G100">
        <f t="shared" si="15"/>
        <v>0</v>
      </c>
      <c r="H100">
        <f>INT(VLOOKUP($E100,技能升级,11,FALSE)*$C100*I100*J100)</f>
        <v>88</v>
      </c>
      <c r="I100">
        <v>1</v>
      </c>
      <c r="J100">
        <f>VLOOKUP(A95,$A$2:$H$21,8,FALSE)</f>
        <v>1</v>
      </c>
    </row>
    <row r="101" spans="1:21" x14ac:dyDescent="0.15">
      <c r="B101" t="s">
        <v>418</v>
      </c>
      <c r="C101">
        <f>C84*D86</f>
        <v>1.8</v>
      </c>
    </row>
    <row r="102" spans="1:21" x14ac:dyDescent="0.15">
      <c r="E102" t="s">
        <v>194</v>
      </c>
      <c r="F102">
        <f>SUM(F97:F100)/1000</f>
        <v>19.809999999999999</v>
      </c>
      <c r="G102">
        <f>SUM(G97:G100)/1000</f>
        <v>0</v>
      </c>
      <c r="H102">
        <f>SUM(H97:H100)</f>
        <v>705</v>
      </c>
      <c r="I102" t="s">
        <v>196</v>
      </c>
      <c r="J102" t="s">
        <v>197</v>
      </c>
    </row>
    <row r="103" spans="1:21" x14ac:dyDescent="0.15">
      <c r="E103" t="s">
        <v>195</v>
      </c>
      <c r="F103">
        <f>INT((IF($A95&gt;10000,VLOOKUP($A95,实战属性,13,FALSE),VLOOKUP($A95,总基本属性,7,FALSE))-
IF($B95&gt;10000,VLOOKUP($B95,实战属性,15,FALSE),VLOOKUP($B95,总基本属性,9,FALSE))*$L$13)*F102)</f>
        <v>16036</v>
      </c>
      <c r="G103">
        <f>INT((IF($A95&gt;10000,VLOOKUP($A95,实战属性,14,FALSE),VLOOKUP($A95,总基本属性,8,FALSE))-
IF($B95&gt;10000,VLOOKUP($B95,实战属性,16,FALSE),VLOOKUP($B95,总基本属性,10,FALSE))*$L$13)*G102)</f>
        <v>0</v>
      </c>
      <c r="H103">
        <f>H102+F103+G103</f>
        <v>16741</v>
      </c>
      <c r="I103">
        <f>IF($B95&gt;10000,VLOOKUP($B95,实战属性,12,FALSE),VLOOKUP($B95,总基本属性,6,FALSE))</f>
        <v>17184</v>
      </c>
      <c r="J103">
        <f>ROUND(I103/H103,2)</f>
        <v>1.03</v>
      </c>
    </row>
    <row r="107" spans="1:21" x14ac:dyDescent="0.15">
      <c r="A107" s="8" t="s">
        <v>6</v>
      </c>
      <c r="B107" s="8" t="s">
        <v>3</v>
      </c>
      <c r="C107" s="8" t="s">
        <v>178</v>
      </c>
      <c r="D107" s="8" t="s">
        <v>0</v>
      </c>
      <c r="L107" s="8" t="s">
        <v>6</v>
      </c>
      <c r="M107" s="8" t="s">
        <v>3</v>
      </c>
      <c r="N107" s="8" t="s">
        <v>178</v>
      </c>
      <c r="O107" s="8" t="s">
        <v>0</v>
      </c>
    </row>
    <row r="108" spans="1:21" x14ac:dyDescent="0.15">
      <c r="A108">
        <f>A82+10</f>
        <v>5040</v>
      </c>
      <c r="B108">
        <f>B82+10</f>
        <v>2040</v>
      </c>
      <c r="C108">
        <v>19</v>
      </c>
      <c r="D108">
        <f>MOD(A108,1000)</f>
        <v>40</v>
      </c>
      <c r="L108">
        <f>A108</f>
        <v>5040</v>
      </c>
      <c r="M108">
        <f>B108</f>
        <v>2040</v>
      </c>
      <c r="N108">
        <v>13</v>
      </c>
      <c r="O108">
        <f>MOD(L108,1000)</f>
        <v>40</v>
      </c>
    </row>
    <row r="109" spans="1:21" x14ac:dyDescent="0.15">
      <c r="A109" t="s">
        <v>156</v>
      </c>
      <c r="B109" t="s">
        <v>95</v>
      </c>
      <c r="C109" t="s">
        <v>142</v>
      </c>
      <c r="D109" t="s">
        <v>143</v>
      </c>
      <c r="E109" t="s">
        <v>182</v>
      </c>
      <c r="F109" t="s">
        <v>192</v>
      </c>
      <c r="G109" t="s">
        <v>193</v>
      </c>
      <c r="H109" t="s">
        <v>176</v>
      </c>
      <c r="I109" t="s">
        <v>205</v>
      </c>
      <c r="J109" t="s">
        <v>206</v>
      </c>
      <c r="L109" t="s">
        <v>156</v>
      </c>
      <c r="M109" t="s">
        <v>95</v>
      </c>
      <c r="N109" t="s">
        <v>142</v>
      </c>
      <c r="O109" t="s">
        <v>143</v>
      </c>
      <c r="P109" t="s">
        <v>182</v>
      </c>
      <c r="Q109" t="s">
        <v>192</v>
      </c>
      <c r="R109" t="s">
        <v>193</v>
      </c>
      <c r="S109" t="s">
        <v>176</v>
      </c>
      <c r="T109" t="s">
        <v>205</v>
      </c>
      <c r="U109" t="s">
        <v>206</v>
      </c>
    </row>
    <row r="110" spans="1:21" x14ac:dyDescent="0.15">
      <c r="A110">
        <v>52</v>
      </c>
      <c r="B110" t="s">
        <v>44</v>
      </c>
      <c r="C110">
        <f>INT(C108/(VLOOKUP(A110,技能参数,5,FALSE)+2*VLOOKUP(A110,技能参数,4,FALSE))+1)</f>
        <v>2</v>
      </c>
      <c r="D110">
        <f>VLOOKUP(A110,技能参数,4,FALSE)</f>
        <v>1.5</v>
      </c>
      <c r="E110">
        <f>VLOOKUP(A110*1000+D108,学习等级编码,2)</f>
        <v>5204</v>
      </c>
      <c r="F110">
        <f>INT(VLOOKUP($E110,技能升级,9,FALSE)*$C110*I110*J110)</f>
        <v>5500</v>
      </c>
      <c r="G110">
        <f>INT(VLOOKUP($E110,技能升级,10,FALSE)*$C110*I110*J110)</f>
        <v>0</v>
      </c>
      <c r="H110">
        <f>INT(VLOOKUP($E110,技能升级,11,FALSE)*$C110*I110*J110)</f>
        <v>234</v>
      </c>
      <c r="I110">
        <v>1</v>
      </c>
      <c r="J110">
        <v>1</v>
      </c>
      <c r="L110">
        <v>52</v>
      </c>
      <c r="M110" t="s">
        <v>44</v>
      </c>
      <c r="N110">
        <v>0</v>
      </c>
      <c r="O110">
        <f>VLOOKUP(L110,技能参数,4,FALSE)</f>
        <v>1.5</v>
      </c>
      <c r="P110">
        <f>VLOOKUP(L110*1000+O108,学习等级编码,2)</f>
        <v>5204</v>
      </c>
      <c r="Q110">
        <f>INT(VLOOKUP(P110,技能升级,9,FALSE)*N110*T110*U110)</f>
        <v>0</v>
      </c>
      <c r="R110">
        <f>INT(VLOOKUP(P110,技能升级,10,FALSE)*N110*T110*U110)</f>
        <v>0</v>
      </c>
      <c r="S110">
        <f>INT(VLOOKUP(P110,技能升级,11,FALSE)*N110*T110*U110)</f>
        <v>0</v>
      </c>
      <c r="T110">
        <v>1</v>
      </c>
      <c r="U110">
        <v>1</v>
      </c>
    </row>
    <row r="111" spans="1:21" x14ac:dyDescent="0.15">
      <c r="A111">
        <v>54</v>
      </c>
      <c r="B111" t="s">
        <v>40</v>
      </c>
      <c r="C111">
        <f>INT(C108/(VLOOKUP(A111,技能参数,5,FALSE)+2*VLOOKUP(A111,技能参数,4,FALSE))+1)</f>
        <v>1</v>
      </c>
      <c r="D111">
        <f>VLOOKUP(A111,技能参数,4,FALSE)</f>
        <v>1.2</v>
      </c>
      <c r="E111">
        <f>VLOOKUP(A111*1000+D108,学习等级编码,2)</f>
        <v>5404</v>
      </c>
      <c r="F111">
        <f>INT(VLOOKUP($E111,技能升级,9,FALSE)*$C111*I111*J111)</f>
        <v>2200</v>
      </c>
      <c r="G111">
        <f>INT(VLOOKUP($E111,技能升级,10,FALSE)*$C111*I111*J111)</f>
        <v>0</v>
      </c>
      <c r="H111">
        <f>INT(VLOOKUP($E111,技能升级,11,FALSE)*$C111*I111*J111)</f>
        <v>140</v>
      </c>
      <c r="I111">
        <v>1</v>
      </c>
      <c r="J111">
        <v>1</v>
      </c>
      <c r="L111">
        <v>54</v>
      </c>
      <c r="M111" t="s">
        <v>40</v>
      </c>
      <c r="N111">
        <v>0</v>
      </c>
      <c r="O111">
        <f>VLOOKUP(L111,技能参数,4,FALSE)</f>
        <v>1.2</v>
      </c>
      <c r="P111">
        <f>VLOOKUP(L111*1000+O108,学习等级编码,2)</f>
        <v>5404</v>
      </c>
      <c r="Q111">
        <f>INT(VLOOKUP(P111,技能升级,9,FALSE)*N111*T111*U111)</f>
        <v>0</v>
      </c>
      <c r="R111">
        <f>INT(VLOOKUP(P111,技能升级,10,FALSE)*N111*T111*U111)</f>
        <v>0</v>
      </c>
      <c r="S111">
        <f>INT(VLOOKUP(P111,技能升级,11,FALSE)*N111*T111*U111)</f>
        <v>0</v>
      </c>
      <c r="T111">
        <v>1</v>
      </c>
      <c r="U111">
        <v>1</v>
      </c>
    </row>
    <row r="112" spans="1:21" x14ac:dyDescent="0.15">
      <c r="A112">
        <v>51</v>
      </c>
      <c r="B112" t="s">
        <v>203</v>
      </c>
      <c r="C112">
        <v>2</v>
      </c>
      <c r="D112">
        <f>VLOOKUP(A112,技能参数,4,FALSE)</f>
        <v>0.9</v>
      </c>
      <c r="E112">
        <f>VLOOKUP(A112*1000+D108,学习等级编码,2)</f>
        <v>5106</v>
      </c>
      <c r="F112">
        <f>INT(VLOOKUP($E112,技能升级,9,FALSE)*$C112*I112*J112)</f>
        <v>2720</v>
      </c>
      <c r="G112">
        <f>INT(VLOOKUP($E112,技能升级,10,FALSE)*$C112*I112*J112)</f>
        <v>0</v>
      </c>
      <c r="H112">
        <f>INT(VLOOKUP($E112,技能升级,11,FALSE)*$C112*I112*J112)</f>
        <v>250</v>
      </c>
      <c r="I112">
        <v>1</v>
      </c>
      <c r="J112">
        <v>1</v>
      </c>
      <c r="L112">
        <v>51</v>
      </c>
      <c r="M112" t="s">
        <v>203</v>
      </c>
      <c r="N112">
        <v>2</v>
      </c>
      <c r="O112">
        <f>VLOOKUP(L112,技能参数,4,FALSE)</f>
        <v>0.9</v>
      </c>
      <c r="P112">
        <f>VLOOKUP(L112*1000+O108,学习等级编码,2)</f>
        <v>5106</v>
      </c>
      <c r="Q112">
        <f>INT(VLOOKUP(P112,技能升级,9,FALSE)*N112*T112*U112)</f>
        <v>2720</v>
      </c>
      <c r="R112">
        <f>INT(VLOOKUP(P112,技能升级,10,FALSE)*N112*T112*U112)</f>
        <v>0</v>
      </c>
      <c r="S112">
        <f>INT(VLOOKUP(P112,技能升级,11,FALSE)*N112*T112*U112)</f>
        <v>250</v>
      </c>
      <c r="T112">
        <v>1</v>
      </c>
      <c r="U112">
        <v>1</v>
      </c>
    </row>
    <row r="113" spans="1:21" x14ac:dyDescent="0.15">
      <c r="A113">
        <v>51</v>
      </c>
      <c r="B113" t="s">
        <v>204</v>
      </c>
      <c r="C113">
        <f>INT((C108-C110*D110-C111*D111-D112*C112-C115)/D113*3)</f>
        <v>26</v>
      </c>
      <c r="D113">
        <f>VLOOKUP(A113,技能参数,4,FALSE)</f>
        <v>0.9</v>
      </c>
      <c r="E113">
        <f>VLOOKUP(A113*1000+D108,学习等级编码,2)</f>
        <v>5106</v>
      </c>
      <c r="F113">
        <f>INT(VLOOKUP($E113,技能升级,9,FALSE)*$C113*I113*J113)</f>
        <v>20415</v>
      </c>
      <c r="G113">
        <f>INT(VLOOKUP($E113,技能升级,10,FALSE)*$C113*I113*J113)</f>
        <v>0</v>
      </c>
      <c r="H113">
        <f>INT(VLOOKUP($E113,技能升级,11,FALSE)*$C113*I113*J113)</f>
        <v>1876</v>
      </c>
      <c r="I113">
        <f>F114/1000</f>
        <v>0.45</v>
      </c>
      <c r="J113">
        <f>VLOOKUP(A108,$A$2:$I$21,7,FALSE)</f>
        <v>1.2829999999999999</v>
      </c>
      <c r="L113">
        <v>51</v>
      </c>
      <c r="M113" t="s">
        <v>204</v>
      </c>
      <c r="N113">
        <f>INT((N108-N110*O110-N111*O111-O112*N112-N115)/O113*3)</f>
        <v>37</v>
      </c>
      <c r="O113">
        <f>VLOOKUP(L113,技能参数,4,FALSE)</f>
        <v>0.9</v>
      </c>
      <c r="P113">
        <f>VLOOKUP(L113*1000+O108,学习等级编码,2)</f>
        <v>5106</v>
      </c>
      <c r="Q113">
        <f>INT(VLOOKUP(P113,技能升级,9,FALSE)*N113*T113*U113)</f>
        <v>29052</v>
      </c>
      <c r="R113">
        <f>INT(VLOOKUP(P113,技能升级,10,FALSE)*N113*T113*U113)</f>
        <v>0</v>
      </c>
      <c r="S113">
        <f>INT(VLOOKUP(P113,技能升级,11,FALSE)*N113*T113*U113)</f>
        <v>2670</v>
      </c>
      <c r="T113">
        <f>Q114/1000</f>
        <v>0.45</v>
      </c>
      <c r="U113">
        <f>VLOOKUP(L108,$A$2:$I$21,7,FALSE)</f>
        <v>1.2829999999999999</v>
      </c>
    </row>
    <row r="114" spans="1:21" x14ac:dyDescent="0.15">
      <c r="A114">
        <v>55</v>
      </c>
      <c r="B114" t="s">
        <v>46</v>
      </c>
      <c r="C114">
        <v>1</v>
      </c>
      <c r="D114">
        <v>0</v>
      </c>
      <c r="E114">
        <f>VLOOKUP(A114*1000+D108,学习等级编码,2)</f>
        <v>5503</v>
      </c>
      <c r="F114">
        <f>INT(VLOOKUP($E114,技能升级,14,FALSE)*$C114*I114)</f>
        <v>450</v>
      </c>
      <c r="G114">
        <f>INT(VLOOKUP($E114,技能升级,10,FALSE)*$C114*I114)</f>
        <v>0</v>
      </c>
      <c r="H114">
        <f>INT(VLOOKUP($E114,技能升级,11,FALSE)*$C114*I114*J114)</f>
        <v>0</v>
      </c>
      <c r="I114">
        <v>1</v>
      </c>
      <c r="J114">
        <v>1</v>
      </c>
      <c r="L114">
        <v>55</v>
      </c>
      <c r="M114" t="s">
        <v>46</v>
      </c>
      <c r="N114">
        <v>1</v>
      </c>
      <c r="O114">
        <v>0</v>
      </c>
      <c r="P114">
        <f>VLOOKUP(L114*1000+O108,学习等级编码,2)</f>
        <v>5503</v>
      </c>
      <c r="Q114">
        <f>INT(VLOOKUP(P114,技能升级,9,FALSE)*N114*T114*U114)</f>
        <v>450</v>
      </c>
      <c r="R114">
        <f>INT(VLOOKUP(P114,技能升级,10,FALSE)*N114*T114*U114)</f>
        <v>0</v>
      </c>
      <c r="S114">
        <f>INT(VLOOKUP(P114,技能升级,11,FALSE)*N114*T114*U114)</f>
        <v>0</v>
      </c>
      <c r="T114">
        <v>1</v>
      </c>
      <c r="U114">
        <v>1</v>
      </c>
    </row>
    <row r="115" spans="1:21" x14ac:dyDescent="0.15">
      <c r="B115" t="s">
        <v>411</v>
      </c>
      <c r="C115">
        <f>C124*1.5+2</f>
        <v>5</v>
      </c>
      <c r="M115" t="s">
        <v>411</v>
      </c>
      <c r="N115">
        <v>0</v>
      </c>
    </row>
    <row r="116" spans="1:21" x14ac:dyDescent="0.15">
      <c r="E116" t="s">
        <v>194</v>
      </c>
      <c r="F116">
        <f>SUM(F110:F113)/1000</f>
        <v>30.835000000000001</v>
      </c>
      <c r="G116">
        <f>SUM(G110:G113)/1000</f>
        <v>0</v>
      </c>
      <c r="H116">
        <f>SUM(H110:H113)</f>
        <v>2500</v>
      </c>
      <c r="I116" t="s">
        <v>196</v>
      </c>
      <c r="J116" t="s">
        <v>197</v>
      </c>
      <c r="P116" t="s">
        <v>194</v>
      </c>
      <c r="Q116">
        <f>SUM(Q110:Q113)/1000</f>
        <v>31.771999999999998</v>
      </c>
      <c r="R116">
        <f>SUM(R110:R113)/1000</f>
        <v>0</v>
      </c>
      <c r="S116">
        <f>SUM(S110:S113)</f>
        <v>2920</v>
      </c>
      <c r="T116" t="s">
        <v>196</v>
      </c>
      <c r="U116" t="s">
        <v>197</v>
      </c>
    </row>
    <row r="117" spans="1:21" x14ac:dyDescent="0.15">
      <c r="E117" t="s">
        <v>195</v>
      </c>
      <c r="F117">
        <f>INT((IF($A108&gt;10000,VLOOKUP($A108,实战属性,13,FALSE),VLOOKUP($A108,总基本属性,7,FALSE))-
IF($B108&gt;10000,VLOOKUP($B108,实战属性,15,FALSE),VLOOKUP($B108,总基本属性,9,FALSE))*$L$13)*F116)</f>
        <v>32808</v>
      </c>
      <c r="G117">
        <f>INT((IF($A108&gt;10000,VLOOKUP($A108,实战属性,14,FALSE),VLOOKUP($A108,总基本属性,8,FALSE))-
IF($B108&gt;10000,VLOOKUP($B108,实战属性,16,FALSE),VLOOKUP($B108,总基本属性,10,FALSE))*$L$13)*G116)</f>
        <v>0</v>
      </c>
      <c r="H117">
        <f>H116+F117+G117</f>
        <v>35308</v>
      </c>
      <c r="I117">
        <f>IF($B108&gt;10000,VLOOKUP($B108,实战属性,12,FALSE),VLOOKUP($B108,总基本属性,6,FALSE))</f>
        <v>36480</v>
      </c>
      <c r="J117">
        <f>ROUND(I117/H117,2)</f>
        <v>1.03</v>
      </c>
      <c r="P117" t="s">
        <v>195</v>
      </c>
      <c r="Q117">
        <f>INT((IF($A108&gt;10000,VLOOKUP($A108,实战属性,13,FALSE),VLOOKUP($A108,总基本属性,7,FALSE))-
IF($B108&gt;10000,VLOOKUP($B108,实战属性,15,FALSE),VLOOKUP($B108,总基本属性,9,FALSE))*$L$13)*Q116)</f>
        <v>33805</v>
      </c>
      <c r="R117">
        <f>INT((IF($A108&gt;10000,VLOOKUP($A108,实战属性,14,FALSE),VLOOKUP($A108,总基本属性,8,FALSE))-
IF($B108&gt;10000,VLOOKUP($B108,实战属性,16,FALSE),VLOOKUP($B108,总基本属性,10,FALSE))*$L$13)*R116)</f>
        <v>0</v>
      </c>
      <c r="S117">
        <f>S116+Q117+R117</f>
        <v>36725</v>
      </c>
      <c r="T117">
        <f>IF($B108&gt;10000,VLOOKUP($B108,实战属性,12,FALSE),VLOOKUP($B108,总基本属性,6,FALSE))</f>
        <v>36480</v>
      </c>
      <c r="U117">
        <f>ROUND(T117/S117,2)</f>
        <v>0.99</v>
      </c>
    </row>
    <row r="120" spans="1:21" x14ac:dyDescent="0.15">
      <c r="A120" s="9" t="s">
        <v>3</v>
      </c>
      <c r="B120" s="9" t="s">
        <v>416</v>
      </c>
      <c r="C120" s="9" t="s">
        <v>178</v>
      </c>
      <c r="D120" s="9" t="s">
        <v>0</v>
      </c>
    </row>
    <row r="121" spans="1:21" x14ac:dyDescent="0.15">
      <c r="A121">
        <f>A95+10</f>
        <v>2040</v>
      </c>
      <c r="B121">
        <f>B95+10</f>
        <v>5040</v>
      </c>
      <c r="C121">
        <v>14</v>
      </c>
      <c r="D121">
        <f>MOD(A121,1000)</f>
        <v>40</v>
      </c>
    </row>
    <row r="122" spans="1:21" x14ac:dyDescent="0.15">
      <c r="A122" t="s">
        <v>156</v>
      </c>
      <c r="B122" t="s">
        <v>95</v>
      </c>
      <c r="C122" t="s">
        <v>177</v>
      </c>
      <c r="D122" t="s">
        <v>143</v>
      </c>
      <c r="E122" t="s">
        <v>182</v>
      </c>
      <c r="F122" t="s">
        <v>192</v>
      </c>
      <c r="G122" t="s">
        <v>193</v>
      </c>
      <c r="H122" t="s">
        <v>176</v>
      </c>
      <c r="I122" t="s">
        <v>205</v>
      </c>
      <c r="J122" t="s">
        <v>206</v>
      </c>
    </row>
    <row r="123" spans="1:21" x14ac:dyDescent="0.15">
      <c r="A123">
        <v>25</v>
      </c>
      <c r="B123" t="s">
        <v>23</v>
      </c>
      <c r="C123">
        <v>1</v>
      </c>
      <c r="D123">
        <f>VLOOKUP(A123,技能参数,4,FALSE)</f>
        <v>2</v>
      </c>
      <c r="E123">
        <f>IFERROR(VLOOKUP(A123*1000+D121,学习等级编码,2),0)</f>
        <v>2503</v>
      </c>
      <c r="F123">
        <f t="shared" ref="F123:F124" si="16">IFERROR(INT(VLOOKUP($E123,技能升级,9,FALSE)*$C123*I123*J123),0)</f>
        <v>5500</v>
      </c>
      <c r="G123">
        <f t="shared" ref="G123:G126" si="17">IFERROR(INT(VLOOKUP($E123,技能升级,10,FALSE)*$C123*I123*J123),0)</f>
        <v>0</v>
      </c>
      <c r="H123">
        <f>INT(VLOOKUP($E123,技能升级,11,FALSE)*$C123*I123*J123)</f>
        <v>181</v>
      </c>
      <c r="I123">
        <v>1</v>
      </c>
      <c r="J123">
        <v>1</v>
      </c>
    </row>
    <row r="124" spans="1:21" x14ac:dyDescent="0.15">
      <c r="A124">
        <v>23</v>
      </c>
      <c r="B124" t="s">
        <v>24</v>
      </c>
      <c r="C124">
        <f>INT((C121-D124-D125*3)/(VLOOKUP(A124,技能参数,5,FALSE)+2*VLOOKUP(A124,技能参数,4,FALSE))+1)+1</f>
        <v>2</v>
      </c>
      <c r="D124">
        <f>VLOOKUP(A124,技能参数,4,FALSE)</f>
        <v>1</v>
      </c>
      <c r="E124">
        <f>IFERROR(VLOOKUP(A124*1000+D121,学习等级编码,2),0)</f>
        <v>2304</v>
      </c>
      <c r="F124">
        <f t="shared" si="16"/>
        <v>2200</v>
      </c>
      <c r="G124">
        <f t="shared" si="17"/>
        <v>0</v>
      </c>
      <c r="H124">
        <f>INT(VLOOKUP($E124,技能升级,11,FALSE)*$C124*I124*J124)</f>
        <v>238</v>
      </c>
      <c r="I124">
        <v>1</v>
      </c>
      <c r="J124">
        <v>1</v>
      </c>
    </row>
    <row r="125" spans="1:21" x14ac:dyDescent="0.15">
      <c r="A125">
        <v>22</v>
      </c>
      <c r="B125" t="s">
        <v>22</v>
      </c>
      <c r="C125">
        <f>INT((C121-D124-D125*3)/(VLOOKUP(A125,技能参数,5,FALSE)+2*VLOOKUP(A125,技能参数,4,FALSE))+1)+3</f>
        <v>4</v>
      </c>
      <c r="D125">
        <f>VLOOKUP(A125,技能参数,4,FALSE)</f>
        <v>1.5</v>
      </c>
      <c r="E125">
        <f>IFERROR(VLOOKUP(A125*1000+D121,学习等级编码,2),0)</f>
        <v>2204</v>
      </c>
      <c r="F125">
        <f>IFERROR(INT(VLOOKUP($E125,技能升级,9,FALSE)*$C125*I125*J125),0)</f>
        <v>11520</v>
      </c>
      <c r="G125">
        <f t="shared" si="17"/>
        <v>0</v>
      </c>
      <c r="H125">
        <f>INT(VLOOKUP($E125,技能升级,11,FALSE)*$C125*I125*J125)</f>
        <v>548</v>
      </c>
      <c r="I125">
        <v>1</v>
      </c>
      <c r="J125">
        <f>VLOOKUP(A121,$A$2:$H$21,8,FALSE)</f>
        <v>1</v>
      </c>
    </row>
    <row r="126" spans="1:21" x14ac:dyDescent="0.15">
      <c r="A126">
        <v>21</v>
      </c>
      <c r="B126" t="s">
        <v>90</v>
      </c>
      <c r="C126">
        <f>INT((C121-C123*D123-C124*D124-C125*D125-C127)/D126)</f>
        <v>2</v>
      </c>
      <c r="D126">
        <f>VLOOKUP(A126,技能参数,4,FALSE)</f>
        <v>1</v>
      </c>
      <c r="E126">
        <f>IFERROR(VLOOKUP(A126*1000+D121,学习等级编码,2),0)</f>
        <v>2106</v>
      </c>
      <c r="F126">
        <f>IFERROR(INT(VLOOKUP($E126,技能升级,9,FALSE)*$C126*I126*J126),0)</f>
        <v>2360</v>
      </c>
      <c r="G126">
        <f t="shared" si="17"/>
        <v>0</v>
      </c>
      <c r="H126">
        <f>INT(VLOOKUP($E126,技能升级,11,FALSE)*$C126*I126*J126)</f>
        <v>250</v>
      </c>
      <c r="I126">
        <v>1</v>
      </c>
      <c r="J126">
        <f>VLOOKUP(A121,$A$2:$H$21,8,FALSE)</f>
        <v>1</v>
      </c>
    </row>
    <row r="127" spans="1:21" x14ac:dyDescent="0.15">
      <c r="B127" t="s">
        <v>418</v>
      </c>
      <c r="C127">
        <f>C110*D112</f>
        <v>1.8</v>
      </c>
    </row>
    <row r="128" spans="1:21" x14ac:dyDescent="0.15">
      <c r="E128" t="s">
        <v>194</v>
      </c>
      <c r="F128">
        <f>SUM(F123:F126)/1000</f>
        <v>21.58</v>
      </c>
      <c r="G128">
        <f>SUM(G123:G126)/1000</f>
        <v>0</v>
      </c>
      <c r="H128">
        <f>SUM(H123:H126)</f>
        <v>1217</v>
      </c>
      <c r="I128" t="s">
        <v>196</v>
      </c>
      <c r="J128" t="s">
        <v>197</v>
      </c>
    </row>
    <row r="129" spans="1:21" x14ac:dyDescent="0.15">
      <c r="E129" t="s">
        <v>195</v>
      </c>
      <c r="F129">
        <f>INT((IF($A121&gt;10000,VLOOKUP($A121,实战属性,13,FALSE),VLOOKUP($A121,总基本属性,7,FALSE))-
IF($B121&gt;10000,VLOOKUP($B121,实战属性,15,FALSE),VLOOKUP($B121,总基本属性,9,FALSE))*$L$13)*F128)</f>
        <v>28431</v>
      </c>
      <c r="G129">
        <f>INT((IF($A121&gt;10000,VLOOKUP($A121,实战属性,14,FALSE),VLOOKUP($A121,总基本属性,8,FALSE))-
IF($B121&gt;10000,VLOOKUP($B121,实战属性,16,FALSE),VLOOKUP($B121,总基本属性,10,FALSE))*$L$13)*G128)</f>
        <v>0</v>
      </c>
      <c r="H129">
        <f>H128+F129+G129</f>
        <v>29648</v>
      </c>
      <c r="I129">
        <f>IF($B121&gt;10000,VLOOKUP($B121,实战属性,12,FALSE),VLOOKUP($B121,总基本属性,6,FALSE))</f>
        <v>29184</v>
      </c>
      <c r="J129">
        <f>ROUND(I129/H129,2)</f>
        <v>0.98</v>
      </c>
    </row>
    <row r="133" spans="1:21" x14ac:dyDescent="0.15">
      <c r="A133" s="8" t="s">
        <v>6</v>
      </c>
      <c r="B133" s="8" t="s">
        <v>3</v>
      </c>
      <c r="C133" s="8" t="s">
        <v>178</v>
      </c>
      <c r="D133" s="8" t="s">
        <v>0</v>
      </c>
      <c r="L133" s="8" t="s">
        <v>6</v>
      </c>
      <c r="M133" s="8" t="s">
        <v>3</v>
      </c>
      <c r="N133" s="8" t="s">
        <v>178</v>
      </c>
      <c r="O133" s="8" t="s">
        <v>0</v>
      </c>
    </row>
    <row r="134" spans="1:21" x14ac:dyDescent="0.15">
      <c r="A134">
        <f>A108+10</f>
        <v>5050</v>
      </c>
      <c r="B134">
        <f>B108+10</f>
        <v>2050</v>
      </c>
      <c r="C134">
        <v>20</v>
      </c>
      <c r="D134">
        <f>MOD(A134,1000)</f>
        <v>50</v>
      </c>
      <c r="L134">
        <f>A134</f>
        <v>5050</v>
      </c>
      <c r="M134">
        <f>B134</f>
        <v>2050</v>
      </c>
      <c r="N134">
        <v>13</v>
      </c>
      <c r="O134">
        <f>MOD(L134,1000)</f>
        <v>50</v>
      </c>
    </row>
    <row r="135" spans="1:21" x14ac:dyDescent="0.15">
      <c r="A135" t="s">
        <v>156</v>
      </c>
      <c r="B135" t="s">
        <v>95</v>
      </c>
      <c r="C135" t="s">
        <v>142</v>
      </c>
      <c r="D135" t="s">
        <v>143</v>
      </c>
      <c r="E135" t="s">
        <v>182</v>
      </c>
      <c r="F135" t="s">
        <v>192</v>
      </c>
      <c r="G135" t="s">
        <v>193</v>
      </c>
      <c r="H135" t="s">
        <v>176</v>
      </c>
      <c r="I135" t="s">
        <v>205</v>
      </c>
      <c r="J135" t="s">
        <v>206</v>
      </c>
      <c r="L135" t="s">
        <v>156</v>
      </c>
      <c r="M135" t="s">
        <v>95</v>
      </c>
      <c r="N135" t="s">
        <v>142</v>
      </c>
      <c r="O135" t="s">
        <v>143</v>
      </c>
      <c r="P135" t="s">
        <v>182</v>
      </c>
      <c r="Q135" t="s">
        <v>192</v>
      </c>
      <c r="R135" t="s">
        <v>193</v>
      </c>
      <c r="S135" t="s">
        <v>176</v>
      </c>
      <c r="T135" t="s">
        <v>205</v>
      </c>
      <c r="U135" t="s">
        <v>206</v>
      </c>
    </row>
    <row r="136" spans="1:21" x14ac:dyDescent="0.15">
      <c r="A136">
        <v>52</v>
      </c>
      <c r="B136" t="s">
        <v>44</v>
      </c>
      <c r="C136">
        <f>INT(C134/(VLOOKUP(A136,技能参数,5,FALSE)+2*VLOOKUP(A136,技能参数,4,FALSE))+1)</f>
        <v>2</v>
      </c>
      <c r="D136">
        <f>VLOOKUP(A136,技能参数,4,FALSE)</f>
        <v>1.5</v>
      </c>
      <c r="E136">
        <f>VLOOKUP(A136*1000+D134,学习等级编码,2)</f>
        <v>5205</v>
      </c>
      <c r="F136">
        <f>INT(VLOOKUP($E136,技能升级,9,FALSE)*$C136*I136*J136)</f>
        <v>5660</v>
      </c>
      <c r="G136">
        <f>INT(VLOOKUP($E136,技能升级,10,FALSE)*$C136*I136*J136)</f>
        <v>0</v>
      </c>
      <c r="H136">
        <f>INT(VLOOKUP($E136,技能升级,11,FALSE)*$C136*I136*J136)</f>
        <v>352</v>
      </c>
      <c r="I136">
        <v>1</v>
      </c>
      <c r="J136">
        <v>1</v>
      </c>
      <c r="L136">
        <v>52</v>
      </c>
      <c r="M136" t="s">
        <v>44</v>
      </c>
      <c r="N136">
        <v>0</v>
      </c>
      <c r="O136">
        <f>VLOOKUP(L136,技能参数,4,FALSE)</f>
        <v>1.5</v>
      </c>
      <c r="P136">
        <f>VLOOKUP(L136*1000+O134,学习等级编码,2)</f>
        <v>5205</v>
      </c>
      <c r="Q136">
        <f>INT(VLOOKUP(P136,技能升级,9,FALSE)*N136*T136*U136)</f>
        <v>0</v>
      </c>
      <c r="R136">
        <f>INT(VLOOKUP(P136,技能升级,10,FALSE)*N136*T136*U136)</f>
        <v>0</v>
      </c>
      <c r="S136">
        <f>INT(VLOOKUP(P136,技能升级,11,FALSE)*N136*T136*U136)</f>
        <v>0</v>
      </c>
      <c r="T136">
        <v>1</v>
      </c>
      <c r="U136">
        <v>1</v>
      </c>
    </row>
    <row r="137" spans="1:21" x14ac:dyDescent="0.15">
      <c r="A137">
        <v>54</v>
      </c>
      <c r="B137" t="s">
        <v>40</v>
      </c>
      <c r="C137">
        <f>INT(C134/(VLOOKUP(A137,技能参数,5,FALSE)+2*VLOOKUP(A137,技能参数,4,FALSE))+1)</f>
        <v>1</v>
      </c>
      <c r="D137">
        <f>VLOOKUP(A137,技能参数,4,FALSE)</f>
        <v>1.2</v>
      </c>
      <c r="E137">
        <f>VLOOKUP(A137*1000+D134,学习等级编码,2)</f>
        <v>5405</v>
      </c>
      <c r="F137">
        <f>INT(VLOOKUP($E137,技能升级,9,FALSE)*$C137*I137*J137)</f>
        <v>2270</v>
      </c>
      <c r="G137">
        <f>INT(VLOOKUP($E137,技能升级,10,FALSE)*$C137*I137*J137)</f>
        <v>0</v>
      </c>
      <c r="H137">
        <f>INT(VLOOKUP($E137,技能升级,11,FALSE)*$C137*I137*J137)</f>
        <v>205</v>
      </c>
      <c r="I137">
        <v>1</v>
      </c>
      <c r="J137">
        <v>1</v>
      </c>
      <c r="L137">
        <v>54</v>
      </c>
      <c r="M137" t="s">
        <v>40</v>
      </c>
      <c r="N137">
        <v>0</v>
      </c>
      <c r="O137">
        <f>VLOOKUP(L137,技能参数,4,FALSE)</f>
        <v>1.2</v>
      </c>
      <c r="P137">
        <f>VLOOKUP(L137*1000+O134,学习等级编码,2)</f>
        <v>5405</v>
      </c>
      <c r="Q137">
        <f>INT(VLOOKUP(P137,技能升级,9,FALSE)*N137*T137*U137)</f>
        <v>0</v>
      </c>
      <c r="R137">
        <f>INT(VLOOKUP(P137,技能升级,10,FALSE)*N137*T137*U137)</f>
        <v>0</v>
      </c>
      <c r="S137">
        <f>INT(VLOOKUP(P137,技能升级,11,FALSE)*N137*T137*U137)</f>
        <v>0</v>
      </c>
      <c r="T137">
        <v>1</v>
      </c>
      <c r="U137">
        <v>1</v>
      </c>
    </row>
    <row r="138" spans="1:21" x14ac:dyDescent="0.15">
      <c r="A138">
        <v>51</v>
      </c>
      <c r="B138" t="s">
        <v>203</v>
      </c>
      <c r="C138">
        <v>2</v>
      </c>
      <c r="D138">
        <f>VLOOKUP(A138,技能参数,4,FALSE)</f>
        <v>0.9</v>
      </c>
      <c r="E138">
        <f>VLOOKUP(A138*1000+D134,学习等级编码,2)</f>
        <v>5108</v>
      </c>
      <c r="F138">
        <f>INT(VLOOKUP($E138,技能升级,9,FALSE)*$C138*I138*J138)</f>
        <v>2820</v>
      </c>
      <c r="G138">
        <f>INT(VLOOKUP($E138,技能升级,10,FALSE)*$C138*I138*J138)</f>
        <v>0</v>
      </c>
      <c r="H138">
        <f>INT(VLOOKUP($E138,技能升级,11,FALSE)*$C138*I138*J138)</f>
        <v>438</v>
      </c>
      <c r="I138">
        <v>1</v>
      </c>
      <c r="J138">
        <v>1</v>
      </c>
      <c r="L138">
        <v>51</v>
      </c>
      <c r="M138" t="s">
        <v>203</v>
      </c>
      <c r="N138">
        <v>2</v>
      </c>
      <c r="O138">
        <f>VLOOKUP(L138,技能参数,4,FALSE)</f>
        <v>0.9</v>
      </c>
      <c r="P138">
        <f>VLOOKUP(L138*1000+O134,学习等级编码,2)</f>
        <v>5108</v>
      </c>
      <c r="Q138">
        <f>INT(VLOOKUP(P138,技能升级,9,FALSE)*N138*T138*U138)</f>
        <v>2820</v>
      </c>
      <c r="R138">
        <f>INT(VLOOKUP(P138,技能升级,10,FALSE)*N138*T138*U138)</f>
        <v>0</v>
      </c>
      <c r="S138">
        <f>INT(VLOOKUP(P138,技能升级,11,FALSE)*N138*T138*U138)</f>
        <v>438</v>
      </c>
      <c r="T138">
        <v>1</v>
      </c>
      <c r="U138">
        <v>1</v>
      </c>
    </row>
    <row r="139" spans="1:21" x14ac:dyDescent="0.15">
      <c r="A139">
        <v>51</v>
      </c>
      <c r="B139" t="s">
        <v>204</v>
      </c>
      <c r="C139">
        <f>INT((C134-C136*D136-C137*D137-D138*C138-C141)/D139*3)</f>
        <v>30</v>
      </c>
      <c r="D139">
        <f>VLOOKUP(A139,技能参数,4,FALSE)</f>
        <v>0.9</v>
      </c>
      <c r="E139">
        <f>VLOOKUP(A139*1000+D134,学习等级编码,2)</f>
        <v>5108</v>
      </c>
      <c r="F139">
        <f>INT(VLOOKUP($E139,技能升级,9,FALSE)*$C139*I139*J139)</f>
        <v>24859</v>
      </c>
      <c r="G139">
        <f>INT(VLOOKUP($E139,技能升级,10,FALSE)*$C139*I139*J139)</f>
        <v>0</v>
      </c>
      <c r="H139">
        <f>INT(VLOOKUP($E139,技能升级,11,FALSE)*$C139*I139*J139)</f>
        <v>3861</v>
      </c>
      <c r="I139">
        <f>F140/1000</f>
        <v>0.45</v>
      </c>
      <c r="J139">
        <f>VLOOKUP(A134,$A$2:$I$21,7,FALSE)</f>
        <v>1.3059999999999998</v>
      </c>
      <c r="L139">
        <v>51</v>
      </c>
      <c r="M139" t="s">
        <v>204</v>
      </c>
      <c r="N139">
        <f>INT((N134-N136*O136-N137*O137-O138*N138-N141)/O139*3)</f>
        <v>37</v>
      </c>
      <c r="O139">
        <f>VLOOKUP(L139,技能参数,4,FALSE)</f>
        <v>0.9</v>
      </c>
      <c r="P139">
        <f>VLOOKUP(L139*1000+O134,学习等级编码,2)</f>
        <v>5108</v>
      </c>
      <c r="Q139">
        <f>INT(VLOOKUP(P139,技能升级,9,FALSE)*N139*T139*U139)</f>
        <v>30660</v>
      </c>
      <c r="R139">
        <f>INT(VLOOKUP(P139,技能升级,10,FALSE)*N139*T139*U139)</f>
        <v>0</v>
      </c>
      <c r="S139">
        <f>INT(VLOOKUP(P139,技能升级,11,FALSE)*N139*T139*U139)</f>
        <v>4762</v>
      </c>
      <c r="T139">
        <f>Q140/1000</f>
        <v>0.45</v>
      </c>
      <c r="U139">
        <f>VLOOKUP(L134,$A$2:$I$21,7,FALSE)</f>
        <v>1.3059999999999998</v>
      </c>
    </row>
    <row r="140" spans="1:21" x14ac:dyDescent="0.15">
      <c r="A140">
        <v>55</v>
      </c>
      <c r="B140" t="s">
        <v>46</v>
      </c>
      <c r="C140">
        <v>1</v>
      </c>
      <c r="D140">
        <v>0</v>
      </c>
      <c r="E140">
        <f>VLOOKUP(A140*1000+D134,学习等级编码,2)</f>
        <v>5503</v>
      </c>
      <c r="F140">
        <f>INT(VLOOKUP($E140,技能升级,14,FALSE)*$C140*I140)</f>
        <v>450</v>
      </c>
      <c r="G140">
        <f>INT(VLOOKUP($E140,技能升级,10,FALSE)*$C140*I140)</f>
        <v>0</v>
      </c>
      <c r="H140">
        <f>INT(VLOOKUP($E140,技能升级,11,FALSE)*$C140*I140*J140)</f>
        <v>0</v>
      </c>
      <c r="I140">
        <v>1</v>
      </c>
      <c r="J140">
        <v>1</v>
      </c>
      <c r="L140">
        <v>55</v>
      </c>
      <c r="M140" t="s">
        <v>46</v>
      </c>
      <c r="N140">
        <v>1</v>
      </c>
      <c r="O140">
        <v>0</v>
      </c>
      <c r="P140">
        <f>VLOOKUP(L140*1000+O134,学习等级编码,2)</f>
        <v>5503</v>
      </c>
      <c r="Q140">
        <f>INT(VLOOKUP(P140,技能升级,9,FALSE)*N140*T140*U140)</f>
        <v>450</v>
      </c>
      <c r="R140">
        <f>INT(VLOOKUP(P140,技能升级,10,FALSE)*N140*T140*U140)</f>
        <v>0</v>
      </c>
      <c r="S140">
        <f>INT(VLOOKUP(P140,技能升级,11,FALSE)*N140*T140*U140)</f>
        <v>0</v>
      </c>
      <c r="T140">
        <v>1</v>
      </c>
      <c r="U140">
        <v>1</v>
      </c>
    </row>
    <row r="141" spans="1:21" x14ac:dyDescent="0.15">
      <c r="B141" t="s">
        <v>411</v>
      </c>
      <c r="C141">
        <f>C150*1.5+2</f>
        <v>5</v>
      </c>
      <c r="M141" t="s">
        <v>411</v>
      </c>
      <c r="N141">
        <v>0</v>
      </c>
    </row>
    <row r="142" spans="1:21" x14ac:dyDescent="0.15">
      <c r="E142" t="s">
        <v>194</v>
      </c>
      <c r="F142">
        <f>SUM(F136:F139)/1000</f>
        <v>35.609000000000002</v>
      </c>
      <c r="G142">
        <f>SUM(G136:G139)/1000</f>
        <v>0</v>
      </c>
      <c r="H142">
        <f>SUM(H136:H139)</f>
        <v>4856</v>
      </c>
      <c r="I142" t="s">
        <v>196</v>
      </c>
      <c r="J142" t="s">
        <v>197</v>
      </c>
      <c r="P142" t="s">
        <v>194</v>
      </c>
      <c r="Q142">
        <f>SUM(Q136:Q139)/1000</f>
        <v>33.479999999999997</v>
      </c>
      <c r="R142">
        <f>SUM(R136:R139)/1000</f>
        <v>0</v>
      </c>
      <c r="S142">
        <f>SUM(S136:S139)</f>
        <v>5200</v>
      </c>
      <c r="T142" t="s">
        <v>196</v>
      </c>
      <c r="U142" t="s">
        <v>197</v>
      </c>
    </row>
    <row r="143" spans="1:21" x14ac:dyDescent="0.15">
      <c r="E143" t="s">
        <v>195</v>
      </c>
      <c r="F143">
        <f>INT((IF($A134&gt;10000,VLOOKUP($A134,实战属性,13,FALSE),VLOOKUP($A134,总基本属性,7,FALSE))-
IF($B134&gt;10000,VLOOKUP($B134,实战属性,15,FALSE),VLOOKUP($B134,总基本属性,9,FALSE))*$L$13)*F142)</f>
        <v>52523</v>
      </c>
      <c r="G143">
        <f>INT((IF($A134&gt;10000,VLOOKUP($A134,实战属性,14,FALSE),VLOOKUP($A134,总基本属性,8,FALSE))-
IF($B134&gt;10000,VLOOKUP($B134,实战属性,16,FALSE),VLOOKUP($B134,总基本属性,10,FALSE))*$L$13)*G142)</f>
        <v>0</v>
      </c>
      <c r="H143">
        <f>H142+F143+G143</f>
        <v>57379</v>
      </c>
      <c r="I143">
        <f>IF($B134&gt;10000,VLOOKUP($B134,实战属性,12,FALSE),VLOOKUP($B134,总基本属性,6,FALSE))</f>
        <v>55440</v>
      </c>
      <c r="J143">
        <f>ROUND(I143/H143,2)</f>
        <v>0.97</v>
      </c>
      <c r="P143" t="s">
        <v>195</v>
      </c>
      <c r="Q143">
        <f>INT((IF($A134&gt;10000,VLOOKUP($A134,实战属性,13,FALSE),VLOOKUP($A134,总基本属性,7,FALSE))-
IF($B134&gt;10000,VLOOKUP($B134,实战属性,15,FALSE),VLOOKUP($B134,总基本属性,9,FALSE))*$L$13)*Q142)</f>
        <v>49383</v>
      </c>
      <c r="R143">
        <f>INT((IF($A134&gt;10000,VLOOKUP($A134,实战属性,14,FALSE),VLOOKUP($A134,总基本属性,8,FALSE))-
IF($B134&gt;10000,VLOOKUP($B134,实战属性,16,FALSE),VLOOKUP($B134,总基本属性,10,FALSE))*$L$13)*R142)</f>
        <v>0</v>
      </c>
      <c r="S143">
        <f>S142+Q143+R143</f>
        <v>54583</v>
      </c>
      <c r="T143">
        <f>IF($B134&gt;10000,VLOOKUP($B134,实战属性,12,FALSE),VLOOKUP($B134,总基本属性,6,FALSE))</f>
        <v>55440</v>
      </c>
      <c r="U143">
        <f>ROUND(T143/S143,2)</f>
        <v>1.02</v>
      </c>
    </row>
    <row r="146" spans="1:15" x14ac:dyDescent="0.15">
      <c r="A146" s="9" t="s">
        <v>3</v>
      </c>
      <c r="B146" s="9" t="s">
        <v>416</v>
      </c>
      <c r="C146" s="9" t="s">
        <v>178</v>
      </c>
      <c r="D146" s="9" t="s">
        <v>0</v>
      </c>
    </row>
    <row r="147" spans="1:15" x14ac:dyDescent="0.15">
      <c r="A147">
        <f>A121+10</f>
        <v>2050</v>
      </c>
      <c r="B147">
        <f>B121+10</f>
        <v>5050</v>
      </c>
      <c r="C147">
        <v>14</v>
      </c>
      <c r="D147">
        <f>MOD(A147,1000)</f>
        <v>50</v>
      </c>
    </row>
    <row r="148" spans="1:15" x14ac:dyDescent="0.15">
      <c r="A148" t="s">
        <v>156</v>
      </c>
      <c r="B148" t="s">
        <v>95</v>
      </c>
      <c r="C148" t="s">
        <v>177</v>
      </c>
      <c r="D148" t="s">
        <v>143</v>
      </c>
      <c r="E148" t="s">
        <v>182</v>
      </c>
      <c r="F148" t="s">
        <v>192</v>
      </c>
      <c r="G148" t="s">
        <v>193</v>
      </c>
      <c r="H148" t="s">
        <v>176</v>
      </c>
      <c r="I148" t="s">
        <v>205</v>
      </c>
      <c r="J148" t="s">
        <v>206</v>
      </c>
    </row>
    <row r="149" spans="1:15" x14ac:dyDescent="0.15">
      <c r="A149">
        <v>25</v>
      </c>
      <c r="B149" t="s">
        <v>23</v>
      </c>
      <c r="C149">
        <v>1</v>
      </c>
      <c r="D149">
        <f>VLOOKUP(A149,技能参数,4,FALSE)</f>
        <v>2</v>
      </c>
      <c r="E149">
        <f>IFERROR(VLOOKUP(A149*1000+D147,学习等级编码,2),0)</f>
        <v>2503</v>
      </c>
      <c r="F149">
        <f t="shared" ref="F149:F150" si="18">IFERROR(INT(VLOOKUP($E149,技能升级,9,FALSE)*$C149*I149*J149),0)</f>
        <v>5500</v>
      </c>
      <c r="G149">
        <f t="shared" ref="G149:G152" si="19">IFERROR(INT(VLOOKUP($E149,技能升级,10,FALSE)*$C149*I149*J149),0)</f>
        <v>0</v>
      </c>
      <c r="H149">
        <f>INT(VLOOKUP($E149,技能升级,11,FALSE)*$C149*I149*J149)</f>
        <v>181</v>
      </c>
      <c r="I149">
        <v>1</v>
      </c>
      <c r="J149">
        <v>1</v>
      </c>
    </row>
    <row r="150" spans="1:15" x14ac:dyDescent="0.15">
      <c r="A150">
        <v>23</v>
      </c>
      <c r="B150" t="s">
        <v>24</v>
      </c>
      <c r="C150">
        <f>INT((C147-D150-D151*3)/(VLOOKUP(A150,技能参数,5,FALSE)+2*VLOOKUP(A150,技能参数,4,FALSE))+1)+1</f>
        <v>2</v>
      </c>
      <c r="D150">
        <f>VLOOKUP(A150,技能参数,4,FALSE)</f>
        <v>1</v>
      </c>
      <c r="E150">
        <f>IFERROR(VLOOKUP(A150*1000+D147,学习等级编码,2),0)</f>
        <v>2305</v>
      </c>
      <c r="F150">
        <f t="shared" si="18"/>
        <v>2260</v>
      </c>
      <c r="G150">
        <f t="shared" si="19"/>
        <v>0</v>
      </c>
      <c r="H150">
        <f>INT(VLOOKUP($E150,技能升级,11,FALSE)*$C150*I150*J150)</f>
        <v>360</v>
      </c>
      <c r="I150">
        <v>1</v>
      </c>
      <c r="J150">
        <v>1</v>
      </c>
    </row>
    <row r="151" spans="1:15" x14ac:dyDescent="0.15">
      <c r="A151">
        <v>22</v>
      </c>
      <c r="B151" t="s">
        <v>22</v>
      </c>
      <c r="C151">
        <f>INT((C147-D150-D151*3)/(VLOOKUP(A151,技能参数,5,FALSE)+2*VLOOKUP(A151,技能参数,4,FALSE))+1)+3</f>
        <v>4</v>
      </c>
      <c r="D151">
        <f>VLOOKUP(A151,技能参数,4,FALSE)</f>
        <v>1.5</v>
      </c>
      <c r="E151">
        <f>IFERROR(VLOOKUP(A151*1000+D147,学习等级编码,2),0)</f>
        <v>2205</v>
      </c>
      <c r="F151">
        <f>IFERROR(INT(VLOOKUP($E151,技能升级,9,FALSE)*$C151*I151*J151),0)</f>
        <v>12830</v>
      </c>
      <c r="G151">
        <f t="shared" si="19"/>
        <v>0</v>
      </c>
      <c r="H151">
        <f>INT(VLOOKUP($E151,技能升级,11,FALSE)*$C151*I151*J151)</f>
        <v>855</v>
      </c>
      <c r="I151">
        <v>1</v>
      </c>
      <c r="J151">
        <f>VLOOKUP(A147,$A$2:$H$21,8,FALSE)</f>
        <v>1.0909999999999997</v>
      </c>
    </row>
    <row r="152" spans="1:15" x14ac:dyDescent="0.15">
      <c r="A152">
        <v>21</v>
      </c>
      <c r="B152" t="s">
        <v>90</v>
      </c>
      <c r="C152">
        <f>INT((C147-C149*D149-C150*D150-C151*D151-C153)/D152)</f>
        <v>2</v>
      </c>
      <c r="D152">
        <f>VLOOKUP(A152,技能参数,4,FALSE)</f>
        <v>1</v>
      </c>
      <c r="E152">
        <f>IFERROR(VLOOKUP(A152*1000+D147,学习等级编码,2),0)</f>
        <v>2108</v>
      </c>
      <c r="F152">
        <f>IFERROR(INT(VLOOKUP($E152,技能升级,9,FALSE)*$C152*I152*J152),0)</f>
        <v>2727</v>
      </c>
      <c r="G152">
        <f t="shared" si="19"/>
        <v>0</v>
      </c>
      <c r="H152">
        <f>INT(VLOOKUP($E152,技能升级,11,FALSE)*$C152*I152*J152)</f>
        <v>477</v>
      </c>
      <c r="I152">
        <v>1</v>
      </c>
      <c r="J152">
        <f>VLOOKUP(A147,$A$2:$H$21,8,FALSE)</f>
        <v>1.0909999999999997</v>
      </c>
    </row>
    <row r="153" spans="1:15" x14ac:dyDescent="0.15">
      <c r="B153" t="s">
        <v>418</v>
      </c>
      <c r="C153">
        <f>C136*D138</f>
        <v>1.8</v>
      </c>
    </row>
    <row r="154" spans="1:15" x14ac:dyDescent="0.15">
      <c r="E154" t="s">
        <v>194</v>
      </c>
      <c r="F154">
        <f>SUM(F149:F152)/1000</f>
        <v>23.317</v>
      </c>
      <c r="G154">
        <f>SUM(G149:G152)/1000</f>
        <v>0</v>
      </c>
      <c r="H154">
        <f>SUM(H149:H152)</f>
        <v>1873</v>
      </c>
      <c r="I154" t="s">
        <v>196</v>
      </c>
      <c r="J154" t="s">
        <v>197</v>
      </c>
    </row>
    <row r="155" spans="1:15" x14ac:dyDescent="0.15">
      <c r="E155" t="s">
        <v>195</v>
      </c>
      <c r="F155">
        <f>INT((IF($A147&gt;10000,VLOOKUP($A147,实战属性,13,FALSE),VLOOKUP($A147,总基本属性,7,FALSE))-
IF($B147&gt;10000,VLOOKUP($B147,实战属性,15,FALSE),VLOOKUP($B147,总基本属性,9,FALSE))*$L$13)*F154)</f>
        <v>42250</v>
      </c>
      <c r="G155">
        <f>INT((IF($A147&gt;10000,VLOOKUP($A147,实战属性,14,FALSE),VLOOKUP($A147,总基本属性,8,FALSE))-
IF($B147&gt;10000,VLOOKUP($B147,实战属性,16,FALSE),VLOOKUP($B147,总基本属性,10,FALSE))*$L$13)*G154)</f>
        <v>0</v>
      </c>
      <c r="H155">
        <f>H154+F155+G155</f>
        <v>44123</v>
      </c>
      <c r="I155">
        <f>IF($B147&gt;10000,VLOOKUP($B147,实战属性,12,FALSE),VLOOKUP($B147,总基本属性,6,FALSE))</f>
        <v>44352</v>
      </c>
      <c r="J155">
        <f>ROUND(I155/H155,2)</f>
        <v>1.01</v>
      </c>
    </row>
    <row r="159" spans="1:15" x14ac:dyDescent="0.15">
      <c r="A159" s="8" t="s">
        <v>6</v>
      </c>
      <c r="B159" s="8" t="s">
        <v>3</v>
      </c>
      <c r="C159" s="8" t="s">
        <v>178</v>
      </c>
      <c r="D159" s="8" t="s">
        <v>0</v>
      </c>
      <c r="L159" s="8" t="s">
        <v>6</v>
      </c>
      <c r="M159" s="8" t="s">
        <v>3</v>
      </c>
      <c r="N159" s="8" t="s">
        <v>178</v>
      </c>
      <c r="O159" s="8" t="s">
        <v>0</v>
      </c>
    </row>
    <row r="160" spans="1:15" x14ac:dyDescent="0.15">
      <c r="A160">
        <f>A134+10</f>
        <v>5060</v>
      </c>
      <c r="B160">
        <f>B134+10</f>
        <v>2060</v>
      </c>
      <c r="C160">
        <v>20</v>
      </c>
      <c r="D160">
        <f>MOD(A160,1000)</f>
        <v>60</v>
      </c>
      <c r="L160">
        <f>A160</f>
        <v>5060</v>
      </c>
      <c r="M160">
        <f>B160</f>
        <v>2060</v>
      </c>
      <c r="N160">
        <v>14</v>
      </c>
      <c r="O160">
        <f>MOD(L160,1000)</f>
        <v>60</v>
      </c>
    </row>
    <row r="161" spans="1:21" x14ac:dyDescent="0.15">
      <c r="A161" t="s">
        <v>156</v>
      </c>
      <c r="B161" t="s">
        <v>95</v>
      </c>
      <c r="C161" t="s">
        <v>142</v>
      </c>
      <c r="D161" t="s">
        <v>143</v>
      </c>
      <c r="E161" t="s">
        <v>182</v>
      </c>
      <c r="F161" t="s">
        <v>192</v>
      </c>
      <c r="G161" t="s">
        <v>193</v>
      </c>
      <c r="H161" t="s">
        <v>176</v>
      </c>
      <c r="I161" t="s">
        <v>205</v>
      </c>
      <c r="J161" t="s">
        <v>206</v>
      </c>
      <c r="L161" t="s">
        <v>156</v>
      </c>
      <c r="M161" t="s">
        <v>95</v>
      </c>
      <c r="N161" t="s">
        <v>142</v>
      </c>
      <c r="O161" t="s">
        <v>143</v>
      </c>
      <c r="P161" t="s">
        <v>182</v>
      </c>
      <c r="Q161" t="s">
        <v>192</v>
      </c>
      <c r="R161" t="s">
        <v>193</v>
      </c>
      <c r="S161" t="s">
        <v>176</v>
      </c>
      <c r="T161" t="s">
        <v>205</v>
      </c>
      <c r="U161" t="s">
        <v>206</v>
      </c>
    </row>
    <row r="162" spans="1:21" x14ac:dyDescent="0.15">
      <c r="A162">
        <v>52</v>
      </c>
      <c r="B162" t="s">
        <v>44</v>
      </c>
      <c r="C162">
        <f>INT(C160/(VLOOKUP(A162,技能参数,5,FALSE)+2*VLOOKUP(A162,技能参数,4,FALSE))+1)</f>
        <v>2</v>
      </c>
      <c r="D162">
        <f>VLOOKUP(A162,技能参数,4,FALSE)</f>
        <v>1.5</v>
      </c>
      <c r="E162">
        <f>VLOOKUP(A162*1000+D160,学习等级编码,2)</f>
        <v>5206</v>
      </c>
      <c r="F162">
        <f>INT(VLOOKUP($E162,技能升级,9,FALSE)*$C162*I162*J162)</f>
        <v>5840</v>
      </c>
      <c r="G162">
        <f>INT(VLOOKUP($E162,技能升级,10,FALSE)*$C162*I162*J162)</f>
        <v>0</v>
      </c>
      <c r="H162">
        <f>INT(VLOOKUP($E162,技能升级,11,FALSE)*$C162*I162*J162)</f>
        <v>500</v>
      </c>
      <c r="I162">
        <v>1</v>
      </c>
      <c r="J162">
        <v>1</v>
      </c>
      <c r="L162">
        <v>52</v>
      </c>
      <c r="M162" t="s">
        <v>44</v>
      </c>
      <c r="N162">
        <v>0</v>
      </c>
      <c r="O162">
        <f>VLOOKUP(L162,技能参数,4,FALSE)</f>
        <v>1.5</v>
      </c>
      <c r="P162">
        <f>VLOOKUP(L162*1000+O160,学习等级编码,2)</f>
        <v>5206</v>
      </c>
      <c r="Q162">
        <f>INT(VLOOKUP(P162,技能升级,9,FALSE)*N162*T162*U162)</f>
        <v>0</v>
      </c>
      <c r="R162">
        <f>INT(VLOOKUP(P162,技能升级,10,FALSE)*N162*T162*U162)</f>
        <v>0</v>
      </c>
      <c r="S162">
        <f>INT(VLOOKUP(P162,技能升级,11,FALSE)*N162*T162*U162)</f>
        <v>0</v>
      </c>
      <c r="T162">
        <v>1</v>
      </c>
      <c r="U162">
        <v>1</v>
      </c>
    </row>
    <row r="163" spans="1:21" x14ac:dyDescent="0.15">
      <c r="A163">
        <v>54</v>
      </c>
      <c r="B163" t="s">
        <v>40</v>
      </c>
      <c r="C163">
        <f>INT(C160/(VLOOKUP(A163,技能参数,5,FALSE)+2*VLOOKUP(A163,技能参数,4,FALSE))+1)</f>
        <v>1</v>
      </c>
      <c r="D163">
        <f>VLOOKUP(A163,技能参数,4,FALSE)</f>
        <v>1.2</v>
      </c>
      <c r="E163">
        <f>VLOOKUP(A163*1000+D160,学习等级编码,2)</f>
        <v>5406</v>
      </c>
      <c r="F163">
        <f>INT(VLOOKUP($E163,技能升级,9,FALSE)*$C163*I163*J163)</f>
        <v>2330</v>
      </c>
      <c r="G163">
        <f>INT(VLOOKUP($E163,技能升级,10,FALSE)*$C163*I163*J163)</f>
        <v>0</v>
      </c>
      <c r="H163">
        <f>INT(VLOOKUP($E163,技能升级,11,FALSE)*$C163*I163*J163)</f>
        <v>285</v>
      </c>
      <c r="I163">
        <v>1</v>
      </c>
      <c r="J163">
        <v>1</v>
      </c>
      <c r="L163">
        <v>54</v>
      </c>
      <c r="M163" t="s">
        <v>40</v>
      </c>
      <c r="N163">
        <v>0</v>
      </c>
      <c r="O163">
        <f>VLOOKUP(L163,技能参数,4,FALSE)</f>
        <v>1.2</v>
      </c>
      <c r="P163">
        <f>VLOOKUP(L163*1000+O160,学习等级编码,2)</f>
        <v>5406</v>
      </c>
      <c r="Q163">
        <f>INT(VLOOKUP(P163,技能升级,9,FALSE)*N163*T163*U163)</f>
        <v>0</v>
      </c>
      <c r="R163">
        <f>INT(VLOOKUP(P163,技能升级,10,FALSE)*N163*T163*U163)</f>
        <v>0</v>
      </c>
      <c r="S163">
        <f>INT(VLOOKUP(P163,技能升级,11,FALSE)*N163*T163*U163)</f>
        <v>0</v>
      </c>
      <c r="T163">
        <v>1</v>
      </c>
      <c r="U163">
        <v>1</v>
      </c>
    </row>
    <row r="164" spans="1:21" x14ac:dyDescent="0.15">
      <c r="A164">
        <v>51</v>
      </c>
      <c r="B164" t="s">
        <v>203</v>
      </c>
      <c r="C164">
        <v>2</v>
      </c>
      <c r="D164">
        <f>VLOOKUP(A164,技能参数,4,FALSE)</f>
        <v>0.9</v>
      </c>
      <c r="E164">
        <f>VLOOKUP(A164*1000+D160,学习等级编码,2)</f>
        <v>5109</v>
      </c>
      <c r="F164">
        <f>INT(VLOOKUP($E164,技能升级,9,FALSE)*$C164*I164*J164)</f>
        <v>2860</v>
      </c>
      <c r="G164">
        <f>INT(VLOOKUP($E164,技能升级,10,FALSE)*$C164*I164*J164)</f>
        <v>0</v>
      </c>
      <c r="H164">
        <f>INT(VLOOKUP($E164,技能升级,11,FALSE)*$C164*I164*J164)</f>
        <v>540</v>
      </c>
      <c r="I164">
        <v>1</v>
      </c>
      <c r="J164">
        <v>1</v>
      </c>
      <c r="L164">
        <v>51</v>
      </c>
      <c r="M164" t="s">
        <v>203</v>
      </c>
      <c r="N164">
        <v>2</v>
      </c>
      <c r="O164">
        <f>VLOOKUP(L164,技能参数,4,FALSE)</f>
        <v>0.9</v>
      </c>
      <c r="P164">
        <f>VLOOKUP(L164*1000+O160,学习等级编码,2)</f>
        <v>5109</v>
      </c>
      <c r="Q164">
        <f>INT(VLOOKUP(P164,技能升级,9,FALSE)*N164*T164*U164)</f>
        <v>2860</v>
      </c>
      <c r="R164">
        <f>INT(VLOOKUP(P164,技能升级,10,FALSE)*N164*T164*U164)</f>
        <v>0</v>
      </c>
      <c r="S164">
        <f>INT(VLOOKUP(P164,技能升级,11,FALSE)*N164*T164*U164)</f>
        <v>540</v>
      </c>
      <c r="T164">
        <v>1</v>
      </c>
      <c r="U164">
        <v>1</v>
      </c>
    </row>
    <row r="165" spans="1:21" x14ac:dyDescent="0.15">
      <c r="A165">
        <v>51</v>
      </c>
      <c r="B165" t="s">
        <v>204</v>
      </c>
      <c r="C165">
        <f>INT((C160-C162*D162-C163*D163-D164*C164-C167)/D165*3)</f>
        <v>30</v>
      </c>
      <c r="D165">
        <f>VLOOKUP(A165,技能参数,4,FALSE)</f>
        <v>0.9</v>
      </c>
      <c r="E165">
        <f>VLOOKUP(A165*1000+D160,学习等级编码,2)</f>
        <v>5109</v>
      </c>
      <c r="F165">
        <f>INT(VLOOKUP($E165,技能升级,9,FALSE)*$C165*I165*J165)</f>
        <v>26998</v>
      </c>
      <c r="G165">
        <f>INT(VLOOKUP($E165,技能升级,10,FALSE)*$C165*I165*J165)</f>
        <v>0</v>
      </c>
      <c r="H165">
        <f>INT(VLOOKUP($E165,技能升级,11,FALSE)*$C165*I165*J165)</f>
        <v>5097</v>
      </c>
      <c r="I165">
        <f>F166/1000</f>
        <v>0.47</v>
      </c>
      <c r="J165">
        <f>VLOOKUP(A160,$A$2:$I$21,7,FALSE)</f>
        <v>1.3390000000000002</v>
      </c>
      <c r="L165">
        <v>51</v>
      </c>
      <c r="M165" t="s">
        <v>204</v>
      </c>
      <c r="N165">
        <f>INT((N160-N162*O162-N163*O163-O164*N164-N167)/O165*3)</f>
        <v>40</v>
      </c>
      <c r="O165">
        <f>VLOOKUP(L165,技能参数,4,FALSE)</f>
        <v>0.9</v>
      </c>
      <c r="P165">
        <f>VLOOKUP(L165*1000+O160,学习等级编码,2)</f>
        <v>5109</v>
      </c>
      <c r="Q165">
        <f>INT(VLOOKUP(P165,技能升级,9,FALSE)*N165*T165*U165)</f>
        <v>35997</v>
      </c>
      <c r="R165">
        <f>INT(VLOOKUP(P165,技能升级,10,FALSE)*N165*T165*U165)</f>
        <v>0</v>
      </c>
      <c r="S165">
        <f>INT(VLOOKUP(P165,技能升级,11,FALSE)*N165*T165*U165)</f>
        <v>6796</v>
      </c>
      <c r="T165">
        <f>Q166/1000</f>
        <v>0.47</v>
      </c>
      <c r="U165">
        <f>VLOOKUP(L160,$A$2:$I$21,7,FALSE)</f>
        <v>1.3390000000000002</v>
      </c>
    </row>
    <row r="166" spans="1:21" x14ac:dyDescent="0.15">
      <c r="A166">
        <v>55</v>
      </c>
      <c r="B166" t="s">
        <v>46</v>
      </c>
      <c r="C166">
        <v>1</v>
      </c>
      <c r="D166">
        <v>0</v>
      </c>
      <c r="E166">
        <f>VLOOKUP(A166*1000+D160,学习等级编码,2)</f>
        <v>5504</v>
      </c>
      <c r="F166">
        <f>INT(VLOOKUP($E166,技能升级,14,FALSE)*$C166*I166)</f>
        <v>470</v>
      </c>
      <c r="G166">
        <f>INT(VLOOKUP($E166,技能升级,10,FALSE)*$C166*I166)</f>
        <v>0</v>
      </c>
      <c r="H166">
        <f>INT(VLOOKUP($E166,技能升级,11,FALSE)*$C166*I166*J166)</f>
        <v>0</v>
      </c>
      <c r="I166">
        <v>1</v>
      </c>
      <c r="J166">
        <v>1</v>
      </c>
      <c r="L166">
        <v>55</v>
      </c>
      <c r="M166" t="s">
        <v>46</v>
      </c>
      <c r="N166">
        <v>1</v>
      </c>
      <c r="O166">
        <v>0</v>
      </c>
      <c r="P166">
        <f>VLOOKUP(L166*1000+O160,学习等级编码,2)</f>
        <v>5504</v>
      </c>
      <c r="Q166">
        <f>INT(VLOOKUP(P166,技能升级,9,FALSE)*N166*T166*U166)</f>
        <v>470</v>
      </c>
      <c r="R166">
        <f>INT(VLOOKUP(P166,技能升级,10,FALSE)*N166*T166*U166)</f>
        <v>0</v>
      </c>
      <c r="S166">
        <f>INT(VLOOKUP(P166,技能升级,11,FALSE)*N166*T166*U166)</f>
        <v>0</v>
      </c>
      <c r="T166">
        <v>1</v>
      </c>
      <c r="U166">
        <v>1</v>
      </c>
    </row>
    <row r="167" spans="1:21" x14ac:dyDescent="0.15">
      <c r="B167" t="s">
        <v>411</v>
      </c>
      <c r="C167">
        <f>C176*1.5+2</f>
        <v>5</v>
      </c>
      <c r="M167" t="s">
        <v>411</v>
      </c>
      <c r="N167">
        <v>0</v>
      </c>
    </row>
    <row r="168" spans="1:21" x14ac:dyDescent="0.15">
      <c r="E168" t="s">
        <v>194</v>
      </c>
      <c r="F168">
        <f>SUM(F162:F165)/1000</f>
        <v>38.027999999999999</v>
      </c>
      <c r="G168">
        <f>SUM(G162:G165)/1000</f>
        <v>0</v>
      </c>
      <c r="H168">
        <f>SUM(H162:H165)</f>
        <v>6422</v>
      </c>
      <c r="I168" t="s">
        <v>196</v>
      </c>
      <c r="J168" t="s">
        <v>197</v>
      </c>
      <c r="P168" t="s">
        <v>194</v>
      </c>
      <c r="Q168">
        <f>SUM(Q162:Q165)/1000</f>
        <v>38.856999999999999</v>
      </c>
      <c r="R168">
        <f>SUM(R162:R165)/1000</f>
        <v>0</v>
      </c>
      <c r="S168">
        <f>SUM(S162:S165)</f>
        <v>7336</v>
      </c>
      <c r="T168" t="s">
        <v>196</v>
      </c>
      <c r="U168" t="s">
        <v>197</v>
      </c>
    </row>
    <row r="169" spans="1:21" x14ac:dyDescent="0.15">
      <c r="E169" t="s">
        <v>195</v>
      </c>
      <c r="F169">
        <f>INT((IF($A160&gt;10000,VLOOKUP($A160,实战属性,13,FALSE),VLOOKUP($A160,总基本属性,7,FALSE))-
IF($B160&gt;10000,VLOOKUP($B160,实战属性,15,FALSE),VLOOKUP($B160,总基本属性,9,FALSE))*$L$13)*F168)</f>
        <v>71093</v>
      </c>
      <c r="G169">
        <f>INT((IF($A160&gt;10000,VLOOKUP($A160,实战属性,14,FALSE),VLOOKUP($A160,总基本属性,8,FALSE))-
IF($B160&gt;10000,VLOOKUP($B160,实战属性,16,FALSE),VLOOKUP($B160,总基本属性,10,FALSE))*$L$13)*G168)</f>
        <v>0</v>
      </c>
      <c r="H169">
        <f>H168+F169+G169</f>
        <v>77515</v>
      </c>
      <c r="I169">
        <f>IF($B160&gt;10000,VLOOKUP($B160,实战属性,12,FALSE),VLOOKUP($B160,总基本属性,6,FALSE))</f>
        <v>78480</v>
      </c>
      <c r="J169">
        <f>ROUND(I169/H169,2)</f>
        <v>1.01</v>
      </c>
      <c r="P169" t="s">
        <v>195</v>
      </c>
      <c r="Q169">
        <f>INT((IF($A160&gt;10000,VLOOKUP($A160,实战属性,13,FALSE),VLOOKUP($A160,总基本属性,7,FALSE))-
IF($B160&gt;10000,VLOOKUP($B160,实战属性,15,FALSE),VLOOKUP($B160,总基本属性,9,FALSE))*$L$13)*Q168)</f>
        <v>72643</v>
      </c>
      <c r="R169">
        <f>INT((IF($A160&gt;10000,VLOOKUP($A160,实战属性,14,FALSE),VLOOKUP($A160,总基本属性,8,FALSE))-
IF($B160&gt;10000,VLOOKUP($B160,实战属性,16,FALSE),VLOOKUP($B160,总基本属性,10,FALSE))*$L$13)*R168)</f>
        <v>0</v>
      </c>
      <c r="S169">
        <f>S168+Q169+R169</f>
        <v>79979</v>
      </c>
      <c r="T169">
        <f>IF($B160&gt;10000,VLOOKUP($B160,实战属性,12,FALSE),VLOOKUP($B160,总基本属性,6,FALSE))</f>
        <v>78480</v>
      </c>
      <c r="U169">
        <f>ROUND(T169/S169,2)</f>
        <v>0.98</v>
      </c>
    </row>
    <row r="172" spans="1:21" x14ac:dyDescent="0.15">
      <c r="A172" s="9" t="s">
        <v>3</v>
      </c>
      <c r="B172" s="9" t="s">
        <v>416</v>
      </c>
      <c r="C172" s="9" t="s">
        <v>178</v>
      </c>
      <c r="D172" s="9" t="s">
        <v>0</v>
      </c>
    </row>
    <row r="173" spans="1:21" x14ac:dyDescent="0.15">
      <c r="A173">
        <f>A147+10</f>
        <v>2060</v>
      </c>
      <c r="B173">
        <f>B147+10</f>
        <v>5060</v>
      </c>
      <c r="C173">
        <v>14</v>
      </c>
      <c r="D173">
        <f>MOD(A173,1000)</f>
        <v>60</v>
      </c>
    </row>
    <row r="174" spans="1:21" x14ac:dyDescent="0.15">
      <c r="A174" t="s">
        <v>156</v>
      </c>
      <c r="B174" t="s">
        <v>95</v>
      </c>
      <c r="C174" t="s">
        <v>177</v>
      </c>
      <c r="D174" t="s">
        <v>143</v>
      </c>
      <c r="E174" t="s">
        <v>182</v>
      </c>
      <c r="F174" t="s">
        <v>192</v>
      </c>
      <c r="G174" t="s">
        <v>193</v>
      </c>
      <c r="H174" t="s">
        <v>176</v>
      </c>
      <c r="I174" t="s">
        <v>205</v>
      </c>
      <c r="J174" t="s">
        <v>206</v>
      </c>
    </row>
    <row r="175" spans="1:21" x14ac:dyDescent="0.15">
      <c r="A175">
        <v>25</v>
      </c>
      <c r="B175" t="s">
        <v>23</v>
      </c>
      <c r="C175">
        <v>1</v>
      </c>
      <c r="D175">
        <f>VLOOKUP(A175,技能参数,4,FALSE)</f>
        <v>2</v>
      </c>
      <c r="E175">
        <f>IFERROR(VLOOKUP(A175*1000+D173,学习等级编码,2),0)</f>
        <v>2504</v>
      </c>
      <c r="F175">
        <f t="shared" ref="F175:F176" si="20">IFERROR(INT(VLOOKUP($E175,技能升级,9,FALSE)*$C175*I175*J175),0)</f>
        <v>5750</v>
      </c>
      <c r="G175">
        <f t="shared" ref="G175:G178" si="21">IFERROR(INT(VLOOKUP($E175,技能升级,10,FALSE)*$C175*I175*J175),0)</f>
        <v>0</v>
      </c>
      <c r="H175">
        <f>INT(VLOOKUP($E175,技能升级,11,FALSE)*$C175*I175*J175)</f>
        <v>298</v>
      </c>
      <c r="I175">
        <v>1</v>
      </c>
      <c r="J175">
        <v>1</v>
      </c>
    </row>
    <row r="176" spans="1:21" x14ac:dyDescent="0.15">
      <c r="A176">
        <v>23</v>
      </c>
      <c r="B176" t="s">
        <v>24</v>
      </c>
      <c r="C176">
        <f>INT((C173-D176-D177*3)/(VLOOKUP(A176,技能参数,5,FALSE)+2*VLOOKUP(A176,技能参数,4,FALSE))+1)+1</f>
        <v>2</v>
      </c>
      <c r="D176">
        <f>VLOOKUP(A176,技能参数,4,FALSE)</f>
        <v>1</v>
      </c>
      <c r="E176">
        <f>IFERROR(VLOOKUP(A176*1000+D173,学习等级编码,2),0)</f>
        <v>2306</v>
      </c>
      <c r="F176">
        <f t="shared" si="20"/>
        <v>2340</v>
      </c>
      <c r="G176">
        <f t="shared" si="21"/>
        <v>0</v>
      </c>
      <c r="H176">
        <f>INT(VLOOKUP($E176,技能升级,11,FALSE)*$C176*I176*J176)</f>
        <v>516</v>
      </c>
      <c r="I176">
        <v>1</v>
      </c>
      <c r="J176">
        <v>1</v>
      </c>
    </row>
    <row r="177" spans="1:21" x14ac:dyDescent="0.15">
      <c r="A177">
        <v>22</v>
      </c>
      <c r="B177" t="s">
        <v>22</v>
      </c>
      <c r="C177">
        <f>INT((C173-D176-D177*3)/(VLOOKUP(A177,技能参数,5,FALSE)+2*VLOOKUP(A177,技能参数,4,FALSE))+1)+3</f>
        <v>4</v>
      </c>
      <c r="D177">
        <f>VLOOKUP(A177,技能参数,4,FALSE)</f>
        <v>1.5</v>
      </c>
      <c r="E177">
        <f>IFERROR(VLOOKUP(A177*1000+D173,学习等级编码,2),0)</f>
        <v>2206</v>
      </c>
      <c r="F177">
        <f>IFERROR(INT(VLOOKUP($E177,技能升级,9,FALSE)*$C177*I177*J177),0)</f>
        <v>13788</v>
      </c>
      <c r="G177">
        <f t="shared" si="21"/>
        <v>0</v>
      </c>
      <c r="H177">
        <f>INT(VLOOKUP($E177,技能升级,11,FALSE)*$C177*I177*J177)</f>
        <v>1240</v>
      </c>
      <c r="I177">
        <v>1</v>
      </c>
      <c r="J177">
        <f>VLOOKUP(A173,$A$2:$H$21,8,FALSE)</f>
        <v>1.149</v>
      </c>
    </row>
    <row r="178" spans="1:21" x14ac:dyDescent="0.15">
      <c r="A178">
        <v>21</v>
      </c>
      <c r="B178" t="s">
        <v>90</v>
      </c>
      <c r="C178">
        <f>INT((C173-C175*D175-C176*D176-C177*D177-C179)/D178)</f>
        <v>2</v>
      </c>
      <c r="D178">
        <f>VLOOKUP(A178,技能参数,4,FALSE)</f>
        <v>1</v>
      </c>
      <c r="E178">
        <f>IFERROR(VLOOKUP(A178*1000+D173,学习等级编码,2),0)</f>
        <v>2109</v>
      </c>
      <c r="F178">
        <f>IFERROR(INT(VLOOKUP($E178,技能升级,9,FALSE)*$C178*I178*J178),0)</f>
        <v>2964</v>
      </c>
      <c r="G178">
        <f t="shared" si="21"/>
        <v>0</v>
      </c>
      <c r="H178">
        <f>INT(VLOOKUP($E178,技能升级,11,FALSE)*$C178*I178*J178)</f>
        <v>620</v>
      </c>
      <c r="I178">
        <v>1</v>
      </c>
      <c r="J178">
        <f>VLOOKUP(A173,$A$2:$H$21,8,FALSE)</f>
        <v>1.149</v>
      </c>
    </row>
    <row r="179" spans="1:21" x14ac:dyDescent="0.15">
      <c r="B179" t="s">
        <v>418</v>
      </c>
      <c r="C179">
        <f>C162*D164</f>
        <v>1.8</v>
      </c>
    </row>
    <row r="180" spans="1:21" x14ac:dyDescent="0.15">
      <c r="E180" t="s">
        <v>194</v>
      </c>
      <c r="F180">
        <f>SUM(F175:F178)/1000</f>
        <v>24.841999999999999</v>
      </c>
      <c r="G180">
        <f>SUM(G175:G178)/1000</f>
        <v>0</v>
      </c>
      <c r="H180">
        <f>SUM(H175:H178)</f>
        <v>2674</v>
      </c>
      <c r="I180" t="s">
        <v>196</v>
      </c>
      <c r="J180" t="s">
        <v>197</v>
      </c>
    </row>
    <row r="181" spans="1:21" x14ac:dyDescent="0.15">
      <c r="E181" t="s">
        <v>195</v>
      </c>
      <c r="F181">
        <f>INT((IF($A173&gt;10000,VLOOKUP($A173,实战属性,13,FALSE),VLOOKUP($A173,总基本属性,7,FALSE))-
IF($B173&gt;10000,VLOOKUP($B173,实战属性,15,FALSE),VLOOKUP($B173,总基本属性,9,FALSE))*$L$13)*F180)</f>
        <v>59546</v>
      </c>
      <c r="G181">
        <f>INT((IF($A173&gt;10000,VLOOKUP($A173,实战属性,14,FALSE),VLOOKUP($A173,总基本属性,8,FALSE))-
IF($B173&gt;10000,VLOOKUP($B173,实战属性,16,FALSE),VLOOKUP($B173,总基本属性,10,FALSE))*$L$13)*G180)</f>
        <v>0</v>
      </c>
      <c r="H181">
        <f>H180+F181+G181</f>
        <v>62220</v>
      </c>
      <c r="I181">
        <f>IF($B173&gt;10000,VLOOKUP($B173,实战属性,12,FALSE),VLOOKUP($B173,总基本属性,6,FALSE))</f>
        <v>62784</v>
      </c>
      <c r="J181">
        <f>ROUND(I181/H181,2)</f>
        <v>1.01</v>
      </c>
    </row>
    <row r="185" spans="1:21" x14ac:dyDescent="0.15">
      <c r="A185" s="8" t="s">
        <v>6</v>
      </c>
      <c r="B185" s="8" t="s">
        <v>3</v>
      </c>
      <c r="C185" s="8" t="s">
        <v>178</v>
      </c>
      <c r="D185" s="8" t="s">
        <v>0</v>
      </c>
      <c r="L185" s="8" t="s">
        <v>6</v>
      </c>
      <c r="M185" s="8" t="s">
        <v>3</v>
      </c>
      <c r="N185" s="8" t="s">
        <v>178</v>
      </c>
      <c r="O185" s="8" t="s">
        <v>0</v>
      </c>
    </row>
    <row r="186" spans="1:21" x14ac:dyDescent="0.15">
      <c r="A186">
        <f>A160+10</f>
        <v>5070</v>
      </c>
      <c r="B186">
        <f>B160+10</f>
        <v>2070</v>
      </c>
      <c r="C186">
        <v>20</v>
      </c>
      <c r="D186">
        <f>MOD(A186,1000)</f>
        <v>70</v>
      </c>
      <c r="L186">
        <f>A186</f>
        <v>5070</v>
      </c>
      <c r="M186">
        <f>B186</f>
        <v>2070</v>
      </c>
      <c r="N186">
        <v>13</v>
      </c>
      <c r="O186">
        <f>MOD(L186,1000)</f>
        <v>70</v>
      </c>
    </row>
    <row r="187" spans="1:21" x14ac:dyDescent="0.15">
      <c r="A187" t="s">
        <v>156</v>
      </c>
      <c r="B187" t="s">
        <v>95</v>
      </c>
      <c r="C187" t="s">
        <v>142</v>
      </c>
      <c r="D187" t="s">
        <v>143</v>
      </c>
      <c r="E187" t="s">
        <v>182</v>
      </c>
      <c r="F187" t="s">
        <v>192</v>
      </c>
      <c r="G187" t="s">
        <v>193</v>
      </c>
      <c r="H187" t="s">
        <v>176</v>
      </c>
      <c r="I187" t="s">
        <v>205</v>
      </c>
      <c r="J187" t="s">
        <v>206</v>
      </c>
      <c r="L187" t="s">
        <v>156</v>
      </c>
      <c r="M187" t="s">
        <v>95</v>
      </c>
      <c r="N187" t="s">
        <v>142</v>
      </c>
      <c r="O187" t="s">
        <v>143</v>
      </c>
      <c r="P187" t="s">
        <v>182</v>
      </c>
      <c r="Q187" t="s">
        <v>192</v>
      </c>
      <c r="R187" t="s">
        <v>193</v>
      </c>
      <c r="S187" t="s">
        <v>176</v>
      </c>
      <c r="T187" t="s">
        <v>205</v>
      </c>
      <c r="U187" t="s">
        <v>206</v>
      </c>
    </row>
    <row r="188" spans="1:21" x14ac:dyDescent="0.15">
      <c r="A188">
        <v>52</v>
      </c>
      <c r="B188" t="s">
        <v>44</v>
      </c>
      <c r="C188">
        <f>INT(C186/(VLOOKUP(A188,技能参数,5,FALSE)+2*VLOOKUP(A188,技能参数,4,FALSE))+1)</f>
        <v>2</v>
      </c>
      <c r="D188">
        <f>VLOOKUP(A188,技能参数,4,FALSE)</f>
        <v>1.5</v>
      </c>
      <c r="E188">
        <f>VLOOKUP(A188*1000+D186,学习等级编码,2)</f>
        <v>5207</v>
      </c>
      <c r="F188">
        <f>INT(VLOOKUP($E188,技能升级,9,FALSE)*$C188*I188*J188)</f>
        <v>6000</v>
      </c>
      <c r="G188">
        <f>INT(VLOOKUP($E188,技能升级,10,FALSE)*$C188*I188*J188)</f>
        <v>0</v>
      </c>
      <c r="H188">
        <f>INT(VLOOKUP($E188,技能升级,11,FALSE)*$C188*I188*J188)</f>
        <v>678</v>
      </c>
      <c r="I188">
        <v>1</v>
      </c>
      <c r="J188">
        <v>1</v>
      </c>
      <c r="L188">
        <v>52</v>
      </c>
      <c r="M188" t="s">
        <v>44</v>
      </c>
      <c r="N188">
        <v>0</v>
      </c>
      <c r="O188">
        <f>VLOOKUP(L188,技能参数,4,FALSE)</f>
        <v>1.5</v>
      </c>
      <c r="P188">
        <f>VLOOKUP(L188*1000+O186,学习等级编码,2)</f>
        <v>5207</v>
      </c>
      <c r="Q188">
        <f>INT(VLOOKUP(P188,技能升级,9,FALSE)*N188*T188*U188)</f>
        <v>0</v>
      </c>
      <c r="R188">
        <f>INT(VLOOKUP(P188,技能升级,10,FALSE)*N188*T188*U188)</f>
        <v>0</v>
      </c>
      <c r="S188">
        <f>INT(VLOOKUP(P188,技能升级,11,FALSE)*N188*T188*U188)</f>
        <v>0</v>
      </c>
      <c r="T188">
        <v>1</v>
      </c>
      <c r="U188">
        <v>1</v>
      </c>
    </row>
    <row r="189" spans="1:21" x14ac:dyDescent="0.15">
      <c r="A189">
        <v>54</v>
      </c>
      <c r="B189" t="s">
        <v>40</v>
      </c>
      <c r="C189">
        <f>INT(C186/(VLOOKUP(A189,技能参数,5,FALSE)+2*VLOOKUP(A189,技能参数,4,FALSE))+1)</f>
        <v>1</v>
      </c>
      <c r="D189">
        <f>VLOOKUP(A189,技能参数,4,FALSE)</f>
        <v>1.2</v>
      </c>
      <c r="E189">
        <f>VLOOKUP(A189*1000+D186,学习等级编码,2)</f>
        <v>5407</v>
      </c>
      <c r="F189">
        <f>INT(VLOOKUP($E189,技能升级,9,FALSE)*$C189*I189*J189)</f>
        <v>2400</v>
      </c>
      <c r="G189">
        <f>INT(VLOOKUP($E189,技能升级,10,FALSE)*$C189*I189*J189)</f>
        <v>0</v>
      </c>
      <c r="H189">
        <f>INT(VLOOKUP($E189,技能升级,11,FALSE)*$C189*I189*J189)</f>
        <v>380</v>
      </c>
      <c r="I189">
        <v>1</v>
      </c>
      <c r="J189">
        <v>1</v>
      </c>
      <c r="L189">
        <v>54</v>
      </c>
      <c r="M189" t="s">
        <v>40</v>
      </c>
      <c r="N189">
        <v>0</v>
      </c>
      <c r="O189">
        <f>VLOOKUP(L189,技能参数,4,FALSE)</f>
        <v>1.2</v>
      </c>
      <c r="P189">
        <f>VLOOKUP(L189*1000+O186,学习等级编码,2)</f>
        <v>5407</v>
      </c>
      <c r="Q189">
        <f>INT(VLOOKUP(P189,技能升级,9,FALSE)*N189*T189*U189)</f>
        <v>0</v>
      </c>
      <c r="R189">
        <f>INT(VLOOKUP(P189,技能升级,10,FALSE)*N189*T189*U189)</f>
        <v>0</v>
      </c>
      <c r="S189">
        <f>INT(VLOOKUP(P189,技能升级,11,FALSE)*N189*T189*U189)</f>
        <v>0</v>
      </c>
      <c r="T189">
        <v>1</v>
      </c>
      <c r="U189">
        <v>1</v>
      </c>
    </row>
    <row r="190" spans="1:21" x14ac:dyDescent="0.15">
      <c r="A190">
        <v>51</v>
      </c>
      <c r="B190" t="s">
        <v>203</v>
      </c>
      <c r="C190">
        <v>2</v>
      </c>
      <c r="D190">
        <f>VLOOKUP(A190,技能参数,4,FALSE)</f>
        <v>0.9</v>
      </c>
      <c r="E190">
        <f>VLOOKUP(A190*1000+D186,学习等级编码,2)</f>
        <v>5111</v>
      </c>
      <c r="F190">
        <f>INT(VLOOKUP($E190,技能升级,9,FALSE)*$C190*I190*J190)</f>
        <v>2940</v>
      </c>
      <c r="G190">
        <f>INT(VLOOKUP($E190,技能升级,10,FALSE)*$C190*I190*J190)</f>
        <v>0</v>
      </c>
      <c r="H190">
        <f>INT(VLOOKUP($E190,技能升级,11,FALSE)*$C190*I190*J190)</f>
        <v>812</v>
      </c>
      <c r="I190">
        <v>1</v>
      </c>
      <c r="J190">
        <v>1</v>
      </c>
      <c r="L190">
        <v>51</v>
      </c>
      <c r="M190" t="s">
        <v>203</v>
      </c>
      <c r="N190">
        <v>2</v>
      </c>
      <c r="O190">
        <f>VLOOKUP(L190,技能参数,4,FALSE)</f>
        <v>0.9</v>
      </c>
      <c r="P190">
        <f>VLOOKUP(L190*1000+O186,学习等级编码,2)</f>
        <v>5111</v>
      </c>
      <c r="Q190">
        <f>INT(VLOOKUP(P190,技能升级,9,FALSE)*N190*T190*U190)</f>
        <v>2940</v>
      </c>
      <c r="R190">
        <f>INT(VLOOKUP(P190,技能升级,10,FALSE)*N190*T190*U190)</f>
        <v>0</v>
      </c>
      <c r="S190">
        <f>INT(VLOOKUP(P190,技能升级,11,FALSE)*N190*T190*U190)</f>
        <v>812</v>
      </c>
      <c r="T190">
        <v>1</v>
      </c>
      <c r="U190">
        <v>1</v>
      </c>
    </row>
    <row r="191" spans="1:21" x14ac:dyDescent="0.15">
      <c r="A191">
        <v>51</v>
      </c>
      <c r="B191" t="s">
        <v>204</v>
      </c>
      <c r="C191">
        <f>INT((C186-C188*D188-C189*D189-D190*C190-C193)/D191*3)</f>
        <v>30</v>
      </c>
      <c r="D191">
        <f>VLOOKUP(A191,技能参数,4,FALSE)</f>
        <v>0.9</v>
      </c>
      <c r="E191">
        <f>VLOOKUP(A191*1000+D186,学习等级编码,2)</f>
        <v>5111</v>
      </c>
      <c r="F191">
        <f>INT(VLOOKUP($E191,技能升级,9,FALSE)*$C191*I191*J191)</f>
        <v>29647</v>
      </c>
      <c r="G191">
        <f>INT(VLOOKUP($E191,技能升级,10,FALSE)*$C191*I191*J191)</f>
        <v>0</v>
      </c>
      <c r="H191">
        <f>INT(VLOOKUP($E191,技能升级,11,FALSE)*$C191*I191*J191)</f>
        <v>8188</v>
      </c>
      <c r="I191">
        <f>F192/1000</f>
        <v>0.49</v>
      </c>
      <c r="J191">
        <f>VLOOKUP(A186,$A$2:$I$21,7,FALSE)</f>
        <v>1.3719999999999999</v>
      </c>
      <c r="L191">
        <v>51</v>
      </c>
      <c r="M191" t="s">
        <v>204</v>
      </c>
      <c r="N191">
        <f>INT((N186-N188*O188-N189*O189-O190*N190-N193)/O191*3)</f>
        <v>37</v>
      </c>
      <c r="O191">
        <f>VLOOKUP(L191,技能参数,4,FALSE)</f>
        <v>0.9</v>
      </c>
      <c r="P191">
        <f>VLOOKUP(L191*1000+O186,学习等级编码,2)</f>
        <v>5111</v>
      </c>
      <c r="Q191">
        <f>INT(VLOOKUP(P191,技能升级,9,FALSE)*N191*T191*U191)</f>
        <v>36565</v>
      </c>
      <c r="R191">
        <f>INT(VLOOKUP(P191,技能升级,10,FALSE)*N191*T191*U191)</f>
        <v>0</v>
      </c>
      <c r="S191">
        <f>INT(VLOOKUP(P191,技能升级,11,FALSE)*N191*T191*U191)</f>
        <v>10098</v>
      </c>
      <c r="T191">
        <f>Q192/1000</f>
        <v>0.49</v>
      </c>
      <c r="U191">
        <f>VLOOKUP(L186,$A$2:$I$21,7,FALSE)</f>
        <v>1.3719999999999999</v>
      </c>
    </row>
    <row r="192" spans="1:21" x14ac:dyDescent="0.15">
      <c r="A192">
        <v>55</v>
      </c>
      <c r="B192" t="s">
        <v>46</v>
      </c>
      <c r="C192">
        <v>1</v>
      </c>
      <c r="D192">
        <v>0</v>
      </c>
      <c r="E192">
        <f>VLOOKUP(A192*1000+D186,学习等级编码,2)</f>
        <v>5505</v>
      </c>
      <c r="F192">
        <f>INT(VLOOKUP($E192,技能升级,14,FALSE)*$C192*I192)</f>
        <v>490</v>
      </c>
      <c r="G192">
        <f>INT(VLOOKUP($E192,技能升级,10,FALSE)*$C192*I192)</f>
        <v>0</v>
      </c>
      <c r="H192">
        <f>INT(VLOOKUP($E192,技能升级,11,FALSE)*$C192*I192*J192)</f>
        <v>0</v>
      </c>
      <c r="I192">
        <v>1</v>
      </c>
      <c r="J192">
        <v>1</v>
      </c>
      <c r="L192">
        <v>55</v>
      </c>
      <c r="M192" t="s">
        <v>46</v>
      </c>
      <c r="N192">
        <v>1</v>
      </c>
      <c r="O192">
        <v>0</v>
      </c>
      <c r="P192">
        <f>VLOOKUP(L192*1000+O186,学习等级编码,2)</f>
        <v>5505</v>
      </c>
      <c r="Q192">
        <f>INT(VLOOKUP(P192,技能升级,9,FALSE)*N192*T192*U192)</f>
        <v>490</v>
      </c>
      <c r="R192">
        <f>INT(VLOOKUP(P192,技能升级,10,FALSE)*N192*T192*U192)</f>
        <v>0</v>
      </c>
      <c r="S192">
        <f>INT(VLOOKUP(P192,技能升级,11,FALSE)*N192*T192*U192)</f>
        <v>0</v>
      </c>
      <c r="T192">
        <v>1</v>
      </c>
      <c r="U192">
        <v>1</v>
      </c>
    </row>
    <row r="193" spans="1:21" x14ac:dyDescent="0.15">
      <c r="B193" t="s">
        <v>411</v>
      </c>
      <c r="C193">
        <f>C202*1.5+2</f>
        <v>5</v>
      </c>
      <c r="M193" t="s">
        <v>411</v>
      </c>
      <c r="N193">
        <v>0</v>
      </c>
    </row>
    <row r="194" spans="1:21" x14ac:dyDescent="0.15">
      <c r="E194" t="s">
        <v>194</v>
      </c>
      <c r="F194">
        <f>SUM(F188:F191)/1000</f>
        <v>40.987000000000002</v>
      </c>
      <c r="G194">
        <f>SUM(G188:G191)/1000</f>
        <v>0</v>
      </c>
      <c r="H194">
        <f>SUM(H188:H191)</f>
        <v>10058</v>
      </c>
      <c r="I194" t="s">
        <v>196</v>
      </c>
      <c r="J194" t="s">
        <v>197</v>
      </c>
      <c r="P194" t="s">
        <v>194</v>
      </c>
      <c r="Q194">
        <f>SUM(Q188:Q191)/1000</f>
        <v>39.505000000000003</v>
      </c>
      <c r="R194">
        <f>SUM(R188:R191)/1000</f>
        <v>0</v>
      </c>
      <c r="S194">
        <f>SUM(S188:S191)</f>
        <v>10910</v>
      </c>
      <c r="T194" t="s">
        <v>196</v>
      </c>
      <c r="U194" t="s">
        <v>197</v>
      </c>
    </row>
    <row r="195" spans="1:21" x14ac:dyDescent="0.15">
      <c r="E195" t="s">
        <v>195</v>
      </c>
      <c r="F195">
        <f>INT((IF($A186&gt;10000,VLOOKUP($A186,实战属性,13,FALSE),VLOOKUP($A186,总基本属性,7,FALSE))-
IF($B186&gt;10000,VLOOKUP($B186,实战属性,15,FALSE),VLOOKUP($B186,总基本属性,9,FALSE))*$L$13)*F194)</f>
        <v>96135</v>
      </c>
      <c r="G195">
        <f>INT((IF($A186&gt;10000,VLOOKUP($A186,实战属性,14,FALSE),VLOOKUP($A186,总基本属性,8,FALSE))-
IF($B186&gt;10000,VLOOKUP($B186,实战属性,16,FALSE),VLOOKUP($B186,总基本属性,10,FALSE))*$L$13)*G194)</f>
        <v>0</v>
      </c>
      <c r="H195">
        <f>H194+F195+G195</f>
        <v>106193</v>
      </c>
      <c r="I195">
        <f>IF($B186&gt;10000,VLOOKUP($B186,实战属性,12,FALSE),VLOOKUP($B186,总基本属性,6,FALSE))</f>
        <v>105480</v>
      </c>
      <c r="J195">
        <f>ROUND(I195/H195,2)</f>
        <v>0.99</v>
      </c>
      <c r="P195" t="s">
        <v>195</v>
      </c>
      <c r="Q195">
        <f>INT((IF($A186&gt;10000,VLOOKUP($A186,实战属性,13,FALSE),VLOOKUP($A186,总基本属性,7,FALSE))-
IF($B186&gt;10000,VLOOKUP($B186,实战属性,15,FALSE),VLOOKUP($B186,总基本属性,9,FALSE))*$L$13)*Q194)</f>
        <v>92658</v>
      </c>
      <c r="R195">
        <f>INT((IF($A186&gt;10000,VLOOKUP($A186,实战属性,14,FALSE),VLOOKUP($A186,总基本属性,8,FALSE))-
IF($B186&gt;10000,VLOOKUP($B186,实战属性,16,FALSE),VLOOKUP($B186,总基本属性,10,FALSE))*$L$13)*R194)</f>
        <v>0</v>
      </c>
      <c r="S195">
        <f>S194+Q195+R195</f>
        <v>103568</v>
      </c>
      <c r="T195">
        <f>IF($B186&gt;10000,VLOOKUP($B186,实战属性,12,FALSE),VLOOKUP($B186,总基本属性,6,FALSE))</f>
        <v>105480</v>
      </c>
      <c r="U195">
        <f>ROUND(T195/S195,2)</f>
        <v>1.02</v>
      </c>
    </row>
    <row r="198" spans="1:21" x14ac:dyDescent="0.15">
      <c r="A198" s="9" t="s">
        <v>3</v>
      </c>
      <c r="B198" s="9" t="s">
        <v>416</v>
      </c>
      <c r="C198" s="9" t="s">
        <v>178</v>
      </c>
      <c r="D198" s="9" t="s">
        <v>0</v>
      </c>
    </row>
    <row r="199" spans="1:21" x14ac:dyDescent="0.15">
      <c r="A199">
        <f>A173+10</f>
        <v>2070</v>
      </c>
      <c r="B199">
        <f>B173+10</f>
        <v>5070</v>
      </c>
      <c r="C199">
        <v>14</v>
      </c>
      <c r="D199">
        <f>MOD(A199,1000)</f>
        <v>70</v>
      </c>
    </row>
    <row r="200" spans="1:21" x14ac:dyDescent="0.15">
      <c r="A200" t="s">
        <v>156</v>
      </c>
      <c r="B200" t="s">
        <v>95</v>
      </c>
      <c r="C200" t="s">
        <v>177</v>
      </c>
      <c r="D200" t="s">
        <v>143</v>
      </c>
      <c r="E200" t="s">
        <v>182</v>
      </c>
      <c r="F200" t="s">
        <v>192</v>
      </c>
      <c r="G200" t="s">
        <v>193</v>
      </c>
      <c r="H200" t="s">
        <v>176</v>
      </c>
      <c r="I200" t="s">
        <v>205</v>
      </c>
      <c r="J200" t="s">
        <v>206</v>
      </c>
    </row>
    <row r="201" spans="1:21" x14ac:dyDescent="0.15">
      <c r="A201">
        <v>25</v>
      </c>
      <c r="B201" t="s">
        <v>23</v>
      </c>
      <c r="C201">
        <v>1</v>
      </c>
      <c r="D201">
        <f>VLOOKUP(A201,技能参数,4,FALSE)</f>
        <v>2</v>
      </c>
      <c r="E201">
        <f>IFERROR(VLOOKUP(A201*1000+D199,学习等级编码,2),0)</f>
        <v>2505</v>
      </c>
      <c r="F201">
        <f t="shared" ref="F201:F202" si="22">IFERROR(INT(VLOOKUP($E201,技能升级,9,FALSE)*$C201*I201*J201),0)</f>
        <v>6000</v>
      </c>
      <c r="G201">
        <f t="shared" ref="G201:G204" si="23">IFERROR(INT(VLOOKUP($E201,技能升级,10,FALSE)*$C201*I201*J201),0)</f>
        <v>0</v>
      </c>
      <c r="H201">
        <f>INT(VLOOKUP($E201,技能升级,11,FALSE)*$C201*I201*J201)</f>
        <v>441</v>
      </c>
      <c r="I201">
        <v>1</v>
      </c>
      <c r="J201">
        <v>1</v>
      </c>
    </row>
    <row r="202" spans="1:21" x14ac:dyDescent="0.15">
      <c r="A202">
        <v>23</v>
      </c>
      <c r="B202" t="s">
        <v>24</v>
      </c>
      <c r="C202">
        <f>INT((C199-D202-D203*3)/(VLOOKUP(A202,技能参数,5,FALSE)+2*VLOOKUP(A202,技能参数,4,FALSE))+1)+1</f>
        <v>2</v>
      </c>
      <c r="D202">
        <f>VLOOKUP(A202,技能参数,4,FALSE)</f>
        <v>1</v>
      </c>
      <c r="E202">
        <f>IFERROR(VLOOKUP(A202*1000+D199,学习等级编码,2),0)</f>
        <v>2307</v>
      </c>
      <c r="F202">
        <f t="shared" si="22"/>
        <v>2400</v>
      </c>
      <c r="G202">
        <f t="shared" si="23"/>
        <v>0</v>
      </c>
      <c r="H202">
        <f>INT(VLOOKUP($E202,技能升级,11,FALSE)*$C202*I202*J202)</f>
        <v>698</v>
      </c>
      <c r="I202">
        <v>1</v>
      </c>
      <c r="J202">
        <v>1</v>
      </c>
    </row>
    <row r="203" spans="1:21" x14ac:dyDescent="0.15">
      <c r="A203">
        <v>22</v>
      </c>
      <c r="B203" t="s">
        <v>22</v>
      </c>
      <c r="C203">
        <f>INT((C199-D202-D203*3)/(VLOOKUP(A203,技能参数,5,FALSE)+2*VLOOKUP(A203,技能参数,4,FALSE))+1)+3</f>
        <v>4</v>
      </c>
      <c r="D203">
        <f>VLOOKUP(A203,技能参数,4,FALSE)</f>
        <v>1.5</v>
      </c>
      <c r="E203">
        <f>IFERROR(VLOOKUP(A203*1000+D199,学习等级编码,2),0)</f>
        <v>2207</v>
      </c>
      <c r="F203">
        <f>IFERROR(INT(VLOOKUP($E203,技能升级,9,FALSE)*$C203*I203*J203),0)</f>
        <v>15018</v>
      </c>
      <c r="G203">
        <f t="shared" si="23"/>
        <v>0</v>
      </c>
      <c r="H203">
        <f>INT(VLOOKUP($E203,技能升级,11,FALSE)*$C203*I203*J203)</f>
        <v>1761</v>
      </c>
      <c r="I203">
        <v>1</v>
      </c>
      <c r="J203">
        <f>VLOOKUP(A199,$A$2:$H$21,8,FALSE)</f>
        <v>1.2270000000000001</v>
      </c>
    </row>
    <row r="204" spans="1:21" x14ac:dyDescent="0.15">
      <c r="A204">
        <v>21</v>
      </c>
      <c r="B204" t="s">
        <v>90</v>
      </c>
      <c r="C204">
        <f>INT((C199-C201*D201-C202*D202-C203*D203-C205)/D204)</f>
        <v>2</v>
      </c>
      <c r="D204">
        <f>VLOOKUP(A204,技能参数,4,FALSE)</f>
        <v>1</v>
      </c>
      <c r="E204">
        <f>IFERROR(VLOOKUP(A204*1000+D199,学习等级编码,2),0)</f>
        <v>2111</v>
      </c>
      <c r="F204">
        <f>IFERROR(INT(VLOOKUP($E204,技能升级,9,FALSE)*$C204*I204*J204),0)</f>
        <v>3337</v>
      </c>
      <c r="G204">
        <f t="shared" si="23"/>
        <v>0</v>
      </c>
      <c r="H204">
        <f>INT(VLOOKUP($E204,技能升级,11,FALSE)*$C204*I204*J204)</f>
        <v>996</v>
      </c>
      <c r="I204">
        <v>1</v>
      </c>
      <c r="J204">
        <f>VLOOKUP(A199,$A$2:$H$21,8,FALSE)</f>
        <v>1.2270000000000001</v>
      </c>
    </row>
    <row r="205" spans="1:21" x14ac:dyDescent="0.15">
      <c r="B205" t="s">
        <v>418</v>
      </c>
      <c r="C205">
        <f>C188*D190</f>
        <v>1.8</v>
      </c>
    </row>
    <row r="206" spans="1:21" x14ac:dyDescent="0.15">
      <c r="E206" t="s">
        <v>194</v>
      </c>
      <c r="F206">
        <f>SUM(F201:F204)/1000</f>
        <v>26.754999999999999</v>
      </c>
      <c r="G206">
        <f>SUM(G201:G204)/1000</f>
        <v>0</v>
      </c>
      <c r="H206">
        <f>SUM(H201:H204)</f>
        <v>3896</v>
      </c>
      <c r="I206" t="s">
        <v>196</v>
      </c>
      <c r="J206" t="s">
        <v>197</v>
      </c>
    </row>
    <row r="207" spans="1:21" x14ac:dyDescent="0.15">
      <c r="E207" t="s">
        <v>195</v>
      </c>
      <c r="F207">
        <f>INT((IF($A199&gt;10000,VLOOKUP($A199,实战属性,13,FALSE),VLOOKUP($A199,总基本属性,7,FALSE))-
IF($B199&gt;10000,VLOOKUP($B199,实战属性,15,FALSE),VLOOKUP($B199,总基本属性,9,FALSE))*$L$13)*F206)</f>
        <v>80479</v>
      </c>
      <c r="G207">
        <f>INT((IF($A199&gt;10000,VLOOKUP($A199,实战属性,14,FALSE),VLOOKUP($A199,总基本属性,8,FALSE))-
IF($B199&gt;10000,VLOOKUP($B199,实战属性,16,FALSE),VLOOKUP($B199,总基本属性,10,FALSE))*$L$13)*G206)</f>
        <v>0</v>
      </c>
      <c r="H207">
        <f>H206+F207+G207</f>
        <v>84375</v>
      </c>
      <c r="I207">
        <f>IF($B199&gt;10000,VLOOKUP($B199,实战属性,12,FALSE),VLOOKUP($B199,总基本属性,6,FALSE))</f>
        <v>84384</v>
      </c>
      <c r="J207">
        <f>ROUND(I207/H207,2)</f>
        <v>1</v>
      </c>
    </row>
    <row r="211" spans="1:21" x14ac:dyDescent="0.15">
      <c r="A211" s="8" t="s">
        <v>6</v>
      </c>
      <c r="B211" s="8" t="s">
        <v>3</v>
      </c>
      <c r="C211" s="8" t="s">
        <v>178</v>
      </c>
      <c r="D211" s="8" t="s">
        <v>0</v>
      </c>
      <c r="L211" s="8" t="s">
        <v>6</v>
      </c>
      <c r="M211" s="8" t="s">
        <v>3</v>
      </c>
      <c r="N211" s="8" t="s">
        <v>178</v>
      </c>
      <c r="O211" s="8" t="s">
        <v>0</v>
      </c>
    </row>
    <row r="212" spans="1:21" x14ac:dyDescent="0.15">
      <c r="A212">
        <f>A186+10</f>
        <v>5080</v>
      </c>
      <c r="B212">
        <f>B186+10</f>
        <v>2080</v>
      </c>
      <c r="C212">
        <v>21</v>
      </c>
      <c r="D212">
        <f>MOD(A212,1000)</f>
        <v>80</v>
      </c>
      <c r="L212">
        <f>A212</f>
        <v>5080</v>
      </c>
      <c r="M212">
        <f>B212</f>
        <v>2080</v>
      </c>
      <c r="N212">
        <v>14</v>
      </c>
      <c r="O212">
        <f>MOD(L212,1000)</f>
        <v>80</v>
      </c>
    </row>
    <row r="213" spans="1:21" x14ac:dyDescent="0.15">
      <c r="A213" t="s">
        <v>156</v>
      </c>
      <c r="B213" t="s">
        <v>95</v>
      </c>
      <c r="C213" t="s">
        <v>142</v>
      </c>
      <c r="D213" t="s">
        <v>143</v>
      </c>
      <c r="E213" t="s">
        <v>182</v>
      </c>
      <c r="F213" t="s">
        <v>192</v>
      </c>
      <c r="G213" t="s">
        <v>193</v>
      </c>
      <c r="H213" t="s">
        <v>176</v>
      </c>
      <c r="I213" t="s">
        <v>205</v>
      </c>
      <c r="J213" t="s">
        <v>206</v>
      </c>
      <c r="L213" t="s">
        <v>156</v>
      </c>
      <c r="M213" t="s">
        <v>95</v>
      </c>
      <c r="N213" t="s">
        <v>142</v>
      </c>
      <c r="O213" t="s">
        <v>143</v>
      </c>
      <c r="P213" t="s">
        <v>182</v>
      </c>
      <c r="Q213" t="s">
        <v>192</v>
      </c>
      <c r="R213" t="s">
        <v>193</v>
      </c>
      <c r="S213" t="s">
        <v>176</v>
      </c>
      <c r="T213" t="s">
        <v>205</v>
      </c>
      <c r="U213" t="s">
        <v>206</v>
      </c>
    </row>
    <row r="214" spans="1:21" x14ac:dyDescent="0.15">
      <c r="A214">
        <v>52</v>
      </c>
      <c r="B214" t="s">
        <v>44</v>
      </c>
      <c r="C214">
        <f>INT(C212/(VLOOKUP(A214,技能参数,5,FALSE)+2*VLOOKUP(A214,技能参数,4,FALSE))+1)</f>
        <v>2</v>
      </c>
      <c r="D214">
        <f>VLOOKUP(A214,技能参数,4,FALSE)</f>
        <v>1.5</v>
      </c>
      <c r="E214">
        <f>VLOOKUP(A214*1000+D212,学习等级编码,2)</f>
        <v>5208</v>
      </c>
      <c r="F214">
        <f>INT(VLOOKUP($E214,技能升级,9,FALSE)*$C214*I214*J214)</f>
        <v>6160</v>
      </c>
      <c r="G214">
        <f>INT(VLOOKUP($E214,技能升级,10,FALSE)*$C214*I214*J214)</f>
        <v>0</v>
      </c>
      <c r="H214">
        <f>INT(VLOOKUP($E214,技能升级,11,FALSE)*$C214*I214*J214)</f>
        <v>886</v>
      </c>
      <c r="I214">
        <v>1</v>
      </c>
      <c r="J214">
        <v>1</v>
      </c>
      <c r="L214">
        <v>52</v>
      </c>
      <c r="M214" t="s">
        <v>44</v>
      </c>
      <c r="N214">
        <v>0</v>
      </c>
      <c r="O214">
        <f>VLOOKUP(L214,技能参数,4,FALSE)</f>
        <v>1.5</v>
      </c>
      <c r="P214">
        <f>VLOOKUP(L214*1000+O212,学习等级编码,2)</f>
        <v>5208</v>
      </c>
      <c r="Q214">
        <f>INT(VLOOKUP(P214,技能升级,9,FALSE)*N214*T214*U214)</f>
        <v>0</v>
      </c>
      <c r="R214">
        <f>INT(VLOOKUP(P214,技能升级,10,FALSE)*N214*T214*U214)</f>
        <v>0</v>
      </c>
      <c r="S214">
        <f>INT(VLOOKUP(P214,技能升级,11,FALSE)*N214*T214*U214)</f>
        <v>0</v>
      </c>
      <c r="T214">
        <v>1</v>
      </c>
      <c r="U214">
        <v>1</v>
      </c>
    </row>
    <row r="215" spans="1:21" x14ac:dyDescent="0.15">
      <c r="A215">
        <v>54</v>
      </c>
      <c r="B215" t="s">
        <v>40</v>
      </c>
      <c r="C215">
        <f>INT(C212/(VLOOKUP(A215,技能参数,5,FALSE)+2*VLOOKUP(A215,技能参数,4,FALSE))+1)</f>
        <v>1</v>
      </c>
      <c r="D215">
        <f>VLOOKUP(A215,技能参数,4,FALSE)</f>
        <v>1.2</v>
      </c>
      <c r="E215">
        <f>VLOOKUP(A215*1000+D212,学习等级编码,2)</f>
        <v>5408</v>
      </c>
      <c r="F215">
        <f>INT(VLOOKUP($E215,技能升级,9,FALSE)*$C215*I215*J215)</f>
        <v>2470</v>
      </c>
      <c r="G215">
        <f>INT(VLOOKUP($E215,技能升级,10,FALSE)*$C215*I215*J215)</f>
        <v>0</v>
      </c>
      <c r="H215">
        <f>INT(VLOOKUP($E215,技能升级,11,FALSE)*$C215*I215*J215)</f>
        <v>490</v>
      </c>
      <c r="I215">
        <v>1</v>
      </c>
      <c r="J215">
        <v>1</v>
      </c>
      <c r="L215">
        <v>54</v>
      </c>
      <c r="M215" t="s">
        <v>40</v>
      </c>
      <c r="N215">
        <v>0</v>
      </c>
      <c r="O215">
        <f>VLOOKUP(L215,技能参数,4,FALSE)</f>
        <v>1.2</v>
      </c>
      <c r="P215">
        <f>VLOOKUP(L215*1000+O212,学习等级编码,2)</f>
        <v>5408</v>
      </c>
      <c r="Q215">
        <f>INT(VLOOKUP(P215,技能升级,9,FALSE)*N215*T215*U215)</f>
        <v>0</v>
      </c>
      <c r="R215">
        <f>INT(VLOOKUP(P215,技能升级,10,FALSE)*N215*T215*U215)</f>
        <v>0</v>
      </c>
      <c r="S215">
        <f>INT(VLOOKUP(P215,技能升级,11,FALSE)*N215*T215*U215)</f>
        <v>0</v>
      </c>
      <c r="T215">
        <v>1</v>
      </c>
      <c r="U215">
        <v>1</v>
      </c>
    </row>
    <row r="216" spans="1:21" x14ac:dyDescent="0.15">
      <c r="A216">
        <v>51</v>
      </c>
      <c r="B216" t="s">
        <v>203</v>
      </c>
      <c r="C216">
        <v>2</v>
      </c>
      <c r="D216">
        <f>VLOOKUP(A216,技能参数,4,FALSE)</f>
        <v>0.9</v>
      </c>
      <c r="E216">
        <f>VLOOKUP(A216*1000+D212,学习等级编码,2)</f>
        <v>5112</v>
      </c>
      <c r="F216">
        <f>INT(VLOOKUP($E216,技能升级,9,FALSE)*$C216*I216*J216)</f>
        <v>3000</v>
      </c>
      <c r="G216">
        <f>INT(VLOOKUP($E216,技能升级,10,FALSE)*$C216*I216*J216)</f>
        <v>0</v>
      </c>
      <c r="H216">
        <f>INT(VLOOKUP($E216,技能升级,11,FALSE)*$C216*I216*J216)</f>
        <v>974</v>
      </c>
      <c r="I216">
        <v>1</v>
      </c>
      <c r="J216">
        <v>1</v>
      </c>
      <c r="L216">
        <v>51</v>
      </c>
      <c r="M216" t="s">
        <v>203</v>
      </c>
      <c r="N216">
        <v>2</v>
      </c>
      <c r="O216">
        <f>VLOOKUP(L216,技能参数,4,FALSE)</f>
        <v>0.9</v>
      </c>
      <c r="P216">
        <f>VLOOKUP(L216*1000+O212,学习等级编码,2)</f>
        <v>5112</v>
      </c>
      <c r="Q216">
        <f>INT(VLOOKUP(P216,技能升级,9,FALSE)*N216*T216*U216)</f>
        <v>3000</v>
      </c>
      <c r="R216">
        <f>INT(VLOOKUP(P216,技能升级,10,FALSE)*N216*T216*U216)</f>
        <v>0</v>
      </c>
      <c r="S216">
        <f>INT(VLOOKUP(P216,技能升级,11,FALSE)*N216*T216*U216)</f>
        <v>974</v>
      </c>
      <c r="T216">
        <v>1</v>
      </c>
      <c r="U216">
        <v>1</v>
      </c>
    </row>
    <row r="217" spans="1:21" x14ac:dyDescent="0.15">
      <c r="A217">
        <v>51</v>
      </c>
      <c r="B217" t="s">
        <v>204</v>
      </c>
      <c r="C217">
        <f>INT((C212-C214*D214-C215*D215-D216*C216-C219)/D217*3)</f>
        <v>33</v>
      </c>
      <c r="D217">
        <f>VLOOKUP(A217,技能参数,4,FALSE)</f>
        <v>0.9</v>
      </c>
      <c r="E217">
        <f>VLOOKUP(A217*1000+D212,学习等级编码,2)</f>
        <v>5112</v>
      </c>
      <c r="F217">
        <f>INT(VLOOKUP($E217,技能升级,9,FALSE)*$C217*I217*J217)</f>
        <v>33835</v>
      </c>
      <c r="G217">
        <f>INT(VLOOKUP($E217,技能升级,10,FALSE)*$C217*I217*J217)</f>
        <v>0</v>
      </c>
      <c r="H217">
        <f>INT(VLOOKUP($E217,技能升级,11,FALSE)*$C217*I217*J217)</f>
        <v>10985</v>
      </c>
      <c r="I217">
        <f>F218/1000</f>
        <v>0.49</v>
      </c>
      <c r="J217">
        <f>VLOOKUP(A212,$A$2:$I$21,7,FALSE)</f>
        <v>1.395</v>
      </c>
      <c r="L217">
        <v>51</v>
      </c>
      <c r="M217" t="s">
        <v>204</v>
      </c>
      <c r="N217">
        <f>INT((N212-N214*O214-N215*O215-O216*N216-N219)/O217*3)</f>
        <v>40</v>
      </c>
      <c r="O217">
        <f>VLOOKUP(L217,技能参数,4,FALSE)</f>
        <v>0.9</v>
      </c>
      <c r="P217">
        <f>VLOOKUP(L217*1000+O212,学习等级编码,2)</f>
        <v>5112</v>
      </c>
      <c r="Q217">
        <f>INT(VLOOKUP(P217,技能升级,9,FALSE)*N217*T217*U217)</f>
        <v>41013</v>
      </c>
      <c r="R217">
        <f>INT(VLOOKUP(P217,技能升级,10,FALSE)*N217*T217*U217)</f>
        <v>0</v>
      </c>
      <c r="S217">
        <f>INT(VLOOKUP(P217,技能升级,11,FALSE)*N217*T217*U217)</f>
        <v>13315</v>
      </c>
      <c r="T217">
        <f>Q218/1000</f>
        <v>0.49</v>
      </c>
      <c r="U217">
        <f>VLOOKUP(L212,$A$2:$I$21,7,FALSE)</f>
        <v>1.395</v>
      </c>
    </row>
    <row r="218" spans="1:21" x14ac:dyDescent="0.15">
      <c r="A218">
        <v>55</v>
      </c>
      <c r="B218" t="s">
        <v>46</v>
      </c>
      <c r="C218">
        <v>1</v>
      </c>
      <c r="D218">
        <v>0</v>
      </c>
      <c r="E218">
        <f>VLOOKUP(A218*1000+D212,学习等级编码,2)</f>
        <v>5505</v>
      </c>
      <c r="F218">
        <f>INT(VLOOKUP($E218,技能升级,14,FALSE)*$C218*I218)</f>
        <v>490</v>
      </c>
      <c r="G218">
        <f>INT(VLOOKUP($E218,技能升级,10,FALSE)*$C218*I218)</f>
        <v>0</v>
      </c>
      <c r="H218">
        <f>INT(VLOOKUP($E218,技能升级,11,FALSE)*$C218*I218*J218)</f>
        <v>0</v>
      </c>
      <c r="I218">
        <v>1</v>
      </c>
      <c r="J218">
        <v>1</v>
      </c>
      <c r="L218">
        <v>55</v>
      </c>
      <c r="M218" t="s">
        <v>46</v>
      </c>
      <c r="N218">
        <v>1</v>
      </c>
      <c r="O218">
        <v>0</v>
      </c>
      <c r="P218">
        <f>VLOOKUP(L218*1000+O212,学习等级编码,2)</f>
        <v>5505</v>
      </c>
      <c r="Q218">
        <f>INT(VLOOKUP(P218,技能升级,9,FALSE)*N218*T218*U218)</f>
        <v>490</v>
      </c>
      <c r="R218">
        <f>INT(VLOOKUP(P218,技能升级,10,FALSE)*N218*T218*U218)</f>
        <v>0</v>
      </c>
      <c r="S218">
        <f>INT(VLOOKUP(P218,技能升级,11,FALSE)*N218*T218*U218)</f>
        <v>0</v>
      </c>
      <c r="T218">
        <v>1</v>
      </c>
      <c r="U218">
        <v>1</v>
      </c>
    </row>
    <row r="219" spans="1:21" x14ac:dyDescent="0.15">
      <c r="B219" t="s">
        <v>411</v>
      </c>
      <c r="C219">
        <f>C228*1.5+2</f>
        <v>5</v>
      </c>
      <c r="M219" t="s">
        <v>411</v>
      </c>
      <c r="N219">
        <v>0</v>
      </c>
    </row>
    <row r="220" spans="1:21" x14ac:dyDescent="0.15">
      <c r="E220" t="s">
        <v>194</v>
      </c>
      <c r="F220">
        <f>SUM(F214:F217)/1000</f>
        <v>45.465000000000003</v>
      </c>
      <c r="G220">
        <f>SUM(G214:G217)/1000</f>
        <v>0</v>
      </c>
      <c r="H220">
        <f>SUM(H214:H217)</f>
        <v>13335</v>
      </c>
      <c r="I220" t="s">
        <v>196</v>
      </c>
      <c r="J220" t="s">
        <v>197</v>
      </c>
      <c r="P220" t="s">
        <v>194</v>
      </c>
      <c r="Q220">
        <f>SUM(Q214:Q217)/1000</f>
        <v>44.012999999999998</v>
      </c>
      <c r="R220">
        <f>SUM(R214:R217)/1000</f>
        <v>0</v>
      </c>
      <c r="S220">
        <f>SUM(S214:S217)</f>
        <v>14289</v>
      </c>
      <c r="T220" t="s">
        <v>196</v>
      </c>
      <c r="U220" t="s">
        <v>197</v>
      </c>
    </row>
    <row r="221" spans="1:21" x14ac:dyDescent="0.15">
      <c r="E221" t="s">
        <v>195</v>
      </c>
      <c r="F221">
        <f>INT((IF($A212&gt;10000,VLOOKUP($A212,实战属性,13,FALSE),VLOOKUP($A212,总基本属性,7,FALSE))-
IF($B212&gt;10000,VLOOKUP($B212,实战属性,15,FALSE),VLOOKUP($B212,总基本属性,9,FALSE))*$L$13)*F220)</f>
        <v>126119</v>
      </c>
      <c r="G221">
        <f>INT((IF($A212&gt;10000,VLOOKUP($A212,实战属性,14,FALSE),VLOOKUP($A212,总基本属性,8,FALSE))-
IF($B212&gt;10000,VLOOKUP($B212,实战属性,16,FALSE),VLOOKUP($B212,总基本属性,10,FALSE))*$L$13)*G220)</f>
        <v>0</v>
      </c>
      <c r="H221">
        <f>H220+F221+G221</f>
        <v>139454</v>
      </c>
      <c r="I221">
        <f>IF($B212&gt;10000,VLOOKUP($B212,实战属性,12,FALSE),VLOOKUP($B212,总基本属性,6,FALSE))</f>
        <v>136440</v>
      </c>
      <c r="J221">
        <f>ROUND(I221/H221,2)</f>
        <v>0.98</v>
      </c>
      <c r="P221" t="s">
        <v>195</v>
      </c>
      <c r="Q221">
        <f>INT((IF($A212&gt;10000,VLOOKUP($A212,实战属性,13,FALSE),VLOOKUP($A212,总基本属性,7,FALSE))-
IF($B212&gt;10000,VLOOKUP($B212,实战属性,15,FALSE),VLOOKUP($B212,总基本属性,9,FALSE))*$L$13)*Q220)</f>
        <v>122092</v>
      </c>
      <c r="R221">
        <f>INT((IF($A212&gt;10000,VLOOKUP($A212,实战属性,14,FALSE),VLOOKUP($A212,总基本属性,8,FALSE))-
IF($B212&gt;10000,VLOOKUP($B212,实战属性,16,FALSE),VLOOKUP($B212,总基本属性,10,FALSE))*$L$13)*R220)</f>
        <v>0</v>
      </c>
      <c r="S221">
        <f>S220+Q221+R221</f>
        <v>136381</v>
      </c>
      <c r="T221">
        <f>IF($B212&gt;10000,VLOOKUP($B212,实战属性,12,FALSE),VLOOKUP($B212,总基本属性,6,FALSE))</f>
        <v>136440</v>
      </c>
      <c r="U221">
        <f>ROUND(T221/S221,2)</f>
        <v>1</v>
      </c>
    </row>
    <row r="224" spans="1:21" x14ac:dyDescent="0.15">
      <c r="A224" s="9" t="s">
        <v>3</v>
      </c>
      <c r="B224" s="9" t="s">
        <v>416</v>
      </c>
      <c r="C224" s="9" t="s">
        <v>178</v>
      </c>
      <c r="D224" s="9" t="s">
        <v>0</v>
      </c>
    </row>
    <row r="225" spans="1:21" x14ac:dyDescent="0.15">
      <c r="A225">
        <f>A199+10</f>
        <v>2080</v>
      </c>
      <c r="B225">
        <f>B199+10</f>
        <v>5080</v>
      </c>
      <c r="C225">
        <v>15</v>
      </c>
      <c r="D225">
        <f>MOD(A225,1000)</f>
        <v>80</v>
      </c>
    </row>
    <row r="226" spans="1:21" x14ac:dyDescent="0.15">
      <c r="A226" t="s">
        <v>156</v>
      </c>
      <c r="B226" t="s">
        <v>95</v>
      </c>
      <c r="C226" t="s">
        <v>177</v>
      </c>
      <c r="D226" t="s">
        <v>143</v>
      </c>
      <c r="E226" t="s">
        <v>182</v>
      </c>
      <c r="F226" t="s">
        <v>192</v>
      </c>
      <c r="G226" t="s">
        <v>193</v>
      </c>
      <c r="H226" t="s">
        <v>176</v>
      </c>
      <c r="I226" t="s">
        <v>205</v>
      </c>
      <c r="J226" t="s">
        <v>206</v>
      </c>
    </row>
    <row r="227" spans="1:21" x14ac:dyDescent="0.15">
      <c r="A227">
        <v>25</v>
      </c>
      <c r="B227" t="s">
        <v>23</v>
      </c>
      <c r="C227">
        <v>1</v>
      </c>
      <c r="D227">
        <f>VLOOKUP(A227,技能参数,4,FALSE)</f>
        <v>2</v>
      </c>
      <c r="E227">
        <f>IFERROR(VLOOKUP(A227*1000+D225,学习等级编码,2),0)</f>
        <v>2505</v>
      </c>
      <c r="F227">
        <f t="shared" ref="F227:F228" si="24">IFERROR(INT(VLOOKUP($E227,技能升级,9,FALSE)*$C227*I227*J227),0)</f>
        <v>6000</v>
      </c>
      <c r="G227">
        <f t="shared" ref="G227:G230" si="25">IFERROR(INT(VLOOKUP($E227,技能升级,10,FALSE)*$C227*I227*J227),0)</f>
        <v>0</v>
      </c>
      <c r="H227">
        <f>INT(VLOOKUP($E227,技能升级,11,FALSE)*$C227*I227*J227)</f>
        <v>441</v>
      </c>
      <c r="I227">
        <v>1</v>
      </c>
      <c r="J227">
        <v>1</v>
      </c>
    </row>
    <row r="228" spans="1:21" x14ac:dyDescent="0.15">
      <c r="A228">
        <v>23</v>
      </c>
      <c r="B228" t="s">
        <v>24</v>
      </c>
      <c r="C228">
        <f>INT((C225-D228-D229*3)/(VLOOKUP(A228,技能参数,5,FALSE)+2*VLOOKUP(A228,技能参数,4,FALSE))+1)+1</f>
        <v>2</v>
      </c>
      <c r="D228">
        <f>VLOOKUP(A228,技能参数,4,FALSE)</f>
        <v>1</v>
      </c>
      <c r="E228">
        <f>IFERROR(VLOOKUP(A228*1000+D225,学习等级编码,2),0)</f>
        <v>2308</v>
      </c>
      <c r="F228">
        <f t="shared" si="24"/>
        <v>2460</v>
      </c>
      <c r="G228">
        <f t="shared" si="25"/>
        <v>0</v>
      </c>
      <c r="H228">
        <f>INT(VLOOKUP($E228,技能升级,11,FALSE)*$C228*I228*J228)</f>
        <v>914</v>
      </c>
      <c r="I228">
        <v>1</v>
      </c>
      <c r="J228">
        <v>1</v>
      </c>
    </row>
    <row r="229" spans="1:21" x14ac:dyDescent="0.15">
      <c r="A229">
        <v>22</v>
      </c>
      <c r="B229" t="s">
        <v>22</v>
      </c>
      <c r="C229">
        <f>INT((C225-D228-D229*3)/(VLOOKUP(A229,技能参数,5,FALSE)+2*VLOOKUP(A229,技能参数,4,FALSE))+1)+3</f>
        <v>4</v>
      </c>
      <c r="D229">
        <f>VLOOKUP(A229,技能参数,4,FALSE)</f>
        <v>1.5</v>
      </c>
      <c r="E229">
        <f>IFERROR(VLOOKUP(A229*1000+D225,学习等级编码,2),0)</f>
        <v>2208</v>
      </c>
      <c r="F229">
        <f>IFERROR(INT(VLOOKUP($E229,技能升级,9,FALSE)*$C229*I229*J229),0)</f>
        <v>16411</v>
      </c>
      <c r="G229">
        <f t="shared" si="25"/>
        <v>0</v>
      </c>
      <c r="H229">
        <f>INT(VLOOKUP($E229,技能升级,11,FALSE)*$C229*I229*J229)</f>
        <v>2435</v>
      </c>
      <c r="I229">
        <v>1</v>
      </c>
      <c r="J229">
        <f>VLOOKUP(A225,$A$2:$H$21,8,FALSE)</f>
        <v>1.3149999999999999</v>
      </c>
    </row>
    <row r="230" spans="1:21" x14ac:dyDescent="0.15">
      <c r="A230">
        <v>21</v>
      </c>
      <c r="B230" t="s">
        <v>90</v>
      </c>
      <c r="C230">
        <f>INT((C225-C227*D227-C228*D228-C229*D229-C231)/D230)</f>
        <v>3</v>
      </c>
      <c r="D230">
        <f>VLOOKUP(A230,技能参数,4,FALSE)</f>
        <v>1</v>
      </c>
      <c r="E230">
        <f>IFERROR(VLOOKUP(A230*1000+D225,学习等级编码,2),0)</f>
        <v>2112</v>
      </c>
      <c r="F230">
        <f>IFERROR(INT(VLOOKUP($E230,技能升级,9,FALSE)*$C230*I230*J230),0)</f>
        <v>5483</v>
      </c>
      <c r="G230">
        <f t="shared" si="25"/>
        <v>0</v>
      </c>
      <c r="H230">
        <f>INT(VLOOKUP($E230,技能升级,11,FALSE)*$C230*I230*J230)</f>
        <v>1921</v>
      </c>
      <c r="I230">
        <v>1</v>
      </c>
      <c r="J230">
        <f>VLOOKUP(A225,$A$2:$H$21,8,FALSE)</f>
        <v>1.3149999999999999</v>
      </c>
    </row>
    <row r="231" spans="1:21" x14ac:dyDescent="0.15">
      <c r="B231" t="s">
        <v>418</v>
      </c>
      <c r="C231">
        <f>C214*D216</f>
        <v>1.8</v>
      </c>
    </row>
    <row r="232" spans="1:21" x14ac:dyDescent="0.15">
      <c r="E232" t="s">
        <v>194</v>
      </c>
      <c r="F232">
        <f>SUM(F227:F230)/1000</f>
        <v>30.353999999999999</v>
      </c>
      <c r="G232">
        <f>SUM(G227:G230)/1000</f>
        <v>0</v>
      </c>
      <c r="H232">
        <f>SUM(H227:H230)</f>
        <v>5711</v>
      </c>
      <c r="I232" t="s">
        <v>196</v>
      </c>
      <c r="J232" t="s">
        <v>197</v>
      </c>
    </row>
    <row r="233" spans="1:21" x14ac:dyDescent="0.15">
      <c r="E233" t="s">
        <v>195</v>
      </c>
      <c r="F233">
        <f>INT((IF($A225&gt;10000,VLOOKUP($A225,实战属性,13,FALSE),VLOOKUP($A225,总基本属性,7,FALSE))-
IF($B225&gt;10000,VLOOKUP($B225,实战属性,15,FALSE),VLOOKUP($B225,总基本属性,9,FALSE))*$L$13)*F232)</f>
        <v>105434</v>
      </c>
      <c r="G233">
        <f>INT((IF($A225&gt;10000,VLOOKUP($A225,实战属性,14,FALSE),VLOOKUP($A225,总基本属性,8,FALSE))-
IF($B225&gt;10000,VLOOKUP($B225,实战属性,16,FALSE),VLOOKUP($B225,总基本属性,10,FALSE))*$L$13)*G232)</f>
        <v>0</v>
      </c>
      <c r="H233">
        <f>H232+F233+G233</f>
        <v>111145</v>
      </c>
      <c r="I233">
        <f>IF($B225&gt;10000,VLOOKUP($B225,实战属性,12,FALSE),VLOOKUP($B225,总基本属性,6,FALSE))</f>
        <v>109152</v>
      </c>
      <c r="J233">
        <f>ROUND(I233/H233,2)</f>
        <v>0.98</v>
      </c>
    </row>
    <row r="237" spans="1:21" x14ac:dyDescent="0.15">
      <c r="A237" s="8" t="s">
        <v>6</v>
      </c>
      <c r="B237" s="8" t="s">
        <v>3</v>
      </c>
      <c r="C237" s="8" t="s">
        <v>178</v>
      </c>
      <c r="D237" s="8" t="s">
        <v>0</v>
      </c>
      <c r="L237" s="8" t="s">
        <v>6</v>
      </c>
      <c r="M237" s="8" t="s">
        <v>3</v>
      </c>
      <c r="N237" s="8" t="s">
        <v>178</v>
      </c>
      <c r="O237" s="8" t="s">
        <v>0</v>
      </c>
    </row>
    <row r="238" spans="1:21" x14ac:dyDescent="0.15">
      <c r="A238">
        <f>A212+10</f>
        <v>5090</v>
      </c>
      <c r="B238">
        <f>B212+10</f>
        <v>2090</v>
      </c>
      <c r="C238">
        <v>20</v>
      </c>
      <c r="D238">
        <f>MOD(A238,1000)</f>
        <v>90</v>
      </c>
      <c r="L238">
        <f>A238</f>
        <v>5090</v>
      </c>
      <c r="M238">
        <f>B238</f>
        <v>2090</v>
      </c>
      <c r="N238">
        <v>13</v>
      </c>
      <c r="O238">
        <f>MOD(L238,1000)</f>
        <v>90</v>
      </c>
    </row>
    <row r="239" spans="1:21" x14ac:dyDescent="0.15">
      <c r="A239" t="s">
        <v>156</v>
      </c>
      <c r="B239" t="s">
        <v>95</v>
      </c>
      <c r="C239" t="s">
        <v>142</v>
      </c>
      <c r="D239" t="s">
        <v>143</v>
      </c>
      <c r="E239" t="s">
        <v>182</v>
      </c>
      <c r="F239" t="s">
        <v>192</v>
      </c>
      <c r="G239" t="s">
        <v>193</v>
      </c>
      <c r="H239" t="s">
        <v>176</v>
      </c>
      <c r="I239" t="s">
        <v>205</v>
      </c>
      <c r="J239" t="s">
        <v>206</v>
      </c>
      <c r="L239" t="s">
        <v>156</v>
      </c>
      <c r="M239" t="s">
        <v>95</v>
      </c>
      <c r="N239" t="s">
        <v>142</v>
      </c>
      <c r="O239" t="s">
        <v>143</v>
      </c>
      <c r="P239" t="s">
        <v>182</v>
      </c>
      <c r="Q239" t="s">
        <v>192</v>
      </c>
      <c r="R239" t="s">
        <v>193</v>
      </c>
      <c r="S239" t="s">
        <v>176</v>
      </c>
      <c r="T239" t="s">
        <v>205</v>
      </c>
      <c r="U239" t="s">
        <v>206</v>
      </c>
    </row>
    <row r="240" spans="1:21" x14ac:dyDescent="0.15">
      <c r="A240">
        <v>52</v>
      </c>
      <c r="B240" t="s">
        <v>44</v>
      </c>
      <c r="C240">
        <f>INT(C238/(VLOOKUP(A240,技能参数,5,FALSE)+2*VLOOKUP(A240,技能参数,4,FALSE))+1)</f>
        <v>2</v>
      </c>
      <c r="D240">
        <f>VLOOKUP(A240,技能参数,4,FALSE)</f>
        <v>1.5</v>
      </c>
      <c r="E240">
        <f>VLOOKUP(A240*1000+D238,学习等级编码,2)</f>
        <v>5209</v>
      </c>
      <c r="F240">
        <f>INT(VLOOKUP($E240,技能升级,9,FALSE)*$C240*I240*J240)</f>
        <v>6340</v>
      </c>
      <c r="G240">
        <f>INT(VLOOKUP($E240,技能升级,10,FALSE)*$C240*I240*J240)</f>
        <v>0</v>
      </c>
      <c r="H240">
        <f>INT(VLOOKUP($E240,技能升级,11,FALSE)*$C240*I240*J240)</f>
        <v>1124</v>
      </c>
      <c r="I240">
        <v>1</v>
      </c>
      <c r="J240">
        <v>1</v>
      </c>
      <c r="L240">
        <v>52</v>
      </c>
      <c r="M240" t="s">
        <v>44</v>
      </c>
      <c r="N240">
        <v>0</v>
      </c>
      <c r="O240">
        <f>VLOOKUP(L240,技能参数,4,FALSE)</f>
        <v>1.5</v>
      </c>
      <c r="P240">
        <f>VLOOKUP(L240*1000+O238,学习等级编码,2)</f>
        <v>5209</v>
      </c>
      <c r="Q240">
        <f>INT(VLOOKUP(P240,技能升级,9,FALSE)*N240*T240*U240)</f>
        <v>0</v>
      </c>
      <c r="R240">
        <f>INT(VLOOKUP(P240,技能升级,10,FALSE)*N240*T240*U240)</f>
        <v>0</v>
      </c>
      <c r="S240">
        <f>INT(VLOOKUP(P240,技能升级,11,FALSE)*N240*T240*U240)</f>
        <v>0</v>
      </c>
      <c r="T240">
        <v>1</v>
      </c>
      <c r="U240">
        <v>1</v>
      </c>
    </row>
    <row r="241" spans="1:21" x14ac:dyDescent="0.15">
      <c r="A241">
        <v>54</v>
      </c>
      <c r="B241" t="s">
        <v>40</v>
      </c>
      <c r="C241">
        <f>INT(C238/(VLOOKUP(A241,技能参数,5,FALSE)+2*VLOOKUP(A241,技能参数,4,FALSE))+1)</f>
        <v>1</v>
      </c>
      <c r="D241">
        <f>VLOOKUP(A241,技能参数,4,FALSE)</f>
        <v>1.2</v>
      </c>
      <c r="E241">
        <f>VLOOKUP(A241*1000+D238,学习等级编码,2)</f>
        <v>5409</v>
      </c>
      <c r="F241">
        <f>INT(VLOOKUP($E241,技能升级,9,FALSE)*$C241*I241*J241)</f>
        <v>2530</v>
      </c>
      <c r="G241">
        <f>INT(VLOOKUP($E241,技能升级,10,FALSE)*$C241*I241*J241)</f>
        <v>0</v>
      </c>
      <c r="H241">
        <f>INT(VLOOKUP($E241,技能升级,11,FALSE)*$C241*I241*J241)</f>
        <v>615</v>
      </c>
      <c r="I241">
        <v>1</v>
      </c>
      <c r="J241">
        <v>1</v>
      </c>
      <c r="L241">
        <v>54</v>
      </c>
      <c r="M241" t="s">
        <v>40</v>
      </c>
      <c r="N241">
        <v>0</v>
      </c>
      <c r="O241">
        <f>VLOOKUP(L241,技能参数,4,FALSE)</f>
        <v>1.2</v>
      </c>
      <c r="P241">
        <f>VLOOKUP(L241*1000+O238,学习等级编码,2)</f>
        <v>5409</v>
      </c>
      <c r="Q241">
        <f>INT(VLOOKUP(P241,技能升级,9,FALSE)*N241*T241*U241)</f>
        <v>0</v>
      </c>
      <c r="R241">
        <f>INT(VLOOKUP(P241,技能升级,10,FALSE)*N241*T241*U241)</f>
        <v>0</v>
      </c>
      <c r="S241">
        <f>INT(VLOOKUP(P241,技能升级,11,FALSE)*N241*T241*U241)</f>
        <v>0</v>
      </c>
      <c r="T241">
        <v>1</v>
      </c>
      <c r="U241">
        <v>1</v>
      </c>
    </row>
    <row r="242" spans="1:21" x14ac:dyDescent="0.15">
      <c r="A242">
        <v>51</v>
      </c>
      <c r="B242" t="s">
        <v>203</v>
      </c>
      <c r="C242">
        <v>2</v>
      </c>
      <c r="D242">
        <f>VLOOKUP(A242,技能参数,4,FALSE)</f>
        <v>0.9</v>
      </c>
      <c r="E242">
        <f>VLOOKUP(A242*1000+D238,学习等级编码,2)</f>
        <v>5114</v>
      </c>
      <c r="F242">
        <f>INT(VLOOKUP($E242,技能升级,9,FALSE)*$C242*I242*J242)</f>
        <v>3080</v>
      </c>
      <c r="G242">
        <f>INT(VLOOKUP($E242,技能升级,10,FALSE)*$C242*I242*J242)</f>
        <v>0</v>
      </c>
      <c r="H242">
        <f>INT(VLOOKUP($E242,技能升级,11,FALSE)*$C242*I242*J242)</f>
        <v>1334</v>
      </c>
      <c r="I242">
        <v>1</v>
      </c>
      <c r="J242">
        <v>1</v>
      </c>
      <c r="L242">
        <v>51</v>
      </c>
      <c r="M242" t="s">
        <v>203</v>
      </c>
      <c r="N242">
        <v>2</v>
      </c>
      <c r="O242">
        <f>VLOOKUP(L242,技能参数,4,FALSE)</f>
        <v>0.9</v>
      </c>
      <c r="P242">
        <f>VLOOKUP(L242*1000+O238,学习等级编码,2)</f>
        <v>5114</v>
      </c>
      <c r="Q242">
        <f>INT(VLOOKUP(P242,技能升级,9,FALSE)*N242*T242*U242)</f>
        <v>3080</v>
      </c>
      <c r="R242">
        <f>INT(VLOOKUP(P242,技能升级,10,FALSE)*N242*T242*U242)</f>
        <v>0</v>
      </c>
      <c r="S242">
        <f>INT(VLOOKUP(P242,技能升级,11,FALSE)*N242*T242*U242)</f>
        <v>1334</v>
      </c>
      <c r="T242">
        <v>1</v>
      </c>
      <c r="U242">
        <v>1</v>
      </c>
    </row>
    <row r="243" spans="1:21" x14ac:dyDescent="0.15">
      <c r="A243">
        <v>51</v>
      </c>
      <c r="B243" t="s">
        <v>204</v>
      </c>
      <c r="C243">
        <f>INT((C238-C240*D240-C241*D241-D242*C242-C245)/D243*3)</f>
        <v>30</v>
      </c>
      <c r="D243">
        <f>VLOOKUP(A243,技能参数,4,FALSE)</f>
        <v>0.9</v>
      </c>
      <c r="E243">
        <f>VLOOKUP(A243*1000+D238,学习等级编码,2)</f>
        <v>5114</v>
      </c>
      <c r="F243">
        <f>INT(VLOOKUP($E243,技能升级,9,FALSE)*$C243*I243*J243)</f>
        <v>34306</v>
      </c>
      <c r="G243">
        <f>INT(VLOOKUP($E243,技能升级,10,FALSE)*$C243*I243*J243)</f>
        <v>0</v>
      </c>
      <c r="H243">
        <f>INT(VLOOKUP($E243,技能升级,11,FALSE)*$C243*I243*J243)</f>
        <v>14858</v>
      </c>
      <c r="I243">
        <f>F244/1000</f>
        <v>0.52</v>
      </c>
      <c r="J243">
        <f>VLOOKUP(A238,$A$2:$I$21,7,FALSE)</f>
        <v>1.4279999999999999</v>
      </c>
      <c r="L243">
        <v>51</v>
      </c>
      <c r="M243" t="s">
        <v>204</v>
      </c>
      <c r="N243">
        <f>INT((N238-N240*O240-N241*O241-O242*N242-N245)/O243*3)</f>
        <v>37</v>
      </c>
      <c r="O243">
        <f>VLOOKUP(L243,技能参数,4,FALSE)</f>
        <v>0.9</v>
      </c>
      <c r="P243">
        <f>VLOOKUP(L243*1000+O238,学习等级编码,2)</f>
        <v>5114</v>
      </c>
      <c r="Q243">
        <f>INT(VLOOKUP(P243,技能升级,9,FALSE)*N243*T243*U243)</f>
        <v>42311</v>
      </c>
      <c r="R243">
        <f>INT(VLOOKUP(P243,技能升级,10,FALSE)*N243*T243*U243)</f>
        <v>0</v>
      </c>
      <c r="S243">
        <f>INT(VLOOKUP(P243,技能升级,11,FALSE)*N243*T243*U243)</f>
        <v>18325</v>
      </c>
      <c r="T243">
        <f>Q244/1000</f>
        <v>0.52</v>
      </c>
      <c r="U243">
        <f>VLOOKUP(L238,$A$2:$I$21,7,FALSE)</f>
        <v>1.4279999999999999</v>
      </c>
    </row>
    <row r="244" spans="1:21" x14ac:dyDescent="0.15">
      <c r="A244">
        <v>55</v>
      </c>
      <c r="B244" t="s">
        <v>46</v>
      </c>
      <c r="C244">
        <v>1</v>
      </c>
      <c r="D244">
        <v>0</v>
      </c>
      <c r="E244">
        <f>VLOOKUP(A244*1000+D238,学习等级编码,2)</f>
        <v>5506</v>
      </c>
      <c r="F244">
        <f>INT(VLOOKUP($E244,技能升级,14,FALSE)*$C244*I244)</f>
        <v>520</v>
      </c>
      <c r="G244">
        <f>INT(VLOOKUP($E244,技能升级,10,FALSE)*$C244*I244)</f>
        <v>0</v>
      </c>
      <c r="H244">
        <f>INT(VLOOKUP($E244,技能升级,11,FALSE)*$C244*I244*J244)</f>
        <v>0</v>
      </c>
      <c r="I244">
        <v>1</v>
      </c>
      <c r="J244">
        <v>1</v>
      </c>
      <c r="L244">
        <v>55</v>
      </c>
      <c r="M244" t="s">
        <v>46</v>
      </c>
      <c r="N244">
        <v>1</v>
      </c>
      <c r="O244">
        <v>0</v>
      </c>
      <c r="P244">
        <f>VLOOKUP(L244*1000+O238,学习等级编码,2)</f>
        <v>5506</v>
      </c>
      <c r="Q244">
        <f>INT(VLOOKUP(P244,技能升级,9,FALSE)*N244*T244*U244)</f>
        <v>520</v>
      </c>
      <c r="R244">
        <f>INT(VLOOKUP(P244,技能升级,10,FALSE)*N244*T244*U244)</f>
        <v>0</v>
      </c>
      <c r="S244">
        <f>INT(VLOOKUP(P244,技能升级,11,FALSE)*N244*T244*U244)</f>
        <v>0</v>
      </c>
      <c r="T244">
        <v>1</v>
      </c>
      <c r="U244">
        <v>1</v>
      </c>
    </row>
    <row r="245" spans="1:21" x14ac:dyDescent="0.15">
      <c r="B245" t="s">
        <v>411</v>
      </c>
      <c r="C245">
        <f>C254*1.5+2</f>
        <v>5</v>
      </c>
      <c r="M245" t="s">
        <v>411</v>
      </c>
      <c r="N245">
        <v>0</v>
      </c>
    </row>
    <row r="246" spans="1:21" x14ac:dyDescent="0.15">
      <c r="E246" t="s">
        <v>194</v>
      </c>
      <c r="F246">
        <f>SUM(F240:F243)/1000</f>
        <v>46.256</v>
      </c>
      <c r="G246">
        <f>SUM(G240:G243)/1000</f>
        <v>0</v>
      </c>
      <c r="H246">
        <f>SUM(H240:H243)</f>
        <v>17931</v>
      </c>
      <c r="I246" t="s">
        <v>196</v>
      </c>
      <c r="J246" t="s">
        <v>197</v>
      </c>
      <c r="P246" t="s">
        <v>194</v>
      </c>
      <c r="Q246">
        <f>SUM(Q240:Q243)/1000</f>
        <v>45.390999999999998</v>
      </c>
      <c r="R246">
        <f>SUM(R240:R243)/1000</f>
        <v>0</v>
      </c>
      <c r="S246">
        <f>SUM(S240:S243)</f>
        <v>19659</v>
      </c>
      <c r="T246" t="s">
        <v>196</v>
      </c>
      <c r="U246" t="s">
        <v>197</v>
      </c>
    </row>
    <row r="247" spans="1:21" x14ac:dyDescent="0.15">
      <c r="E247" t="s">
        <v>195</v>
      </c>
      <c r="F247">
        <f>INT((IF($A238&gt;10000,VLOOKUP($A238,实战属性,13,FALSE),VLOOKUP($A238,总基本属性,7,FALSE))-
IF($B238&gt;10000,VLOOKUP($B238,实战属性,15,FALSE),VLOOKUP($B238,总基本属性,9,FALSE))*$L$13)*F246)</f>
        <v>157894</v>
      </c>
      <c r="G247">
        <f>INT((IF($A238&gt;10000,VLOOKUP($A238,实战属性,14,FALSE),VLOOKUP($A238,总基本属性,8,FALSE))-
IF($B238&gt;10000,VLOOKUP($B238,实战属性,16,FALSE),VLOOKUP($B238,总基本属性,10,FALSE))*$L$13)*G246)</f>
        <v>0</v>
      </c>
      <c r="H247">
        <f>H246+F247+G247</f>
        <v>175825</v>
      </c>
      <c r="I247">
        <f>IF($B238&gt;10000,VLOOKUP($B238,实战属性,12,FALSE),VLOOKUP($B238,总基本属性,6,FALSE))</f>
        <v>171480</v>
      </c>
      <c r="J247">
        <f>ROUND(I247/H247,2)</f>
        <v>0.98</v>
      </c>
      <c r="P247" t="s">
        <v>195</v>
      </c>
      <c r="Q247">
        <f>INT((IF($A238&gt;10000,VLOOKUP($A238,实战属性,13,FALSE),VLOOKUP($A238,总基本属性,7,FALSE))-
IF($B238&gt;10000,VLOOKUP($B238,实战属性,15,FALSE),VLOOKUP($B238,总基本属性,9,FALSE))*$L$13)*Q246)</f>
        <v>154942</v>
      </c>
      <c r="R247">
        <f>INT((IF($A238&gt;10000,VLOOKUP($A238,实战属性,14,FALSE),VLOOKUP($A238,总基本属性,8,FALSE))-
IF($B238&gt;10000,VLOOKUP($B238,实战属性,16,FALSE),VLOOKUP($B238,总基本属性,10,FALSE))*$L$13)*R246)</f>
        <v>0</v>
      </c>
      <c r="S247">
        <f>S246+Q247+R247</f>
        <v>174601</v>
      </c>
      <c r="T247">
        <f>IF($B238&gt;10000,VLOOKUP($B238,实战属性,12,FALSE),VLOOKUP($B238,总基本属性,6,FALSE))</f>
        <v>171480</v>
      </c>
      <c r="U247">
        <f>ROUND(T247/S247,2)</f>
        <v>0.98</v>
      </c>
    </row>
    <row r="250" spans="1:21" x14ac:dyDescent="0.15">
      <c r="A250" s="9" t="s">
        <v>3</v>
      </c>
      <c r="B250" s="9" t="s">
        <v>416</v>
      </c>
      <c r="C250" s="9" t="s">
        <v>178</v>
      </c>
      <c r="D250" s="9" t="s">
        <v>0</v>
      </c>
    </row>
    <row r="251" spans="1:21" x14ac:dyDescent="0.15">
      <c r="A251">
        <f>A225+10</f>
        <v>2090</v>
      </c>
      <c r="B251">
        <f>B225+10</f>
        <v>5090</v>
      </c>
      <c r="C251">
        <v>14</v>
      </c>
      <c r="D251">
        <f>MOD(A251,1000)</f>
        <v>90</v>
      </c>
    </row>
    <row r="252" spans="1:21" x14ac:dyDescent="0.15">
      <c r="A252" t="s">
        <v>156</v>
      </c>
      <c r="B252" t="s">
        <v>95</v>
      </c>
      <c r="C252" t="s">
        <v>177</v>
      </c>
      <c r="D252" t="s">
        <v>143</v>
      </c>
      <c r="E252" t="s">
        <v>182</v>
      </c>
      <c r="F252" t="s">
        <v>192</v>
      </c>
      <c r="G252" t="s">
        <v>193</v>
      </c>
      <c r="H252" t="s">
        <v>176</v>
      </c>
      <c r="I252" t="s">
        <v>205</v>
      </c>
      <c r="J252" t="s">
        <v>206</v>
      </c>
    </row>
    <row r="253" spans="1:21" x14ac:dyDescent="0.15">
      <c r="A253">
        <v>25</v>
      </c>
      <c r="B253" t="s">
        <v>23</v>
      </c>
      <c r="C253">
        <v>1</v>
      </c>
      <c r="D253">
        <f>VLOOKUP(A253,技能参数,4,FALSE)</f>
        <v>2</v>
      </c>
      <c r="E253">
        <f>IFERROR(VLOOKUP(A253*1000+D251,学习等级编码,2),0)</f>
        <v>2506</v>
      </c>
      <c r="F253">
        <f t="shared" ref="F253:F254" si="26">IFERROR(INT(VLOOKUP($E253,技能升级,9,FALSE)*$C253*I253*J253),0)</f>
        <v>6250</v>
      </c>
      <c r="G253">
        <f t="shared" ref="G253:G256" si="27">IFERROR(INT(VLOOKUP($E253,技能升级,10,FALSE)*$C253*I253*J253),0)</f>
        <v>0</v>
      </c>
      <c r="H253">
        <f>INT(VLOOKUP($E253,技能升级,11,FALSE)*$C253*I253*J253)</f>
        <v>632</v>
      </c>
      <c r="I253">
        <v>1</v>
      </c>
      <c r="J253">
        <v>1</v>
      </c>
    </row>
    <row r="254" spans="1:21" x14ac:dyDescent="0.15">
      <c r="A254">
        <v>23</v>
      </c>
      <c r="B254" t="s">
        <v>24</v>
      </c>
      <c r="C254">
        <f>INT((C251-D254-D255*3)/(VLOOKUP(A254,技能参数,5,FALSE)+2*VLOOKUP(A254,技能参数,4,FALSE))+1)+1</f>
        <v>2</v>
      </c>
      <c r="D254">
        <f>VLOOKUP(A254,技能参数,4,FALSE)</f>
        <v>1</v>
      </c>
      <c r="E254">
        <f>IFERROR(VLOOKUP(A254*1000+D251,学习等级编码,2),0)</f>
        <v>2309</v>
      </c>
      <c r="F254">
        <f t="shared" si="26"/>
        <v>2540</v>
      </c>
      <c r="G254">
        <f t="shared" si="27"/>
        <v>0</v>
      </c>
      <c r="H254">
        <f>INT(VLOOKUP($E254,技能升级,11,FALSE)*$C254*I254*J254)</f>
        <v>1156</v>
      </c>
      <c r="I254">
        <v>1</v>
      </c>
      <c r="J254">
        <v>1</v>
      </c>
    </row>
    <row r="255" spans="1:21" x14ac:dyDescent="0.15">
      <c r="A255">
        <v>22</v>
      </c>
      <c r="B255" t="s">
        <v>22</v>
      </c>
      <c r="C255">
        <f>INT((C251-D254-D255*3)/(VLOOKUP(A255,技能参数,5,FALSE)+2*VLOOKUP(A255,技能参数,4,FALSE))+1)+3</f>
        <v>4</v>
      </c>
      <c r="D255">
        <f>VLOOKUP(A255,技能参数,4,FALSE)</f>
        <v>1.5</v>
      </c>
      <c r="E255">
        <f>IFERROR(VLOOKUP(A255*1000+D251,学习等级编码,2),0)</f>
        <v>2209</v>
      </c>
      <c r="F255">
        <f>IFERROR(INT(VLOOKUP($E255,技能升级,9,FALSE)*$C255*I255*J255),0)</f>
        <v>18164</v>
      </c>
      <c r="G255">
        <f t="shared" si="27"/>
        <v>0</v>
      </c>
      <c r="H255">
        <f>INT(VLOOKUP($E255,技能升级,11,FALSE)*$C255*I255*J255)</f>
        <v>3324</v>
      </c>
      <c r="I255">
        <v>1</v>
      </c>
      <c r="J255">
        <f>VLOOKUP(A251,$A$2:$H$21,8,FALSE)</f>
        <v>1.4279999999999999</v>
      </c>
    </row>
    <row r="256" spans="1:21" x14ac:dyDescent="0.15">
      <c r="A256">
        <v>21</v>
      </c>
      <c r="B256" t="s">
        <v>90</v>
      </c>
      <c r="C256">
        <f>INT((C251-C253*D253-C254*D254-C255*D255-C257)/D256)</f>
        <v>2</v>
      </c>
      <c r="D256">
        <f>VLOOKUP(A256,技能参数,4,FALSE)</f>
        <v>1</v>
      </c>
      <c r="E256">
        <f>IFERROR(VLOOKUP(A256*1000+D251,学习等级编码,2),0)</f>
        <v>2114</v>
      </c>
      <c r="F256">
        <f>IFERROR(INT(VLOOKUP($E256,技能升级,9,FALSE)*$C256*I256*J256),0)</f>
        <v>4169</v>
      </c>
      <c r="G256">
        <f t="shared" si="27"/>
        <v>0</v>
      </c>
      <c r="H256">
        <f>INT(VLOOKUP($E256,技能升级,11,FALSE)*$C256*I256*J256)</f>
        <v>1904</v>
      </c>
      <c r="I256">
        <v>1</v>
      </c>
      <c r="J256">
        <f>VLOOKUP(A251,$A$2:$H$21,8,FALSE)</f>
        <v>1.4279999999999999</v>
      </c>
    </row>
    <row r="257" spans="1:21" x14ac:dyDescent="0.15">
      <c r="B257" t="s">
        <v>418</v>
      </c>
      <c r="C257">
        <f>C240*D242</f>
        <v>1.8</v>
      </c>
    </row>
    <row r="258" spans="1:21" x14ac:dyDescent="0.15">
      <c r="E258" t="s">
        <v>194</v>
      </c>
      <c r="F258">
        <f>SUM(F253:F256)/1000</f>
        <v>31.123000000000001</v>
      </c>
      <c r="G258">
        <f>SUM(G253:G256)/1000</f>
        <v>0</v>
      </c>
      <c r="H258">
        <f>SUM(H253:H256)</f>
        <v>7016</v>
      </c>
      <c r="I258" t="s">
        <v>196</v>
      </c>
      <c r="J258" t="s">
        <v>197</v>
      </c>
    </row>
    <row r="259" spans="1:21" x14ac:dyDescent="0.15">
      <c r="E259" t="s">
        <v>195</v>
      </c>
      <c r="F259">
        <f>INT((IF($A251&gt;10000,VLOOKUP($A251,实战属性,13,FALSE),VLOOKUP($A251,总基本属性,7,FALSE))-
IF($B251&gt;10000,VLOOKUP($B251,实战属性,15,FALSE),VLOOKUP($B251,总基本属性,9,FALSE))*$L$13)*F258)</f>
        <v>131525</v>
      </c>
      <c r="G259">
        <f>INT((IF($A251&gt;10000,VLOOKUP($A251,实战属性,14,FALSE),VLOOKUP($A251,总基本属性,8,FALSE))-
IF($B251&gt;10000,VLOOKUP($B251,实战属性,16,FALSE),VLOOKUP($B251,总基本属性,10,FALSE))*$L$13)*G258)</f>
        <v>0</v>
      </c>
      <c r="H259">
        <f>H258+F259+G259</f>
        <v>138541</v>
      </c>
      <c r="I259">
        <f>IF($B251&gt;10000,VLOOKUP($B251,实战属性,12,FALSE),VLOOKUP($B251,总基本属性,6,FALSE))</f>
        <v>137184</v>
      </c>
      <c r="J259">
        <f>ROUND(I259/H259,2)</f>
        <v>0.99</v>
      </c>
    </row>
    <row r="263" spans="1:21" x14ac:dyDescent="0.15">
      <c r="A263" s="8" t="s">
        <v>6</v>
      </c>
      <c r="B263" s="8" t="s">
        <v>3</v>
      </c>
      <c r="C263" s="8" t="s">
        <v>178</v>
      </c>
      <c r="D263" s="8" t="s">
        <v>0</v>
      </c>
      <c r="L263" s="8" t="s">
        <v>6</v>
      </c>
      <c r="M263" s="8" t="s">
        <v>3</v>
      </c>
      <c r="N263" s="8" t="s">
        <v>178</v>
      </c>
      <c r="O263" s="8" t="s">
        <v>0</v>
      </c>
    </row>
    <row r="264" spans="1:21" x14ac:dyDescent="0.15">
      <c r="A264">
        <f>A238+10</f>
        <v>5100</v>
      </c>
      <c r="B264">
        <f>B238+10</f>
        <v>2100</v>
      </c>
      <c r="C264">
        <v>19</v>
      </c>
      <c r="D264">
        <f>MOD(A264,1000)</f>
        <v>100</v>
      </c>
      <c r="L264">
        <f>A264</f>
        <v>5100</v>
      </c>
      <c r="M264">
        <f>B264</f>
        <v>2100</v>
      </c>
      <c r="N264">
        <v>12</v>
      </c>
      <c r="O264">
        <f>MOD(L264,1000)</f>
        <v>100</v>
      </c>
    </row>
    <row r="265" spans="1:21" x14ac:dyDescent="0.15">
      <c r="A265" t="s">
        <v>156</v>
      </c>
      <c r="B265" t="s">
        <v>95</v>
      </c>
      <c r="C265" t="s">
        <v>142</v>
      </c>
      <c r="D265" t="s">
        <v>143</v>
      </c>
      <c r="E265" t="s">
        <v>182</v>
      </c>
      <c r="F265" t="s">
        <v>192</v>
      </c>
      <c r="G265" t="s">
        <v>193</v>
      </c>
      <c r="H265" t="s">
        <v>176</v>
      </c>
      <c r="I265" t="s">
        <v>205</v>
      </c>
      <c r="J265" t="s">
        <v>206</v>
      </c>
      <c r="L265" t="s">
        <v>156</v>
      </c>
      <c r="M265" t="s">
        <v>95</v>
      </c>
      <c r="N265" t="s">
        <v>142</v>
      </c>
      <c r="O265" t="s">
        <v>143</v>
      </c>
      <c r="P265" t="s">
        <v>182</v>
      </c>
      <c r="Q265" t="s">
        <v>192</v>
      </c>
      <c r="R265" t="s">
        <v>193</v>
      </c>
      <c r="S265" t="s">
        <v>176</v>
      </c>
      <c r="T265" t="s">
        <v>205</v>
      </c>
      <c r="U265" t="s">
        <v>206</v>
      </c>
    </row>
    <row r="266" spans="1:21" x14ac:dyDescent="0.15">
      <c r="A266">
        <v>52</v>
      </c>
      <c r="B266" t="s">
        <v>44</v>
      </c>
      <c r="C266">
        <f>INT(C264/(VLOOKUP(A266,技能参数,5,FALSE)+2*VLOOKUP(A266,技能参数,4,FALSE))+1)</f>
        <v>2</v>
      </c>
      <c r="D266">
        <f>VLOOKUP(A266,技能参数,4,FALSE)</f>
        <v>1.5</v>
      </c>
      <c r="E266">
        <f>VLOOKUP(A266*1000+D264,学习等级编码,2)</f>
        <v>5210</v>
      </c>
      <c r="F266">
        <f>INT(VLOOKUP($E266,技能升级,9,FALSE)*$C266*I266*J266)</f>
        <v>6500</v>
      </c>
      <c r="G266">
        <f>INT(VLOOKUP($E266,技能升级,10,FALSE)*$C266*I266*J266)</f>
        <v>0</v>
      </c>
      <c r="H266">
        <f>INT(VLOOKUP($E266,技能升级,11,FALSE)*$C266*I266*J266)</f>
        <v>1392</v>
      </c>
      <c r="I266">
        <v>1</v>
      </c>
      <c r="J266">
        <v>1</v>
      </c>
      <c r="L266">
        <v>52</v>
      </c>
      <c r="M266" t="s">
        <v>44</v>
      </c>
      <c r="N266">
        <v>0</v>
      </c>
      <c r="O266">
        <f>VLOOKUP(L266,技能参数,4,FALSE)</f>
        <v>1.5</v>
      </c>
      <c r="P266">
        <f>VLOOKUP(L266*1000+O264,学习等级编码,2)</f>
        <v>5210</v>
      </c>
      <c r="Q266">
        <f>INT(VLOOKUP(P266,技能升级,9,FALSE)*N266*T266*U266)</f>
        <v>0</v>
      </c>
      <c r="R266">
        <f>INT(VLOOKUP(P266,技能升级,10,FALSE)*N266*T266*U266)</f>
        <v>0</v>
      </c>
      <c r="S266">
        <f>INT(VLOOKUP(P266,技能升级,11,FALSE)*N266*T266*U266)</f>
        <v>0</v>
      </c>
      <c r="T266">
        <v>1</v>
      </c>
      <c r="U266">
        <v>1</v>
      </c>
    </row>
    <row r="267" spans="1:21" x14ac:dyDescent="0.15">
      <c r="A267">
        <v>54</v>
      </c>
      <c r="B267" t="s">
        <v>40</v>
      </c>
      <c r="C267">
        <f>INT(C264/(VLOOKUP(A267,技能参数,5,FALSE)+2*VLOOKUP(A267,技能参数,4,FALSE))+1)</f>
        <v>1</v>
      </c>
      <c r="D267">
        <f>VLOOKUP(A267,技能参数,4,FALSE)</f>
        <v>1.2</v>
      </c>
      <c r="E267">
        <f>VLOOKUP(A267*1000+D264,学习等级编码,2)</f>
        <v>5410</v>
      </c>
      <c r="F267">
        <f>INT(VLOOKUP($E267,技能升级,9,FALSE)*$C267*I267*J267)</f>
        <v>2600</v>
      </c>
      <c r="G267">
        <f>INT(VLOOKUP($E267,技能升级,10,FALSE)*$C267*I267*J267)</f>
        <v>0</v>
      </c>
      <c r="H267">
        <f>INT(VLOOKUP($E267,技能升级,11,FALSE)*$C267*I267*J267)</f>
        <v>755</v>
      </c>
      <c r="I267">
        <v>1</v>
      </c>
      <c r="J267">
        <v>1</v>
      </c>
      <c r="L267">
        <v>54</v>
      </c>
      <c r="M267" t="s">
        <v>40</v>
      </c>
      <c r="N267">
        <v>0</v>
      </c>
      <c r="O267">
        <f>VLOOKUP(L267,技能参数,4,FALSE)</f>
        <v>1.2</v>
      </c>
      <c r="P267">
        <f>VLOOKUP(L267*1000+O264,学习等级编码,2)</f>
        <v>5410</v>
      </c>
      <c r="Q267">
        <f>INT(VLOOKUP(P267,技能升级,9,FALSE)*N267*T267*U267)</f>
        <v>0</v>
      </c>
      <c r="R267">
        <f>INT(VLOOKUP(P267,技能升级,10,FALSE)*N267*T267*U267)</f>
        <v>0</v>
      </c>
      <c r="S267">
        <f>INT(VLOOKUP(P267,技能升级,11,FALSE)*N267*T267*U267)</f>
        <v>0</v>
      </c>
      <c r="T267">
        <v>1</v>
      </c>
      <c r="U267">
        <v>1</v>
      </c>
    </row>
    <row r="268" spans="1:21" x14ac:dyDescent="0.15">
      <c r="A268">
        <v>51</v>
      </c>
      <c r="B268" t="s">
        <v>203</v>
      </c>
      <c r="C268">
        <v>2</v>
      </c>
      <c r="D268">
        <f>VLOOKUP(A268,技能参数,4,FALSE)</f>
        <v>0.9</v>
      </c>
      <c r="E268">
        <f>VLOOKUP(A268*1000+D264,学习等级编码,2)</f>
        <v>5115</v>
      </c>
      <c r="F268">
        <f>INT(VLOOKUP($E268,技能升级,9,FALSE)*$C268*I268*J268)</f>
        <v>3120</v>
      </c>
      <c r="G268">
        <f>INT(VLOOKUP($E268,技能升级,10,FALSE)*$C268*I268*J268)</f>
        <v>0</v>
      </c>
      <c r="H268">
        <f>INT(VLOOKUP($E268,技能升级,11,FALSE)*$C268*I268*J268)</f>
        <v>1538</v>
      </c>
      <c r="I268">
        <v>1</v>
      </c>
      <c r="J268">
        <v>1</v>
      </c>
      <c r="L268">
        <v>51</v>
      </c>
      <c r="M268" t="s">
        <v>203</v>
      </c>
      <c r="N268">
        <v>2</v>
      </c>
      <c r="O268">
        <f>VLOOKUP(L268,技能参数,4,FALSE)</f>
        <v>0.9</v>
      </c>
      <c r="P268">
        <f>VLOOKUP(L268*1000+O264,学习等级编码,2)</f>
        <v>5115</v>
      </c>
      <c r="Q268">
        <f>INT(VLOOKUP(P268,技能升级,9,FALSE)*N268*T268*U268)</f>
        <v>3120</v>
      </c>
      <c r="R268">
        <f>INT(VLOOKUP(P268,技能升级,10,FALSE)*N268*T268*U268)</f>
        <v>0</v>
      </c>
      <c r="S268">
        <f>INT(VLOOKUP(P268,技能升级,11,FALSE)*N268*T268*U268)</f>
        <v>1538</v>
      </c>
      <c r="T268">
        <v>1</v>
      </c>
      <c r="U268">
        <v>1</v>
      </c>
    </row>
    <row r="269" spans="1:21" x14ac:dyDescent="0.15">
      <c r="A269">
        <v>51</v>
      </c>
      <c r="B269" t="s">
        <v>204</v>
      </c>
      <c r="C269">
        <f>INT((C264-C266*D266-C267*D267-D268*C268-C271)/D269*3)</f>
        <v>26</v>
      </c>
      <c r="D269">
        <f>VLOOKUP(A269,技能参数,4,FALSE)</f>
        <v>0.9</v>
      </c>
      <c r="E269">
        <f>VLOOKUP(A269*1000+D264,学习等级编码,2)</f>
        <v>5115</v>
      </c>
      <c r="F269">
        <f>INT(VLOOKUP($E269,技能升级,9,FALSE)*$C269*I269*J269)</f>
        <v>31999</v>
      </c>
      <c r="G269">
        <f>INT(VLOOKUP($E269,技能升级,10,FALSE)*$C269*I269*J269)</f>
        <v>0</v>
      </c>
      <c r="H269">
        <f>INT(VLOOKUP($E269,技能升级,11,FALSE)*$C269*I269*J269)</f>
        <v>15774</v>
      </c>
      <c r="I269">
        <f>F270/1000</f>
        <v>0.54</v>
      </c>
      <c r="J269">
        <f>VLOOKUP(A264,$A$2:$I$21,7,FALSE)</f>
        <v>1.4609999999999999</v>
      </c>
      <c r="L269">
        <v>51</v>
      </c>
      <c r="M269" t="s">
        <v>204</v>
      </c>
      <c r="N269">
        <f>INT((N264-N266*O266-N267*O267-O268*N268-N271)/O269*3)</f>
        <v>34</v>
      </c>
      <c r="O269">
        <f>VLOOKUP(L269,技能参数,4,FALSE)</f>
        <v>0.9</v>
      </c>
      <c r="P269">
        <f>VLOOKUP(L269*1000+O264,学习等级编码,2)</f>
        <v>5115</v>
      </c>
      <c r="Q269">
        <f>INT(VLOOKUP(P269,技能升级,9,FALSE)*N269*T269*U269)</f>
        <v>41845</v>
      </c>
      <c r="R269">
        <f>INT(VLOOKUP(P269,技能升级,10,FALSE)*N269*T269*U269)</f>
        <v>0</v>
      </c>
      <c r="S269">
        <f>INT(VLOOKUP(P269,技能升级,11,FALSE)*N269*T269*U269)</f>
        <v>20627</v>
      </c>
      <c r="T269">
        <f>Q270/1000</f>
        <v>0.54</v>
      </c>
      <c r="U269">
        <f>VLOOKUP(L264,$A$2:$I$21,7,FALSE)</f>
        <v>1.4609999999999999</v>
      </c>
    </row>
    <row r="270" spans="1:21" x14ac:dyDescent="0.15">
      <c r="A270">
        <v>55</v>
      </c>
      <c r="B270" t="s">
        <v>46</v>
      </c>
      <c r="C270">
        <v>1</v>
      </c>
      <c r="D270">
        <v>0</v>
      </c>
      <c r="E270">
        <f>VLOOKUP(A270*1000+D264,学习等级编码,2)</f>
        <v>5507</v>
      </c>
      <c r="F270">
        <f>INT(VLOOKUP($E270,技能升级,14,FALSE)*$C270*I270)</f>
        <v>540</v>
      </c>
      <c r="G270">
        <f>INT(VLOOKUP($E270,技能升级,10,FALSE)*$C270*I270)</f>
        <v>0</v>
      </c>
      <c r="H270">
        <f>INT(VLOOKUP($E270,技能升级,11,FALSE)*$C270*I270*J270)</f>
        <v>0</v>
      </c>
      <c r="I270">
        <v>1</v>
      </c>
      <c r="J270">
        <v>1</v>
      </c>
      <c r="L270">
        <v>55</v>
      </c>
      <c r="M270" t="s">
        <v>46</v>
      </c>
      <c r="N270">
        <v>1</v>
      </c>
      <c r="O270">
        <v>0</v>
      </c>
      <c r="P270">
        <f>VLOOKUP(L270*1000+O264,学习等级编码,2)</f>
        <v>5507</v>
      </c>
      <c r="Q270">
        <f>INT(VLOOKUP(P270,技能升级,9,FALSE)*N270*T270*U270)</f>
        <v>540</v>
      </c>
      <c r="R270">
        <f>INT(VLOOKUP(P270,技能升级,10,FALSE)*N270*T270*U270)</f>
        <v>0</v>
      </c>
      <c r="S270">
        <f>INT(VLOOKUP(P270,技能升级,11,FALSE)*N270*T270*U270)</f>
        <v>0</v>
      </c>
      <c r="T270">
        <v>1</v>
      </c>
      <c r="U270">
        <v>1</v>
      </c>
    </row>
    <row r="271" spans="1:21" x14ac:dyDescent="0.15">
      <c r="B271" t="s">
        <v>411</v>
      </c>
      <c r="C271">
        <f>C280*1.5+2</f>
        <v>5</v>
      </c>
      <c r="M271" t="s">
        <v>411</v>
      </c>
      <c r="N271">
        <v>0</v>
      </c>
    </row>
    <row r="272" spans="1:21" x14ac:dyDescent="0.15">
      <c r="E272" t="s">
        <v>194</v>
      </c>
      <c r="F272">
        <f>SUM(F266:F269)/1000</f>
        <v>44.219000000000001</v>
      </c>
      <c r="G272">
        <f>SUM(G266:G269)/1000</f>
        <v>0</v>
      </c>
      <c r="H272">
        <f>SUM(H266:H269)</f>
        <v>19459</v>
      </c>
      <c r="I272" t="s">
        <v>196</v>
      </c>
      <c r="J272" t="s">
        <v>197</v>
      </c>
      <c r="P272" t="s">
        <v>194</v>
      </c>
      <c r="Q272">
        <f>SUM(Q266:Q269)/1000</f>
        <v>44.965000000000003</v>
      </c>
      <c r="R272">
        <f>SUM(R266:R269)/1000</f>
        <v>0</v>
      </c>
      <c r="S272">
        <f>SUM(S266:S269)</f>
        <v>22165</v>
      </c>
      <c r="T272" t="s">
        <v>196</v>
      </c>
      <c r="U272" t="s">
        <v>197</v>
      </c>
    </row>
    <row r="273" spans="1:21" x14ac:dyDescent="0.15">
      <c r="E273" t="s">
        <v>195</v>
      </c>
      <c r="F273">
        <f>INT((IF($A264&gt;10000,VLOOKUP($A264,实战属性,13,FALSE),VLOOKUP($A264,总基本属性,7,FALSE))-
IF($B264&gt;10000,VLOOKUP($B264,实战属性,15,FALSE),VLOOKUP($B264,总基本属性,9,FALSE))*$L$13)*F272)</f>
        <v>188218</v>
      </c>
      <c r="G273">
        <f>INT((IF($A264&gt;10000,VLOOKUP($A264,实战属性,14,FALSE),VLOOKUP($A264,总基本属性,8,FALSE))-
IF($B264&gt;10000,VLOOKUP($B264,实战属性,16,FALSE),VLOOKUP($B264,总基本属性,10,FALSE))*$L$13)*G272)</f>
        <v>0</v>
      </c>
      <c r="H273">
        <f>H272+F273+G273</f>
        <v>207677</v>
      </c>
      <c r="I273">
        <f>IF($B264&gt;10000,VLOOKUP($B264,实战属性,12,FALSE),VLOOKUP($B264,总基本属性,6,FALSE))</f>
        <v>210480</v>
      </c>
      <c r="J273">
        <f>ROUND(I273/H273,2)</f>
        <v>1.01</v>
      </c>
      <c r="P273" t="s">
        <v>195</v>
      </c>
      <c r="Q273">
        <f>INT((IF($A264&gt;10000,VLOOKUP($A264,实战属性,13,FALSE),VLOOKUP($A264,总基本属性,7,FALSE))-
IF($B264&gt;10000,VLOOKUP($B264,实战属性,15,FALSE),VLOOKUP($B264,总基本属性,9,FALSE))*$L$13)*Q272)</f>
        <v>191393</v>
      </c>
      <c r="R273">
        <f>INT((IF($A264&gt;10000,VLOOKUP($A264,实战属性,14,FALSE),VLOOKUP($A264,总基本属性,8,FALSE))-
IF($B264&gt;10000,VLOOKUP($B264,实战属性,16,FALSE),VLOOKUP($B264,总基本属性,10,FALSE))*$L$13)*R272)</f>
        <v>0</v>
      </c>
      <c r="S273">
        <f>S272+Q273+R273</f>
        <v>213558</v>
      </c>
      <c r="T273">
        <f>IF($B264&gt;10000,VLOOKUP($B264,实战属性,12,FALSE),VLOOKUP($B264,总基本属性,6,FALSE))</f>
        <v>210480</v>
      </c>
      <c r="U273">
        <f>ROUND(T273/S273,2)</f>
        <v>0.99</v>
      </c>
    </row>
    <row r="276" spans="1:21" x14ac:dyDescent="0.15">
      <c r="A276" s="9" t="s">
        <v>3</v>
      </c>
      <c r="B276" s="9" t="s">
        <v>416</v>
      </c>
      <c r="C276" s="9" t="s">
        <v>178</v>
      </c>
      <c r="D276" s="9" t="s">
        <v>0</v>
      </c>
    </row>
    <row r="277" spans="1:21" x14ac:dyDescent="0.15">
      <c r="A277">
        <f>A251+10</f>
        <v>2100</v>
      </c>
      <c r="B277">
        <f>B251+10</f>
        <v>5100</v>
      </c>
      <c r="C277">
        <v>13</v>
      </c>
      <c r="D277">
        <f>MOD(A277,1000)</f>
        <v>100</v>
      </c>
    </row>
    <row r="278" spans="1:21" x14ac:dyDescent="0.15">
      <c r="A278" t="s">
        <v>156</v>
      </c>
      <c r="B278" t="s">
        <v>95</v>
      </c>
      <c r="C278" t="s">
        <v>177</v>
      </c>
      <c r="D278" t="s">
        <v>143</v>
      </c>
      <c r="E278" t="s">
        <v>182</v>
      </c>
      <c r="F278" t="s">
        <v>192</v>
      </c>
      <c r="G278" t="s">
        <v>193</v>
      </c>
      <c r="H278" t="s">
        <v>176</v>
      </c>
      <c r="I278" t="s">
        <v>205</v>
      </c>
      <c r="J278" t="s">
        <v>206</v>
      </c>
    </row>
    <row r="279" spans="1:21" x14ac:dyDescent="0.15">
      <c r="A279">
        <v>25</v>
      </c>
      <c r="B279" t="s">
        <v>23</v>
      </c>
      <c r="C279">
        <v>1</v>
      </c>
      <c r="D279">
        <f>VLOOKUP(A279,技能参数,4,FALSE)</f>
        <v>2</v>
      </c>
      <c r="E279">
        <f>IFERROR(VLOOKUP(A279*1000+D277,学习等级编码,2),0)</f>
        <v>2507</v>
      </c>
      <c r="F279">
        <f t="shared" ref="F279:F280" si="28">IFERROR(INT(VLOOKUP($E279,技能升级,9,FALSE)*$C279*I279*J279),0)</f>
        <v>6500</v>
      </c>
      <c r="G279">
        <f t="shared" ref="G279:G282" si="29">IFERROR(INT(VLOOKUP($E279,技能升级,10,FALSE)*$C279*I279*J279),0)</f>
        <v>0</v>
      </c>
      <c r="H279">
        <f>INT(VLOOKUP($E279,技能升级,11,FALSE)*$C279*I279*J279)</f>
        <v>859</v>
      </c>
      <c r="I279">
        <v>1</v>
      </c>
      <c r="J279">
        <v>1</v>
      </c>
    </row>
    <row r="280" spans="1:21" x14ac:dyDescent="0.15">
      <c r="A280">
        <v>23</v>
      </c>
      <c r="B280" t="s">
        <v>24</v>
      </c>
      <c r="C280">
        <f>INT((C277-D280-D281*3)/(VLOOKUP(A280,技能参数,5,FALSE)+2*VLOOKUP(A280,技能参数,4,FALSE))+1)+1</f>
        <v>2</v>
      </c>
      <c r="D280">
        <f>VLOOKUP(A280,技能参数,4,FALSE)</f>
        <v>1</v>
      </c>
      <c r="E280">
        <f>IFERROR(VLOOKUP(A280*1000+D277,学习等级编码,2),0)</f>
        <v>2310</v>
      </c>
      <c r="F280">
        <f t="shared" si="28"/>
        <v>2600</v>
      </c>
      <c r="G280">
        <f t="shared" si="29"/>
        <v>0</v>
      </c>
      <c r="H280">
        <f>INT(VLOOKUP($E280,技能升级,11,FALSE)*$C280*I280*J280)</f>
        <v>1432</v>
      </c>
      <c r="I280">
        <v>1</v>
      </c>
      <c r="J280">
        <v>1</v>
      </c>
    </row>
    <row r="281" spans="1:21" x14ac:dyDescent="0.15">
      <c r="A281">
        <v>22</v>
      </c>
      <c r="B281" t="s">
        <v>22</v>
      </c>
      <c r="C281">
        <f>INT((C277-D280-D281*3)/(VLOOKUP(A281,技能参数,5,FALSE)+2*VLOOKUP(A281,技能参数,4,FALSE))+1)+3</f>
        <v>4</v>
      </c>
      <c r="D281">
        <f>VLOOKUP(A281,技能参数,4,FALSE)</f>
        <v>1.5</v>
      </c>
      <c r="E281">
        <f>IFERROR(VLOOKUP(A281*1000+D277,学习等级编码,2),0)</f>
        <v>2210</v>
      </c>
      <c r="F281">
        <f>IFERROR(INT(VLOOKUP($E281,技能升级,9,FALSE)*$C281*I281*J281),0)</f>
        <v>19712</v>
      </c>
      <c r="G281">
        <f t="shared" si="29"/>
        <v>0</v>
      </c>
      <c r="H281">
        <f>INT(VLOOKUP($E281,技能升级,11,FALSE)*$C281*I281*J281)</f>
        <v>4356</v>
      </c>
      <c r="I281">
        <v>1</v>
      </c>
      <c r="J281">
        <f>VLOOKUP(A277,$A$2:$H$21,8,FALSE)</f>
        <v>1.5209999999999997</v>
      </c>
    </row>
    <row r="282" spans="1:21" x14ac:dyDescent="0.15">
      <c r="A282">
        <v>21</v>
      </c>
      <c r="B282" t="s">
        <v>90</v>
      </c>
      <c r="C282">
        <f>INT((C277-C279*D279-C280*D280-C281*D281-C283)/D282)</f>
        <v>1</v>
      </c>
      <c r="D282">
        <f>VLOOKUP(A282,技能参数,4,FALSE)</f>
        <v>1</v>
      </c>
      <c r="E282">
        <f>IFERROR(VLOOKUP(A282*1000+D277,学习等级编码,2),0)</f>
        <v>2115</v>
      </c>
      <c r="F282">
        <f>IFERROR(INT(VLOOKUP($E282,技能升级,9,FALSE)*$C282*I282*J282),0)</f>
        <v>2281</v>
      </c>
      <c r="G282">
        <f t="shared" si="29"/>
        <v>0</v>
      </c>
      <c r="H282">
        <f>INT(VLOOKUP($E282,技能升级,11,FALSE)*$C282*I282*J282)</f>
        <v>1169</v>
      </c>
      <c r="I282">
        <v>1</v>
      </c>
      <c r="J282">
        <f>VLOOKUP(A277,$A$2:$H$21,8,FALSE)</f>
        <v>1.5209999999999997</v>
      </c>
    </row>
    <row r="283" spans="1:21" x14ac:dyDescent="0.15">
      <c r="B283" t="s">
        <v>418</v>
      </c>
      <c r="C283">
        <f>C266*D268</f>
        <v>1.8</v>
      </c>
    </row>
    <row r="284" spans="1:21" x14ac:dyDescent="0.15">
      <c r="E284" t="s">
        <v>194</v>
      </c>
      <c r="F284">
        <f>SUM(F279:F282)/1000</f>
        <v>31.093</v>
      </c>
      <c r="G284">
        <f>SUM(G279:G282)/1000</f>
        <v>0</v>
      </c>
      <c r="H284">
        <f>SUM(H279:H282)</f>
        <v>7816</v>
      </c>
      <c r="I284" t="s">
        <v>196</v>
      </c>
      <c r="J284" t="s">
        <v>197</v>
      </c>
    </row>
    <row r="285" spans="1:21" x14ac:dyDescent="0.15">
      <c r="E285" t="s">
        <v>195</v>
      </c>
      <c r="F285">
        <f>INT((IF($A277&gt;10000,VLOOKUP($A277,实战属性,13,FALSE),VLOOKUP($A277,总基本属性,7,FALSE))-
IF($B277&gt;10000,VLOOKUP($B277,实战属性,15,FALSE),VLOOKUP($B277,总基本属性,9,FALSE))*$L$13)*F284)</f>
        <v>160906</v>
      </c>
      <c r="G285">
        <f>INT((IF($A277&gt;10000,VLOOKUP($A277,实战属性,14,FALSE),VLOOKUP($A277,总基本属性,8,FALSE))-
IF($B277&gt;10000,VLOOKUP($B277,实战属性,16,FALSE),VLOOKUP($B277,总基本属性,10,FALSE))*$L$13)*G284)</f>
        <v>0</v>
      </c>
      <c r="H285">
        <f>H284+F285+G285</f>
        <v>168722</v>
      </c>
      <c r="I285">
        <f>IF($B277&gt;10000,VLOOKUP($B277,实战属性,12,FALSE),VLOOKUP($B277,总基本属性,6,FALSE))</f>
        <v>168384</v>
      </c>
      <c r="J285">
        <f>ROUND(I285/H285,2)</f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5"/>
  <sheetViews>
    <sheetView workbookViewId="0">
      <selection activeCell="L27" sqref="L27"/>
    </sheetView>
  </sheetViews>
  <sheetFormatPr defaultRowHeight="13.5" x14ac:dyDescent="0.15"/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431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3010</v>
      </c>
      <c r="B2">
        <v>2010</v>
      </c>
      <c r="C2">
        <f t="shared" ref="C2:C2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2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2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2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>A2+10</f>
        <v>3020</v>
      </c>
      <c r="B3">
        <f>B2+10</f>
        <v>2020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</v>
      </c>
      <c r="G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>A3+10</f>
        <v>3030</v>
      </c>
      <c r="B4">
        <f>B3+10</f>
        <v>2030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0.01</v>
      </c>
      <c r="G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ref="A5:B11" si="4">A4+10</f>
        <v>3040</v>
      </c>
      <c r="B5">
        <f t="shared" si="4"/>
        <v>2040</v>
      </c>
      <c r="C5">
        <f t="shared" si="0"/>
        <v>0</v>
      </c>
      <c r="D5">
        <f t="shared" si="1"/>
        <v>0</v>
      </c>
      <c r="E5">
        <f t="shared" si="2"/>
        <v>0.01</v>
      </c>
      <c r="F5">
        <f t="shared" si="3"/>
        <v>0.01</v>
      </c>
      <c r="G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4"/>
        <v>3050</v>
      </c>
      <c r="B6">
        <f t="shared" si="4"/>
        <v>2050</v>
      </c>
      <c r="C6">
        <f t="shared" si="0"/>
        <v>0</v>
      </c>
      <c r="D6">
        <f t="shared" si="1"/>
        <v>0</v>
      </c>
      <c r="E6">
        <f t="shared" si="2"/>
        <v>0.01</v>
      </c>
      <c r="F6">
        <f t="shared" si="3"/>
        <v>0.02</v>
      </c>
      <c r="G6">
        <v>1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4"/>
        <v>3060</v>
      </c>
      <c r="B7">
        <f t="shared" si="4"/>
        <v>2060</v>
      </c>
      <c r="C7">
        <f t="shared" si="0"/>
        <v>0</v>
      </c>
      <c r="D7">
        <f t="shared" si="1"/>
        <v>0</v>
      </c>
      <c r="E7">
        <f t="shared" si="2"/>
        <v>0.01</v>
      </c>
      <c r="F7">
        <f t="shared" si="3"/>
        <v>0.03</v>
      </c>
      <c r="G7">
        <v>1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4"/>
        <v>3070</v>
      </c>
      <c r="B8">
        <f t="shared" si="4"/>
        <v>2070</v>
      </c>
      <c r="C8">
        <f t="shared" si="0"/>
        <v>0</v>
      </c>
      <c r="D8">
        <f t="shared" si="1"/>
        <v>0</v>
      </c>
      <c r="E8">
        <f t="shared" si="2"/>
        <v>0.02</v>
      </c>
      <c r="F8">
        <f t="shared" si="3"/>
        <v>0.04</v>
      </c>
      <c r="G8">
        <v>1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4"/>
        <v>3080</v>
      </c>
      <c r="B9">
        <f t="shared" si="4"/>
        <v>2080</v>
      </c>
      <c r="C9">
        <f t="shared" si="0"/>
        <v>0</v>
      </c>
      <c r="D9">
        <f t="shared" si="1"/>
        <v>0</v>
      </c>
      <c r="E9">
        <f t="shared" si="2"/>
        <v>0.02</v>
      </c>
      <c r="F9">
        <f t="shared" si="3"/>
        <v>0.05</v>
      </c>
      <c r="G9">
        <v>1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4"/>
        <v>3090</v>
      </c>
      <c r="B10">
        <f t="shared" si="4"/>
        <v>2090</v>
      </c>
      <c r="C10">
        <f t="shared" si="0"/>
        <v>0</v>
      </c>
      <c r="D10">
        <f t="shared" si="1"/>
        <v>0</v>
      </c>
      <c r="E10">
        <f t="shared" si="2"/>
        <v>0.03</v>
      </c>
      <c r="F10">
        <f t="shared" si="3"/>
        <v>0.06</v>
      </c>
      <c r="G10">
        <v>1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4"/>
        <v>3100</v>
      </c>
      <c r="B11">
        <f t="shared" si="4"/>
        <v>2100</v>
      </c>
      <c r="C11">
        <f t="shared" si="0"/>
        <v>0</v>
      </c>
      <c r="D11">
        <f t="shared" si="1"/>
        <v>0</v>
      </c>
      <c r="E11">
        <f t="shared" si="2"/>
        <v>0.04</v>
      </c>
      <c r="F11">
        <f t="shared" si="3"/>
        <v>7.0000000000000007E-2</v>
      </c>
      <c r="G11">
        <v>1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A12">
        <v>2010</v>
      </c>
      <c r="B12">
        <v>3010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ref="G12:G21" si="5">C12*1.5+D12*2+E12*0.3+1-E12-D12-C12</f>
        <v>1</v>
      </c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A13">
        <f>A12+10</f>
        <v>2020</v>
      </c>
      <c r="B13">
        <f>B12+10</f>
        <v>3020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0.01</v>
      </c>
      <c r="G13">
        <f t="shared" si="5"/>
        <v>1</v>
      </c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4" spans="1:24" x14ac:dyDescent="0.15">
      <c r="A14">
        <f>A13+10</f>
        <v>2030</v>
      </c>
      <c r="B14">
        <f>B13+10</f>
        <v>3030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0.01</v>
      </c>
      <c r="G14">
        <f t="shared" si="5"/>
        <v>1</v>
      </c>
    </row>
    <row r="15" spans="1:24" x14ac:dyDescent="0.15">
      <c r="A15">
        <f t="shared" ref="A15:B21" si="6">A14+10</f>
        <v>2040</v>
      </c>
      <c r="B15">
        <f t="shared" si="6"/>
        <v>3040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0.02</v>
      </c>
      <c r="G15">
        <f t="shared" si="5"/>
        <v>1</v>
      </c>
    </row>
    <row r="16" spans="1:24" x14ac:dyDescent="0.15">
      <c r="A16">
        <f t="shared" si="6"/>
        <v>2050</v>
      </c>
      <c r="B16">
        <f t="shared" si="6"/>
        <v>3050</v>
      </c>
      <c r="C16">
        <f t="shared" si="0"/>
        <v>7.0000000000000007E-2</v>
      </c>
      <c r="D16">
        <f t="shared" si="1"/>
        <v>7.0000000000000007E-2</v>
      </c>
      <c r="E16">
        <f t="shared" si="2"/>
        <v>0.1</v>
      </c>
      <c r="F16">
        <f t="shared" si="3"/>
        <v>0.13</v>
      </c>
      <c r="G16">
        <f t="shared" si="5"/>
        <v>1.0349999999999997</v>
      </c>
    </row>
    <row r="17" spans="1:10" x14ac:dyDescent="0.15">
      <c r="A17">
        <f t="shared" si="6"/>
        <v>2060</v>
      </c>
      <c r="B17">
        <f t="shared" si="6"/>
        <v>3060</v>
      </c>
      <c r="C17">
        <f t="shared" si="0"/>
        <v>0.12</v>
      </c>
      <c r="D17">
        <f t="shared" si="1"/>
        <v>0.11</v>
      </c>
      <c r="E17">
        <f t="shared" si="2"/>
        <v>0.13</v>
      </c>
      <c r="F17">
        <f t="shared" si="3"/>
        <v>0.17</v>
      </c>
      <c r="G17">
        <f t="shared" si="5"/>
        <v>1.0790000000000002</v>
      </c>
    </row>
    <row r="18" spans="1:10" x14ac:dyDescent="0.15">
      <c r="A18">
        <f t="shared" si="6"/>
        <v>2070</v>
      </c>
      <c r="B18">
        <f t="shared" si="6"/>
        <v>3070</v>
      </c>
      <c r="C18">
        <f t="shared" si="0"/>
        <v>0.19</v>
      </c>
      <c r="D18">
        <f t="shared" si="1"/>
        <v>0.16</v>
      </c>
      <c r="E18">
        <f t="shared" si="2"/>
        <v>0.17</v>
      </c>
      <c r="F18">
        <f t="shared" si="3"/>
        <v>0.23</v>
      </c>
      <c r="G18">
        <f t="shared" si="5"/>
        <v>1.1360000000000003</v>
      </c>
    </row>
    <row r="19" spans="1:10" x14ac:dyDescent="0.15">
      <c r="A19">
        <f t="shared" si="6"/>
        <v>2080</v>
      </c>
      <c r="B19">
        <f t="shared" si="6"/>
        <v>3080</v>
      </c>
      <c r="C19">
        <f t="shared" si="0"/>
        <v>0.28000000000000003</v>
      </c>
      <c r="D19">
        <f t="shared" si="1"/>
        <v>0.21</v>
      </c>
      <c r="E19">
        <f t="shared" si="2"/>
        <v>0.22</v>
      </c>
      <c r="F19">
        <f t="shared" si="3"/>
        <v>0.28999999999999998</v>
      </c>
      <c r="G19">
        <f t="shared" si="5"/>
        <v>1.1960000000000002</v>
      </c>
    </row>
    <row r="20" spans="1:10" x14ac:dyDescent="0.15">
      <c r="A20">
        <f t="shared" si="6"/>
        <v>2090</v>
      </c>
      <c r="B20">
        <f t="shared" si="6"/>
        <v>3090</v>
      </c>
      <c r="C20">
        <f t="shared" si="0"/>
        <v>0.36</v>
      </c>
      <c r="D20">
        <f t="shared" si="1"/>
        <v>0.28999999999999998</v>
      </c>
      <c r="E20">
        <f t="shared" si="2"/>
        <v>0.28000000000000003</v>
      </c>
      <c r="F20">
        <f t="shared" si="3"/>
        <v>0.37</v>
      </c>
      <c r="G20">
        <f t="shared" si="5"/>
        <v>1.274</v>
      </c>
    </row>
    <row r="21" spans="1:10" x14ac:dyDescent="0.15">
      <c r="A21">
        <f t="shared" si="6"/>
        <v>2100</v>
      </c>
      <c r="B21">
        <f t="shared" si="6"/>
        <v>3100</v>
      </c>
      <c r="C21">
        <f t="shared" si="0"/>
        <v>0.44</v>
      </c>
      <c r="D21">
        <f t="shared" si="1"/>
        <v>0.35</v>
      </c>
      <c r="E21">
        <f t="shared" si="2"/>
        <v>0.35</v>
      </c>
      <c r="F21">
        <f t="shared" si="3"/>
        <v>0.44</v>
      </c>
      <c r="G21">
        <f t="shared" si="5"/>
        <v>1.3249999999999997</v>
      </c>
    </row>
    <row r="29" spans="1:10" x14ac:dyDescent="0.15">
      <c r="A29" s="8" t="s">
        <v>4</v>
      </c>
      <c r="B29" s="8" t="s">
        <v>3</v>
      </c>
      <c r="C29" s="8" t="s">
        <v>178</v>
      </c>
      <c r="D29" s="8" t="s">
        <v>0</v>
      </c>
    </row>
    <row r="30" spans="1:10" x14ac:dyDescent="0.15">
      <c r="A30">
        <v>3010</v>
      </c>
      <c r="B30">
        <v>2010</v>
      </c>
      <c r="C30">
        <v>24</v>
      </c>
      <c r="D30">
        <f>MOD(A30,1000)</f>
        <v>10</v>
      </c>
    </row>
    <row r="31" spans="1:10" x14ac:dyDescent="0.15">
      <c r="A31" t="s">
        <v>156</v>
      </c>
      <c r="B31" t="s">
        <v>95</v>
      </c>
      <c r="C31" t="s">
        <v>142</v>
      </c>
      <c r="D31" t="s">
        <v>143</v>
      </c>
      <c r="E31" t="s">
        <v>182</v>
      </c>
      <c r="F31" t="s">
        <v>192</v>
      </c>
      <c r="G31" t="s">
        <v>193</v>
      </c>
      <c r="H31" t="s">
        <v>176</v>
      </c>
      <c r="I31" t="s">
        <v>205</v>
      </c>
      <c r="J31" t="s">
        <v>206</v>
      </c>
    </row>
    <row r="32" spans="1:10" x14ac:dyDescent="0.15">
      <c r="A32">
        <v>32</v>
      </c>
      <c r="B32" t="s">
        <v>26</v>
      </c>
      <c r="C32">
        <f>INT(C30/(VLOOKUP(A32,技能参数,5,FALSE)+2*VLOOKUP(A32,技能参数,4,FALSE))+3)</f>
        <v>4</v>
      </c>
      <c r="D32">
        <f>VLOOKUP(A32,技能参数,4,FALSE)</f>
        <v>1</v>
      </c>
      <c r="E32">
        <f>IFERROR(VLOOKUP(A32*1000+D30,学习等级编码,2),0)</f>
        <v>3201</v>
      </c>
      <c r="F32">
        <f>IFERROR(INT(VLOOKUP($E32,技能升级,9,FALSE)*$C32*I32*J32),0)</f>
        <v>0</v>
      </c>
      <c r="G32">
        <f>IFERROR(INT(VLOOKUP($E32,技能升级,10,FALSE)*$C32*I32*J32),0)</f>
        <v>4800</v>
      </c>
      <c r="H32">
        <f>INT(VLOOKUP($E32,技能升级,11,FALSE)*$C32*I32*J32)</f>
        <v>80</v>
      </c>
      <c r="I32">
        <v>1</v>
      </c>
      <c r="J32">
        <v>1</v>
      </c>
    </row>
    <row r="33" spans="1:10" x14ac:dyDescent="0.15">
      <c r="A33">
        <v>34</v>
      </c>
      <c r="B33" t="s">
        <v>34</v>
      </c>
      <c r="C33">
        <f>INT(C30/(VLOOKUP(A33,技能参数,5,FALSE)+2*VLOOKUP(A33,技能参数,4,FALSE))+1)</f>
        <v>2</v>
      </c>
      <c r="D33">
        <f>VLOOKUP(A33,技能参数,4,FALSE)</f>
        <v>1.5</v>
      </c>
      <c r="E33">
        <f>IFERROR(VLOOKUP(A33*1000+D30,学习等级编码,2),0)</f>
        <v>3401</v>
      </c>
      <c r="F33">
        <f>IFERROR(INT(VLOOKUP($E33,技能升级,9,FALSE)*$C33*I33*J33),0)</f>
        <v>3000</v>
      </c>
      <c r="G33">
        <f>IFERROR(INT(VLOOKUP($E33,技能升级,10,FALSE)*$C33*I33*J33),0)</f>
        <v>0</v>
      </c>
      <c r="H33">
        <f>INT(VLOOKUP($E33,技能升级,11,FALSE)*$C33*I33*J33)</f>
        <v>70</v>
      </c>
      <c r="I33">
        <v>1</v>
      </c>
      <c r="J33">
        <v>1</v>
      </c>
    </row>
    <row r="34" spans="1:10" x14ac:dyDescent="0.15">
      <c r="A34">
        <v>35</v>
      </c>
      <c r="B34" t="s">
        <v>28</v>
      </c>
      <c r="C34">
        <v>3</v>
      </c>
      <c r="D34">
        <f>VLOOKUP(A34,技能参数,4,FALSE)</f>
        <v>2</v>
      </c>
      <c r="E34">
        <f>IFERROR(VLOOKUP(A34*1000+D30,学习等级编码,2),0)</f>
        <v>3501</v>
      </c>
      <c r="F34">
        <f>IFERROR(INT(VLOOKUP($E34,技能升级,9,FALSE)*$C34*I34*J34),0)</f>
        <v>6000</v>
      </c>
      <c r="G34">
        <f>IFERROR(INT(VLOOKUP($E34,技能升级,10,FALSE)*$C34*I34*J34),0)</f>
        <v>0</v>
      </c>
      <c r="H34">
        <f>INT(VLOOKUP($E34,技能升级,11,FALSE)*$C34*I34*J34)</f>
        <v>138</v>
      </c>
      <c r="I34">
        <v>1</v>
      </c>
      <c r="J34">
        <v>1</v>
      </c>
    </row>
    <row r="35" spans="1:10" x14ac:dyDescent="0.15">
      <c r="A35">
        <v>31</v>
      </c>
      <c r="B35" t="s">
        <v>91</v>
      </c>
      <c r="C35">
        <f>INT((C30-C32*D32-C33*D33-C34*D34-C37)/D35)</f>
        <v>5</v>
      </c>
      <c r="D35">
        <f>VLOOKUP(A35,技能参数,4,FALSE)</f>
        <v>0.8</v>
      </c>
      <c r="E35">
        <f>IFERROR(VLOOKUP(A35*1000+D30,学习等级编码,2),0)</f>
        <v>3102</v>
      </c>
      <c r="F35">
        <f>IFERROR(INT(VLOOKUP($E35,技能升级,9,FALSE)*$C35*I35*J35),0)</f>
        <v>5100</v>
      </c>
      <c r="G35">
        <f>IFERROR(INT(VLOOKUP($E35,技能升级,10,FALSE)*$C35*I35*J35),0)</f>
        <v>0</v>
      </c>
      <c r="H35">
        <f>INT(VLOOKUP($E35,技能升级,11,FALSE)*$C35*I35*J35)</f>
        <v>115</v>
      </c>
      <c r="I35">
        <v>1</v>
      </c>
      <c r="J35">
        <v>1</v>
      </c>
    </row>
    <row r="36" spans="1:10" x14ac:dyDescent="0.15">
      <c r="A36">
        <v>203</v>
      </c>
      <c r="B36" t="s">
        <v>340</v>
      </c>
      <c r="C36">
        <f>INT((C30)/3)</f>
        <v>8</v>
      </c>
      <c r="D36">
        <v>0</v>
      </c>
      <c r="E36">
        <f>IFERROR(VLOOKUP(A36*1000+D30,学习等级编码,2),0)</f>
        <v>20301</v>
      </c>
      <c r="F36">
        <f>IFERROR(INT(VLOOKUP($E36,技能升级,9,FALSE)*$C36*I36*J36),0)</f>
        <v>0</v>
      </c>
      <c r="G36">
        <f>IFERROR(INT(VLOOKUP($E36,技能升级,10,FALSE)*$C36*I36*J36),0)</f>
        <v>0</v>
      </c>
      <c r="H36">
        <f>INT((VLOOKUP(E36,技能升级,13,FALSE)*(VLOOKUP(C36,中毒数据,4)+MOD(C30,3)*VLOOKUP(C36+1,中毒数据,3))+VLOOKUP(E36,技能升级,14,FALSE)/1000*C36*IF($B30&gt;10000,VLOOKUP($B30,实战属性,12,FALSE),VLOOKUP($B30,总基本属性,6,FALSE)))*I36*J36)</f>
        <v>1730</v>
      </c>
      <c r="I36">
        <v>1</v>
      </c>
      <c r="J36">
        <v>1</v>
      </c>
    </row>
    <row r="37" spans="1:10" x14ac:dyDescent="0.15">
      <c r="B37" t="s">
        <v>411</v>
      </c>
      <c r="C37">
        <f>C46*1.5+2</f>
        <v>6.5</v>
      </c>
    </row>
    <row r="38" spans="1:10" x14ac:dyDescent="0.15">
      <c r="E38" t="s">
        <v>194</v>
      </c>
      <c r="F38">
        <f>SUM(F32:F36)/1000</f>
        <v>14.1</v>
      </c>
      <c r="G38">
        <f>SUM(G32:G36)/1000</f>
        <v>4.8</v>
      </c>
      <c r="H38">
        <f>SUM(H32:H36)</f>
        <v>2133</v>
      </c>
      <c r="I38" t="s">
        <v>196</v>
      </c>
      <c r="J38" t="s">
        <v>197</v>
      </c>
    </row>
    <row r="39" spans="1:10" x14ac:dyDescent="0.15">
      <c r="E39" t="s">
        <v>195</v>
      </c>
      <c r="F39">
        <f>INT((IF($A30&gt;10000,VLOOKUP($A30,实战属性,13,FALSE),VLOOKUP($A30,总基本属性,7,FALSE))-
IF($B30&gt;10000,VLOOKUP($B30,实战属性,15,FALSE),VLOOKUP($B30,总基本属性,9,FALSE))*$L$13)*F38)</f>
        <v>972</v>
      </c>
      <c r="G39">
        <f>INT((IF($A30&gt;10000,VLOOKUP($A30,实战属性,14,FALSE),VLOOKUP($A30,总基本属性,8,FALSE))-
IF($B30&gt;10000,VLOOKUP($B30,实战属性,16,FALSE),VLOOKUP($B30,总基本属性,10,FALSE))*$L$13)*G38)</f>
        <v>364</v>
      </c>
      <c r="H39">
        <f>H38+F39+G39</f>
        <v>3469</v>
      </c>
      <c r="I39">
        <f>IF($B30&gt;10000,VLOOKUP($B30,实战属性,12,FALSE),VLOOKUP($B30,总基本属性,6,FALSE))</f>
        <v>3480</v>
      </c>
      <c r="J39">
        <f>ROUND(I39/H39,2)</f>
        <v>1</v>
      </c>
    </row>
    <row r="42" spans="1:10" x14ac:dyDescent="0.15">
      <c r="A42" s="9" t="s">
        <v>3</v>
      </c>
      <c r="B42" s="9" t="s">
        <v>4</v>
      </c>
      <c r="C42" s="9" t="s">
        <v>178</v>
      </c>
      <c r="D42" s="9" t="s">
        <v>0</v>
      </c>
    </row>
    <row r="43" spans="1:10" x14ac:dyDescent="0.15">
      <c r="A43">
        <v>2010</v>
      </c>
      <c r="B43">
        <v>3010</v>
      </c>
      <c r="C43">
        <v>24</v>
      </c>
      <c r="D43">
        <f>MOD(A43,1000)</f>
        <v>10</v>
      </c>
    </row>
    <row r="44" spans="1:10" x14ac:dyDescent="0.15">
      <c r="A44" t="s">
        <v>156</v>
      </c>
      <c r="B44" t="s">
        <v>95</v>
      </c>
      <c r="C44" t="s">
        <v>177</v>
      </c>
      <c r="D44" t="s">
        <v>143</v>
      </c>
      <c r="E44" t="s">
        <v>182</v>
      </c>
      <c r="F44" t="s">
        <v>192</v>
      </c>
      <c r="G44" t="s">
        <v>193</v>
      </c>
      <c r="H44" t="s">
        <v>176</v>
      </c>
      <c r="I44" t="s">
        <v>205</v>
      </c>
      <c r="J44" t="s">
        <v>206</v>
      </c>
    </row>
    <row r="45" spans="1:10" x14ac:dyDescent="0.15">
      <c r="A45">
        <v>25</v>
      </c>
      <c r="B45" t="s">
        <v>23</v>
      </c>
      <c r="C45">
        <v>1</v>
      </c>
      <c r="D45">
        <f>VLOOKUP(A45,技能参数,4,FALSE)</f>
        <v>2</v>
      </c>
      <c r="E45">
        <f>IFERROR(VLOOKUP(A45*1000+D43,学习等级编码,2),0)</f>
        <v>2501</v>
      </c>
      <c r="F45">
        <f t="shared" ref="F45:F47" si="7">IFERROR(INT(VLOOKUP($E45,技能升级,9,FALSE)*$C45*I45*J45),0)</f>
        <v>5000</v>
      </c>
      <c r="G45">
        <f t="shared" ref="G45:G48" si="8">IFERROR(INT(VLOOKUP($E45,技能升级,10,FALSE)*$C45*I45*J45),0)</f>
        <v>0</v>
      </c>
      <c r="H45">
        <f>INT(VLOOKUP($E45,技能升级,11,FALSE)*$C45*I45*J45)</f>
        <v>66</v>
      </c>
      <c r="I45">
        <v>1</v>
      </c>
      <c r="J45">
        <v>1</v>
      </c>
    </row>
    <row r="46" spans="1:10" x14ac:dyDescent="0.15">
      <c r="A46">
        <v>23</v>
      </c>
      <c r="B46" t="s">
        <v>24</v>
      </c>
      <c r="C46">
        <f>INT((C43-D46-D47*3)/(VLOOKUP(A46,技能参数,5,FALSE)+2*VLOOKUP(A46,技能参数,4,FALSE))+1)+1</f>
        <v>3</v>
      </c>
      <c r="D46">
        <f>VLOOKUP(A46,技能参数,4,FALSE)</f>
        <v>1</v>
      </c>
      <c r="E46">
        <f>IFERROR(VLOOKUP(A46*1000+D43,学习等级编码,2),0)</f>
        <v>2301</v>
      </c>
      <c r="F46">
        <f t="shared" si="7"/>
        <v>3000</v>
      </c>
      <c r="G46">
        <f t="shared" si="8"/>
        <v>0</v>
      </c>
      <c r="H46">
        <f>INT(VLOOKUP($E46,技能升级,11,FALSE)*$C46*I46*J46)</f>
        <v>66</v>
      </c>
      <c r="I46">
        <v>1</v>
      </c>
      <c r="J46">
        <v>1</v>
      </c>
    </row>
    <row r="47" spans="1:10" x14ac:dyDescent="0.15">
      <c r="A47">
        <v>22</v>
      </c>
      <c r="B47" t="s">
        <v>22</v>
      </c>
      <c r="C47">
        <f>INT((C43-D46-D47*3)/(VLOOKUP(A47,技能参数,5,FALSE)+2*VLOOKUP(A47,技能参数,4,FALSE))+1)+3</f>
        <v>5</v>
      </c>
      <c r="D47">
        <f>VLOOKUP(A47,技能参数,4,FALSE)</f>
        <v>1.5</v>
      </c>
      <c r="E47">
        <f>IFERROR(VLOOKUP(A47*1000+D43,学习等级编码,2),0)</f>
        <v>2201</v>
      </c>
      <c r="F47">
        <f t="shared" si="7"/>
        <v>13500</v>
      </c>
      <c r="G47">
        <f t="shared" si="8"/>
        <v>0</v>
      </c>
      <c r="H47">
        <f>INT(VLOOKUP($E47,技能升级,11,FALSE)*$C47*I47*J47)</f>
        <v>250</v>
      </c>
      <c r="I47">
        <v>1</v>
      </c>
      <c r="J47">
        <f>VLOOKUP(A43,$A$2:$H$21,7,FALSE)</f>
        <v>1</v>
      </c>
    </row>
    <row r="48" spans="1:10" x14ac:dyDescent="0.15">
      <c r="A48">
        <v>21</v>
      </c>
      <c r="B48" t="s">
        <v>90</v>
      </c>
      <c r="C48">
        <f>INT((C43-C45*D45-C46*D46-C47*D47-C49-C50)/D48)</f>
        <v>2</v>
      </c>
      <c r="D48">
        <f>VLOOKUP(A48,技能参数,4,FALSE)</f>
        <v>1</v>
      </c>
      <c r="E48">
        <f>IFERROR(VLOOKUP(A48*1000+D43,学习等级编码,2),0)</f>
        <v>2102</v>
      </c>
      <c r="F48">
        <f>IFERROR(INT(VLOOKUP($E48,技能升级,9,FALSE)*$C48*I48*J48),0)</f>
        <v>2080</v>
      </c>
      <c r="G48">
        <f t="shared" si="8"/>
        <v>0</v>
      </c>
      <c r="H48">
        <f>INT(VLOOKUP($E48,技能升级,11,FALSE)*$C48*I48*J48)</f>
        <v>46</v>
      </c>
      <c r="I48">
        <v>1</v>
      </c>
      <c r="J48">
        <f>VLOOKUP(A43,$A$2:$H$21,7,FALSE)</f>
        <v>1</v>
      </c>
    </row>
    <row r="49" spans="1:10" x14ac:dyDescent="0.15">
      <c r="A49">
        <v>204</v>
      </c>
      <c r="B49" t="s">
        <v>338</v>
      </c>
      <c r="C49">
        <v>3</v>
      </c>
    </row>
    <row r="50" spans="1:10" x14ac:dyDescent="0.15">
      <c r="B50" t="s">
        <v>342</v>
      </c>
      <c r="C50">
        <v>6</v>
      </c>
    </row>
    <row r="51" spans="1:10" x14ac:dyDescent="0.15">
      <c r="E51" t="s">
        <v>194</v>
      </c>
      <c r="F51">
        <f>SUM(F45:F48)/1000</f>
        <v>23.58</v>
      </c>
      <c r="G51">
        <f>SUM(G45:G48)/1000</f>
        <v>0</v>
      </c>
      <c r="H51">
        <f>SUM(H45:H48)</f>
        <v>428</v>
      </c>
      <c r="I51" t="s">
        <v>196</v>
      </c>
      <c r="J51" t="s">
        <v>197</v>
      </c>
    </row>
    <row r="52" spans="1:10" x14ac:dyDescent="0.15">
      <c r="E52" t="s">
        <v>195</v>
      </c>
      <c r="F52">
        <f>INT((IF($A43&gt;10000,VLOOKUP($A43,实战属性,13,FALSE),VLOOKUP($A43,总基本属性,7,FALSE))-
IF($B43&gt;10000,VLOOKUP($B43,实战属性,15,FALSE),VLOOKUP($B43,总基本属性,9,FALSE))*$L$13)*F51)</f>
        <v>3301</v>
      </c>
      <c r="G52">
        <f>INT((IF($A43&gt;10000,VLOOKUP($A43,实战属性,14,FALSE),VLOOKUP($A43,总基本属性,8,FALSE))-
IF($B43&gt;10000,VLOOKUP($B43,实战属性,16,FALSE),VLOOKUP($B43,总基本属性,10,FALSE))*$L$13)*G51)</f>
        <v>0</v>
      </c>
      <c r="H52">
        <f>H51+F52+G52</f>
        <v>3729</v>
      </c>
      <c r="I52">
        <f>IF($B43&gt;10000,VLOOKUP($B43,实战属性,12,FALSE),VLOOKUP($B43,总基本属性,6,FALSE))</f>
        <v>3695</v>
      </c>
      <c r="J52">
        <f>ROUND(I52/H52,2)</f>
        <v>0.99</v>
      </c>
    </row>
    <row r="56" spans="1:10" x14ac:dyDescent="0.15">
      <c r="A56" s="8" t="s">
        <v>4</v>
      </c>
      <c r="B56" s="8" t="s">
        <v>3</v>
      </c>
      <c r="C56" s="8" t="s">
        <v>178</v>
      </c>
      <c r="D56" s="8" t="s">
        <v>0</v>
      </c>
    </row>
    <row r="57" spans="1:10" x14ac:dyDescent="0.15">
      <c r="A57">
        <f>A30+10</f>
        <v>3020</v>
      </c>
      <c r="B57">
        <f>B30+10</f>
        <v>2020</v>
      </c>
      <c r="C57">
        <v>27</v>
      </c>
      <c r="D57">
        <f>MOD(A57,1000)</f>
        <v>20</v>
      </c>
    </row>
    <row r="58" spans="1:10" x14ac:dyDescent="0.15">
      <c r="A58" t="s">
        <v>156</v>
      </c>
      <c r="B58" t="s">
        <v>95</v>
      </c>
      <c r="C58" t="s">
        <v>142</v>
      </c>
      <c r="D58" t="s">
        <v>143</v>
      </c>
      <c r="E58" t="s">
        <v>182</v>
      </c>
      <c r="F58" t="s">
        <v>192</v>
      </c>
      <c r="G58" t="s">
        <v>193</v>
      </c>
      <c r="H58" t="s">
        <v>176</v>
      </c>
      <c r="I58" t="s">
        <v>205</v>
      </c>
      <c r="J58" t="s">
        <v>206</v>
      </c>
    </row>
    <row r="59" spans="1:10" x14ac:dyDescent="0.15">
      <c r="A59">
        <v>32</v>
      </c>
      <c r="B59" t="s">
        <v>26</v>
      </c>
      <c r="C59">
        <f>INT(C57/(VLOOKUP(A59,技能参数,5,FALSE)+2*VLOOKUP(A59,技能参数,4,FALSE))+3)</f>
        <v>4</v>
      </c>
      <c r="D59">
        <f>VLOOKUP(A59,技能参数,4,FALSE)</f>
        <v>1</v>
      </c>
      <c r="E59">
        <f>IFERROR(VLOOKUP(A59*1000+D57,学习等级编码,2),0)</f>
        <v>3202</v>
      </c>
      <c r="F59">
        <f>IFERROR(INT(VLOOKUP($E59,技能升级,9,FALSE)*$C59*I59*J59),0)</f>
        <v>0</v>
      </c>
      <c r="G59">
        <f>IFERROR(INT(VLOOKUP($E59,技能升级,10,FALSE)*$C59*I59*J59),0)</f>
        <v>5000</v>
      </c>
      <c r="H59">
        <f>INT(VLOOKUP($E59,技能升级,11,FALSE)*$C59*I59*J59)</f>
        <v>136</v>
      </c>
      <c r="I59">
        <v>1</v>
      </c>
      <c r="J59">
        <v>1</v>
      </c>
    </row>
    <row r="60" spans="1:10" x14ac:dyDescent="0.15">
      <c r="A60">
        <v>34</v>
      </c>
      <c r="B60" t="s">
        <v>34</v>
      </c>
      <c r="C60">
        <f>INT(C57/(VLOOKUP(A60,技能参数,5,FALSE)+2*VLOOKUP(A60,技能参数,4,FALSE))+1)</f>
        <v>2</v>
      </c>
      <c r="D60">
        <f>VLOOKUP(A60,技能参数,4,FALSE)</f>
        <v>1.5</v>
      </c>
      <c r="E60">
        <f>IFERROR(VLOOKUP(A60*1000+D57,学习等级编码,2),0)</f>
        <v>3402</v>
      </c>
      <c r="F60">
        <f>IFERROR(INT(VLOOKUP($E60,技能升级,9,FALSE)*$C60*I60*J60),0)</f>
        <v>3160</v>
      </c>
      <c r="G60">
        <f>IFERROR(INT(VLOOKUP($E60,技能升级,10,FALSE)*$C60*I60*J60),0)</f>
        <v>0</v>
      </c>
      <c r="H60">
        <f>INT(VLOOKUP($E60,技能升级,11,FALSE)*$C60*I60*J60)</f>
        <v>110</v>
      </c>
      <c r="I60">
        <v>1</v>
      </c>
      <c r="J60">
        <v>1</v>
      </c>
    </row>
    <row r="61" spans="1:10" x14ac:dyDescent="0.15">
      <c r="A61">
        <v>35</v>
      </c>
      <c r="B61" t="s">
        <v>28</v>
      </c>
      <c r="C61">
        <v>3</v>
      </c>
      <c r="D61">
        <f>VLOOKUP(A61,技能参数,4,FALSE)</f>
        <v>2</v>
      </c>
      <c r="E61">
        <f>IFERROR(VLOOKUP(A61*1000+D57,学习等级编码,2),0)</f>
        <v>3501</v>
      </c>
      <c r="F61">
        <f>IFERROR(INT(VLOOKUP($E61,技能升级,9,FALSE)*$C61*I61*J61),0)</f>
        <v>6000</v>
      </c>
      <c r="G61">
        <f>IFERROR(INT(VLOOKUP($E61,技能升级,10,FALSE)*$C61*I61*J61),0)</f>
        <v>0</v>
      </c>
      <c r="H61">
        <f>INT(VLOOKUP($E61,技能升级,11,FALSE)*$C61*I61*J61)</f>
        <v>138</v>
      </c>
      <c r="I61">
        <v>1</v>
      </c>
      <c r="J61">
        <v>1</v>
      </c>
    </row>
    <row r="62" spans="1:10" x14ac:dyDescent="0.15">
      <c r="A62">
        <v>31</v>
      </c>
      <c r="B62" t="s">
        <v>91</v>
      </c>
      <c r="C62">
        <f>INT((C57-C59*D59-C60*D60-C61*D61-C64)/D62)</f>
        <v>9</v>
      </c>
      <c r="D62">
        <f>VLOOKUP(A62,技能参数,4,FALSE)</f>
        <v>0.8</v>
      </c>
      <c r="E62">
        <f>IFERROR(VLOOKUP(A62*1000+D57,学习等级编码,2),0)</f>
        <v>3103</v>
      </c>
      <c r="F62">
        <f>IFERROR(INT(VLOOKUP($E62,技能升级,9,FALSE)*$C62*I62*J62),0)</f>
        <v>9360</v>
      </c>
      <c r="G62">
        <f>IFERROR(INT(VLOOKUP($E62,技能升级,10,FALSE)*$C62*I62*J62),0)</f>
        <v>0</v>
      </c>
      <c r="H62">
        <f>INT(VLOOKUP($E62,技能升级,11,FALSE)*$C62*I62*J62)</f>
        <v>333</v>
      </c>
      <c r="I62">
        <v>1</v>
      </c>
      <c r="J62">
        <v>1</v>
      </c>
    </row>
    <row r="63" spans="1:10" x14ac:dyDescent="0.15">
      <c r="A63">
        <v>203</v>
      </c>
      <c r="B63" t="s">
        <v>340</v>
      </c>
      <c r="C63">
        <f>INT((C57)/3)</f>
        <v>9</v>
      </c>
      <c r="D63">
        <v>0</v>
      </c>
      <c r="E63">
        <f>IFERROR(VLOOKUP(A63*1000+D57,学习等级编码,2),0)</f>
        <v>20302</v>
      </c>
      <c r="F63">
        <f>IFERROR(INT(VLOOKUP($E63,技能升级,9,FALSE)*$C63*I63*J63),0)</f>
        <v>0</v>
      </c>
      <c r="G63">
        <f>IFERROR(INT(VLOOKUP($E63,技能升级,10,FALSE)*$C63*I63*J63),0)</f>
        <v>0</v>
      </c>
      <c r="H63">
        <f>INT((VLOOKUP(E63,技能升级,13,FALSE)*(VLOOKUP(C63,中毒数据,4)+MOD(C57,3)*VLOOKUP(C63+1,中毒数据,3))+VLOOKUP(E63,技能升级,14,FALSE)/1000*C63*IF($B57&gt;10000,VLOOKUP($B57,实战属性,12,FALSE),VLOOKUP($B57,总基本属性,6,FALSE)))*I63*J63)</f>
        <v>5475</v>
      </c>
      <c r="I63">
        <v>1</v>
      </c>
      <c r="J63">
        <v>1</v>
      </c>
    </row>
    <row r="64" spans="1:10" x14ac:dyDescent="0.15">
      <c r="B64" t="s">
        <v>411</v>
      </c>
      <c r="C64">
        <f>C73*1.5+2</f>
        <v>6.5</v>
      </c>
    </row>
    <row r="65" spans="1:10" x14ac:dyDescent="0.15">
      <c r="E65" t="s">
        <v>194</v>
      </c>
      <c r="F65">
        <f>SUM(F59:F63)/1000</f>
        <v>18.52</v>
      </c>
      <c r="G65">
        <f>SUM(G59:G63)/1000</f>
        <v>5</v>
      </c>
      <c r="H65">
        <f>SUM(H59:H63)</f>
        <v>6192</v>
      </c>
      <c r="I65" t="s">
        <v>196</v>
      </c>
      <c r="J65" t="s">
        <v>197</v>
      </c>
    </row>
    <row r="66" spans="1:10" x14ac:dyDescent="0.15">
      <c r="E66" t="s">
        <v>195</v>
      </c>
      <c r="F66">
        <f>INT((IF($A57&gt;10000,VLOOKUP($A57,实战属性,13,FALSE),VLOOKUP($A57,总基本属性,7,FALSE))-
IF($B57&gt;10000,VLOOKUP($B57,实战属性,15,FALSE),VLOOKUP($B57,总基本属性,9,FALSE))*$L$13)*F65)</f>
        <v>3333</v>
      </c>
      <c r="G66">
        <f>INT((IF($A57&gt;10000,VLOOKUP($A57,实战属性,14,FALSE),VLOOKUP($A57,总基本属性,8,FALSE))-
IF($B57&gt;10000,VLOOKUP($B57,实战属性,16,FALSE),VLOOKUP($B57,总基本属性,10,FALSE))*$L$13)*G65)</f>
        <v>990</v>
      </c>
      <c r="H66">
        <f>H65+F66+G66</f>
        <v>10515</v>
      </c>
      <c r="I66">
        <f>IF($B57&gt;10000,VLOOKUP($B57,实战属性,12,FALSE),VLOOKUP($B57,总基本属性,6,FALSE))</f>
        <v>10440</v>
      </c>
      <c r="J66">
        <f>ROUND(I66/H66,2)</f>
        <v>0.99</v>
      </c>
    </row>
    <row r="69" spans="1:10" x14ac:dyDescent="0.15">
      <c r="A69" s="9" t="s">
        <v>3</v>
      </c>
      <c r="B69" s="9" t="s">
        <v>4</v>
      </c>
      <c r="C69" s="9" t="s">
        <v>178</v>
      </c>
      <c r="D69" s="9" t="s">
        <v>0</v>
      </c>
    </row>
    <row r="70" spans="1:10" x14ac:dyDescent="0.15">
      <c r="A70">
        <f>A43+10</f>
        <v>2020</v>
      </c>
      <c r="B70">
        <f>B43+10</f>
        <v>3020</v>
      </c>
      <c r="C70">
        <v>27</v>
      </c>
      <c r="D70">
        <f>MOD(A70,1000)</f>
        <v>20</v>
      </c>
    </row>
    <row r="71" spans="1:10" x14ac:dyDescent="0.15">
      <c r="A71" t="s">
        <v>156</v>
      </c>
      <c r="B71" t="s">
        <v>95</v>
      </c>
      <c r="C71" t="s">
        <v>177</v>
      </c>
      <c r="D71" t="s">
        <v>143</v>
      </c>
      <c r="E71" t="s">
        <v>182</v>
      </c>
      <c r="F71" t="s">
        <v>192</v>
      </c>
      <c r="G71" t="s">
        <v>193</v>
      </c>
      <c r="H71" t="s">
        <v>176</v>
      </c>
      <c r="I71" t="s">
        <v>205</v>
      </c>
      <c r="J71" t="s">
        <v>206</v>
      </c>
    </row>
    <row r="72" spans="1:10" x14ac:dyDescent="0.15">
      <c r="A72">
        <v>25</v>
      </c>
      <c r="B72" t="s">
        <v>23</v>
      </c>
      <c r="C72">
        <v>1</v>
      </c>
      <c r="D72">
        <f>VLOOKUP(A72,技能参数,4,FALSE)</f>
        <v>2</v>
      </c>
      <c r="E72">
        <f>IFERROR(VLOOKUP(A72*1000+D70,学习等级编码,2),0)</f>
        <v>2501</v>
      </c>
      <c r="F72">
        <f t="shared" ref="F72:F74" si="9">IFERROR(INT(VLOOKUP($E72,技能升级,9,FALSE)*$C72*I72*J72),0)</f>
        <v>5000</v>
      </c>
      <c r="G72">
        <f t="shared" ref="G72:G75" si="10">IFERROR(INT(VLOOKUP($E72,技能升级,10,FALSE)*$C72*I72*J72),0)</f>
        <v>0</v>
      </c>
      <c r="H72">
        <f>INT(VLOOKUP($E72,技能升级,11,FALSE)*$C72*I72*J72)</f>
        <v>66</v>
      </c>
      <c r="I72">
        <v>1</v>
      </c>
      <c r="J72">
        <v>1</v>
      </c>
    </row>
    <row r="73" spans="1:10" x14ac:dyDescent="0.15">
      <c r="A73">
        <v>23</v>
      </c>
      <c r="B73" t="s">
        <v>24</v>
      </c>
      <c r="C73">
        <f>INT((C70-D73-D74*3)/(VLOOKUP(A73,技能参数,5,FALSE)+2*VLOOKUP(A73,技能参数,4,FALSE))+1)+1</f>
        <v>3</v>
      </c>
      <c r="D73">
        <f>VLOOKUP(A73,技能参数,4,FALSE)</f>
        <v>1</v>
      </c>
      <c r="E73">
        <f>IFERROR(VLOOKUP(A73*1000+D70,学习等级编码,2),0)</f>
        <v>2302</v>
      </c>
      <c r="F73">
        <f>IFERROR(INT(VLOOKUP($E73,技能升级,9,FALSE)*$C73*I73*J73),0)</f>
        <v>3090</v>
      </c>
      <c r="G73">
        <f t="shared" si="10"/>
        <v>0</v>
      </c>
      <c r="H73">
        <f>INT(VLOOKUP($E73,技能升级,11,FALSE)*$C73*I73*J73)</f>
        <v>120</v>
      </c>
      <c r="I73">
        <v>1</v>
      </c>
      <c r="J73">
        <v>1</v>
      </c>
    </row>
    <row r="74" spans="1:10" x14ac:dyDescent="0.15">
      <c r="A74">
        <v>22</v>
      </c>
      <c r="B74" t="s">
        <v>22</v>
      </c>
      <c r="C74">
        <f>INT((C70-D73-D74*3)/(VLOOKUP(A74,技能参数,5,FALSE)+2*VLOOKUP(A74,技能参数,4,FALSE))+1)+3</f>
        <v>5</v>
      </c>
      <c r="D74">
        <f>VLOOKUP(A74,技能参数,4,FALSE)</f>
        <v>1.5</v>
      </c>
      <c r="E74">
        <f>IFERROR(VLOOKUP(A74*1000+D70,学习等级编码,2),0)</f>
        <v>2202</v>
      </c>
      <c r="F74">
        <f t="shared" si="9"/>
        <v>13800</v>
      </c>
      <c r="G74">
        <f t="shared" si="10"/>
        <v>0</v>
      </c>
      <c r="H74">
        <f>INT(VLOOKUP($E74,技能升级,11,FALSE)*$C74*I74*J74)</f>
        <v>320</v>
      </c>
      <c r="I74">
        <v>1</v>
      </c>
      <c r="J74">
        <f>VLOOKUP(A70,$A$2:$H$21,7,FALSE)</f>
        <v>1</v>
      </c>
    </row>
    <row r="75" spans="1:10" x14ac:dyDescent="0.15">
      <c r="A75">
        <v>21</v>
      </c>
      <c r="B75" t="s">
        <v>90</v>
      </c>
      <c r="C75">
        <f>INT((C70-C72*D72-C73*D73-C74*D74-C76-C77)/D75)</f>
        <v>5</v>
      </c>
      <c r="D75">
        <f>VLOOKUP(A75,技能参数,4,FALSE)</f>
        <v>1</v>
      </c>
      <c r="E75">
        <f>IFERROR(VLOOKUP(A75*1000+D70,学习等级编码,2),0)</f>
        <v>2103</v>
      </c>
      <c r="F75">
        <f>IFERROR(INT(VLOOKUP($E75,技能升级,9,FALSE)*$C75*I75*J75),0)</f>
        <v>5350</v>
      </c>
      <c r="G75">
        <f t="shared" si="10"/>
        <v>0</v>
      </c>
      <c r="H75">
        <f>INT(VLOOKUP($E75,技能升级,11,FALSE)*$C75*I75*J75)</f>
        <v>185</v>
      </c>
      <c r="I75">
        <v>1</v>
      </c>
      <c r="J75">
        <f>VLOOKUP(A70,$A$2:$H$21,7,FALSE)</f>
        <v>1</v>
      </c>
    </row>
    <row r="76" spans="1:10" x14ac:dyDescent="0.15">
      <c r="A76">
        <v>204</v>
      </c>
      <c r="B76" t="s">
        <v>338</v>
      </c>
      <c r="C76">
        <v>3</v>
      </c>
    </row>
    <row r="77" spans="1:10" x14ac:dyDescent="0.15">
      <c r="B77" t="s">
        <v>342</v>
      </c>
      <c r="C77">
        <v>6</v>
      </c>
    </row>
    <row r="78" spans="1:10" x14ac:dyDescent="0.15">
      <c r="E78" t="s">
        <v>194</v>
      </c>
      <c r="F78">
        <f>SUM(F72:F75)/1000</f>
        <v>27.24</v>
      </c>
      <c r="G78">
        <f>SUM(G72:G75)/1000</f>
        <v>0</v>
      </c>
      <c r="H78">
        <f>SUM(H72:H75)</f>
        <v>691</v>
      </c>
      <c r="I78" t="s">
        <v>196</v>
      </c>
      <c r="J78" t="s">
        <v>197</v>
      </c>
    </row>
    <row r="79" spans="1:10" x14ac:dyDescent="0.15">
      <c r="E79" t="s">
        <v>195</v>
      </c>
      <c r="F79">
        <f>INT((IF($A70&gt;10000,VLOOKUP($A70,实战属性,13,FALSE),VLOOKUP($A70,总基本属性,7,FALSE))-
IF($B70&gt;10000,VLOOKUP($B70,实战属性,15,FALSE),VLOOKUP($B70,总基本属性,9,FALSE))*$L$13)*F78)</f>
        <v>10323</v>
      </c>
      <c r="G79">
        <f>INT((IF($A70&gt;10000,VLOOKUP($A70,实战属性,14,FALSE),VLOOKUP($A70,总基本属性,8,FALSE))-
IF($B70&gt;10000,VLOOKUP($B70,实战属性,16,FALSE),VLOOKUP($B70,总基本属性,10,FALSE))*$L$13)*G78)</f>
        <v>0</v>
      </c>
      <c r="H79">
        <f>H78+F79+G79</f>
        <v>11014</v>
      </c>
      <c r="I79">
        <f>IF($B70&gt;10000,VLOOKUP($B70,实战属性,12,FALSE),VLOOKUP($B70,总基本属性,6,FALSE))</f>
        <v>10899</v>
      </c>
      <c r="J79">
        <f>ROUND(I79/H79,2)</f>
        <v>0.99</v>
      </c>
    </row>
    <row r="83" spans="1:10" x14ac:dyDescent="0.15">
      <c r="A83" s="8" t="s">
        <v>4</v>
      </c>
      <c r="B83" s="8" t="s">
        <v>3</v>
      </c>
      <c r="C83" s="8" t="s">
        <v>178</v>
      </c>
      <c r="D83" s="8" t="s">
        <v>0</v>
      </c>
    </row>
    <row r="84" spans="1:10" x14ac:dyDescent="0.15">
      <c r="A84">
        <f>A57+10</f>
        <v>3030</v>
      </c>
      <c r="B84">
        <f>B57+10</f>
        <v>2030</v>
      </c>
      <c r="C84">
        <v>26</v>
      </c>
      <c r="D84">
        <f>MOD(A84,1000)</f>
        <v>30</v>
      </c>
    </row>
    <row r="85" spans="1:10" x14ac:dyDescent="0.15">
      <c r="A85" t="s">
        <v>156</v>
      </c>
      <c r="B85" t="s">
        <v>95</v>
      </c>
      <c r="C85" t="s">
        <v>142</v>
      </c>
      <c r="D85" t="s">
        <v>143</v>
      </c>
      <c r="E85" t="s">
        <v>182</v>
      </c>
      <c r="F85" t="s">
        <v>192</v>
      </c>
      <c r="G85" t="s">
        <v>193</v>
      </c>
      <c r="H85" t="s">
        <v>176</v>
      </c>
      <c r="I85" t="s">
        <v>205</v>
      </c>
      <c r="J85" t="s">
        <v>206</v>
      </c>
    </row>
    <row r="86" spans="1:10" x14ac:dyDescent="0.15">
      <c r="A86">
        <v>32</v>
      </c>
      <c r="B86" t="s">
        <v>26</v>
      </c>
      <c r="C86">
        <f>INT(C84/(VLOOKUP(A86,技能参数,5,FALSE)+2*VLOOKUP(A86,技能参数,4,FALSE))+3)</f>
        <v>4</v>
      </c>
      <c r="D86">
        <f>VLOOKUP(A86,技能参数,4,FALSE)</f>
        <v>1</v>
      </c>
      <c r="E86">
        <f>IFERROR(VLOOKUP(A86*1000+D84,学习等级编码,2),0)</f>
        <v>3203</v>
      </c>
      <c r="F86">
        <f>IFERROR(INT(VLOOKUP($E86,技能升级,9,FALSE)*$C86*I86*J86),0)</f>
        <v>0</v>
      </c>
      <c r="G86">
        <f>IFERROR(INT(VLOOKUP($E86,技能升级,10,FALSE)*$C86*I86*J86),0)</f>
        <v>5160</v>
      </c>
      <c r="H86">
        <f>INT(VLOOKUP($E86,技能升级,11,FALSE)*$C86*I86*J86)</f>
        <v>252</v>
      </c>
      <c r="I86">
        <v>1</v>
      </c>
      <c r="J86">
        <v>1</v>
      </c>
    </row>
    <row r="87" spans="1:10" x14ac:dyDescent="0.15">
      <c r="A87">
        <v>34</v>
      </c>
      <c r="B87" t="s">
        <v>34</v>
      </c>
      <c r="C87">
        <f>INT(C84/(VLOOKUP(A87,技能参数,5,FALSE)+2*VLOOKUP(A87,技能参数,4,FALSE))+1)</f>
        <v>2</v>
      </c>
      <c r="D87">
        <f>VLOOKUP(A87,技能参数,4,FALSE)</f>
        <v>1.5</v>
      </c>
      <c r="E87">
        <f>IFERROR(VLOOKUP(A87*1000+D84,学习等级编码,2),0)</f>
        <v>3403</v>
      </c>
      <c r="F87">
        <f>IFERROR(INT(VLOOKUP($E87,技能升级,9,FALSE)*$C87*I87*J87),0)</f>
        <v>3340</v>
      </c>
      <c r="G87">
        <f>IFERROR(INT(VLOOKUP($E87,技能升级,10,FALSE)*$C87*I87*J87),0)</f>
        <v>0</v>
      </c>
      <c r="H87">
        <f>INT(VLOOKUP($E87,技能升级,11,FALSE)*$C87*I87*J87)</f>
        <v>180</v>
      </c>
      <c r="I87">
        <v>1</v>
      </c>
      <c r="J87">
        <v>1</v>
      </c>
    </row>
    <row r="88" spans="1:10" x14ac:dyDescent="0.15">
      <c r="A88">
        <v>35</v>
      </c>
      <c r="B88" t="s">
        <v>28</v>
      </c>
      <c r="C88">
        <v>3</v>
      </c>
      <c r="D88">
        <f>VLOOKUP(A88,技能参数,4,FALSE)</f>
        <v>2</v>
      </c>
      <c r="E88">
        <f>IFERROR(VLOOKUP(A88*1000+D84,学习等级编码,2),0)</f>
        <v>3502</v>
      </c>
      <c r="F88">
        <f>IFERROR(INT(VLOOKUP($E88,技能升级,9,FALSE)*$C88*I88*J88),0)</f>
        <v>6510</v>
      </c>
      <c r="G88">
        <f>IFERROR(INT(VLOOKUP($E88,技能升级,10,FALSE)*$C88*I88*J88),0)</f>
        <v>0</v>
      </c>
      <c r="H88">
        <f>INT(VLOOKUP($E88,技能升级,11,FALSE)*$C88*I88*J88)</f>
        <v>249</v>
      </c>
      <c r="I88">
        <v>1</v>
      </c>
      <c r="J88">
        <v>1</v>
      </c>
    </row>
    <row r="89" spans="1:10" x14ac:dyDescent="0.15">
      <c r="A89">
        <v>31</v>
      </c>
      <c r="B89" t="s">
        <v>91</v>
      </c>
      <c r="C89">
        <f>INT((C84-C86*D86-C87*D87-C88*D88-C91)/D89)</f>
        <v>8</v>
      </c>
      <c r="D89">
        <f>VLOOKUP(A89,技能参数,4,FALSE)</f>
        <v>0.8</v>
      </c>
      <c r="E89">
        <f>IFERROR(VLOOKUP(A89*1000+D84,学习等级编码,2),0)</f>
        <v>3105</v>
      </c>
      <c r="F89">
        <f>IFERROR(INT(VLOOKUP($E89,技能升级,9,FALSE)*$C89*I89*J89),0)</f>
        <v>8720</v>
      </c>
      <c r="G89">
        <f>IFERROR(INT(VLOOKUP($E89,技能升级,10,FALSE)*$C89*I89*J89),0)</f>
        <v>0</v>
      </c>
      <c r="H89">
        <f>INT(VLOOKUP($E89,技能升级,11,FALSE)*$C89*I89*J89)</f>
        <v>704</v>
      </c>
      <c r="I89">
        <v>1</v>
      </c>
      <c r="J89">
        <v>1</v>
      </c>
    </row>
    <row r="90" spans="1:10" x14ac:dyDescent="0.15">
      <c r="A90">
        <v>203</v>
      </c>
      <c r="B90" t="s">
        <v>340</v>
      </c>
      <c r="C90">
        <f>INT((C84)/3)</f>
        <v>8</v>
      </c>
      <c r="D90">
        <v>0</v>
      </c>
      <c r="E90">
        <f>IFERROR(VLOOKUP(A90*1000+D84,学习等级编码,2),0)</f>
        <v>20303</v>
      </c>
      <c r="F90">
        <f>IFERROR(INT(VLOOKUP($E90,技能升级,9,FALSE)*$C90*I90*J90),0)</f>
        <v>0</v>
      </c>
      <c r="G90">
        <f>IFERROR(INT(VLOOKUP($E90,技能升级,10,FALSE)*$C90*I90*J90),0)</f>
        <v>0</v>
      </c>
      <c r="H90">
        <f>INT((VLOOKUP(E90,技能升级,13,FALSE)*(VLOOKUP(C90,中毒数据,4)+MOD(C84,3)*VLOOKUP(C90+1,中毒数据,3))+VLOOKUP(E90,技能升级,14,FALSE)/1000*C90*IF($B84&gt;10000,VLOOKUP($B84,实战属性,12,FALSE),VLOOKUP($B84,总基本属性,6,FALSE)))*I90*J90)</f>
        <v>11978</v>
      </c>
      <c r="I90">
        <v>1</v>
      </c>
      <c r="J90">
        <v>1</v>
      </c>
    </row>
    <row r="91" spans="1:10" x14ac:dyDescent="0.15">
      <c r="B91" t="s">
        <v>411</v>
      </c>
      <c r="C91">
        <f>C100*1.5+2</f>
        <v>6.5</v>
      </c>
    </row>
    <row r="92" spans="1:10" x14ac:dyDescent="0.15">
      <c r="E92" t="s">
        <v>194</v>
      </c>
      <c r="F92">
        <f>SUM(F86:F90)/1000</f>
        <v>18.57</v>
      </c>
      <c r="G92">
        <f>SUM(G86:G90)/1000</f>
        <v>5.16</v>
      </c>
      <c r="H92">
        <f>SUM(H86:H90)</f>
        <v>13363</v>
      </c>
      <c r="I92" t="s">
        <v>196</v>
      </c>
      <c r="J92" t="s">
        <v>197</v>
      </c>
    </row>
    <row r="93" spans="1:10" x14ac:dyDescent="0.15">
      <c r="E93" t="s">
        <v>195</v>
      </c>
      <c r="F93">
        <f>INT((IF($A84&gt;10000,VLOOKUP($A84,实战属性,13,FALSE),VLOOKUP($A84,总基本属性,7,FALSE))-
IF($B84&gt;10000,VLOOKUP($B84,实战属性,15,FALSE),VLOOKUP($B84,总基本属性,9,FALSE))*$L$13)*F92)</f>
        <v>6527</v>
      </c>
      <c r="G93">
        <f>INT((IF($A84&gt;10000,VLOOKUP($A84,实战属性,14,FALSE),VLOOKUP($A84,总基本属性,8,FALSE))-
IF($B84&gt;10000,VLOOKUP($B84,实战属性,16,FALSE),VLOOKUP($B84,总基本属性,10,FALSE))*$L$13)*G92)</f>
        <v>1991</v>
      </c>
      <c r="H93">
        <f>H92+F93+G93</f>
        <v>21881</v>
      </c>
      <c r="I93">
        <f>IF($B84&gt;10000,VLOOKUP($B84,实战属性,12,FALSE),VLOOKUP($B84,总基本属性,6,FALSE))</f>
        <v>21480</v>
      </c>
      <c r="J93">
        <f>ROUND(I93/H93,2)</f>
        <v>0.98</v>
      </c>
    </row>
    <row r="96" spans="1:10" x14ac:dyDescent="0.15">
      <c r="A96" s="9" t="s">
        <v>3</v>
      </c>
      <c r="B96" s="9" t="s">
        <v>4</v>
      </c>
      <c r="C96" s="9" t="s">
        <v>178</v>
      </c>
      <c r="D96" s="9" t="s">
        <v>0</v>
      </c>
    </row>
    <row r="97" spans="1:10" x14ac:dyDescent="0.15">
      <c r="A97">
        <f>A70+10</f>
        <v>2030</v>
      </c>
      <c r="B97">
        <f>B70+10</f>
        <v>3030</v>
      </c>
      <c r="C97">
        <v>26</v>
      </c>
      <c r="D97">
        <f>MOD(A97,1000)</f>
        <v>30</v>
      </c>
    </row>
    <row r="98" spans="1:10" x14ac:dyDescent="0.15">
      <c r="A98" t="s">
        <v>156</v>
      </c>
      <c r="B98" t="s">
        <v>95</v>
      </c>
      <c r="C98" t="s">
        <v>177</v>
      </c>
      <c r="D98" t="s">
        <v>143</v>
      </c>
      <c r="E98" t="s">
        <v>182</v>
      </c>
      <c r="F98" t="s">
        <v>192</v>
      </c>
      <c r="G98" t="s">
        <v>193</v>
      </c>
      <c r="H98" t="s">
        <v>176</v>
      </c>
      <c r="I98" t="s">
        <v>205</v>
      </c>
      <c r="J98" t="s">
        <v>206</v>
      </c>
    </row>
    <row r="99" spans="1:10" x14ac:dyDescent="0.15">
      <c r="A99">
        <v>25</v>
      </c>
      <c r="B99" t="s">
        <v>23</v>
      </c>
      <c r="C99">
        <v>1</v>
      </c>
      <c r="D99">
        <f>VLOOKUP(A99,技能参数,4,FALSE)</f>
        <v>2</v>
      </c>
      <c r="E99">
        <f>IFERROR(VLOOKUP(A99*1000+D97,学习等级编码,2),0)</f>
        <v>2502</v>
      </c>
      <c r="F99">
        <f t="shared" ref="F99" si="11">IFERROR(INT(VLOOKUP($E99,技能升级,9,FALSE)*$C99*I99*J99),0)</f>
        <v>5250</v>
      </c>
      <c r="G99">
        <f t="shared" ref="G99:G102" si="12">IFERROR(INT(VLOOKUP($E99,技能升级,10,FALSE)*$C99*I99*J99),0)</f>
        <v>0</v>
      </c>
      <c r="H99">
        <f>INT(VLOOKUP($E99,技能升级,11,FALSE)*$C99*I99*J99)</f>
        <v>103</v>
      </c>
      <c r="I99">
        <v>1</v>
      </c>
      <c r="J99">
        <v>1</v>
      </c>
    </row>
    <row r="100" spans="1:10" x14ac:dyDescent="0.15">
      <c r="A100">
        <v>23</v>
      </c>
      <c r="B100" t="s">
        <v>24</v>
      </c>
      <c r="C100">
        <f>INT((C97-D100-D101*3)/(VLOOKUP(A100,技能参数,5,FALSE)+2*VLOOKUP(A100,技能参数,4,FALSE))+1)+1</f>
        <v>3</v>
      </c>
      <c r="D100">
        <f>VLOOKUP(A100,技能参数,4,FALSE)</f>
        <v>1</v>
      </c>
      <c r="E100">
        <f>IFERROR(VLOOKUP(A100*1000+D97,学习等级编码,2),0)</f>
        <v>2303</v>
      </c>
      <c r="F100">
        <f>IFERROR(INT(VLOOKUP($E100,技能升级,9,FALSE)*$C100*I100*J100),0)</f>
        <v>3210</v>
      </c>
      <c r="G100">
        <f t="shared" si="12"/>
        <v>0</v>
      </c>
      <c r="H100">
        <f>INT(VLOOKUP($E100,技能升级,11,FALSE)*$C100*I100*J100)</f>
        <v>213</v>
      </c>
      <c r="I100">
        <v>1</v>
      </c>
      <c r="J100">
        <v>1</v>
      </c>
    </row>
    <row r="101" spans="1:10" x14ac:dyDescent="0.15">
      <c r="A101">
        <v>22</v>
      </c>
      <c r="B101" t="s">
        <v>22</v>
      </c>
      <c r="C101">
        <f>INT((C97-D100-D101*3)/(VLOOKUP(A101,技能参数,5,FALSE)+2*VLOOKUP(A101,技能参数,4,FALSE))+1)+3</f>
        <v>5</v>
      </c>
      <c r="D101">
        <f>VLOOKUP(A101,技能参数,4,FALSE)</f>
        <v>1.5</v>
      </c>
      <c r="E101">
        <f>IFERROR(VLOOKUP(A101*1000+D97,学习等级编码,2),0)</f>
        <v>2203</v>
      </c>
      <c r="F101">
        <f t="shared" ref="F101" si="13">IFERROR(INT(VLOOKUP($E101,技能升级,9,FALSE)*$C101*I101*J101),0)</f>
        <v>14100</v>
      </c>
      <c r="G101">
        <f t="shared" si="12"/>
        <v>0</v>
      </c>
      <c r="H101">
        <f>INT(VLOOKUP($E101,技能升级,11,FALSE)*$C101*I101*J101)</f>
        <v>465</v>
      </c>
      <c r="I101">
        <v>1</v>
      </c>
      <c r="J101">
        <f>VLOOKUP(A97,$A$2:$H$21,7,FALSE)</f>
        <v>1</v>
      </c>
    </row>
    <row r="102" spans="1:10" x14ac:dyDescent="0.15">
      <c r="A102">
        <v>21</v>
      </c>
      <c r="B102" t="s">
        <v>90</v>
      </c>
      <c r="C102">
        <f>INT((C97-C99*D99-C100*D100-C101*D101-C103-C104)/D102)</f>
        <v>4</v>
      </c>
      <c r="D102">
        <f>VLOOKUP(A102,技能参数,4,FALSE)</f>
        <v>1</v>
      </c>
      <c r="E102">
        <f>IFERROR(VLOOKUP(A102*1000+D97,学习等级编码,2),0)</f>
        <v>2105</v>
      </c>
      <c r="F102">
        <f>IFERROR(INT(VLOOKUP($E102,技能升级,9,FALSE)*$C102*I102*J102),0)</f>
        <v>4560</v>
      </c>
      <c r="G102">
        <f t="shared" si="12"/>
        <v>0</v>
      </c>
      <c r="H102">
        <f>INT(VLOOKUP($E102,技能升级,11,FALSE)*$C102*I102*J102)</f>
        <v>352</v>
      </c>
      <c r="I102">
        <v>1</v>
      </c>
      <c r="J102">
        <f>VLOOKUP(A97,$A$2:$H$21,7,FALSE)</f>
        <v>1</v>
      </c>
    </row>
    <row r="103" spans="1:10" x14ac:dyDescent="0.15">
      <c r="A103">
        <v>204</v>
      </c>
      <c r="B103" t="s">
        <v>338</v>
      </c>
      <c r="C103">
        <v>3</v>
      </c>
    </row>
    <row r="104" spans="1:10" x14ac:dyDescent="0.15">
      <c r="B104" t="s">
        <v>342</v>
      </c>
      <c r="C104">
        <v>6</v>
      </c>
    </row>
    <row r="105" spans="1:10" x14ac:dyDescent="0.15">
      <c r="E105" t="s">
        <v>194</v>
      </c>
      <c r="F105">
        <f>SUM(F99:F102)/1000</f>
        <v>27.12</v>
      </c>
      <c r="G105">
        <f>SUM(G99:G102)/1000</f>
        <v>0</v>
      </c>
      <c r="H105">
        <f>SUM(H99:H102)</f>
        <v>1133</v>
      </c>
      <c r="I105" t="s">
        <v>196</v>
      </c>
      <c r="J105" t="s">
        <v>197</v>
      </c>
    </row>
    <row r="106" spans="1:10" x14ac:dyDescent="0.15">
      <c r="E106" t="s">
        <v>195</v>
      </c>
      <c r="F106">
        <f>INT((IF($A97&gt;10000,VLOOKUP($A97,实战属性,13,FALSE),VLOOKUP($A97,总基本属性,7,FALSE))-
IF($B97&gt;10000,VLOOKUP($B97,实战属性,15,FALSE),VLOOKUP($B97,总基本属性,9,FALSE))*$L$13)*F105)</f>
        <v>20082</v>
      </c>
      <c r="G106">
        <f>INT((IF($A97&gt;10000,VLOOKUP($A97,实战属性,14,FALSE),VLOOKUP($A97,总基本属性,8,FALSE))-
IF($B97&gt;10000,VLOOKUP($B97,实战属性,16,FALSE),VLOOKUP($B97,总基本属性,10,FALSE))*$L$13)*G105)</f>
        <v>0</v>
      </c>
      <c r="H106">
        <f>H105+F106+G106</f>
        <v>21215</v>
      </c>
      <c r="I106">
        <f>IF($B97&gt;10000,VLOOKUP($B97,实战属性,12,FALSE),VLOOKUP($B97,总基本属性,6,FALSE))</f>
        <v>20298</v>
      </c>
      <c r="J106">
        <f>ROUND(I106/H106,2)</f>
        <v>0.96</v>
      </c>
    </row>
    <row r="110" spans="1:10" x14ac:dyDescent="0.15">
      <c r="A110" s="8" t="s">
        <v>4</v>
      </c>
      <c r="B110" s="8" t="s">
        <v>3</v>
      </c>
      <c r="C110" s="8" t="s">
        <v>178</v>
      </c>
      <c r="D110" s="8" t="s">
        <v>0</v>
      </c>
    </row>
    <row r="111" spans="1:10" x14ac:dyDescent="0.15">
      <c r="A111">
        <f>A84+10</f>
        <v>3040</v>
      </c>
      <c r="B111">
        <f>B84+10</f>
        <v>2040</v>
      </c>
      <c r="C111">
        <v>26</v>
      </c>
      <c r="D111">
        <f>MOD(A111,1000)</f>
        <v>40</v>
      </c>
    </row>
    <row r="112" spans="1:10" x14ac:dyDescent="0.15">
      <c r="A112" t="s">
        <v>156</v>
      </c>
      <c r="B112" t="s">
        <v>95</v>
      </c>
      <c r="C112" t="s">
        <v>142</v>
      </c>
      <c r="D112" t="s">
        <v>143</v>
      </c>
      <c r="E112" t="s">
        <v>182</v>
      </c>
      <c r="F112" t="s">
        <v>192</v>
      </c>
      <c r="G112" t="s">
        <v>193</v>
      </c>
      <c r="H112" t="s">
        <v>176</v>
      </c>
      <c r="I112" t="s">
        <v>205</v>
      </c>
      <c r="J112" t="s">
        <v>206</v>
      </c>
    </row>
    <row r="113" spans="1:10" x14ac:dyDescent="0.15">
      <c r="A113">
        <v>32</v>
      </c>
      <c r="B113" t="s">
        <v>26</v>
      </c>
      <c r="C113">
        <f>INT(C111/(VLOOKUP(A113,技能参数,5,FALSE)+2*VLOOKUP(A113,技能参数,4,FALSE))+3)</f>
        <v>4</v>
      </c>
      <c r="D113">
        <f>VLOOKUP(A113,技能参数,4,FALSE)</f>
        <v>1</v>
      </c>
      <c r="E113">
        <f>IFERROR(VLOOKUP(A113*1000+D111,学习等级编码,2),0)</f>
        <v>3204</v>
      </c>
      <c r="F113">
        <f>IFERROR(INT(VLOOKUP($E113,技能升级,9,FALSE)*$C113*I113*J113),0)</f>
        <v>0</v>
      </c>
      <c r="G113">
        <f>IFERROR(INT(VLOOKUP($E113,技能升级,10,FALSE)*$C113*I113*J113),0)</f>
        <v>5360</v>
      </c>
      <c r="H113">
        <f>INT(VLOOKUP($E113,技能升级,11,FALSE)*$C113*I113*J113)</f>
        <v>428</v>
      </c>
      <c r="I113">
        <v>1</v>
      </c>
      <c r="J113">
        <v>1</v>
      </c>
    </row>
    <row r="114" spans="1:10" x14ac:dyDescent="0.15">
      <c r="A114">
        <v>34</v>
      </c>
      <c r="B114" t="s">
        <v>34</v>
      </c>
      <c r="C114">
        <f>INT(C111/(VLOOKUP(A114,技能参数,5,FALSE)+2*VLOOKUP(A114,技能参数,4,FALSE))+1)</f>
        <v>2</v>
      </c>
      <c r="D114">
        <f>VLOOKUP(A114,技能参数,4,FALSE)</f>
        <v>1.5</v>
      </c>
      <c r="E114">
        <f>IFERROR(VLOOKUP(A114*1000+D111,学习等级编码,2),0)</f>
        <v>3404</v>
      </c>
      <c r="F114">
        <f>IFERROR(INT(VLOOKUP($E114,技能升级,9,FALSE)*$C114*I114*J114),0)</f>
        <v>3500</v>
      </c>
      <c r="G114">
        <f>IFERROR(INT(VLOOKUP($E114,技能升级,10,FALSE)*$C114*I114*J114),0)</f>
        <v>0</v>
      </c>
      <c r="H114">
        <f>INT(VLOOKUP($E114,技能升级,11,FALSE)*$C114*I114*J114)</f>
        <v>280</v>
      </c>
      <c r="I114">
        <v>1</v>
      </c>
      <c r="J114">
        <v>1</v>
      </c>
    </row>
    <row r="115" spans="1:10" x14ac:dyDescent="0.15">
      <c r="A115">
        <v>35</v>
      </c>
      <c r="B115" t="s">
        <v>28</v>
      </c>
      <c r="C115">
        <v>3</v>
      </c>
      <c r="D115">
        <f>VLOOKUP(A115,技能参数,4,FALSE)</f>
        <v>2</v>
      </c>
      <c r="E115">
        <f>IFERROR(VLOOKUP(A115*1000+D111,学习等级编码,2),0)</f>
        <v>3503</v>
      </c>
      <c r="F115">
        <f>IFERROR(INT(VLOOKUP($E115,技能升级,9,FALSE)*$C115*I115*J115),0)</f>
        <v>6990</v>
      </c>
      <c r="G115">
        <f>IFERROR(INT(VLOOKUP($E115,技能升级,10,FALSE)*$C115*I115*J115),0)</f>
        <v>0</v>
      </c>
      <c r="H115">
        <f>INT(VLOOKUP($E115,技能升级,11,FALSE)*$C115*I115*J115)</f>
        <v>483</v>
      </c>
      <c r="I115">
        <v>1</v>
      </c>
      <c r="J115">
        <v>1</v>
      </c>
    </row>
    <row r="116" spans="1:10" x14ac:dyDescent="0.15">
      <c r="A116">
        <v>31</v>
      </c>
      <c r="B116" t="s">
        <v>91</v>
      </c>
      <c r="C116">
        <f>INT((C111-C113*D113-C114*D114-C115*D115-C118)/D116)</f>
        <v>8</v>
      </c>
      <c r="D116">
        <f>VLOOKUP(A116,技能参数,4,FALSE)</f>
        <v>0.8</v>
      </c>
      <c r="E116">
        <f>IFERROR(VLOOKUP(A116*1000+D111,学习等级编码,2),0)</f>
        <v>3106</v>
      </c>
      <c r="F116">
        <f>IFERROR(INT(VLOOKUP($E116,技能升级,9,FALSE)*$C116*I116*J116),0)</f>
        <v>8880</v>
      </c>
      <c r="G116">
        <f>IFERROR(INT(VLOOKUP($E116,技能升级,10,FALSE)*$C116*I116*J116),0)</f>
        <v>0</v>
      </c>
      <c r="H116">
        <f>INT(VLOOKUP($E116,技能升级,11,FALSE)*$C116*I116*J116)</f>
        <v>1000</v>
      </c>
      <c r="I116">
        <v>1</v>
      </c>
      <c r="J116">
        <v>1</v>
      </c>
    </row>
    <row r="117" spans="1:10" x14ac:dyDescent="0.15">
      <c r="A117">
        <v>203</v>
      </c>
      <c r="B117" t="s">
        <v>340</v>
      </c>
      <c r="C117">
        <f>INT((C111)/3)</f>
        <v>8</v>
      </c>
      <c r="D117">
        <v>0</v>
      </c>
      <c r="E117">
        <f>IFERROR(VLOOKUP(A117*1000+D111,学习等级编码,2),0)</f>
        <v>20304</v>
      </c>
      <c r="F117">
        <f>IFERROR(INT(VLOOKUP($E117,技能升级,9,FALSE)*$C117*I117*J117),0)</f>
        <v>0</v>
      </c>
      <c r="G117">
        <f>IFERROR(INT(VLOOKUP($E117,技能升级,10,FALSE)*$C117*I117*J117),0)</f>
        <v>0</v>
      </c>
      <c r="H117">
        <f>INT((VLOOKUP(E117,技能升级,13,FALSE)*(VLOOKUP(C117,中毒数据,4)+MOD(C111,3)*VLOOKUP(C117+1,中毒数据,3))+VLOOKUP(E117,技能升级,14,FALSE)/1000*C117*IF($B111&gt;10000,VLOOKUP($B111,实战属性,12,FALSE),VLOOKUP($B111,总基本属性,6,FALSE)))*I117*J117)</f>
        <v>20550</v>
      </c>
      <c r="I117">
        <v>1</v>
      </c>
      <c r="J117">
        <v>1</v>
      </c>
    </row>
    <row r="118" spans="1:10" x14ac:dyDescent="0.15">
      <c r="B118" t="s">
        <v>411</v>
      </c>
      <c r="C118">
        <f>C127*1.5+2</f>
        <v>6.5</v>
      </c>
    </row>
    <row r="119" spans="1:10" x14ac:dyDescent="0.15">
      <c r="E119" t="s">
        <v>194</v>
      </c>
      <c r="F119">
        <f>SUM(F113:F117)/1000</f>
        <v>19.37</v>
      </c>
      <c r="G119">
        <f>SUM(G113:G117)/1000</f>
        <v>5.36</v>
      </c>
      <c r="H119">
        <f>SUM(H113:H117)</f>
        <v>22741</v>
      </c>
      <c r="I119" t="s">
        <v>196</v>
      </c>
      <c r="J119" t="s">
        <v>197</v>
      </c>
    </row>
    <row r="120" spans="1:10" x14ac:dyDescent="0.15">
      <c r="E120" t="s">
        <v>195</v>
      </c>
      <c r="F120">
        <f>INT((IF($A111&gt;10000,VLOOKUP($A111,实战属性,13,FALSE),VLOOKUP($A111,总基本属性,7,FALSE))-
IF($B111&gt;10000,VLOOKUP($B111,实战属性,15,FALSE),VLOOKUP($B111,总基本属性,9,FALSE))*$L$13)*F119)</f>
        <v>11312</v>
      </c>
      <c r="G120">
        <f>INT((IF($A111&gt;10000,VLOOKUP($A111,实战属性,14,FALSE),VLOOKUP($A111,总基本属性,8,FALSE))-
IF($B111&gt;10000,VLOOKUP($B111,实战属性,16,FALSE),VLOOKUP($B111,总基本属性,10,FALSE))*$L$13)*G119)</f>
        <v>3438</v>
      </c>
      <c r="H120">
        <f>H119+F120+G120</f>
        <v>37491</v>
      </c>
      <c r="I120">
        <f>IF($B111&gt;10000,VLOOKUP($B111,实战属性,12,FALSE),VLOOKUP($B111,总基本属性,6,FALSE))</f>
        <v>36480</v>
      </c>
      <c r="J120">
        <f>ROUND(I120/H120,2)</f>
        <v>0.97</v>
      </c>
    </row>
    <row r="123" spans="1:10" x14ac:dyDescent="0.15">
      <c r="A123" s="9" t="s">
        <v>3</v>
      </c>
      <c r="B123" s="9" t="s">
        <v>4</v>
      </c>
      <c r="C123" s="9" t="s">
        <v>178</v>
      </c>
      <c r="D123" s="9" t="s">
        <v>0</v>
      </c>
    </row>
    <row r="124" spans="1:10" x14ac:dyDescent="0.15">
      <c r="A124">
        <f>A97+10</f>
        <v>2040</v>
      </c>
      <c r="B124">
        <f>B97+10</f>
        <v>3040</v>
      </c>
      <c r="C124">
        <v>26</v>
      </c>
      <c r="D124">
        <f>MOD(A124,1000)</f>
        <v>40</v>
      </c>
    </row>
    <row r="125" spans="1:10" x14ac:dyDescent="0.15">
      <c r="A125" t="s">
        <v>156</v>
      </c>
      <c r="B125" t="s">
        <v>95</v>
      </c>
      <c r="C125" t="s">
        <v>177</v>
      </c>
      <c r="D125" t="s">
        <v>143</v>
      </c>
      <c r="E125" t="s">
        <v>182</v>
      </c>
      <c r="F125" t="s">
        <v>192</v>
      </c>
      <c r="G125" t="s">
        <v>193</v>
      </c>
      <c r="H125" t="s">
        <v>176</v>
      </c>
      <c r="I125" t="s">
        <v>205</v>
      </c>
      <c r="J125" t="s">
        <v>206</v>
      </c>
    </row>
    <row r="126" spans="1:10" x14ac:dyDescent="0.15">
      <c r="A126">
        <v>25</v>
      </c>
      <c r="B126" t="s">
        <v>23</v>
      </c>
      <c r="C126">
        <v>1</v>
      </c>
      <c r="D126">
        <f>VLOOKUP(A126,技能参数,4,FALSE)</f>
        <v>2</v>
      </c>
      <c r="E126">
        <f>IFERROR(VLOOKUP(A126*1000+D124,学习等级编码,2),0)</f>
        <v>2503</v>
      </c>
      <c r="F126">
        <f t="shared" ref="F126" si="14">IFERROR(INT(VLOOKUP($E126,技能升级,9,FALSE)*$C126*I126*J126),0)</f>
        <v>5500</v>
      </c>
      <c r="G126">
        <f t="shared" ref="G126:G129" si="15">IFERROR(INT(VLOOKUP($E126,技能升级,10,FALSE)*$C126*I126*J126),0)</f>
        <v>0</v>
      </c>
      <c r="H126">
        <f>INT(VLOOKUP($E126,技能升级,11,FALSE)*$C126*I126*J126)</f>
        <v>181</v>
      </c>
      <c r="I126">
        <v>1</v>
      </c>
      <c r="J126">
        <v>1</v>
      </c>
    </row>
    <row r="127" spans="1:10" x14ac:dyDescent="0.15">
      <c r="A127">
        <v>23</v>
      </c>
      <c r="B127" t="s">
        <v>24</v>
      </c>
      <c r="C127">
        <f>INT((C124-D127-D128*3)/(VLOOKUP(A127,技能参数,5,FALSE)+2*VLOOKUP(A127,技能参数,4,FALSE))+1)+1</f>
        <v>3</v>
      </c>
      <c r="D127">
        <f>VLOOKUP(A127,技能参数,4,FALSE)</f>
        <v>1</v>
      </c>
      <c r="E127">
        <f>IFERROR(VLOOKUP(A127*1000+D124,学习等级编码,2),0)</f>
        <v>2304</v>
      </c>
      <c r="F127">
        <f>IFERROR(INT(VLOOKUP($E127,技能升级,9,FALSE)*$C127*I127*J127),0)</f>
        <v>3300</v>
      </c>
      <c r="G127">
        <f t="shared" si="15"/>
        <v>0</v>
      </c>
      <c r="H127">
        <f>INT(VLOOKUP($E127,技能升级,11,FALSE)*$C127*I127*J127)</f>
        <v>357</v>
      </c>
      <c r="I127">
        <v>1</v>
      </c>
      <c r="J127">
        <v>1</v>
      </c>
    </row>
    <row r="128" spans="1:10" x14ac:dyDescent="0.15">
      <c r="A128">
        <v>22</v>
      </c>
      <c r="B128" t="s">
        <v>22</v>
      </c>
      <c r="C128">
        <f>INT((C124-D127-D128*3)/(VLOOKUP(A128,技能参数,5,FALSE)+2*VLOOKUP(A128,技能参数,4,FALSE))+1)+3</f>
        <v>5</v>
      </c>
      <c r="D128">
        <f>VLOOKUP(A128,技能参数,4,FALSE)</f>
        <v>1.5</v>
      </c>
      <c r="E128">
        <f>IFERROR(VLOOKUP(A128*1000+D124,学习等级编码,2),0)</f>
        <v>2204</v>
      </c>
      <c r="F128">
        <f t="shared" ref="F128" si="16">IFERROR(INT(VLOOKUP($E128,技能升级,9,FALSE)*$C128*I128*J128),0)</f>
        <v>14400</v>
      </c>
      <c r="G128">
        <f t="shared" si="15"/>
        <v>0</v>
      </c>
      <c r="H128">
        <f>INT(VLOOKUP($E128,技能升级,11,FALSE)*$C128*I128*J128)</f>
        <v>685</v>
      </c>
      <c r="I128">
        <v>1</v>
      </c>
      <c r="J128">
        <f>VLOOKUP(A124,$A$2:$H$21,7,FALSE)</f>
        <v>1</v>
      </c>
    </row>
    <row r="129" spans="1:10" x14ac:dyDescent="0.15">
      <c r="A129">
        <v>21</v>
      </c>
      <c r="B129" t="s">
        <v>90</v>
      </c>
      <c r="C129">
        <f>INT((C124-C126*D126-C127*D127-C128*D128-C130-C131)/D129)</f>
        <v>4</v>
      </c>
      <c r="D129">
        <f>VLOOKUP(A129,技能参数,4,FALSE)</f>
        <v>1</v>
      </c>
      <c r="E129">
        <f>IFERROR(VLOOKUP(A129*1000+D124,学习等级编码,2),0)</f>
        <v>2106</v>
      </c>
      <c r="F129">
        <f>IFERROR(INT(VLOOKUP($E129,技能升级,9,FALSE)*$C129*I129*J129),0)</f>
        <v>4720</v>
      </c>
      <c r="G129">
        <f t="shared" si="15"/>
        <v>0</v>
      </c>
      <c r="H129">
        <f>INT(VLOOKUP($E129,技能升级,11,FALSE)*$C129*I129*J129)</f>
        <v>500</v>
      </c>
      <c r="I129">
        <v>1</v>
      </c>
      <c r="J129">
        <f>VLOOKUP(A124,$A$2:$H$21,7,FALSE)</f>
        <v>1</v>
      </c>
    </row>
    <row r="130" spans="1:10" x14ac:dyDescent="0.15">
      <c r="A130">
        <v>204</v>
      </c>
      <c r="B130" t="s">
        <v>338</v>
      </c>
      <c r="C130">
        <v>3</v>
      </c>
    </row>
    <row r="131" spans="1:10" x14ac:dyDescent="0.15">
      <c r="B131" t="s">
        <v>342</v>
      </c>
      <c r="C131">
        <v>6</v>
      </c>
    </row>
    <row r="132" spans="1:10" x14ac:dyDescent="0.15">
      <c r="E132" t="s">
        <v>194</v>
      </c>
      <c r="F132">
        <f>SUM(F126:F129)/1000</f>
        <v>27.92</v>
      </c>
      <c r="G132">
        <f>SUM(G126:G129)/1000</f>
        <v>0</v>
      </c>
      <c r="H132">
        <f>SUM(H126:H129)</f>
        <v>1723</v>
      </c>
      <c r="I132" t="s">
        <v>196</v>
      </c>
      <c r="J132" t="s">
        <v>197</v>
      </c>
    </row>
    <row r="133" spans="1:10" x14ac:dyDescent="0.15">
      <c r="E133" t="s">
        <v>195</v>
      </c>
      <c r="F133">
        <f>INT((IF($A124&gt;10000,VLOOKUP($A124,实战属性,13,FALSE),VLOOKUP($A124,总基本属性,7,FALSE))-
IF($B124&gt;10000,VLOOKUP($B124,实战属性,15,FALSE),VLOOKUP($B124,总基本属性,9,FALSE))*$L$13)*F132)</f>
        <v>33587</v>
      </c>
      <c r="G133">
        <f>INT((IF($A124&gt;10000,VLOOKUP($A124,实战属性,14,FALSE),VLOOKUP($A124,总基本属性,8,FALSE))-
IF($B124&gt;10000,VLOOKUP($B124,实战属性,16,FALSE),VLOOKUP($B124,总基本属性,10,FALSE))*$L$13)*G132)</f>
        <v>0</v>
      </c>
      <c r="H133">
        <f>H132+F133+G133</f>
        <v>35310</v>
      </c>
      <c r="I133">
        <f>IF($B124&gt;10000,VLOOKUP($B124,实战属性,12,FALSE),VLOOKUP($B124,总基本属性,6,FALSE))</f>
        <v>34473</v>
      </c>
      <c r="J133">
        <f>ROUND(I133/H133,2)</f>
        <v>0.98</v>
      </c>
    </row>
    <row r="137" spans="1:10" x14ac:dyDescent="0.15">
      <c r="A137" s="8" t="s">
        <v>4</v>
      </c>
      <c r="B137" s="8" t="s">
        <v>3</v>
      </c>
      <c r="C137" s="8" t="s">
        <v>178</v>
      </c>
      <c r="D137" s="8" t="s">
        <v>0</v>
      </c>
    </row>
    <row r="138" spans="1:10" x14ac:dyDescent="0.15">
      <c r="A138">
        <f>A111+10</f>
        <v>3050</v>
      </c>
      <c r="B138">
        <f>B111+10</f>
        <v>2050</v>
      </c>
      <c r="C138">
        <v>26</v>
      </c>
      <c r="D138">
        <f>MOD(A138,1000)</f>
        <v>50</v>
      </c>
    </row>
    <row r="139" spans="1:10" x14ac:dyDescent="0.15">
      <c r="A139" t="s">
        <v>156</v>
      </c>
      <c r="B139" t="s">
        <v>95</v>
      </c>
      <c r="C139" t="s">
        <v>142</v>
      </c>
      <c r="D139" t="s">
        <v>143</v>
      </c>
      <c r="E139" t="s">
        <v>182</v>
      </c>
      <c r="F139" t="s">
        <v>192</v>
      </c>
      <c r="G139" t="s">
        <v>193</v>
      </c>
      <c r="H139" t="s">
        <v>176</v>
      </c>
      <c r="I139" t="s">
        <v>205</v>
      </c>
      <c r="J139" t="s">
        <v>206</v>
      </c>
    </row>
    <row r="140" spans="1:10" x14ac:dyDescent="0.15">
      <c r="A140">
        <v>32</v>
      </c>
      <c r="B140" t="s">
        <v>26</v>
      </c>
      <c r="C140">
        <f>INT(C138/(VLOOKUP(A140,技能参数,5,FALSE)+2*VLOOKUP(A140,技能参数,4,FALSE))+3)</f>
        <v>4</v>
      </c>
      <c r="D140">
        <f>VLOOKUP(A140,技能参数,4,FALSE)</f>
        <v>1</v>
      </c>
      <c r="E140">
        <f>IFERROR(VLOOKUP(A140*1000+D138,学习等级编码,2),0)</f>
        <v>3205</v>
      </c>
      <c r="F140">
        <f>IFERROR(INT(VLOOKUP($E140,技能升级,9,FALSE)*$C140*I140*J140),0)</f>
        <v>0</v>
      </c>
      <c r="G140">
        <f>IFERROR(INT(VLOOKUP($E140,技能升级,10,FALSE)*$C140*I140*J140),0)</f>
        <v>5560</v>
      </c>
      <c r="H140">
        <f>INT(VLOOKUP($E140,技能升级,11,FALSE)*$C140*I140*J140)</f>
        <v>664</v>
      </c>
      <c r="I140">
        <v>1</v>
      </c>
      <c r="J140">
        <v>1</v>
      </c>
    </row>
    <row r="141" spans="1:10" x14ac:dyDescent="0.15">
      <c r="A141">
        <v>34</v>
      </c>
      <c r="B141" t="s">
        <v>34</v>
      </c>
      <c r="C141">
        <f>INT(C138/(VLOOKUP(A141,技能参数,5,FALSE)+2*VLOOKUP(A141,技能参数,4,FALSE))+1)</f>
        <v>2</v>
      </c>
      <c r="D141">
        <f>VLOOKUP(A141,技能参数,4,FALSE)</f>
        <v>1.5</v>
      </c>
      <c r="E141">
        <f>IFERROR(VLOOKUP(A141*1000+D138,学习等级编码,2),0)</f>
        <v>3405</v>
      </c>
      <c r="F141">
        <f>IFERROR(INT(VLOOKUP($E141,技能升级,9,FALSE)*$C141*I141*J141),0)</f>
        <v>3660</v>
      </c>
      <c r="G141">
        <f>IFERROR(INT(VLOOKUP($E141,技能升级,10,FALSE)*$C141*I141*J141),0)</f>
        <v>0</v>
      </c>
      <c r="H141">
        <f>INT(VLOOKUP($E141,技能升级,11,FALSE)*$C141*I141*J141)</f>
        <v>410</v>
      </c>
      <c r="I141">
        <v>1</v>
      </c>
      <c r="J141">
        <v>1</v>
      </c>
    </row>
    <row r="142" spans="1:10" x14ac:dyDescent="0.15">
      <c r="A142">
        <v>35</v>
      </c>
      <c r="B142" t="s">
        <v>28</v>
      </c>
      <c r="C142">
        <v>3</v>
      </c>
      <c r="D142">
        <f>VLOOKUP(A142,技能参数,4,FALSE)</f>
        <v>2</v>
      </c>
      <c r="E142">
        <f>IFERROR(VLOOKUP(A142*1000+D138,学习等级编码,2),0)</f>
        <v>3503</v>
      </c>
      <c r="F142">
        <f>IFERROR(INT(VLOOKUP($E142,技能升级,9,FALSE)*$C142*I142*J142),0)</f>
        <v>6990</v>
      </c>
      <c r="G142">
        <f>IFERROR(INT(VLOOKUP($E142,技能升级,10,FALSE)*$C142*I142*J142),0)</f>
        <v>0</v>
      </c>
      <c r="H142">
        <f>INT(VLOOKUP($E142,技能升级,11,FALSE)*$C142*I142*J142)</f>
        <v>483</v>
      </c>
      <c r="I142">
        <v>1</v>
      </c>
      <c r="J142">
        <v>1</v>
      </c>
    </row>
    <row r="143" spans="1:10" x14ac:dyDescent="0.15">
      <c r="A143">
        <v>31</v>
      </c>
      <c r="B143" t="s">
        <v>91</v>
      </c>
      <c r="C143">
        <f>INT((C138-C140*D140-C141*D141-C142*D142-C145)/D143)</f>
        <v>8</v>
      </c>
      <c r="D143">
        <f>VLOOKUP(A143,技能参数,4,FALSE)</f>
        <v>0.8</v>
      </c>
      <c r="E143">
        <f>IFERROR(VLOOKUP(A143*1000+D138,学习等级编码,2),0)</f>
        <v>3108</v>
      </c>
      <c r="F143">
        <f>IFERROR(INT(VLOOKUP($E143,技能升级,9,FALSE)*$C143*I143*J143),0)</f>
        <v>9200</v>
      </c>
      <c r="G143">
        <f>IFERROR(INT(VLOOKUP($E143,技能升级,10,FALSE)*$C143*I143*J143),0)</f>
        <v>0</v>
      </c>
      <c r="H143">
        <f>INT(VLOOKUP($E143,技能升级,11,FALSE)*$C143*I143*J143)</f>
        <v>1752</v>
      </c>
      <c r="I143">
        <v>1</v>
      </c>
      <c r="J143">
        <v>1</v>
      </c>
    </row>
    <row r="144" spans="1:10" x14ac:dyDescent="0.15">
      <c r="A144">
        <v>203</v>
      </c>
      <c r="B144" t="s">
        <v>340</v>
      </c>
      <c r="C144">
        <f>INT((C138)/3)</f>
        <v>8</v>
      </c>
      <c r="D144">
        <v>0</v>
      </c>
      <c r="E144">
        <f>IFERROR(VLOOKUP(A144*1000+D138,学习等级编码,2),0)</f>
        <v>20305</v>
      </c>
      <c r="F144">
        <f>IFERROR(INT(VLOOKUP($E144,技能升级,9,FALSE)*$C144*I144*J144),0)</f>
        <v>0</v>
      </c>
      <c r="G144">
        <f>IFERROR(INT(VLOOKUP($E144,技能升级,10,FALSE)*$C144*I144*J144),0)</f>
        <v>0</v>
      </c>
      <c r="H144">
        <f>INT((VLOOKUP(E144,技能升级,13,FALSE)*(VLOOKUP(C144,中毒数据,4)+MOD(C138,3)*VLOOKUP(C144+1,中毒数据,3))+VLOOKUP(E144,技能升级,14,FALSE)/1000*C144*IF($B138&gt;10000,VLOOKUP($B138,实战属性,12,FALSE),VLOOKUP($B138,总基本属性,6,FALSE)))*I144*J144)</f>
        <v>29515</v>
      </c>
      <c r="I144">
        <v>1</v>
      </c>
      <c r="J144">
        <v>1</v>
      </c>
    </row>
    <row r="145" spans="1:10" x14ac:dyDescent="0.15">
      <c r="B145" t="s">
        <v>411</v>
      </c>
      <c r="C145">
        <f>C154*1.5+2</f>
        <v>6.5</v>
      </c>
    </row>
    <row r="146" spans="1:10" x14ac:dyDescent="0.15">
      <c r="E146" t="s">
        <v>194</v>
      </c>
      <c r="F146">
        <f>SUM(F140:F144)/1000</f>
        <v>19.850000000000001</v>
      </c>
      <c r="G146">
        <f>SUM(G140:G144)/1000</f>
        <v>5.56</v>
      </c>
      <c r="H146">
        <f>SUM(H140:H144)</f>
        <v>32824</v>
      </c>
      <c r="I146" t="s">
        <v>196</v>
      </c>
      <c r="J146" t="s">
        <v>197</v>
      </c>
    </row>
    <row r="147" spans="1:10" x14ac:dyDescent="0.15">
      <c r="E147" t="s">
        <v>195</v>
      </c>
      <c r="F147">
        <f>INT((IF($A138&gt;10000,VLOOKUP($A138,实战属性,13,FALSE),VLOOKUP($A138,总基本属性,7,FALSE))-
IF($B138&gt;10000,VLOOKUP($B138,实战属性,15,FALSE),VLOOKUP($B138,总基本属性,9,FALSE))*$L$13)*F146)</f>
        <v>17408</v>
      </c>
      <c r="G147">
        <f>INT((IF($A138&gt;10000,VLOOKUP($A138,实战属性,14,FALSE),VLOOKUP($A138,总基本属性,8,FALSE))-
IF($B138&gt;10000,VLOOKUP($B138,实战属性,16,FALSE),VLOOKUP($B138,总基本属性,10,FALSE))*$L$13)*G146)</f>
        <v>5354</v>
      </c>
      <c r="H147">
        <f>H146+F147+G147</f>
        <v>55586</v>
      </c>
      <c r="I147">
        <f>IF($B138&gt;10000,VLOOKUP($B138,实战属性,12,FALSE),VLOOKUP($B138,总基本属性,6,FALSE))</f>
        <v>55440</v>
      </c>
      <c r="J147">
        <f>ROUND(I147/H147,2)</f>
        <v>1</v>
      </c>
    </row>
    <row r="150" spans="1:10" x14ac:dyDescent="0.15">
      <c r="A150" s="9" t="s">
        <v>3</v>
      </c>
      <c r="B150" s="9" t="s">
        <v>4</v>
      </c>
      <c r="C150" s="9" t="s">
        <v>178</v>
      </c>
      <c r="D150" s="9" t="s">
        <v>0</v>
      </c>
    </row>
    <row r="151" spans="1:10" x14ac:dyDescent="0.15">
      <c r="A151">
        <f>A124+10</f>
        <v>2050</v>
      </c>
      <c r="B151">
        <f>B124+10</f>
        <v>3050</v>
      </c>
      <c r="C151">
        <v>26</v>
      </c>
      <c r="D151">
        <f>MOD(A151,1000)</f>
        <v>50</v>
      </c>
    </row>
    <row r="152" spans="1:10" x14ac:dyDescent="0.15">
      <c r="A152" t="s">
        <v>156</v>
      </c>
      <c r="B152" t="s">
        <v>95</v>
      </c>
      <c r="C152" t="s">
        <v>177</v>
      </c>
      <c r="D152" t="s">
        <v>143</v>
      </c>
      <c r="E152" t="s">
        <v>182</v>
      </c>
      <c r="F152" t="s">
        <v>192</v>
      </c>
      <c r="G152" t="s">
        <v>193</v>
      </c>
      <c r="H152" t="s">
        <v>176</v>
      </c>
      <c r="I152" t="s">
        <v>205</v>
      </c>
      <c r="J152" t="s">
        <v>206</v>
      </c>
    </row>
    <row r="153" spans="1:10" x14ac:dyDescent="0.15">
      <c r="A153">
        <v>25</v>
      </c>
      <c r="B153" t="s">
        <v>23</v>
      </c>
      <c r="C153">
        <v>1</v>
      </c>
      <c r="D153">
        <f>VLOOKUP(A153,技能参数,4,FALSE)</f>
        <v>2</v>
      </c>
      <c r="E153">
        <f>IFERROR(VLOOKUP(A153*1000+D151,学习等级编码,2),0)</f>
        <v>2503</v>
      </c>
      <c r="F153">
        <f t="shared" ref="F153" si="17">IFERROR(INT(VLOOKUP($E153,技能升级,9,FALSE)*$C153*I153*J153),0)</f>
        <v>5500</v>
      </c>
      <c r="G153">
        <f t="shared" ref="G153:G156" si="18">IFERROR(INT(VLOOKUP($E153,技能升级,10,FALSE)*$C153*I153*J153),0)</f>
        <v>0</v>
      </c>
      <c r="H153">
        <f>INT(VLOOKUP($E153,技能升级,11,FALSE)*$C153*I153*J153)</f>
        <v>181</v>
      </c>
      <c r="I153">
        <v>1</v>
      </c>
      <c r="J153">
        <v>1</v>
      </c>
    </row>
    <row r="154" spans="1:10" x14ac:dyDescent="0.15">
      <c r="A154">
        <v>23</v>
      </c>
      <c r="B154" t="s">
        <v>24</v>
      </c>
      <c r="C154">
        <f>INT((C151-D154-D155*3)/(VLOOKUP(A154,技能参数,5,FALSE)+2*VLOOKUP(A154,技能参数,4,FALSE))+1)+1</f>
        <v>3</v>
      </c>
      <c r="D154">
        <f>VLOOKUP(A154,技能参数,4,FALSE)</f>
        <v>1</v>
      </c>
      <c r="E154">
        <f>IFERROR(VLOOKUP(A154*1000+D151,学习等级编码,2),0)</f>
        <v>2305</v>
      </c>
      <c r="F154">
        <f>IFERROR(INT(VLOOKUP($E154,技能升级,9,FALSE)*$C154*I154*J154),0)</f>
        <v>3390</v>
      </c>
      <c r="G154">
        <f t="shared" si="18"/>
        <v>0</v>
      </c>
      <c r="H154">
        <f>INT(VLOOKUP($E154,技能升级,11,FALSE)*$C154*I154*J154)</f>
        <v>540</v>
      </c>
      <c r="I154">
        <v>1</v>
      </c>
      <c r="J154">
        <v>1</v>
      </c>
    </row>
    <row r="155" spans="1:10" x14ac:dyDescent="0.15">
      <c r="A155">
        <v>22</v>
      </c>
      <c r="B155" t="s">
        <v>22</v>
      </c>
      <c r="C155">
        <f>INT((C151-D154-D155*3)/(VLOOKUP(A155,技能参数,5,FALSE)+2*VLOOKUP(A155,技能参数,4,FALSE))+1)+3</f>
        <v>5</v>
      </c>
      <c r="D155">
        <f>VLOOKUP(A155,技能参数,4,FALSE)</f>
        <v>1.5</v>
      </c>
      <c r="E155">
        <f>IFERROR(VLOOKUP(A155*1000+D151,学习等级编码,2),0)</f>
        <v>2205</v>
      </c>
      <c r="F155">
        <f t="shared" ref="F155" si="19">IFERROR(INT(VLOOKUP($E155,技能升级,9,FALSE)*$C155*I155*J155),0)</f>
        <v>15214</v>
      </c>
      <c r="G155">
        <f t="shared" si="18"/>
        <v>0</v>
      </c>
      <c r="H155">
        <f>INT(VLOOKUP($E155,技能升级,11,FALSE)*$C155*I155*J155)</f>
        <v>1014</v>
      </c>
      <c r="I155">
        <v>1</v>
      </c>
      <c r="J155">
        <f>VLOOKUP(A151,$A$2:$H$21,7,FALSE)</f>
        <v>1.0349999999999997</v>
      </c>
    </row>
    <row r="156" spans="1:10" x14ac:dyDescent="0.15">
      <c r="A156">
        <v>21</v>
      </c>
      <c r="B156" t="s">
        <v>90</v>
      </c>
      <c r="C156">
        <f>INT((C151-C153*D153-C154*D154-C155*D155-C157-C158)/D156)</f>
        <v>4</v>
      </c>
      <c r="D156">
        <f>VLOOKUP(A156,技能参数,4,FALSE)</f>
        <v>1</v>
      </c>
      <c r="E156">
        <f>IFERROR(VLOOKUP(A156*1000+D151,学习等级编码,2),0)</f>
        <v>2108</v>
      </c>
      <c r="F156">
        <f>IFERROR(INT(VLOOKUP($E156,技能升级,9,FALSE)*$C156*I156*J156),0)</f>
        <v>5175</v>
      </c>
      <c r="G156">
        <f t="shared" si="18"/>
        <v>0</v>
      </c>
      <c r="H156">
        <f>INT(VLOOKUP($E156,技能升级,11,FALSE)*$C156*I156*J156)</f>
        <v>906</v>
      </c>
      <c r="I156">
        <v>1</v>
      </c>
      <c r="J156">
        <f>VLOOKUP(A151,$A$2:$H$21,7,FALSE)</f>
        <v>1.0349999999999997</v>
      </c>
    </row>
    <row r="157" spans="1:10" x14ac:dyDescent="0.15">
      <c r="A157">
        <v>204</v>
      </c>
      <c r="B157" t="s">
        <v>338</v>
      </c>
      <c r="C157">
        <v>3</v>
      </c>
    </row>
    <row r="158" spans="1:10" x14ac:dyDescent="0.15">
      <c r="B158" t="s">
        <v>342</v>
      </c>
      <c r="C158">
        <v>6</v>
      </c>
    </row>
    <row r="159" spans="1:10" x14ac:dyDescent="0.15">
      <c r="E159" t="s">
        <v>194</v>
      </c>
      <c r="F159">
        <f>SUM(F153:F156)/1000</f>
        <v>29.279</v>
      </c>
      <c r="G159">
        <f>SUM(G153:G156)/1000</f>
        <v>0</v>
      </c>
      <c r="H159">
        <f>SUM(H153:H156)</f>
        <v>2641</v>
      </c>
      <c r="I159" t="s">
        <v>196</v>
      </c>
      <c r="J159" t="s">
        <v>197</v>
      </c>
    </row>
    <row r="160" spans="1:10" x14ac:dyDescent="0.15">
      <c r="E160" t="s">
        <v>195</v>
      </c>
      <c r="F160">
        <f>INT((IF($A151&gt;10000,VLOOKUP($A151,实战属性,13,FALSE),VLOOKUP($A151,总基本属性,7,FALSE))-
IF($B151&gt;10000,VLOOKUP($B151,实战属性,15,FALSE),VLOOKUP($B151,总基本属性,9,FALSE))*$L$13)*F159)</f>
        <v>48017</v>
      </c>
      <c r="G160">
        <f>INT((IF($A151&gt;10000,VLOOKUP($A151,实战属性,14,FALSE),VLOOKUP($A151,总基本属性,8,FALSE))-
IF($B151&gt;10000,VLOOKUP($B151,实战属性,16,FALSE),VLOOKUP($B151,总基本属性,10,FALSE))*$L$13)*G159)</f>
        <v>0</v>
      </c>
      <c r="H160">
        <f>H159+F160+G160</f>
        <v>50658</v>
      </c>
      <c r="I160">
        <f>IF($B151&gt;10000,VLOOKUP($B151,实战属性,12,FALSE),VLOOKUP($B151,总基本属性,6,FALSE))</f>
        <v>49896</v>
      </c>
      <c r="J160">
        <f>ROUND(I160/H160,2)</f>
        <v>0.98</v>
      </c>
    </row>
    <row r="164" spans="1:10" x14ac:dyDescent="0.15">
      <c r="A164" s="8" t="s">
        <v>4</v>
      </c>
      <c r="B164" s="8" t="s">
        <v>3</v>
      </c>
      <c r="C164" s="8" t="s">
        <v>178</v>
      </c>
      <c r="D164" s="8" t="s">
        <v>0</v>
      </c>
    </row>
    <row r="165" spans="1:10" x14ac:dyDescent="0.15">
      <c r="A165">
        <f>A138+10</f>
        <v>3060</v>
      </c>
      <c r="B165">
        <f>B138+10</f>
        <v>2060</v>
      </c>
      <c r="C165">
        <v>27</v>
      </c>
      <c r="D165">
        <f>MOD(A165,1000)</f>
        <v>60</v>
      </c>
    </row>
    <row r="166" spans="1:10" x14ac:dyDescent="0.15">
      <c r="A166" t="s">
        <v>156</v>
      </c>
      <c r="B166" t="s">
        <v>95</v>
      </c>
      <c r="C166" t="s">
        <v>142</v>
      </c>
      <c r="D166" t="s">
        <v>143</v>
      </c>
      <c r="E166" t="s">
        <v>182</v>
      </c>
      <c r="F166" t="s">
        <v>192</v>
      </c>
      <c r="G166" t="s">
        <v>193</v>
      </c>
      <c r="H166" t="s">
        <v>176</v>
      </c>
      <c r="I166" t="s">
        <v>205</v>
      </c>
      <c r="J166" t="s">
        <v>206</v>
      </c>
    </row>
    <row r="167" spans="1:10" x14ac:dyDescent="0.15">
      <c r="A167">
        <v>32</v>
      </c>
      <c r="B167" t="s">
        <v>26</v>
      </c>
      <c r="C167">
        <f>INT(C165/(VLOOKUP(A167,技能参数,5,FALSE)+2*VLOOKUP(A167,技能参数,4,FALSE))+3)</f>
        <v>4</v>
      </c>
      <c r="D167">
        <f>VLOOKUP(A167,技能参数,4,FALSE)</f>
        <v>1</v>
      </c>
      <c r="E167">
        <f>IFERROR(VLOOKUP(A167*1000+D165,学习等级编码,2),0)</f>
        <v>3206</v>
      </c>
      <c r="F167">
        <f>IFERROR(INT(VLOOKUP($E167,技能升级,9,FALSE)*$C167*I167*J167),0)</f>
        <v>0</v>
      </c>
      <c r="G167">
        <f>IFERROR(INT(VLOOKUP($E167,技能升级,10,FALSE)*$C167*I167*J167),0)</f>
        <v>5720</v>
      </c>
      <c r="H167">
        <f>INT(VLOOKUP($E167,技能升级,11,FALSE)*$C167*I167*J167)</f>
        <v>960</v>
      </c>
      <c r="I167">
        <v>1</v>
      </c>
      <c r="J167">
        <v>1</v>
      </c>
    </row>
    <row r="168" spans="1:10" x14ac:dyDescent="0.15">
      <c r="A168">
        <v>34</v>
      </c>
      <c r="B168" t="s">
        <v>34</v>
      </c>
      <c r="C168">
        <f>INT(C165/(VLOOKUP(A168,技能参数,5,FALSE)+2*VLOOKUP(A168,技能参数,4,FALSE))+1)</f>
        <v>2</v>
      </c>
      <c r="D168">
        <f>VLOOKUP(A168,技能参数,4,FALSE)</f>
        <v>1.5</v>
      </c>
      <c r="E168">
        <f>IFERROR(VLOOKUP(A168*1000+D165,学习等级编码,2),0)</f>
        <v>3406</v>
      </c>
      <c r="F168">
        <f>IFERROR(INT(VLOOKUP($E168,技能升级,9,FALSE)*$C168*I168*J168),0)</f>
        <v>3840</v>
      </c>
      <c r="G168">
        <f>IFERROR(INT(VLOOKUP($E168,技能升级,10,FALSE)*$C168*I168*J168),0)</f>
        <v>0</v>
      </c>
      <c r="H168">
        <f>INT(VLOOKUP($E168,技能升级,11,FALSE)*$C168*I168*J168)</f>
        <v>570</v>
      </c>
      <c r="I168">
        <v>1</v>
      </c>
      <c r="J168">
        <v>1</v>
      </c>
    </row>
    <row r="169" spans="1:10" x14ac:dyDescent="0.15">
      <c r="A169">
        <v>35</v>
      </c>
      <c r="B169" t="s">
        <v>28</v>
      </c>
      <c r="C169">
        <v>3</v>
      </c>
      <c r="D169">
        <f>VLOOKUP(A169,技能参数,4,FALSE)</f>
        <v>2</v>
      </c>
      <c r="E169">
        <f>IFERROR(VLOOKUP(A169*1000+D165,学习等级编码,2),0)</f>
        <v>3504</v>
      </c>
      <c r="F169">
        <f>IFERROR(INT(VLOOKUP($E169,技能升级,9,FALSE)*$C169*I169*J169),0)</f>
        <v>7500</v>
      </c>
      <c r="G169">
        <f>IFERROR(INT(VLOOKUP($E169,技能升级,10,FALSE)*$C169*I169*J169),0)</f>
        <v>0</v>
      </c>
      <c r="H169">
        <f>INT(VLOOKUP($E169,技能升级,11,FALSE)*$C169*I169*J169)</f>
        <v>834</v>
      </c>
      <c r="I169">
        <v>1</v>
      </c>
      <c r="J169">
        <v>1</v>
      </c>
    </row>
    <row r="170" spans="1:10" x14ac:dyDescent="0.15">
      <c r="A170">
        <v>31</v>
      </c>
      <c r="B170" t="s">
        <v>91</v>
      </c>
      <c r="C170">
        <f>INT((C165-C167*D167-C168*D168-C169*D169-C172)/D170)</f>
        <v>9</v>
      </c>
      <c r="D170">
        <f>VLOOKUP(A170,技能参数,4,FALSE)</f>
        <v>0.8</v>
      </c>
      <c r="E170">
        <f>IFERROR(VLOOKUP(A170*1000+D165,学习等级编码,2),0)</f>
        <v>3109</v>
      </c>
      <c r="F170">
        <f>IFERROR(INT(VLOOKUP($E170,技能升级,9,FALSE)*$C170*I170*J170),0)</f>
        <v>10530</v>
      </c>
      <c r="G170">
        <f>IFERROR(INT(VLOOKUP($E170,技能升级,10,FALSE)*$C170*I170*J170),0)</f>
        <v>0</v>
      </c>
      <c r="H170">
        <f>INT(VLOOKUP($E170,技能升级,11,FALSE)*$C170*I170*J170)</f>
        <v>2430</v>
      </c>
      <c r="I170">
        <v>1</v>
      </c>
      <c r="J170">
        <v>1</v>
      </c>
    </row>
    <row r="171" spans="1:10" x14ac:dyDescent="0.15">
      <c r="A171">
        <v>203</v>
      </c>
      <c r="B171" t="s">
        <v>340</v>
      </c>
      <c r="C171">
        <f>INT((C165)/3)</f>
        <v>9</v>
      </c>
      <c r="D171">
        <v>0</v>
      </c>
      <c r="E171">
        <f>IFERROR(VLOOKUP(A171*1000+D165,学习等级编码,2),0)</f>
        <v>20306</v>
      </c>
      <c r="F171">
        <f>IFERROR(INT(VLOOKUP($E171,技能升级,9,FALSE)*$C171*I171*J171),0)</f>
        <v>0</v>
      </c>
      <c r="G171">
        <f>IFERROR(INT(VLOOKUP($E171,技能升级,10,FALSE)*$C171*I171*J171),0)</f>
        <v>0</v>
      </c>
      <c r="H171">
        <f>INT((VLOOKUP(E171,技能升级,13,FALSE)*(VLOOKUP(C171,中毒数据,4)+MOD(C165,3)*VLOOKUP(C171+1,中毒数据,3))+VLOOKUP(E171,技能升级,14,FALSE)/1000*C171*IF($B165&gt;10000,VLOOKUP($B165,实战属性,12,FALSE),VLOOKUP($B165,总基本属性,6,FALSE)))*I171*J171)</f>
        <v>40273</v>
      </c>
      <c r="I171">
        <v>1</v>
      </c>
      <c r="J171">
        <v>1</v>
      </c>
    </row>
    <row r="172" spans="1:10" x14ac:dyDescent="0.15">
      <c r="B172" t="s">
        <v>411</v>
      </c>
      <c r="C172">
        <f>C181*1.5+2</f>
        <v>6.5</v>
      </c>
    </row>
    <row r="173" spans="1:10" x14ac:dyDescent="0.15">
      <c r="E173" t="s">
        <v>194</v>
      </c>
      <c r="F173">
        <f>SUM(F167:F171)/1000</f>
        <v>21.87</v>
      </c>
      <c r="G173">
        <f>SUM(G167:G171)/1000</f>
        <v>5.72</v>
      </c>
      <c r="H173">
        <f>SUM(H167:H171)</f>
        <v>45067</v>
      </c>
      <c r="I173" t="s">
        <v>196</v>
      </c>
      <c r="J173" t="s">
        <v>197</v>
      </c>
    </row>
    <row r="174" spans="1:10" x14ac:dyDescent="0.15">
      <c r="E174" t="s">
        <v>195</v>
      </c>
      <c r="F174">
        <f>INT((IF($A165&gt;10000,VLOOKUP($A165,实战属性,13,FALSE),VLOOKUP($A165,总基本属性,7,FALSE))-
IF($B165&gt;10000,VLOOKUP($B165,实战属性,15,FALSE),VLOOKUP($B165,总基本属性,9,FALSE))*$L$13)*F173)</f>
        <v>26911</v>
      </c>
      <c r="G174">
        <f>INT((IF($A165&gt;10000,VLOOKUP($A165,实战属性,14,FALSE),VLOOKUP($A165,总基本属性,8,FALSE))-
IF($B165&gt;10000,VLOOKUP($B165,实战属性,16,FALSE),VLOOKUP($B165,总基本属性,10,FALSE))*$L$13)*G173)</f>
        <v>7730</v>
      </c>
      <c r="H174">
        <f>H173+F174+G174</f>
        <v>79708</v>
      </c>
      <c r="I174">
        <f>IF($B165&gt;10000,VLOOKUP($B165,实战属性,12,FALSE),VLOOKUP($B165,总基本属性,6,FALSE))</f>
        <v>78480</v>
      </c>
      <c r="J174">
        <f>ROUND(I174/H174,2)</f>
        <v>0.98</v>
      </c>
    </row>
    <row r="177" spans="1:10" x14ac:dyDescent="0.15">
      <c r="A177" s="9" t="s">
        <v>3</v>
      </c>
      <c r="B177" s="9" t="s">
        <v>4</v>
      </c>
      <c r="C177" s="9" t="s">
        <v>178</v>
      </c>
      <c r="D177" s="9" t="s">
        <v>0</v>
      </c>
    </row>
    <row r="178" spans="1:10" x14ac:dyDescent="0.15">
      <c r="A178">
        <f>A151+10</f>
        <v>2060</v>
      </c>
      <c r="B178">
        <f>B151+10</f>
        <v>3060</v>
      </c>
      <c r="C178">
        <v>27</v>
      </c>
      <c r="D178">
        <f>MOD(A178,1000)</f>
        <v>60</v>
      </c>
    </row>
    <row r="179" spans="1:10" x14ac:dyDescent="0.15">
      <c r="A179" t="s">
        <v>156</v>
      </c>
      <c r="B179" t="s">
        <v>95</v>
      </c>
      <c r="C179" t="s">
        <v>177</v>
      </c>
      <c r="D179" t="s">
        <v>143</v>
      </c>
      <c r="E179" t="s">
        <v>182</v>
      </c>
      <c r="F179" t="s">
        <v>192</v>
      </c>
      <c r="G179" t="s">
        <v>193</v>
      </c>
      <c r="H179" t="s">
        <v>176</v>
      </c>
      <c r="I179" t="s">
        <v>205</v>
      </c>
      <c r="J179" t="s">
        <v>206</v>
      </c>
    </row>
    <row r="180" spans="1:10" x14ac:dyDescent="0.15">
      <c r="A180">
        <v>25</v>
      </c>
      <c r="B180" t="s">
        <v>23</v>
      </c>
      <c r="C180">
        <v>1</v>
      </c>
      <c r="D180">
        <f>VLOOKUP(A180,技能参数,4,FALSE)</f>
        <v>2</v>
      </c>
      <c r="E180">
        <f>IFERROR(VLOOKUP(A180*1000+D178,学习等级编码,2),0)</f>
        <v>2504</v>
      </c>
      <c r="F180">
        <f t="shared" ref="F180" si="20">IFERROR(INT(VLOOKUP($E180,技能升级,9,FALSE)*$C180*I180*J180),0)</f>
        <v>5750</v>
      </c>
      <c r="G180">
        <f t="shared" ref="G180:G183" si="21">IFERROR(INT(VLOOKUP($E180,技能升级,10,FALSE)*$C180*I180*J180),0)</f>
        <v>0</v>
      </c>
      <c r="H180">
        <f>INT(VLOOKUP($E180,技能升级,11,FALSE)*$C180*I180*J180)</f>
        <v>298</v>
      </c>
      <c r="I180">
        <v>1</v>
      </c>
      <c r="J180">
        <v>1</v>
      </c>
    </row>
    <row r="181" spans="1:10" x14ac:dyDescent="0.15">
      <c r="A181">
        <v>23</v>
      </c>
      <c r="B181" t="s">
        <v>24</v>
      </c>
      <c r="C181">
        <f>INT((C178-D181-D182*3)/(VLOOKUP(A181,技能参数,5,FALSE)+2*VLOOKUP(A181,技能参数,4,FALSE))+1)+1</f>
        <v>3</v>
      </c>
      <c r="D181">
        <f>VLOOKUP(A181,技能参数,4,FALSE)</f>
        <v>1</v>
      </c>
      <c r="E181">
        <f>IFERROR(VLOOKUP(A181*1000+D178,学习等级编码,2),0)</f>
        <v>2306</v>
      </c>
      <c r="F181">
        <f>IFERROR(INT(VLOOKUP($E181,技能升级,9,FALSE)*$C181*I181*J181),0)</f>
        <v>3510</v>
      </c>
      <c r="G181">
        <f t="shared" si="21"/>
        <v>0</v>
      </c>
      <c r="H181">
        <f>INT(VLOOKUP($E181,技能升级,11,FALSE)*$C181*I181*J181)</f>
        <v>774</v>
      </c>
      <c r="I181">
        <v>1</v>
      </c>
      <c r="J181">
        <v>1</v>
      </c>
    </row>
    <row r="182" spans="1:10" x14ac:dyDescent="0.15">
      <c r="A182">
        <v>22</v>
      </c>
      <c r="B182" t="s">
        <v>22</v>
      </c>
      <c r="C182">
        <f>INT((C178-D181-D182*3)/(VLOOKUP(A182,技能参数,5,FALSE)+2*VLOOKUP(A182,技能参数,4,FALSE))+1)+3</f>
        <v>5</v>
      </c>
      <c r="D182">
        <f>VLOOKUP(A182,技能参数,4,FALSE)</f>
        <v>1.5</v>
      </c>
      <c r="E182">
        <f>IFERROR(VLOOKUP(A182*1000+D178,学习等级编码,2),0)</f>
        <v>2206</v>
      </c>
      <c r="F182">
        <f t="shared" ref="F182" si="22">IFERROR(INT(VLOOKUP($E182,技能升级,9,FALSE)*$C182*I182*J182),0)</f>
        <v>16185</v>
      </c>
      <c r="G182">
        <f t="shared" si="21"/>
        <v>0</v>
      </c>
      <c r="H182">
        <f>INT(VLOOKUP($E182,技能升级,11,FALSE)*$C182*I182*J182)</f>
        <v>1456</v>
      </c>
      <c r="I182">
        <v>1</v>
      </c>
      <c r="J182">
        <f>VLOOKUP(A178,$A$2:$H$21,7,FALSE)</f>
        <v>1.0790000000000002</v>
      </c>
    </row>
    <row r="183" spans="1:10" x14ac:dyDescent="0.15">
      <c r="A183">
        <v>21</v>
      </c>
      <c r="B183" t="s">
        <v>90</v>
      </c>
      <c r="C183">
        <f>INT((C178-C180*D180-C181*D181-C182*D182-C184-C185)/D183)</f>
        <v>5</v>
      </c>
      <c r="D183">
        <f>VLOOKUP(A183,技能参数,4,FALSE)</f>
        <v>1</v>
      </c>
      <c r="E183">
        <f>IFERROR(VLOOKUP(A183*1000+D178,学习等级编码,2),0)</f>
        <v>2109</v>
      </c>
      <c r="F183">
        <f>IFERROR(INT(VLOOKUP($E183,技能升级,9,FALSE)*$C183*I183*J183),0)</f>
        <v>6959</v>
      </c>
      <c r="G183">
        <f t="shared" si="21"/>
        <v>0</v>
      </c>
      <c r="H183">
        <f>INT(VLOOKUP($E183,技能升级,11,FALSE)*$C183*I183*J183)</f>
        <v>1456</v>
      </c>
      <c r="I183">
        <v>1</v>
      </c>
      <c r="J183">
        <f>VLOOKUP(A178,$A$2:$H$21,7,FALSE)</f>
        <v>1.0790000000000002</v>
      </c>
    </row>
    <row r="184" spans="1:10" x14ac:dyDescent="0.15">
      <c r="A184">
        <v>204</v>
      </c>
      <c r="B184" t="s">
        <v>338</v>
      </c>
      <c r="C184">
        <v>3</v>
      </c>
    </row>
    <row r="185" spans="1:10" x14ac:dyDescent="0.15">
      <c r="B185" t="s">
        <v>342</v>
      </c>
      <c r="C185">
        <v>6</v>
      </c>
    </row>
    <row r="186" spans="1:10" x14ac:dyDescent="0.15">
      <c r="E186" t="s">
        <v>194</v>
      </c>
      <c r="F186">
        <f>SUM(F180:F183)/1000</f>
        <v>32.404000000000003</v>
      </c>
      <c r="G186">
        <f>SUM(G180:G183)/1000</f>
        <v>0</v>
      </c>
      <c r="H186">
        <f>SUM(H180:H183)</f>
        <v>3984</v>
      </c>
      <c r="I186" t="s">
        <v>196</v>
      </c>
      <c r="J186" t="s">
        <v>197</v>
      </c>
    </row>
    <row r="187" spans="1:10" x14ac:dyDescent="0.15">
      <c r="E187" t="s">
        <v>195</v>
      </c>
      <c r="F187">
        <f>INT((IF($A178&gt;10000,VLOOKUP($A178,实战属性,13,FALSE),VLOOKUP($A178,总基本属性,7,FALSE))-
IF($B178&gt;10000,VLOOKUP($B178,实战属性,15,FALSE),VLOOKUP($B178,总基本属性,9,FALSE))*$L$13)*F186)</f>
        <v>69846</v>
      </c>
      <c r="G187">
        <f>INT((IF($A178&gt;10000,VLOOKUP($A178,实战属性,14,FALSE),VLOOKUP($A178,总基本属性,8,FALSE))-
IF($B178&gt;10000,VLOOKUP($B178,实战属性,16,FALSE),VLOOKUP($B178,总基本属性,10,FALSE))*$L$13)*G186)</f>
        <v>0</v>
      </c>
      <c r="H187">
        <f>H186+F187+G187</f>
        <v>73830</v>
      </c>
      <c r="I187">
        <f>IF($B178&gt;10000,VLOOKUP($B178,实战属性,12,FALSE),VLOOKUP($B178,总基本属性,6,FALSE))</f>
        <v>70632</v>
      </c>
      <c r="J187">
        <f>ROUND(I187/H187,2)</f>
        <v>0.96</v>
      </c>
    </row>
    <row r="191" spans="1:10" x14ac:dyDescent="0.15">
      <c r="A191" s="8" t="s">
        <v>4</v>
      </c>
      <c r="B191" s="8" t="s">
        <v>3</v>
      </c>
      <c r="C191" s="8" t="s">
        <v>178</v>
      </c>
      <c r="D191" s="8" t="s">
        <v>0</v>
      </c>
    </row>
    <row r="192" spans="1:10" x14ac:dyDescent="0.15">
      <c r="A192">
        <f>A165+10</f>
        <v>3070</v>
      </c>
      <c r="B192">
        <f>B165+10</f>
        <v>2070</v>
      </c>
      <c r="C192">
        <v>27</v>
      </c>
      <c r="D192">
        <f>MOD(A192,1000)</f>
        <v>70</v>
      </c>
    </row>
    <row r="193" spans="1:10" x14ac:dyDescent="0.15">
      <c r="A193" t="s">
        <v>156</v>
      </c>
      <c r="B193" t="s">
        <v>95</v>
      </c>
      <c r="C193" t="s">
        <v>142</v>
      </c>
      <c r="D193" t="s">
        <v>143</v>
      </c>
      <c r="E193" t="s">
        <v>182</v>
      </c>
      <c r="F193" t="s">
        <v>192</v>
      </c>
      <c r="G193" t="s">
        <v>193</v>
      </c>
      <c r="H193" t="s">
        <v>176</v>
      </c>
      <c r="I193" t="s">
        <v>205</v>
      </c>
      <c r="J193" t="s">
        <v>206</v>
      </c>
    </row>
    <row r="194" spans="1:10" x14ac:dyDescent="0.15">
      <c r="A194">
        <v>32</v>
      </c>
      <c r="B194" t="s">
        <v>26</v>
      </c>
      <c r="C194">
        <f>INT(C192/(VLOOKUP(A194,技能参数,5,FALSE)+2*VLOOKUP(A194,技能参数,4,FALSE))+3)</f>
        <v>4</v>
      </c>
      <c r="D194">
        <f>VLOOKUP(A194,技能参数,4,FALSE)</f>
        <v>1</v>
      </c>
      <c r="E194">
        <f>IFERROR(VLOOKUP(A194*1000+D192,学习等级编码,2),0)</f>
        <v>3207</v>
      </c>
      <c r="F194">
        <f>IFERROR(INT(VLOOKUP($E194,技能升级,9,FALSE)*$C194*I194*J194),0)</f>
        <v>0</v>
      </c>
      <c r="G194">
        <f>IFERROR(INT(VLOOKUP($E194,技能升级,10,FALSE)*$C194*I194*J194),0)</f>
        <v>5920</v>
      </c>
      <c r="H194">
        <f>INT(VLOOKUP($E194,技能升级,11,FALSE)*$C194*I194*J194)</f>
        <v>1316</v>
      </c>
      <c r="I194">
        <v>1</v>
      </c>
      <c r="J194">
        <v>1</v>
      </c>
    </row>
    <row r="195" spans="1:10" x14ac:dyDescent="0.15">
      <c r="A195">
        <v>34</v>
      </c>
      <c r="B195" t="s">
        <v>34</v>
      </c>
      <c r="C195">
        <f>INT(C192/(VLOOKUP(A195,技能参数,5,FALSE)+2*VLOOKUP(A195,技能参数,4,FALSE))+1)</f>
        <v>2</v>
      </c>
      <c r="D195">
        <f>VLOOKUP(A195,技能参数,4,FALSE)</f>
        <v>1.5</v>
      </c>
      <c r="E195">
        <f>IFERROR(VLOOKUP(A195*1000+D192,学习等级编码,2),0)</f>
        <v>3407</v>
      </c>
      <c r="F195">
        <f>IFERROR(INT(VLOOKUP($E195,技能升级,9,FALSE)*$C195*I195*J195),0)</f>
        <v>4000</v>
      </c>
      <c r="G195">
        <f>IFERROR(INT(VLOOKUP($E195,技能升级,10,FALSE)*$C195*I195*J195),0)</f>
        <v>0</v>
      </c>
      <c r="H195">
        <f>INT(VLOOKUP($E195,技能升级,11,FALSE)*$C195*I195*J195)</f>
        <v>760</v>
      </c>
      <c r="I195">
        <v>1</v>
      </c>
      <c r="J195">
        <v>1</v>
      </c>
    </row>
    <row r="196" spans="1:10" x14ac:dyDescent="0.15">
      <c r="A196">
        <v>35</v>
      </c>
      <c r="B196" t="s">
        <v>28</v>
      </c>
      <c r="C196">
        <v>3</v>
      </c>
      <c r="D196">
        <f>VLOOKUP(A196,技能参数,4,FALSE)</f>
        <v>2</v>
      </c>
      <c r="E196">
        <f>IFERROR(VLOOKUP(A196*1000+D192,学习等级编码,2),0)</f>
        <v>3505</v>
      </c>
      <c r="F196">
        <f>IFERROR(INT(VLOOKUP($E196,技能升级,9,FALSE)*$C196*I196*J196),0)</f>
        <v>8010</v>
      </c>
      <c r="G196">
        <f>IFERROR(INT(VLOOKUP($E196,技能升级,10,FALSE)*$C196*I196*J196),0)</f>
        <v>0</v>
      </c>
      <c r="H196">
        <f>INT(VLOOKUP($E196,技能升级,11,FALSE)*$C196*I196*J196)</f>
        <v>1263</v>
      </c>
      <c r="I196">
        <v>1</v>
      </c>
      <c r="J196">
        <v>1</v>
      </c>
    </row>
    <row r="197" spans="1:10" x14ac:dyDescent="0.15">
      <c r="A197">
        <v>31</v>
      </c>
      <c r="B197" t="s">
        <v>91</v>
      </c>
      <c r="C197">
        <f>INT((C192-C194*D194-C195*D195-C196*D196-C199)/D197)</f>
        <v>9</v>
      </c>
      <c r="D197">
        <f>VLOOKUP(A197,技能参数,4,FALSE)</f>
        <v>0.8</v>
      </c>
      <c r="E197">
        <f>IFERROR(VLOOKUP(A197*1000+D192,学习等级编码,2),0)</f>
        <v>3111</v>
      </c>
      <c r="F197">
        <f>IFERROR(INT(VLOOKUP($E197,技能升级,9,FALSE)*$C197*I197*J197),0)</f>
        <v>10890</v>
      </c>
      <c r="G197">
        <f>IFERROR(INT(VLOOKUP($E197,技能升级,10,FALSE)*$C197*I197*J197),0)</f>
        <v>0</v>
      </c>
      <c r="H197">
        <f>INT(VLOOKUP($E197,技能升级,11,FALSE)*$C197*I197*J197)</f>
        <v>3654</v>
      </c>
      <c r="I197">
        <v>1</v>
      </c>
      <c r="J197">
        <v>1</v>
      </c>
    </row>
    <row r="198" spans="1:10" x14ac:dyDescent="0.15">
      <c r="A198">
        <v>203</v>
      </c>
      <c r="B198" t="s">
        <v>340</v>
      </c>
      <c r="C198">
        <f>INT((C192)/3)</f>
        <v>9</v>
      </c>
      <c r="D198">
        <v>0</v>
      </c>
      <c r="E198">
        <f>IFERROR(VLOOKUP(A198*1000+D192,学习等级编码,2),0)</f>
        <v>20307</v>
      </c>
      <c r="F198">
        <f>IFERROR(INT(VLOOKUP($E198,技能升级,9,FALSE)*$C198*I198*J198),0)</f>
        <v>0</v>
      </c>
      <c r="G198">
        <f>IFERROR(INT(VLOOKUP($E198,技能升级,10,FALSE)*$C198*I198*J198),0)</f>
        <v>0</v>
      </c>
      <c r="H198">
        <f>INT((VLOOKUP(E198,技能升级,13,FALSE)*(VLOOKUP(C198,中毒数据,4)+MOD(C192,3)*VLOOKUP(C198+1,中毒数据,3))+VLOOKUP(E198,技能升级,14,FALSE)/1000*C198*IF($B192&gt;10000,VLOOKUP($B192,实战属性,12,FALSE),VLOOKUP($B192,总基本属性,6,FALSE)))*I198*J198)</f>
        <v>51613</v>
      </c>
      <c r="I198">
        <v>1</v>
      </c>
      <c r="J198">
        <v>1</v>
      </c>
    </row>
    <row r="199" spans="1:10" x14ac:dyDescent="0.15">
      <c r="B199" t="s">
        <v>411</v>
      </c>
      <c r="C199">
        <f>C208*1.5+2</f>
        <v>6.5</v>
      </c>
    </row>
    <row r="200" spans="1:10" x14ac:dyDescent="0.15">
      <c r="E200" t="s">
        <v>194</v>
      </c>
      <c r="F200">
        <f>SUM(F194:F198)/1000</f>
        <v>22.9</v>
      </c>
      <c r="G200">
        <f>SUM(G194:G198)/1000</f>
        <v>5.92</v>
      </c>
      <c r="H200">
        <f>SUM(H194:H198)</f>
        <v>58606</v>
      </c>
      <c r="I200" t="s">
        <v>196</v>
      </c>
      <c r="J200" t="s">
        <v>197</v>
      </c>
    </row>
    <row r="201" spans="1:10" x14ac:dyDescent="0.15">
      <c r="E201" t="s">
        <v>195</v>
      </c>
      <c r="F201">
        <f>INT((IF($A192&gt;10000,VLOOKUP($A192,实战属性,13,FALSE),VLOOKUP($A192,总基本属性,7,FALSE))-
IF($B192&gt;10000,VLOOKUP($B192,实战属性,15,FALSE),VLOOKUP($B192,总基本属性,9,FALSE))*$L$13)*F200)</f>
        <v>37659</v>
      </c>
      <c r="G201">
        <f>INT((IF($A192&gt;10000,VLOOKUP($A192,实战属性,14,FALSE),VLOOKUP($A192,总基本属性,8,FALSE))-
IF($B192&gt;10000,VLOOKUP($B192,实战属性,16,FALSE),VLOOKUP($B192,总基本属性,10,FALSE))*$L$13)*G200)</f>
        <v>10691</v>
      </c>
      <c r="H201">
        <f>H200+F201+G201</f>
        <v>106956</v>
      </c>
      <c r="I201">
        <f>IF($B192&gt;10000,VLOOKUP($B192,实战属性,12,FALSE),VLOOKUP($B192,总基本属性,6,FALSE))</f>
        <v>105480</v>
      </c>
      <c r="J201">
        <f>ROUND(I201/H201,2)</f>
        <v>0.99</v>
      </c>
    </row>
    <row r="204" spans="1:10" x14ac:dyDescent="0.15">
      <c r="A204" s="9" t="s">
        <v>3</v>
      </c>
      <c r="B204" s="9" t="s">
        <v>4</v>
      </c>
      <c r="C204" s="9" t="s">
        <v>178</v>
      </c>
      <c r="D204" s="9" t="s">
        <v>0</v>
      </c>
    </row>
    <row r="205" spans="1:10" x14ac:dyDescent="0.15">
      <c r="A205">
        <f>A178+10</f>
        <v>2070</v>
      </c>
      <c r="B205">
        <f>B178+10</f>
        <v>3070</v>
      </c>
      <c r="C205">
        <v>27</v>
      </c>
      <c r="D205">
        <f>MOD(A205,1000)</f>
        <v>70</v>
      </c>
    </row>
    <row r="206" spans="1:10" x14ac:dyDescent="0.15">
      <c r="A206" t="s">
        <v>156</v>
      </c>
      <c r="B206" t="s">
        <v>95</v>
      </c>
      <c r="C206" t="s">
        <v>177</v>
      </c>
      <c r="D206" t="s">
        <v>143</v>
      </c>
      <c r="E206" t="s">
        <v>182</v>
      </c>
      <c r="F206" t="s">
        <v>192</v>
      </c>
      <c r="G206" t="s">
        <v>193</v>
      </c>
      <c r="H206" t="s">
        <v>176</v>
      </c>
      <c r="I206" t="s">
        <v>205</v>
      </c>
      <c r="J206" t="s">
        <v>206</v>
      </c>
    </row>
    <row r="207" spans="1:10" x14ac:dyDescent="0.15">
      <c r="A207">
        <v>25</v>
      </c>
      <c r="B207" t="s">
        <v>23</v>
      </c>
      <c r="C207">
        <v>1</v>
      </c>
      <c r="D207">
        <f>VLOOKUP(A207,技能参数,4,FALSE)</f>
        <v>2</v>
      </c>
      <c r="E207">
        <f>IFERROR(VLOOKUP(A207*1000+D205,学习等级编码,2),0)</f>
        <v>2505</v>
      </c>
      <c r="F207">
        <f t="shared" ref="F207" si="23">IFERROR(INT(VLOOKUP($E207,技能升级,9,FALSE)*$C207*I207*J207),0)</f>
        <v>6000</v>
      </c>
      <c r="G207">
        <f t="shared" ref="G207:G210" si="24">IFERROR(INT(VLOOKUP($E207,技能升级,10,FALSE)*$C207*I207*J207),0)</f>
        <v>0</v>
      </c>
      <c r="H207">
        <f>INT(VLOOKUP($E207,技能升级,11,FALSE)*$C207*I207*J207)</f>
        <v>441</v>
      </c>
      <c r="I207">
        <v>1</v>
      </c>
      <c r="J207">
        <v>1</v>
      </c>
    </row>
    <row r="208" spans="1:10" x14ac:dyDescent="0.15">
      <c r="A208">
        <v>23</v>
      </c>
      <c r="B208" t="s">
        <v>24</v>
      </c>
      <c r="C208">
        <f>INT((C205-D208-D209*3)/(VLOOKUP(A208,技能参数,5,FALSE)+2*VLOOKUP(A208,技能参数,4,FALSE))+1)+1</f>
        <v>3</v>
      </c>
      <c r="D208">
        <f>VLOOKUP(A208,技能参数,4,FALSE)</f>
        <v>1</v>
      </c>
      <c r="E208">
        <f>IFERROR(VLOOKUP(A208*1000+D205,学习等级编码,2),0)</f>
        <v>2307</v>
      </c>
      <c r="F208">
        <f>IFERROR(INT(VLOOKUP($E208,技能升级,9,FALSE)*$C208*I208*J208),0)</f>
        <v>3600</v>
      </c>
      <c r="G208">
        <f t="shared" si="24"/>
        <v>0</v>
      </c>
      <c r="H208">
        <f>INT(VLOOKUP($E208,技能升级,11,FALSE)*$C208*I208*J208)</f>
        <v>1047</v>
      </c>
      <c r="I208">
        <v>1</v>
      </c>
      <c r="J208">
        <v>1</v>
      </c>
    </row>
    <row r="209" spans="1:10" x14ac:dyDescent="0.15">
      <c r="A209">
        <v>22</v>
      </c>
      <c r="B209" t="s">
        <v>22</v>
      </c>
      <c r="C209">
        <f>INT((C205-D208-D209*3)/(VLOOKUP(A209,技能参数,5,FALSE)+2*VLOOKUP(A209,技能参数,4,FALSE))+1)+3</f>
        <v>5</v>
      </c>
      <c r="D209">
        <f>VLOOKUP(A209,技能参数,4,FALSE)</f>
        <v>1.5</v>
      </c>
      <c r="E209">
        <f>IFERROR(VLOOKUP(A209*1000+D205,学习等级编码,2),0)</f>
        <v>2207</v>
      </c>
      <c r="F209">
        <f t="shared" ref="F209" si="25">IFERROR(INT(VLOOKUP($E209,技能升级,9,FALSE)*$C209*I209*J209),0)</f>
        <v>17380</v>
      </c>
      <c r="G209">
        <f t="shared" si="24"/>
        <v>0</v>
      </c>
      <c r="H209">
        <f>INT(VLOOKUP($E209,技能升级,11,FALSE)*$C209*I209*J209)</f>
        <v>2039</v>
      </c>
      <c r="I209">
        <v>1</v>
      </c>
      <c r="J209">
        <f>VLOOKUP(A205,$A$2:$H$21,7,FALSE)</f>
        <v>1.1360000000000003</v>
      </c>
    </row>
    <row r="210" spans="1:10" x14ac:dyDescent="0.15">
      <c r="A210">
        <v>21</v>
      </c>
      <c r="B210" t="s">
        <v>90</v>
      </c>
      <c r="C210">
        <f>INT((C205-C207*D207-C208*D208-C209*D209-C211-C212)/D210)</f>
        <v>5</v>
      </c>
      <c r="D210">
        <f>VLOOKUP(A210,技能参数,4,FALSE)</f>
        <v>1</v>
      </c>
      <c r="E210">
        <f>IFERROR(VLOOKUP(A210*1000+D205,学习等级编码,2),0)</f>
        <v>2111</v>
      </c>
      <c r="F210">
        <f>IFERROR(INT(VLOOKUP($E210,技能升级,9,FALSE)*$C210*I210*J210),0)</f>
        <v>7724</v>
      </c>
      <c r="G210">
        <f t="shared" si="24"/>
        <v>0</v>
      </c>
      <c r="H210">
        <f>INT(VLOOKUP($E210,技能升级,11,FALSE)*$C210*I210*J210)</f>
        <v>2306</v>
      </c>
      <c r="I210">
        <v>1</v>
      </c>
      <c r="J210">
        <f>VLOOKUP(A205,$A$2:$H$21,7,FALSE)</f>
        <v>1.1360000000000003</v>
      </c>
    </row>
    <row r="211" spans="1:10" x14ac:dyDescent="0.15">
      <c r="A211">
        <v>204</v>
      </c>
      <c r="B211" t="s">
        <v>338</v>
      </c>
      <c r="C211">
        <v>3</v>
      </c>
    </row>
    <row r="212" spans="1:10" x14ac:dyDescent="0.15">
      <c r="B212" t="s">
        <v>342</v>
      </c>
      <c r="C212">
        <v>6</v>
      </c>
    </row>
    <row r="213" spans="1:10" x14ac:dyDescent="0.15">
      <c r="E213" t="s">
        <v>194</v>
      </c>
      <c r="F213">
        <f>SUM(F207:F210)/1000</f>
        <v>34.704000000000001</v>
      </c>
      <c r="G213">
        <f>SUM(G207:G210)/1000</f>
        <v>0</v>
      </c>
      <c r="H213">
        <f>SUM(H207:H210)</f>
        <v>5833</v>
      </c>
      <c r="I213" t="s">
        <v>196</v>
      </c>
      <c r="J213" t="s">
        <v>197</v>
      </c>
    </row>
    <row r="214" spans="1:10" x14ac:dyDescent="0.15">
      <c r="E214" t="s">
        <v>195</v>
      </c>
      <c r="F214">
        <f>INT((IF($A205&gt;10000,VLOOKUP($A205,实战属性,13,FALSE),VLOOKUP($A205,总基本属性,7,FALSE))-
IF($B205&gt;10000,VLOOKUP($B205,实战属性,15,FALSE),VLOOKUP($B205,总基本属性,9,FALSE))*$L$13)*F213)</f>
        <v>93197</v>
      </c>
      <c r="G214">
        <f>INT((IF($A205&gt;10000,VLOOKUP($A205,实战属性,14,FALSE),VLOOKUP($A205,总基本属性,8,FALSE))-
IF($B205&gt;10000,VLOOKUP($B205,实战属性,16,FALSE),VLOOKUP($B205,总基本属性,10,FALSE))*$L$13)*G213)</f>
        <v>0</v>
      </c>
      <c r="H214">
        <f>H213+F214+G214</f>
        <v>99030</v>
      </c>
      <c r="I214">
        <f>IF($B205&gt;10000,VLOOKUP($B205,实战属性,12,FALSE),VLOOKUP($B205,总基本属性,6,FALSE))</f>
        <v>94932</v>
      </c>
      <c r="J214">
        <f>ROUND(I214/H214,2)</f>
        <v>0.96</v>
      </c>
    </row>
    <row r="218" spans="1:10" x14ac:dyDescent="0.15">
      <c r="A218" s="8" t="s">
        <v>4</v>
      </c>
      <c r="B218" s="8" t="s">
        <v>3</v>
      </c>
      <c r="C218" s="8" t="s">
        <v>178</v>
      </c>
      <c r="D218" s="8" t="s">
        <v>0</v>
      </c>
    </row>
    <row r="219" spans="1:10" x14ac:dyDescent="0.15">
      <c r="A219">
        <f>A192+10</f>
        <v>3080</v>
      </c>
      <c r="B219">
        <f>B192+10</f>
        <v>2080</v>
      </c>
      <c r="C219">
        <v>27</v>
      </c>
      <c r="D219">
        <f>MOD(A219,1000)</f>
        <v>80</v>
      </c>
    </row>
    <row r="220" spans="1:10" x14ac:dyDescent="0.15">
      <c r="A220" t="s">
        <v>156</v>
      </c>
      <c r="B220" t="s">
        <v>95</v>
      </c>
      <c r="C220" t="s">
        <v>142</v>
      </c>
      <c r="D220" t="s">
        <v>143</v>
      </c>
      <c r="E220" t="s">
        <v>182</v>
      </c>
      <c r="F220" t="s">
        <v>192</v>
      </c>
      <c r="G220" t="s">
        <v>193</v>
      </c>
      <c r="H220" t="s">
        <v>176</v>
      </c>
      <c r="I220" t="s">
        <v>205</v>
      </c>
      <c r="J220" t="s">
        <v>206</v>
      </c>
    </row>
    <row r="221" spans="1:10" x14ac:dyDescent="0.15">
      <c r="A221">
        <v>32</v>
      </c>
      <c r="B221" t="s">
        <v>26</v>
      </c>
      <c r="C221">
        <f>INT(C219/(VLOOKUP(A221,技能参数,5,FALSE)+2*VLOOKUP(A221,技能参数,4,FALSE))+3)</f>
        <v>4</v>
      </c>
      <c r="D221">
        <f>VLOOKUP(A221,技能参数,4,FALSE)</f>
        <v>1</v>
      </c>
      <c r="E221">
        <f>IFERROR(VLOOKUP(A221*1000+D219,学习等级编码,2),0)</f>
        <v>3208</v>
      </c>
      <c r="F221">
        <f>IFERROR(INT(VLOOKUP($E221,技能升级,9,FALSE)*$C221*I221*J221),0)</f>
        <v>0</v>
      </c>
      <c r="G221">
        <f>IFERROR(INT(VLOOKUP($E221,技能升级,10,FALSE)*$C221*I221*J221),0)</f>
        <v>6120</v>
      </c>
      <c r="H221">
        <f>INT(VLOOKUP($E221,技能升级,11,FALSE)*$C221*I221*J221)</f>
        <v>1732</v>
      </c>
      <c r="I221">
        <v>1</v>
      </c>
      <c r="J221">
        <v>1</v>
      </c>
    </row>
    <row r="222" spans="1:10" x14ac:dyDescent="0.15">
      <c r="A222">
        <v>34</v>
      </c>
      <c r="B222" t="s">
        <v>34</v>
      </c>
      <c r="C222">
        <f>INT(C219/(VLOOKUP(A222,技能参数,5,FALSE)+2*VLOOKUP(A222,技能参数,4,FALSE))+1)</f>
        <v>2</v>
      </c>
      <c r="D222">
        <f>VLOOKUP(A222,技能参数,4,FALSE)</f>
        <v>1.5</v>
      </c>
      <c r="E222">
        <f>IFERROR(VLOOKUP(A222*1000+D219,学习等级编码,2),0)</f>
        <v>3408</v>
      </c>
      <c r="F222">
        <f>IFERROR(INT(VLOOKUP($E222,技能升级,9,FALSE)*$C222*I222*J222),0)</f>
        <v>4160</v>
      </c>
      <c r="G222">
        <f>IFERROR(INT(VLOOKUP($E222,技能升级,10,FALSE)*$C222*I222*J222),0)</f>
        <v>0</v>
      </c>
      <c r="H222">
        <f>INT(VLOOKUP($E222,技能升级,11,FALSE)*$C222*I222*J222)</f>
        <v>980</v>
      </c>
      <c r="I222">
        <v>1</v>
      </c>
      <c r="J222">
        <v>1</v>
      </c>
    </row>
    <row r="223" spans="1:10" x14ac:dyDescent="0.15">
      <c r="A223">
        <v>35</v>
      </c>
      <c r="B223" t="s">
        <v>28</v>
      </c>
      <c r="C223">
        <v>3</v>
      </c>
      <c r="D223">
        <f>VLOOKUP(A223,技能参数,4,FALSE)</f>
        <v>2</v>
      </c>
      <c r="E223">
        <f>IFERROR(VLOOKUP(A223*1000+D219,学习等级编码,2),0)</f>
        <v>3505</v>
      </c>
      <c r="F223">
        <f>IFERROR(INT(VLOOKUP($E223,技能升级,9,FALSE)*$C223*I223*J223),0)</f>
        <v>8010</v>
      </c>
      <c r="G223">
        <f>IFERROR(INT(VLOOKUP($E223,技能升级,10,FALSE)*$C223*I223*J223),0)</f>
        <v>0</v>
      </c>
      <c r="H223">
        <f>INT(VLOOKUP($E223,技能升级,11,FALSE)*$C223*I223*J223)</f>
        <v>1263</v>
      </c>
      <c r="I223">
        <v>1</v>
      </c>
      <c r="J223">
        <v>1</v>
      </c>
    </row>
    <row r="224" spans="1:10" x14ac:dyDescent="0.15">
      <c r="A224">
        <v>31</v>
      </c>
      <c r="B224" t="s">
        <v>91</v>
      </c>
      <c r="C224">
        <f>INT((C219-C221*D221-C222*D222-C223*D223-C226)/D224)</f>
        <v>9</v>
      </c>
      <c r="D224">
        <f>VLOOKUP(A224,技能参数,4,FALSE)</f>
        <v>0.8</v>
      </c>
      <c r="E224">
        <f>IFERROR(VLOOKUP(A224*1000+D219,学习等级编码,2),0)</f>
        <v>3112</v>
      </c>
      <c r="F224">
        <f>IFERROR(INT(VLOOKUP($E224,技能升级,9,FALSE)*$C224*I224*J224),0)</f>
        <v>11160</v>
      </c>
      <c r="G224">
        <f>IFERROR(INT(VLOOKUP($E224,技能升级,10,FALSE)*$C224*I224*J224),0)</f>
        <v>0</v>
      </c>
      <c r="H224">
        <f>INT(VLOOKUP($E224,技能升级,11,FALSE)*$C224*I224*J224)</f>
        <v>4383</v>
      </c>
      <c r="I224">
        <v>1</v>
      </c>
      <c r="J224">
        <v>1</v>
      </c>
    </row>
    <row r="225" spans="1:10" x14ac:dyDescent="0.15">
      <c r="A225">
        <v>203</v>
      </c>
      <c r="B225" t="s">
        <v>340</v>
      </c>
      <c r="C225">
        <f>INT((C219)/3)</f>
        <v>9</v>
      </c>
      <c r="D225">
        <v>0</v>
      </c>
      <c r="E225">
        <f>IFERROR(VLOOKUP(A225*1000+D219,学习等级编码,2),0)</f>
        <v>20308</v>
      </c>
      <c r="F225">
        <f>IFERROR(INT(VLOOKUP($E225,技能升级,9,FALSE)*$C225*I225*J225),0)</f>
        <v>0</v>
      </c>
      <c r="G225">
        <f>IFERROR(INT(VLOOKUP($E225,技能升级,10,FALSE)*$C225*I225*J225),0)</f>
        <v>0</v>
      </c>
      <c r="H225">
        <f>INT((VLOOKUP(E225,技能升级,13,FALSE)*(VLOOKUP(C225,中毒数据,4)+MOD(C219,3)*VLOOKUP(C225+1,中毒数据,3))+VLOOKUP(E225,技能升级,14,FALSE)/1000*C225*IF($B219&gt;10000,VLOOKUP($B219,实战属性,12,FALSE),VLOOKUP($B219,总基本属性,6,FALSE)))*I225*J225)</f>
        <v>61932</v>
      </c>
      <c r="I225">
        <v>1</v>
      </c>
      <c r="J225">
        <v>1</v>
      </c>
    </row>
    <row r="226" spans="1:10" x14ac:dyDescent="0.15">
      <c r="B226" t="s">
        <v>411</v>
      </c>
      <c r="C226">
        <f>C235*1.5+2</f>
        <v>6.5</v>
      </c>
    </row>
    <row r="227" spans="1:10" x14ac:dyDescent="0.15">
      <c r="E227" t="s">
        <v>194</v>
      </c>
      <c r="F227">
        <f>SUM(F221:F225)/1000</f>
        <v>23.33</v>
      </c>
      <c r="G227">
        <f>SUM(G221:G225)/1000</f>
        <v>6.12</v>
      </c>
      <c r="H227">
        <f>SUM(H221:H225)</f>
        <v>70290</v>
      </c>
      <c r="I227" t="s">
        <v>196</v>
      </c>
      <c r="J227" t="s">
        <v>197</v>
      </c>
    </row>
    <row r="228" spans="1:10" x14ac:dyDescent="0.15">
      <c r="E228" t="s">
        <v>195</v>
      </c>
      <c r="F228">
        <f>INT((IF($A219&gt;10000,VLOOKUP($A219,实战属性,13,FALSE),VLOOKUP($A219,总基本属性,7,FALSE))-
IF($B219&gt;10000,VLOOKUP($B219,实战属性,15,FALSE),VLOOKUP($B219,总基本属性,9,FALSE))*$L$13)*F227)</f>
        <v>49436</v>
      </c>
      <c r="G228">
        <f>INT((IF($A219&gt;10000,VLOOKUP($A219,实战属性,14,FALSE),VLOOKUP($A219,总基本属性,8,FALSE))-
IF($B219&gt;10000,VLOOKUP($B219,实战属性,16,FALSE),VLOOKUP($B219,总基本属性,10,FALSE))*$L$13)*G227)</f>
        <v>14241</v>
      </c>
      <c r="H228">
        <f>H227+F228+G228</f>
        <v>133967</v>
      </c>
      <c r="I228">
        <f>IF($B219&gt;10000,VLOOKUP($B219,实战属性,12,FALSE),VLOOKUP($B219,总基本属性,6,FALSE))</f>
        <v>136440</v>
      </c>
      <c r="J228">
        <f>ROUND(I228/H228,2)</f>
        <v>1.02</v>
      </c>
    </row>
    <row r="231" spans="1:10" x14ac:dyDescent="0.15">
      <c r="A231" s="9" t="s">
        <v>3</v>
      </c>
      <c r="B231" s="9" t="s">
        <v>4</v>
      </c>
      <c r="C231" s="9" t="s">
        <v>178</v>
      </c>
      <c r="D231" s="9" t="s">
        <v>0</v>
      </c>
    </row>
    <row r="232" spans="1:10" x14ac:dyDescent="0.15">
      <c r="A232">
        <f>A205+10</f>
        <v>2080</v>
      </c>
      <c r="B232">
        <f>B205+10</f>
        <v>3080</v>
      </c>
      <c r="C232">
        <v>27</v>
      </c>
      <c r="D232">
        <f>MOD(A232,1000)</f>
        <v>80</v>
      </c>
    </row>
    <row r="233" spans="1:10" x14ac:dyDescent="0.15">
      <c r="A233" t="s">
        <v>156</v>
      </c>
      <c r="B233" t="s">
        <v>95</v>
      </c>
      <c r="C233" t="s">
        <v>177</v>
      </c>
      <c r="D233" t="s">
        <v>143</v>
      </c>
      <c r="E233" t="s">
        <v>182</v>
      </c>
      <c r="F233" t="s">
        <v>192</v>
      </c>
      <c r="G233" t="s">
        <v>193</v>
      </c>
      <c r="H233" t="s">
        <v>176</v>
      </c>
      <c r="I233" t="s">
        <v>205</v>
      </c>
      <c r="J233" t="s">
        <v>206</v>
      </c>
    </row>
    <row r="234" spans="1:10" x14ac:dyDescent="0.15">
      <c r="A234">
        <v>25</v>
      </c>
      <c r="B234" t="s">
        <v>23</v>
      </c>
      <c r="C234">
        <v>1</v>
      </c>
      <c r="D234">
        <f>VLOOKUP(A234,技能参数,4,FALSE)</f>
        <v>2</v>
      </c>
      <c r="E234">
        <f>IFERROR(VLOOKUP(A234*1000+D232,学习等级编码,2),0)</f>
        <v>2505</v>
      </c>
      <c r="F234">
        <f t="shared" ref="F234" si="26">IFERROR(INT(VLOOKUP($E234,技能升级,9,FALSE)*$C234*I234*J234),0)</f>
        <v>6000</v>
      </c>
      <c r="G234">
        <f t="shared" ref="G234:G237" si="27">IFERROR(INT(VLOOKUP($E234,技能升级,10,FALSE)*$C234*I234*J234),0)</f>
        <v>0</v>
      </c>
      <c r="H234">
        <f>INT(VLOOKUP($E234,技能升级,11,FALSE)*$C234*I234*J234)</f>
        <v>441</v>
      </c>
      <c r="I234">
        <v>1</v>
      </c>
      <c r="J234">
        <v>1</v>
      </c>
    </row>
    <row r="235" spans="1:10" x14ac:dyDescent="0.15">
      <c r="A235">
        <v>23</v>
      </c>
      <c r="B235" t="s">
        <v>24</v>
      </c>
      <c r="C235">
        <f>INT((C232-D235-D236*3)/(VLOOKUP(A235,技能参数,5,FALSE)+2*VLOOKUP(A235,技能参数,4,FALSE))+1)+1</f>
        <v>3</v>
      </c>
      <c r="D235">
        <f>VLOOKUP(A235,技能参数,4,FALSE)</f>
        <v>1</v>
      </c>
      <c r="E235">
        <f>IFERROR(VLOOKUP(A235*1000+D232,学习等级编码,2),0)</f>
        <v>2308</v>
      </c>
      <c r="F235">
        <f>IFERROR(INT(VLOOKUP($E235,技能升级,9,FALSE)*$C235*I235*J235),0)</f>
        <v>3690</v>
      </c>
      <c r="G235">
        <f t="shared" si="27"/>
        <v>0</v>
      </c>
      <c r="H235">
        <f>INT(VLOOKUP($E235,技能升级,11,FALSE)*$C235*I235*J235)</f>
        <v>1371</v>
      </c>
      <c r="I235">
        <v>1</v>
      </c>
      <c r="J235">
        <v>1</v>
      </c>
    </row>
    <row r="236" spans="1:10" x14ac:dyDescent="0.15">
      <c r="A236">
        <v>22</v>
      </c>
      <c r="B236" t="s">
        <v>22</v>
      </c>
      <c r="C236">
        <f>INT((C232-D235-D236*3)/(VLOOKUP(A236,技能参数,5,FALSE)+2*VLOOKUP(A236,技能参数,4,FALSE))+1)+3</f>
        <v>5</v>
      </c>
      <c r="D236">
        <f>VLOOKUP(A236,技能参数,4,FALSE)</f>
        <v>1.5</v>
      </c>
      <c r="E236">
        <f>IFERROR(VLOOKUP(A236*1000+D232,学习等级编码,2),0)</f>
        <v>2208</v>
      </c>
      <c r="F236">
        <f t="shared" ref="F236" si="28">IFERROR(INT(VLOOKUP($E236,技能升级,9,FALSE)*$C236*I236*J236),0)</f>
        <v>18657</v>
      </c>
      <c r="G236">
        <f t="shared" si="27"/>
        <v>0</v>
      </c>
      <c r="H236">
        <f>INT(VLOOKUP($E236,技能升级,11,FALSE)*$C236*I236*J236)</f>
        <v>2768</v>
      </c>
      <c r="I236">
        <v>1</v>
      </c>
      <c r="J236">
        <f>VLOOKUP(A232,$A$2:$H$21,7,FALSE)</f>
        <v>1.1960000000000002</v>
      </c>
    </row>
    <row r="237" spans="1:10" x14ac:dyDescent="0.15">
      <c r="A237">
        <v>21</v>
      </c>
      <c r="B237" t="s">
        <v>90</v>
      </c>
      <c r="C237">
        <f>INT((C232-C234*D234-C235*D235-C236*D236-C238-C239)/D237)</f>
        <v>5</v>
      </c>
      <c r="D237">
        <f>VLOOKUP(A237,技能参数,4,FALSE)</f>
        <v>1</v>
      </c>
      <c r="E237">
        <f>IFERROR(VLOOKUP(A237*1000+D232,学习等级编码,2),0)</f>
        <v>2112</v>
      </c>
      <c r="F237">
        <f>IFERROR(INT(VLOOKUP($E237,技能升级,9,FALSE)*$C237*I237*J237),0)</f>
        <v>8312</v>
      </c>
      <c r="G237">
        <f t="shared" si="27"/>
        <v>0</v>
      </c>
      <c r="H237">
        <f>INT(VLOOKUP($E237,技能升级,11,FALSE)*$C237*I237*J237)</f>
        <v>2912</v>
      </c>
      <c r="I237">
        <v>1</v>
      </c>
      <c r="J237">
        <f>VLOOKUP(A232,$A$2:$H$21,7,FALSE)</f>
        <v>1.1960000000000002</v>
      </c>
    </row>
    <row r="238" spans="1:10" x14ac:dyDescent="0.15">
      <c r="A238">
        <v>204</v>
      </c>
      <c r="B238" t="s">
        <v>338</v>
      </c>
      <c r="C238">
        <v>3</v>
      </c>
    </row>
    <row r="239" spans="1:10" x14ac:dyDescent="0.15">
      <c r="B239" t="s">
        <v>342</v>
      </c>
      <c r="C239">
        <v>6</v>
      </c>
    </row>
    <row r="240" spans="1:10" x14ac:dyDescent="0.15">
      <c r="E240" t="s">
        <v>194</v>
      </c>
      <c r="F240">
        <f>SUM(F234:F237)/1000</f>
        <v>36.658999999999999</v>
      </c>
      <c r="G240">
        <f>SUM(G234:G237)/1000</f>
        <v>0</v>
      </c>
      <c r="H240">
        <f>SUM(H234:H237)</f>
        <v>7492</v>
      </c>
      <c r="I240" t="s">
        <v>196</v>
      </c>
      <c r="J240" t="s">
        <v>197</v>
      </c>
    </row>
    <row r="241" spans="1:10" x14ac:dyDescent="0.15">
      <c r="E241" t="s">
        <v>195</v>
      </c>
      <c r="F241">
        <f>INT((IF($A232&gt;10000,VLOOKUP($A232,实战属性,13,FALSE),VLOOKUP($A232,总基本属性,7,FALSE))-
IF($B232&gt;10000,VLOOKUP($B232,实战属性,15,FALSE),VLOOKUP($B232,总基本属性,9,FALSE))*$L$13)*F240)</f>
        <v>112103</v>
      </c>
      <c r="G241">
        <f>INT((IF($A232&gt;10000,VLOOKUP($A232,实战属性,14,FALSE),VLOOKUP($A232,总基本属性,8,FALSE))-
IF($B232&gt;10000,VLOOKUP($B232,实战属性,16,FALSE),VLOOKUP($B232,总基本属性,10,FALSE))*$L$13)*G240)</f>
        <v>0</v>
      </c>
      <c r="H241">
        <f>H240+F241+G241</f>
        <v>119595</v>
      </c>
      <c r="I241">
        <f>IF($B232&gt;10000,VLOOKUP($B232,实战属性,12,FALSE),VLOOKUP($B232,总基本属性,6,FALSE))</f>
        <v>122796</v>
      </c>
      <c r="J241">
        <f>ROUND(I241/H241,2)</f>
        <v>1.03</v>
      </c>
    </row>
    <row r="245" spans="1:10" x14ac:dyDescent="0.15">
      <c r="A245" s="8" t="s">
        <v>4</v>
      </c>
      <c r="B245" s="8" t="s">
        <v>3</v>
      </c>
      <c r="C245" s="8" t="s">
        <v>178</v>
      </c>
      <c r="D245" s="8" t="s">
        <v>0</v>
      </c>
    </row>
    <row r="246" spans="1:10" x14ac:dyDescent="0.15">
      <c r="A246">
        <f>A219+10</f>
        <v>3090</v>
      </c>
      <c r="B246">
        <f>B219+10</f>
        <v>2090</v>
      </c>
      <c r="C246">
        <v>26</v>
      </c>
      <c r="D246">
        <f>MOD(A246,1000)</f>
        <v>90</v>
      </c>
    </row>
    <row r="247" spans="1:10" x14ac:dyDescent="0.15">
      <c r="A247" t="s">
        <v>156</v>
      </c>
      <c r="B247" t="s">
        <v>95</v>
      </c>
      <c r="C247" t="s">
        <v>142</v>
      </c>
      <c r="D247" t="s">
        <v>143</v>
      </c>
      <c r="E247" t="s">
        <v>182</v>
      </c>
      <c r="F247" t="s">
        <v>192</v>
      </c>
      <c r="G247" t="s">
        <v>193</v>
      </c>
      <c r="H247" t="s">
        <v>176</v>
      </c>
      <c r="I247" t="s">
        <v>205</v>
      </c>
      <c r="J247" t="s">
        <v>206</v>
      </c>
    </row>
    <row r="248" spans="1:10" x14ac:dyDescent="0.15">
      <c r="A248">
        <v>32</v>
      </c>
      <c r="B248" t="s">
        <v>26</v>
      </c>
      <c r="C248">
        <f>INT(C246/(VLOOKUP(A248,技能参数,5,FALSE)+2*VLOOKUP(A248,技能参数,4,FALSE))+3)</f>
        <v>4</v>
      </c>
      <c r="D248">
        <f>VLOOKUP(A248,技能参数,4,FALSE)</f>
        <v>1</v>
      </c>
      <c r="E248">
        <f>IFERROR(VLOOKUP(A248*1000+D246,学习等级编码,2),0)</f>
        <v>3209</v>
      </c>
      <c r="F248">
        <f>IFERROR(INT(VLOOKUP($E248,技能升级,9,FALSE)*$C248*I248*J248),0)</f>
        <v>0</v>
      </c>
      <c r="G248">
        <f>IFERROR(INT(VLOOKUP($E248,技能升级,10,FALSE)*$C248*I248*J248),0)</f>
        <v>6280</v>
      </c>
      <c r="H248">
        <f>INT(VLOOKUP($E248,技能升级,11,FALSE)*$C248*I248*J248)</f>
        <v>2208</v>
      </c>
      <c r="I248">
        <v>1</v>
      </c>
      <c r="J248">
        <v>1</v>
      </c>
    </row>
    <row r="249" spans="1:10" x14ac:dyDescent="0.15">
      <c r="A249">
        <v>34</v>
      </c>
      <c r="B249" t="s">
        <v>34</v>
      </c>
      <c r="C249">
        <f>INT(C246/(VLOOKUP(A249,技能参数,5,FALSE)+2*VLOOKUP(A249,技能参数,4,FALSE))+1)</f>
        <v>2</v>
      </c>
      <c r="D249">
        <f>VLOOKUP(A249,技能参数,4,FALSE)</f>
        <v>1.5</v>
      </c>
      <c r="E249">
        <f>IFERROR(VLOOKUP(A249*1000+D246,学习等级编码,2),0)</f>
        <v>3409</v>
      </c>
      <c r="F249">
        <f>IFERROR(INT(VLOOKUP($E249,技能升级,9,FALSE)*$C249*I249*J249),0)</f>
        <v>4340</v>
      </c>
      <c r="G249">
        <f>IFERROR(INT(VLOOKUP($E249,技能升级,10,FALSE)*$C249*I249*J249),0)</f>
        <v>0</v>
      </c>
      <c r="H249">
        <f>INT(VLOOKUP($E249,技能升级,11,FALSE)*$C249*I249*J249)</f>
        <v>1230</v>
      </c>
      <c r="I249">
        <v>1</v>
      </c>
      <c r="J249">
        <v>1</v>
      </c>
    </row>
    <row r="250" spans="1:10" x14ac:dyDescent="0.15">
      <c r="A250">
        <v>35</v>
      </c>
      <c r="B250" t="s">
        <v>28</v>
      </c>
      <c r="C250">
        <v>3</v>
      </c>
      <c r="D250">
        <f>VLOOKUP(A250,技能参数,4,FALSE)</f>
        <v>2</v>
      </c>
      <c r="E250">
        <f>IFERROR(VLOOKUP(A250*1000+D246,学习等级编码,2),0)</f>
        <v>3506</v>
      </c>
      <c r="F250">
        <f>IFERROR(INT(VLOOKUP($E250,技能升级,9,FALSE)*$C250*I250*J250),0)</f>
        <v>8490</v>
      </c>
      <c r="G250">
        <f>IFERROR(INT(VLOOKUP($E250,技能升级,10,FALSE)*$C250*I250*J250),0)</f>
        <v>0</v>
      </c>
      <c r="H250">
        <f>INT(VLOOKUP($E250,技能升级,11,FALSE)*$C250*I250*J250)</f>
        <v>1836</v>
      </c>
      <c r="I250">
        <v>1</v>
      </c>
      <c r="J250">
        <v>1</v>
      </c>
    </row>
    <row r="251" spans="1:10" x14ac:dyDescent="0.15">
      <c r="A251">
        <v>31</v>
      </c>
      <c r="B251" t="s">
        <v>91</v>
      </c>
      <c r="C251">
        <f>INT((C246-C248*D248-C249*D249-C250*D250-C253)/D251)</f>
        <v>8</v>
      </c>
      <c r="D251">
        <f>VLOOKUP(A251,技能参数,4,FALSE)</f>
        <v>0.8</v>
      </c>
      <c r="E251">
        <f>IFERROR(VLOOKUP(A251*1000+D246,学习等级编码,2),0)</f>
        <v>3114</v>
      </c>
      <c r="F251">
        <f>IFERROR(INT(VLOOKUP($E251,技能升级,9,FALSE)*$C251*I251*J251),0)</f>
        <v>10240</v>
      </c>
      <c r="G251">
        <f>IFERROR(INT(VLOOKUP($E251,技能升级,10,FALSE)*$C251*I251*J251),0)</f>
        <v>0</v>
      </c>
      <c r="H251">
        <f>INT(VLOOKUP($E251,技能升级,11,FALSE)*$C251*I251*J251)</f>
        <v>5336</v>
      </c>
      <c r="I251">
        <v>1</v>
      </c>
      <c r="J251">
        <v>1</v>
      </c>
    </row>
    <row r="252" spans="1:10" x14ac:dyDescent="0.15">
      <c r="A252">
        <v>203</v>
      </c>
      <c r="B252" t="s">
        <v>340</v>
      </c>
      <c r="C252">
        <f>INT((C246)/3)</f>
        <v>8</v>
      </c>
      <c r="D252">
        <v>0</v>
      </c>
      <c r="E252">
        <f>IFERROR(VLOOKUP(A252*1000+D246,学习等级编码,2),0)</f>
        <v>20309</v>
      </c>
      <c r="F252">
        <f>IFERROR(INT(VLOOKUP($E252,技能升级,9,FALSE)*$C252*I252*J252),0)</f>
        <v>0</v>
      </c>
      <c r="G252">
        <f>IFERROR(INT(VLOOKUP($E252,技能升级,10,FALSE)*$C252*I252*J252),0)</f>
        <v>0</v>
      </c>
      <c r="H252">
        <f>INT((VLOOKUP(E252,技能升级,13,FALSE)*(VLOOKUP(C252,中毒数据,4)+MOD(C246,3)*VLOOKUP(C252+1,中毒数据,3))+VLOOKUP(E252,技能升级,14,FALSE)/1000*C252*IF($B246&gt;10000,VLOOKUP($B246,实战属性,12,FALSE),VLOOKUP($B246,总基本属性,6,FALSE)))*I252*J252)</f>
        <v>76494</v>
      </c>
      <c r="I252">
        <v>1</v>
      </c>
      <c r="J252">
        <v>1</v>
      </c>
    </row>
    <row r="253" spans="1:10" x14ac:dyDescent="0.15">
      <c r="B253" t="s">
        <v>411</v>
      </c>
      <c r="C253">
        <f>C262*1.5+2</f>
        <v>6.5</v>
      </c>
    </row>
    <row r="254" spans="1:10" x14ac:dyDescent="0.15">
      <c r="E254" t="s">
        <v>194</v>
      </c>
      <c r="F254">
        <f>SUM(F248:F252)/1000</f>
        <v>23.07</v>
      </c>
      <c r="G254">
        <f>SUM(G248:G252)/1000</f>
        <v>6.28</v>
      </c>
      <c r="H254">
        <f>SUM(H248:H252)</f>
        <v>87104</v>
      </c>
      <c r="I254" t="s">
        <v>196</v>
      </c>
      <c r="J254" t="s">
        <v>197</v>
      </c>
    </row>
    <row r="255" spans="1:10" x14ac:dyDescent="0.15">
      <c r="E255" t="s">
        <v>195</v>
      </c>
      <c r="F255">
        <f>INT((IF($A246&gt;10000,VLOOKUP($A246,实战属性,13,FALSE),VLOOKUP($A246,总基本属性,7,FALSE))-
IF($B246&gt;10000,VLOOKUP($B246,实战属性,15,FALSE),VLOOKUP($B246,总基本属性,9,FALSE))*$L$13)*F254)</f>
        <v>61239</v>
      </c>
      <c r="G255">
        <f>INT((IF($A246&gt;10000,VLOOKUP($A246,实战属性,14,FALSE),VLOOKUP($A246,总基本属性,8,FALSE))-
IF($B246&gt;10000,VLOOKUP($B246,实战属性,16,FALSE),VLOOKUP($B246,总基本属性,10,FALSE))*$L$13)*G254)</f>
        <v>18306</v>
      </c>
      <c r="H255">
        <f>H254+F255+G255</f>
        <v>166649</v>
      </c>
      <c r="I255">
        <f>IF($B246&gt;10000,VLOOKUP($B246,实战属性,12,FALSE),VLOOKUP($B246,总基本属性,6,FALSE))</f>
        <v>171480</v>
      </c>
      <c r="J255">
        <f>ROUND(I255/H255,2)</f>
        <v>1.03</v>
      </c>
    </row>
    <row r="258" spans="1:10" x14ac:dyDescent="0.15">
      <c r="A258" s="9" t="s">
        <v>3</v>
      </c>
      <c r="B258" s="9" t="s">
        <v>4</v>
      </c>
      <c r="C258" s="9" t="s">
        <v>178</v>
      </c>
      <c r="D258" s="9" t="s">
        <v>0</v>
      </c>
    </row>
    <row r="259" spans="1:10" x14ac:dyDescent="0.15">
      <c r="A259">
        <f>A232+10</f>
        <v>2090</v>
      </c>
      <c r="B259">
        <f>B232+10</f>
        <v>3090</v>
      </c>
      <c r="C259">
        <v>26</v>
      </c>
      <c r="D259">
        <f>MOD(A259,1000)</f>
        <v>90</v>
      </c>
    </row>
    <row r="260" spans="1:10" x14ac:dyDescent="0.15">
      <c r="A260" t="s">
        <v>156</v>
      </c>
      <c r="B260" t="s">
        <v>95</v>
      </c>
      <c r="C260" t="s">
        <v>177</v>
      </c>
      <c r="D260" t="s">
        <v>143</v>
      </c>
      <c r="E260" t="s">
        <v>182</v>
      </c>
      <c r="F260" t="s">
        <v>192</v>
      </c>
      <c r="G260" t="s">
        <v>193</v>
      </c>
      <c r="H260" t="s">
        <v>176</v>
      </c>
      <c r="I260" t="s">
        <v>205</v>
      </c>
      <c r="J260" t="s">
        <v>206</v>
      </c>
    </row>
    <row r="261" spans="1:10" x14ac:dyDescent="0.15">
      <c r="A261">
        <v>25</v>
      </c>
      <c r="B261" t="s">
        <v>23</v>
      </c>
      <c r="C261">
        <v>1</v>
      </c>
      <c r="D261">
        <f>VLOOKUP(A261,技能参数,4,FALSE)</f>
        <v>2</v>
      </c>
      <c r="E261">
        <f>IFERROR(VLOOKUP(A261*1000+D259,学习等级编码,2),0)</f>
        <v>2506</v>
      </c>
      <c r="F261">
        <f t="shared" ref="F261" si="29">IFERROR(INT(VLOOKUP($E261,技能升级,9,FALSE)*$C261*I261*J261),0)</f>
        <v>6250</v>
      </c>
      <c r="G261">
        <f t="shared" ref="G261:G264" si="30">IFERROR(INT(VLOOKUP($E261,技能升级,10,FALSE)*$C261*I261*J261),0)</f>
        <v>0</v>
      </c>
      <c r="H261">
        <f>INT(VLOOKUP($E261,技能升级,11,FALSE)*$C261*I261*J261)</f>
        <v>632</v>
      </c>
      <c r="I261">
        <v>1</v>
      </c>
      <c r="J261">
        <v>1</v>
      </c>
    </row>
    <row r="262" spans="1:10" x14ac:dyDescent="0.15">
      <c r="A262">
        <v>23</v>
      </c>
      <c r="B262" t="s">
        <v>24</v>
      </c>
      <c r="C262">
        <f>INT((C259-D262-D263*3)/(VLOOKUP(A262,技能参数,5,FALSE)+2*VLOOKUP(A262,技能参数,4,FALSE))+1)+1</f>
        <v>3</v>
      </c>
      <c r="D262">
        <f>VLOOKUP(A262,技能参数,4,FALSE)</f>
        <v>1</v>
      </c>
      <c r="E262">
        <f>IFERROR(VLOOKUP(A262*1000+D259,学习等级编码,2),0)</f>
        <v>2309</v>
      </c>
      <c r="F262">
        <f>IFERROR(INT(VLOOKUP($E262,技能升级,9,FALSE)*$C262*I262*J262),0)</f>
        <v>3810</v>
      </c>
      <c r="G262">
        <f t="shared" si="30"/>
        <v>0</v>
      </c>
      <c r="H262">
        <f>INT(VLOOKUP($E262,技能升级,11,FALSE)*$C262*I262*J262)</f>
        <v>1734</v>
      </c>
      <c r="I262">
        <v>1</v>
      </c>
      <c r="J262">
        <v>1</v>
      </c>
    </row>
    <row r="263" spans="1:10" x14ac:dyDescent="0.15">
      <c r="A263">
        <v>22</v>
      </c>
      <c r="B263" t="s">
        <v>22</v>
      </c>
      <c r="C263">
        <f>INT((C259-D262-D263*3)/(VLOOKUP(A263,技能参数,5,FALSE)+2*VLOOKUP(A263,技能参数,4,FALSE))+1)+3</f>
        <v>5</v>
      </c>
      <c r="D263">
        <f>VLOOKUP(A263,技能参数,4,FALSE)</f>
        <v>1.5</v>
      </c>
      <c r="E263">
        <f>IFERROR(VLOOKUP(A263*1000+D259,学习等级编码,2),0)</f>
        <v>2209</v>
      </c>
      <c r="F263">
        <f t="shared" ref="F263" si="31">IFERROR(INT(VLOOKUP($E263,技能升级,9,FALSE)*$C263*I263*J263),0)</f>
        <v>20256</v>
      </c>
      <c r="G263">
        <f t="shared" si="30"/>
        <v>0</v>
      </c>
      <c r="H263">
        <f>INT(VLOOKUP($E263,技能升级,11,FALSE)*$C263*I263*J263)</f>
        <v>3707</v>
      </c>
      <c r="I263">
        <v>1</v>
      </c>
      <c r="J263">
        <f>VLOOKUP(A259,$A$2:$H$21,7,FALSE)</f>
        <v>1.274</v>
      </c>
    </row>
    <row r="264" spans="1:10" x14ac:dyDescent="0.15">
      <c r="A264">
        <v>21</v>
      </c>
      <c r="B264" t="s">
        <v>90</v>
      </c>
      <c r="C264">
        <f>INT((C259-C261*D261-C262*D262-C263*D263-C265-C266)/D264)</f>
        <v>4</v>
      </c>
      <c r="D264">
        <f>VLOOKUP(A264,技能参数,4,FALSE)</f>
        <v>1</v>
      </c>
      <c r="E264">
        <f>IFERROR(VLOOKUP(A264*1000+D259,学习等级编码,2),0)</f>
        <v>2114</v>
      </c>
      <c r="F264">
        <f>IFERROR(INT(VLOOKUP($E264,技能升级,9,FALSE)*$C264*I264*J264),0)</f>
        <v>7440</v>
      </c>
      <c r="G264">
        <f t="shared" si="30"/>
        <v>0</v>
      </c>
      <c r="H264">
        <f>INT(VLOOKUP($E264,技能升级,11,FALSE)*$C264*I264*J264)</f>
        <v>3399</v>
      </c>
      <c r="I264">
        <v>1</v>
      </c>
      <c r="J264">
        <f>VLOOKUP(A259,$A$2:$H$21,7,FALSE)</f>
        <v>1.274</v>
      </c>
    </row>
    <row r="265" spans="1:10" x14ac:dyDescent="0.15">
      <c r="A265">
        <v>204</v>
      </c>
      <c r="B265" t="s">
        <v>338</v>
      </c>
      <c r="C265">
        <v>3</v>
      </c>
    </row>
    <row r="266" spans="1:10" x14ac:dyDescent="0.15">
      <c r="B266" t="s">
        <v>342</v>
      </c>
      <c r="C266">
        <v>6</v>
      </c>
    </row>
    <row r="267" spans="1:10" x14ac:dyDescent="0.15">
      <c r="E267" t="s">
        <v>194</v>
      </c>
      <c r="F267">
        <f>SUM(F261:F264)/1000</f>
        <v>37.756</v>
      </c>
      <c r="G267">
        <f>SUM(G261:G264)/1000</f>
        <v>0</v>
      </c>
      <c r="H267">
        <f>SUM(H261:H264)</f>
        <v>9472</v>
      </c>
      <c r="I267" t="s">
        <v>196</v>
      </c>
      <c r="J267" t="s">
        <v>197</v>
      </c>
    </row>
    <row r="268" spans="1:10" x14ac:dyDescent="0.15">
      <c r="E268" t="s">
        <v>195</v>
      </c>
      <c r="F268">
        <f>INT((IF($A259&gt;10000,VLOOKUP($A259,实战属性,13,FALSE),VLOOKUP($A259,总基本属性,7,FALSE))-
IF($B259&gt;10000,VLOOKUP($B259,实战属性,15,FALSE),VLOOKUP($B259,总基本属性,9,FALSE))*$L$13)*F267)</f>
        <v>139904</v>
      </c>
      <c r="G268">
        <f>INT((IF($A259&gt;10000,VLOOKUP($A259,实战属性,14,FALSE),VLOOKUP($A259,总基本属性,8,FALSE))-
IF($B259&gt;10000,VLOOKUP($B259,实战属性,16,FALSE),VLOOKUP($B259,总基本属性,10,FALSE))*$L$13)*G267)</f>
        <v>0</v>
      </c>
      <c r="H268">
        <f>H267+F268+G268</f>
        <v>149376</v>
      </c>
      <c r="I268">
        <f>IF($B259&gt;10000,VLOOKUP($B259,实战属性,12,FALSE),VLOOKUP($B259,总基本属性,6,FALSE))</f>
        <v>154332</v>
      </c>
      <c r="J268">
        <f>ROUND(I268/H268,2)</f>
        <v>1.03</v>
      </c>
    </row>
    <row r="272" spans="1:10" x14ac:dyDescent="0.15">
      <c r="A272" s="8" t="s">
        <v>4</v>
      </c>
      <c r="B272" s="8" t="s">
        <v>3</v>
      </c>
      <c r="C272" s="8" t="s">
        <v>178</v>
      </c>
      <c r="D272" s="8" t="s">
        <v>0</v>
      </c>
    </row>
    <row r="273" spans="1:10" x14ac:dyDescent="0.15">
      <c r="A273">
        <f>A246+10</f>
        <v>3100</v>
      </c>
      <c r="B273">
        <f>B246+10</f>
        <v>2100</v>
      </c>
      <c r="C273">
        <v>26</v>
      </c>
      <c r="D273">
        <f>MOD(A273,1000)</f>
        <v>100</v>
      </c>
    </row>
    <row r="274" spans="1:10" x14ac:dyDescent="0.15">
      <c r="A274" t="s">
        <v>156</v>
      </c>
      <c r="B274" t="s">
        <v>95</v>
      </c>
      <c r="C274" t="s">
        <v>142</v>
      </c>
      <c r="D274" t="s">
        <v>143</v>
      </c>
      <c r="E274" t="s">
        <v>182</v>
      </c>
      <c r="F274" t="s">
        <v>192</v>
      </c>
      <c r="G274" t="s">
        <v>193</v>
      </c>
      <c r="H274" t="s">
        <v>176</v>
      </c>
      <c r="I274" t="s">
        <v>205</v>
      </c>
      <c r="J274" t="s">
        <v>206</v>
      </c>
    </row>
    <row r="275" spans="1:10" x14ac:dyDescent="0.15">
      <c r="A275">
        <v>32</v>
      </c>
      <c r="B275" t="s">
        <v>26</v>
      </c>
      <c r="C275">
        <f>INT(C273/(VLOOKUP(A275,技能参数,5,FALSE)+2*VLOOKUP(A275,技能参数,4,FALSE))+3)</f>
        <v>4</v>
      </c>
      <c r="D275">
        <f>VLOOKUP(A275,技能参数,4,FALSE)</f>
        <v>1</v>
      </c>
      <c r="E275">
        <f>IFERROR(VLOOKUP(A275*1000+D273,学习等级编码,2),0)</f>
        <v>3210</v>
      </c>
      <c r="F275">
        <f>IFERROR(INT(VLOOKUP($E275,技能升级,9,FALSE)*$C275*I275*J275),0)</f>
        <v>0</v>
      </c>
      <c r="G275">
        <f>IFERROR(INT(VLOOKUP($E275,技能升级,10,FALSE)*$C275*I275*J275),0)</f>
        <v>6480</v>
      </c>
      <c r="H275">
        <f>INT(VLOOKUP($E275,技能升级,11,FALSE)*$C275*I275*J275)</f>
        <v>2744</v>
      </c>
      <c r="I275">
        <v>1</v>
      </c>
      <c r="J275">
        <v>1</v>
      </c>
    </row>
    <row r="276" spans="1:10" x14ac:dyDescent="0.15">
      <c r="A276">
        <v>34</v>
      </c>
      <c r="B276" t="s">
        <v>34</v>
      </c>
      <c r="C276">
        <f>INT(C273/(VLOOKUP(A276,技能参数,5,FALSE)+2*VLOOKUP(A276,技能参数,4,FALSE))+1)</f>
        <v>2</v>
      </c>
      <c r="D276">
        <f>VLOOKUP(A276,技能参数,4,FALSE)</f>
        <v>1.5</v>
      </c>
      <c r="E276">
        <f>IFERROR(VLOOKUP(A276*1000+D273,学习等级编码,2),0)</f>
        <v>3410</v>
      </c>
      <c r="F276">
        <f>IFERROR(INT(VLOOKUP($E276,技能升级,9,FALSE)*$C276*I276*J276),0)</f>
        <v>4500</v>
      </c>
      <c r="G276">
        <f>IFERROR(INT(VLOOKUP($E276,技能升级,10,FALSE)*$C276*I276*J276),0)</f>
        <v>0</v>
      </c>
      <c r="H276">
        <f>INT(VLOOKUP($E276,技能升级,11,FALSE)*$C276*I276*J276)</f>
        <v>1510</v>
      </c>
      <c r="I276">
        <v>1</v>
      </c>
      <c r="J276">
        <v>1</v>
      </c>
    </row>
    <row r="277" spans="1:10" x14ac:dyDescent="0.15">
      <c r="A277">
        <v>35</v>
      </c>
      <c r="B277" t="s">
        <v>28</v>
      </c>
      <c r="C277">
        <v>3</v>
      </c>
      <c r="D277">
        <f>VLOOKUP(A277,技能参数,4,FALSE)</f>
        <v>2</v>
      </c>
      <c r="E277">
        <f>IFERROR(VLOOKUP(A277*1000+D273,学习等级编码,2),0)</f>
        <v>3507</v>
      </c>
      <c r="F277">
        <f>IFERROR(INT(VLOOKUP($E277,技能升级,9,FALSE)*$C277*I277*J277),0)</f>
        <v>9000</v>
      </c>
      <c r="G277">
        <f>IFERROR(INT(VLOOKUP($E277,技能升级,10,FALSE)*$C277*I277*J277),0)</f>
        <v>0</v>
      </c>
      <c r="H277">
        <f>INT(VLOOKUP($E277,技能升级,11,FALSE)*$C277*I277*J277)</f>
        <v>2517</v>
      </c>
      <c r="I277">
        <v>1</v>
      </c>
      <c r="J277">
        <v>1</v>
      </c>
    </row>
    <row r="278" spans="1:10" x14ac:dyDescent="0.15">
      <c r="A278">
        <v>31</v>
      </c>
      <c r="B278" t="s">
        <v>91</v>
      </c>
      <c r="C278">
        <f>INT((C273-C275*D275-C276*D276-C277*D277-C280)/D278)</f>
        <v>8</v>
      </c>
      <c r="D278">
        <f>VLOOKUP(A278,技能参数,4,FALSE)</f>
        <v>0.8</v>
      </c>
      <c r="E278">
        <f>IFERROR(VLOOKUP(A278*1000+D273,学习等级编码,2),0)</f>
        <v>3115</v>
      </c>
      <c r="F278">
        <f>IFERROR(INT(VLOOKUP($E278,技能升级,9,FALSE)*$C278*I278*J278),0)</f>
        <v>10400</v>
      </c>
      <c r="G278">
        <f>IFERROR(INT(VLOOKUP($E278,技能升级,10,FALSE)*$C278*I278*J278),0)</f>
        <v>0</v>
      </c>
      <c r="H278">
        <f>INT(VLOOKUP($E278,技能升级,11,FALSE)*$C278*I278*J278)</f>
        <v>6152</v>
      </c>
      <c r="I278">
        <v>1</v>
      </c>
      <c r="J278">
        <v>1</v>
      </c>
    </row>
    <row r="279" spans="1:10" x14ac:dyDescent="0.15">
      <c r="A279">
        <v>203</v>
      </c>
      <c r="B279" t="s">
        <v>340</v>
      </c>
      <c r="C279">
        <f>INT((C273)/3)</f>
        <v>8</v>
      </c>
      <c r="D279">
        <v>0</v>
      </c>
      <c r="E279">
        <f>IFERROR(VLOOKUP(A279*1000+D273,学习等级编码,2),0)</f>
        <v>20310</v>
      </c>
      <c r="F279">
        <f>IFERROR(INT(VLOOKUP($E279,技能升级,9,FALSE)*$C279*I279*J279),0)</f>
        <v>0</v>
      </c>
      <c r="G279">
        <f>IFERROR(INT(VLOOKUP($E279,技能升级,10,FALSE)*$C279*I279*J279),0)</f>
        <v>0</v>
      </c>
      <c r="H279">
        <f>INT((VLOOKUP(E279,技能升级,13,FALSE)*(VLOOKUP(C279,中毒数据,4)+MOD(C273,3)*VLOOKUP(C279+1,中毒数据,3))+VLOOKUP(E279,技能升级,14,FALSE)/1000*C279*IF($B273&gt;10000,VLOOKUP($B273,实战属性,12,FALSE),VLOOKUP($B273,总基本属性,6,FALSE)))*I279*J279)</f>
        <v>100970</v>
      </c>
      <c r="I279">
        <v>1</v>
      </c>
      <c r="J279">
        <v>1</v>
      </c>
    </row>
    <row r="280" spans="1:10" x14ac:dyDescent="0.15">
      <c r="B280" t="s">
        <v>411</v>
      </c>
      <c r="C280">
        <f>C289*1.5+2</f>
        <v>6.5</v>
      </c>
    </row>
    <row r="281" spans="1:10" x14ac:dyDescent="0.15">
      <c r="E281" t="s">
        <v>194</v>
      </c>
      <c r="F281">
        <f>SUM(F275:F279)/1000</f>
        <v>23.9</v>
      </c>
      <c r="G281">
        <f>SUM(G275:G279)/1000</f>
        <v>6.48</v>
      </c>
      <c r="H281">
        <f>SUM(H275:H279)</f>
        <v>113893</v>
      </c>
      <c r="I281" t="s">
        <v>196</v>
      </c>
      <c r="J281" t="s">
        <v>197</v>
      </c>
    </row>
    <row r="282" spans="1:10" x14ac:dyDescent="0.15">
      <c r="E282" t="s">
        <v>195</v>
      </c>
      <c r="F282">
        <f>INT((IF($A273&gt;10000,VLOOKUP($A273,实战属性,13,FALSE),VLOOKUP($A273,总基本属性,7,FALSE))-
IF($B273&gt;10000,VLOOKUP($B273,实战属性,15,FALSE),VLOOKUP($B273,总基本属性,9,FALSE))*$L$13)*F281)</f>
        <v>77686</v>
      </c>
      <c r="G282">
        <f>INT((IF($A273&gt;10000,VLOOKUP($A273,实战属性,14,FALSE),VLOOKUP($A273,总基本属性,8,FALSE))-
IF($B273&gt;10000,VLOOKUP($B273,实战属性,16,FALSE),VLOOKUP($B273,总基本属性,10,FALSE))*$L$13)*G281)</f>
        <v>23130</v>
      </c>
      <c r="H282">
        <f>H281+F282+G282</f>
        <v>214709</v>
      </c>
      <c r="I282">
        <f>IF($B273&gt;10000,VLOOKUP($B273,实战属性,12,FALSE),VLOOKUP($B273,总基本属性,6,FALSE))</f>
        <v>210480</v>
      </c>
      <c r="J282">
        <f>ROUND(I282/H282,2)</f>
        <v>0.98</v>
      </c>
    </row>
    <row r="285" spans="1:10" x14ac:dyDescent="0.15">
      <c r="A285" s="9" t="s">
        <v>3</v>
      </c>
      <c r="B285" s="9" t="s">
        <v>4</v>
      </c>
      <c r="C285" s="9" t="s">
        <v>178</v>
      </c>
      <c r="D285" s="9" t="s">
        <v>0</v>
      </c>
    </row>
    <row r="286" spans="1:10" x14ac:dyDescent="0.15">
      <c r="A286">
        <f>A259+10</f>
        <v>2100</v>
      </c>
      <c r="B286">
        <f>B259+10</f>
        <v>3100</v>
      </c>
      <c r="C286">
        <v>26</v>
      </c>
      <c r="D286">
        <f>MOD(A286,1000)</f>
        <v>100</v>
      </c>
    </row>
    <row r="287" spans="1:10" x14ac:dyDescent="0.15">
      <c r="A287" t="s">
        <v>156</v>
      </c>
      <c r="B287" t="s">
        <v>95</v>
      </c>
      <c r="C287" t="s">
        <v>177</v>
      </c>
      <c r="D287" t="s">
        <v>143</v>
      </c>
      <c r="E287" t="s">
        <v>182</v>
      </c>
      <c r="F287" t="s">
        <v>192</v>
      </c>
      <c r="G287" t="s">
        <v>193</v>
      </c>
      <c r="H287" t="s">
        <v>176</v>
      </c>
      <c r="I287" t="s">
        <v>205</v>
      </c>
      <c r="J287" t="s">
        <v>206</v>
      </c>
    </row>
    <row r="288" spans="1:10" x14ac:dyDescent="0.15">
      <c r="A288">
        <v>25</v>
      </c>
      <c r="B288" t="s">
        <v>23</v>
      </c>
      <c r="C288">
        <v>1</v>
      </c>
      <c r="D288">
        <f>VLOOKUP(A288,技能参数,4,FALSE)</f>
        <v>2</v>
      </c>
      <c r="E288">
        <f>IFERROR(VLOOKUP(A288*1000+D286,学习等级编码,2),0)</f>
        <v>2507</v>
      </c>
      <c r="F288">
        <f t="shared" ref="F288" si="32">IFERROR(INT(VLOOKUP($E288,技能升级,9,FALSE)*$C288*I288*J288),0)</f>
        <v>6500</v>
      </c>
      <c r="G288">
        <f t="shared" ref="G288:G291" si="33">IFERROR(INT(VLOOKUP($E288,技能升级,10,FALSE)*$C288*I288*J288),0)</f>
        <v>0</v>
      </c>
      <c r="H288">
        <f>INT(VLOOKUP($E288,技能升级,11,FALSE)*$C288*I288*J288)</f>
        <v>859</v>
      </c>
      <c r="I288">
        <v>1</v>
      </c>
      <c r="J288">
        <v>1</v>
      </c>
    </row>
    <row r="289" spans="1:10" x14ac:dyDescent="0.15">
      <c r="A289">
        <v>23</v>
      </c>
      <c r="B289" t="s">
        <v>24</v>
      </c>
      <c r="C289">
        <f>INT((C286-D289-D290*3)/(VLOOKUP(A289,技能参数,5,FALSE)+2*VLOOKUP(A289,技能参数,4,FALSE))+1)+1</f>
        <v>3</v>
      </c>
      <c r="D289">
        <f>VLOOKUP(A289,技能参数,4,FALSE)</f>
        <v>1</v>
      </c>
      <c r="E289">
        <f>IFERROR(VLOOKUP(A289*1000+D286,学习等级编码,2),0)</f>
        <v>2310</v>
      </c>
      <c r="F289">
        <f>IFERROR(INT(VLOOKUP($E289,技能升级,9,FALSE)*$C289*I289*J289),0)</f>
        <v>3900</v>
      </c>
      <c r="G289">
        <f t="shared" si="33"/>
        <v>0</v>
      </c>
      <c r="H289">
        <f>INT(VLOOKUP($E289,技能升级,11,FALSE)*$C289*I289*J289)</f>
        <v>2148</v>
      </c>
      <c r="I289">
        <v>1</v>
      </c>
      <c r="J289">
        <v>1</v>
      </c>
    </row>
    <row r="290" spans="1:10" x14ac:dyDescent="0.15">
      <c r="A290">
        <v>22</v>
      </c>
      <c r="B290" t="s">
        <v>22</v>
      </c>
      <c r="C290">
        <f>INT((C286-D289-D290*3)/(VLOOKUP(A290,技能参数,5,FALSE)+2*VLOOKUP(A290,技能参数,4,FALSE))+1)+3</f>
        <v>5</v>
      </c>
      <c r="D290">
        <f>VLOOKUP(A290,技能参数,4,FALSE)</f>
        <v>1.5</v>
      </c>
      <c r="E290">
        <f>IFERROR(VLOOKUP(A290*1000+D286,学习等级编码,2),0)</f>
        <v>2210</v>
      </c>
      <c r="F290">
        <f t="shared" ref="F290" si="34">IFERROR(INT(VLOOKUP($E290,技能升级,9,FALSE)*$C290*I290*J290),0)</f>
        <v>21465</v>
      </c>
      <c r="G290">
        <f t="shared" si="33"/>
        <v>0</v>
      </c>
      <c r="H290">
        <f>INT(VLOOKUP($E290,技能升级,11,FALSE)*$C290*I290*J290)</f>
        <v>4743</v>
      </c>
      <c r="I290">
        <v>1</v>
      </c>
      <c r="J290">
        <f>VLOOKUP(A286,$A$2:$H$21,7,FALSE)</f>
        <v>1.3249999999999997</v>
      </c>
    </row>
    <row r="291" spans="1:10" x14ac:dyDescent="0.15">
      <c r="A291">
        <v>21</v>
      </c>
      <c r="B291" t="s">
        <v>90</v>
      </c>
      <c r="C291">
        <f>INT((C286-C288*D288-C289*D289-C290*D290-C292-C293)/D291)</f>
        <v>4</v>
      </c>
      <c r="D291">
        <f>VLOOKUP(A291,技能参数,4,FALSE)</f>
        <v>1</v>
      </c>
      <c r="E291">
        <f>IFERROR(VLOOKUP(A291*1000+D286,学习等级编码,2),0)</f>
        <v>2115</v>
      </c>
      <c r="F291">
        <f>IFERROR(INT(VLOOKUP($E291,技能升级,9,FALSE)*$C291*I291*J291),0)</f>
        <v>7950</v>
      </c>
      <c r="G291">
        <f t="shared" si="33"/>
        <v>0</v>
      </c>
      <c r="H291">
        <f>INT(VLOOKUP($E291,技能升级,11,FALSE)*$C291*I291*J291)</f>
        <v>4075</v>
      </c>
      <c r="I291">
        <v>1</v>
      </c>
      <c r="J291">
        <f>VLOOKUP(A286,$A$2:$H$21,7,FALSE)</f>
        <v>1.3249999999999997</v>
      </c>
    </row>
    <row r="292" spans="1:10" x14ac:dyDescent="0.15">
      <c r="A292">
        <v>204</v>
      </c>
      <c r="B292" t="s">
        <v>338</v>
      </c>
      <c r="C292">
        <v>3</v>
      </c>
    </row>
    <row r="293" spans="1:10" x14ac:dyDescent="0.15">
      <c r="B293" t="s">
        <v>342</v>
      </c>
      <c r="C293">
        <v>6</v>
      </c>
    </row>
    <row r="294" spans="1:10" x14ac:dyDescent="0.15">
      <c r="E294" t="s">
        <v>194</v>
      </c>
      <c r="F294">
        <f>SUM(F288:F291)/1000</f>
        <v>39.814999999999998</v>
      </c>
      <c r="G294">
        <f>SUM(G288:G291)/1000</f>
        <v>0</v>
      </c>
      <c r="H294">
        <f>SUM(H288:H291)</f>
        <v>11825</v>
      </c>
      <c r="I294" t="s">
        <v>196</v>
      </c>
      <c r="J294" t="s">
        <v>197</v>
      </c>
    </row>
    <row r="295" spans="1:10" x14ac:dyDescent="0.15">
      <c r="E295" t="s">
        <v>195</v>
      </c>
      <c r="F295">
        <f>INT((IF($A286&gt;10000,VLOOKUP($A286,实战属性,13,FALSE),VLOOKUP($A286,总基本属性,7,FALSE))-
IF($B286&gt;10000,VLOOKUP($B286,实战属性,15,FALSE),VLOOKUP($B286,总基本属性,9,FALSE))*$L$13)*F294)</f>
        <v>180660</v>
      </c>
      <c r="G295">
        <f>INT((IF($A286&gt;10000,VLOOKUP($A286,实战属性,14,FALSE),VLOOKUP($A286,总基本属性,8,FALSE))-
IF($B286&gt;10000,VLOOKUP($B286,实战属性,16,FALSE),VLOOKUP($B286,总基本属性,10,FALSE))*$L$13)*G294)</f>
        <v>0</v>
      </c>
      <c r="H295">
        <f>H294+F295+G295</f>
        <v>192485</v>
      </c>
      <c r="I295">
        <f>IF($B286&gt;10000,VLOOKUP($B286,实战属性,12,FALSE),VLOOKUP($B286,总基本属性,6,FALSE))</f>
        <v>189432</v>
      </c>
      <c r="J295">
        <f>ROUND(I295/H295,2)</f>
        <v>0.98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1"/>
  <sheetViews>
    <sheetView topLeftCell="A145" workbookViewId="0">
      <selection activeCell="J179" sqref="J179"/>
    </sheetView>
  </sheetViews>
  <sheetFormatPr defaultRowHeight="13.5" x14ac:dyDescent="0.15"/>
  <sheetData>
    <row r="1" spans="1:35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450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</row>
    <row r="2" spans="1:35" x14ac:dyDescent="0.15">
      <c r="A2">
        <v>4010</v>
      </c>
      <c r="B2">
        <v>4010</v>
      </c>
      <c r="C2">
        <f t="shared" ref="C2:C1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1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1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1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  <c r="AA2" t="str">
        <f>[1]怪物属性!A4</f>
        <v>亡魂+buff</v>
      </c>
    </row>
    <row r="3" spans="1:35" x14ac:dyDescent="0.15">
      <c r="A3">
        <f t="shared" ref="A3:B11" si="4">A2+10</f>
        <v>4020</v>
      </c>
      <c r="B3">
        <f>B2+10</f>
        <v>4020</v>
      </c>
      <c r="C3">
        <f t="shared" si="0"/>
        <v>0</v>
      </c>
      <c r="D3">
        <f t="shared" si="1"/>
        <v>0.01</v>
      </c>
      <c r="E3">
        <f t="shared" si="2"/>
        <v>0</v>
      </c>
      <c r="F3">
        <f t="shared" si="3"/>
        <v>0</v>
      </c>
      <c r="G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  <c r="AA3" t="str">
        <f>[1]怪物属性!A5</f>
        <v>ID</v>
      </c>
      <c r="AB3" t="str">
        <f>[1]怪物属性!B5</f>
        <v>力道</v>
      </c>
      <c r="AC3" t="str">
        <f>[1]怪物属性!C5</f>
        <v>身法</v>
      </c>
      <c r="AD3" t="str">
        <f>[1]怪物属性!D5</f>
        <v>元气</v>
      </c>
      <c r="AE3" t="str">
        <f>[1]怪物属性!E5</f>
        <v>生命值</v>
      </c>
      <c r="AF3" t="str">
        <f>[1]怪物属性!F5</f>
        <v>物理攻击</v>
      </c>
      <c r="AG3" t="str">
        <f>[1]怪物属性!G5</f>
        <v>魔法攻击</v>
      </c>
      <c r="AH3" t="str">
        <f>[1]怪物属性!H5</f>
        <v>物理防御</v>
      </c>
      <c r="AI3" t="str">
        <f>[1]怪物属性!I5</f>
        <v>魔法防御</v>
      </c>
    </row>
    <row r="4" spans="1:35" x14ac:dyDescent="0.15">
      <c r="A4">
        <f t="shared" si="4"/>
        <v>4030</v>
      </c>
      <c r="B4">
        <f t="shared" si="4"/>
        <v>4030</v>
      </c>
      <c r="C4">
        <f t="shared" si="0"/>
        <v>0</v>
      </c>
      <c r="D4">
        <f t="shared" si="1"/>
        <v>0.03</v>
      </c>
      <c r="E4">
        <f t="shared" si="2"/>
        <v>0</v>
      </c>
      <c r="F4">
        <f t="shared" si="3"/>
        <v>0</v>
      </c>
      <c r="G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  <c r="AA4">
        <f>[1]怪物属性!A6</f>
        <v>101</v>
      </c>
      <c r="AB4">
        <f>[1]怪物属性!B6</f>
        <v>0</v>
      </c>
      <c r="AC4">
        <f>[1]怪物属性!C6</f>
        <v>0</v>
      </c>
      <c r="AD4">
        <f>[1]怪物属性!D6</f>
        <v>0</v>
      </c>
      <c r="AE4">
        <f>[1]怪物属性!E6</f>
        <v>1827</v>
      </c>
      <c r="AF4">
        <f>[1]怪物属性!F6</f>
        <v>0</v>
      </c>
      <c r="AG4">
        <f>[1]怪物属性!G6</f>
        <v>150</v>
      </c>
      <c r="AH4">
        <f>[1]怪物属性!H6</f>
        <v>0</v>
      </c>
      <c r="AI4">
        <f>[1]怪物属性!I6</f>
        <v>0</v>
      </c>
    </row>
    <row r="5" spans="1:35" x14ac:dyDescent="0.15">
      <c r="A5">
        <f t="shared" si="4"/>
        <v>4040</v>
      </c>
      <c r="B5">
        <f t="shared" si="4"/>
        <v>4040</v>
      </c>
      <c r="C5">
        <f t="shared" si="0"/>
        <v>0</v>
      </c>
      <c r="D5">
        <f t="shared" si="1"/>
        <v>0.04</v>
      </c>
      <c r="E5">
        <f t="shared" si="2"/>
        <v>0</v>
      </c>
      <c r="F5">
        <f t="shared" si="3"/>
        <v>0</v>
      </c>
      <c r="G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  <c r="AA5">
        <f>[1]怪物属性!A7</f>
        <v>102</v>
      </c>
      <c r="AB5">
        <f>[1]怪物属性!B7</f>
        <v>0</v>
      </c>
      <c r="AC5">
        <f>[1]怪物属性!C7</f>
        <v>0</v>
      </c>
      <c r="AD5">
        <f>[1]怪物属性!D7</f>
        <v>0</v>
      </c>
      <c r="AE5">
        <f>[1]怪物属性!E7</f>
        <v>4788</v>
      </c>
      <c r="AF5">
        <f>[1]怪物属性!F7</f>
        <v>0</v>
      </c>
      <c r="AG5">
        <f>[1]怪物属性!G7</f>
        <v>364</v>
      </c>
      <c r="AH5">
        <f>[1]怪物属性!H7</f>
        <v>0</v>
      </c>
      <c r="AI5">
        <f>[1]怪物属性!I7</f>
        <v>0</v>
      </c>
    </row>
    <row r="6" spans="1:35" x14ac:dyDescent="0.15">
      <c r="A6">
        <f t="shared" si="4"/>
        <v>4050</v>
      </c>
      <c r="B6">
        <f t="shared" si="4"/>
        <v>4050</v>
      </c>
      <c r="C6">
        <f t="shared" si="0"/>
        <v>0</v>
      </c>
      <c r="D6">
        <f t="shared" si="1"/>
        <v>0.06</v>
      </c>
      <c r="E6">
        <f t="shared" si="2"/>
        <v>0</v>
      </c>
      <c r="F6">
        <f t="shared" si="3"/>
        <v>0</v>
      </c>
      <c r="G6">
        <v>1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  <c r="AA6">
        <f>[1]怪物属性!A8</f>
        <v>103</v>
      </c>
      <c r="AB6">
        <f>[1]怪物属性!B8</f>
        <v>0</v>
      </c>
      <c r="AC6">
        <f>[1]怪物属性!C8</f>
        <v>0</v>
      </c>
      <c r="AD6">
        <f>[1]怪物属性!D8</f>
        <v>0</v>
      </c>
      <c r="AE6">
        <f>[1]怪物属性!E8</f>
        <v>9459</v>
      </c>
      <c r="AF6">
        <f>[1]怪物属性!F8</f>
        <v>0</v>
      </c>
      <c r="AG6">
        <f>[1]怪物属性!G8</f>
        <v>641</v>
      </c>
      <c r="AH6">
        <f>[1]怪物属性!H8</f>
        <v>0</v>
      </c>
      <c r="AI6">
        <f>[1]怪物属性!I8</f>
        <v>0</v>
      </c>
    </row>
    <row r="7" spans="1:35" x14ac:dyDescent="0.15">
      <c r="A7">
        <f t="shared" si="4"/>
        <v>4060</v>
      </c>
      <c r="B7">
        <f t="shared" si="4"/>
        <v>4060</v>
      </c>
      <c r="C7">
        <f t="shared" si="0"/>
        <v>0</v>
      </c>
      <c r="D7">
        <f t="shared" si="1"/>
        <v>0.09</v>
      </c>
      <c r="E7">
        <f t="shared" si="2"/>
        <v>0</v>
      </c>
      <c r="F7">
        <f t="shared" si="3"/>
        <v>0</v>
      </c>
      <c r="G7">
        <f t="shared" ref="G7:G11" si="5">D7*2+1-D7</f>
        <v>1.0899999999999999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  <c r="AA7">
        <f>[1]怪物属性!A9</f>
        <v>104</v>
      </c>
      <c r="AB7">
        <f>[1]怪物属性!B9</f>
        <v>0</v>
      </c>
      <c r="AC7">
        <f>[1]怪物属性!C9</f>
        <v>0</v>
      </c>
      <c r="AD7">
        <f>[1]怪物属性!D9</f>
        <v>0</v>
      </c>
      <c r="AE7">
        <f>[1]怪物属性!E9</f>
        <v>15747</v>
      </c>
      <c r="AF7">
        <f>[1]怪物属性!F9</f>
        <v>0</v>
      </c>
      <c r="AG7">
        <f>[1]怪物属性!G9</f>
        <v>1050</v>
      </c>
      <c r="AH7">
        <f>[1]怪物属性!H9</f>
        <v>0</v>
      </c>
      <c r="AI7">
        <f>[1]怪物属性!I9</f>
        <v>0</v>
      </c>
    </row>
    <row r="8" spans="1:35" x14ac:dyDescent="0.15">
      <c r="A8">
        <f t="shared" si="4"/>
        <v>4070</v>
      </c>
      <c r="B8">
        <f t="shared" si="4"/>
        <v>4070</v>
      </c>
      <c r="C8">
        <f t="shared" si="0"/>
        <v>0</v>
      </c>
      <c r="D8">
        <f t="shared" si="1"/>
        <v>0.12</v>
      </c>
      <c r="E8">
        <f t="shared" si="2"/>
        <v>0</v>
      </c>
      <c r="F8">
        <f t="shared" si="3"/>
        <v>0</v>
      </c>
      <c r="G8">
        <f t="shared" si="5"/>
        <v>1.1200000000000001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  <c r="AA8">
        <f>[1]怪物属性!A10</f>
        <v>105</v>
      </c>
      <c r="AB8">
        <f>[1]怪物属性!B10</f>
        <v>0</v>
      </c>
      <c r="AC8">
        <f>[1]怪物属性!C10</f>
        <v>0</v>
      </c>
      <c r="AD8">
        <f>[1]怪物属性!D10</f>
        <v>0</v>
      </c>
      <c r="AE8">
        <f>[1]怪物属性!E10</f>
        <v>22629</v>
      </c>
      <c r="AF8">
        <f>[1]怪物属性!F10</f>
        <v>0</v>
      </c>
      <c r="AG8">
        <f>[1]怪物属性!G10</f>
        <v>1357</v>
      </c>
      <c r="AH8">
        <f>[1]怪物属性!H10</f>
        <v>0</v>
      </c>
      <c r="AI8">
        <f>[1]怪物属性!I10</f>
        <v>0</v>
      </c>
    </row>
    <row r="9" spans="1:35" x14ac:dyDescent="0.15">
      <c r="A9">
        <f t="shared" si="4"/>
        <v>4080</v>
      </c>
      <c r="B9">
        <f t="shared" si="4"/>
        <v>4080</v>
      </c>
      <c r="C9">
        <f t="shared" si="0"/>
        <v>0</v>
      </c>
      <c r="D9">
        <f t="shared" si="1"/>
        <v>0.16</v>
      </c>
      <c r="E9">
        <f t="shared" si="2"/>
        <v>0</v>
      </c>
      <c r="F9">
        <f t="shared" si="3"/>
        <v>0</v>
      </c>
      <c r="G9">
        <f t="shared" si="5"/>
        <v>1.1600000000000001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  <c r="AA9">
        <f>[1]怪物属性!A11</f>
        <v>106</v>
      </c>
      <c r="AB9">
        <f>[1]怪物属性!B11</f>
        <v>0</v>
      </c>
      <c r="AC9">
        <f>[1]怪物属性!C11</f>
        <v>0</v>
      </c>
      <c r="AD9">
        <f>[1]怪物属性!D11</f>
        <v>0</v>
      </c>
      <c r="AE9">
        <f>[1]怪物属性!E11</f>
        <v>31059</v>
      </c>
      <c r="AF9">
        <f>[1]怪物属性!F11</f>
        <v>0</v>
      </c>
      <c r="AG9">
        <f>[1]怪物属性!G11</f>
        <v>1866</v>
      </c>
      <c r="AH9">
        <f>[1]怪物属性!H11</f>
        <v>0</v>
      </c>
      <c r="AI9">
        <f>[1]怪物属性!I11</f>
        <v>0</v>
      </c>
    </row>
    <row r="10" spans="1:35" x14ac:dyDescent="0.15">
      <c r="A10">
        <f t="shared" si="4"/>
        <v>4090</v>
      </c>
      <c r="B10">
        <f t="shared" si="4"/>
        <v>4090</v>
      </c>
      <c r="C10">
        <f t="shared" si="0"/>
        <v>0</v>
      </c>
      <c r="D10">
        <f t="shared" si="1"/>
        <v>0.2</v>
      </c>
      <c r="E10">
        <f t="shared" si="2"/>
        <v>0</v>
      </c>
      <c r="F10">
        <f t="shared" si="3"/>
        <v>0</v>
      </c>
      <c r="G10">
        <f t="shared" si="5"/>
        <v>1.2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  <c r="AA10">
        <f>[1]怪物属性!A12</f>
        <v>107</v>
      </c>
      <c r="AB10">
        <f>[1]怪物属性!B12</f>
        <v>0</v>
      </c>
      <c r="AC10">
        <f>[1]怪物属性!C12</f>
        <v>0</v>
      </c>
      <c r="AD10">
        <f>[1]怪物属性!D12</f>
        <v>0</v>
      </c>
      <c r="AE10">
        <f>[1]怪物属性!E12</f>
        <v>40524</v>
      </c>
      <c r="AF10">
        <f>[1]怪物属性!F12</f>
        <v>0</v>
      </c>
      <c r="AG10">
        <f>[1]怪物属性!G12</f>
        <v>2492</v>
      </c>
      <c r="AH10">
        <f>[1]怪物属性!H12</f>
        <v>0</v>
      </c>
      <c r="AI10">
        <f>[1]怪物属性!I12</f>
        <v>0</v>
      </c>
    </row>
    <row r="11" spans="1:35" x14ac:dyDescent="0.15">
      <c r="A11">
        <f t="shared" si="4"/>
        <v>4100</v>
      </c>
      <c r="B11">
        <f t="shared" si="4"/>
        <v>4100</v>
      </c>
      <c r="C11">
        <f t="shared" si="0"/>
        <v>0</v>
      </c>
      <c r="D11">
        <f t="shared" si="1"/>
        <v>0.25</v>
      </c>
      <c r="E11">
        <f t="shared" si="2"/>
        <v>0</v>
      </c>
      <c r="F11">
        <f t="shared" si="3"/>
        <v>0</v>
      </c>
      <c r="G11">
        <f t="shared" si="5"/>
        <v>1.25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  <c r="AA11">
        <f>[1]怪物属性!A13</f>
        <v>108</v>
      </c>
      <c r="AB11">
        <f>[1]怪物属性!B13</f>
        <v>0</v>
      </c>
      <c r="AC11">
        <f>[1]怪物属性!C13</f>
        <v>0</v>
      </c>
      <c r="AD11">
        <f>[1]怪物属性!D13</f>
        <v>0</v>
      </c>
      <c r="AE11">
        <f>[1]怪物属性!E13</f>
        <v>49452</v>
      </c>
      <c r="AF11">
        <f>[1]怪物属性!F13</f>
        <v>0</v>
      </c>
      <c r="AG11">
        <f>[1]怪物属性!G13</f>
        <v>3116</v>
      </c>
      <c r="AH11">
        <f>[1]怪物属性!H13</f>
        <v>0</v>
      </c>
      <c r="AI11">
        <f>[1]怪物属性!I13</f>
        <v>0</v>
      </c>
    </row>
    <row r="12" spans="1:35" x14ac:dyDescent="0.15"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  <c r="AA12">
        <f>[1]怪物属性!A14</f>
        <v>109</v>
      </c>
      <c r="AB12">
        <f>[1]怪物属性!B14</f>
        <v>0</v>
      </c>
      <c r="AC12">
        <f>[1]怪物属性!C14</f>
        <v>0</v>
      </c>
      <c r="AD12">
        <f>[1]怪物属性!D14</f>
        <v>0</v>
      </c>
      <c r="AE12">
        <f>[1]怪物属性!E14</f>
        <v>61914</v>
      </c>
      <c r="AF12">
        <f>[1]怪物属性!F14</f>
        <v>0</v>
      </c>
      <c r="AG12">
        <f>[1]怪物属性!G14</f>
        <v>3850</v>
      </c>
      <c r="AH12">
        <f>[1]怪物属性!H14</f>
        <v>0</v>
      </c>
      <c r="AI12">
        <f>[1]怪物属性!I14</f>
        <v>0</v>
      </c>
    </row>
    <row r="13" spans="1:35" x14ac:dyDescent="0.15"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  <c r="AA13">
        <f>[1]怪物属性!A15</f>
        <v>110</v>
      </c>
      <c r="AB13">
        <f>[1]怪物属性!B15</f>
        <v>0</v>
      </c>
      <c r="AC13">
        <f>[1]怪物属性!C15</f>
        <v>0</v>
      </c>
      <c r="AD13">
        <f>[1]怪物属性!D15</f>
        <v>0</v>
      </c>
      <c r="AE13">
        <f>[1]怪物属性!E15</f>
        <v>77217</v>
      </c>
      <c r="AF13">
        <f>[1]怪物属性!F15</f>
        <v>0</v>
      </c>
      <c r="AG13">
        <f>[1]怪物属性!G15</f>
        <v>4646</v>
      </c>
      <c r="AH13">
        <f>[1]怪物属性!H15</f>
        <v>0</v>
      </c>
      <c r="AI13">
        <f>[1]怪物属性!I15</f>
        <v>0</v>
      </c>
    </row>
    <row r="14" spans="1:35" x14ac:dyDescent="0.15">
      <c r="AA14" t="str">
        <f>[1]怪物属性!A19</f>
        <v>活尸+buff</v>
      </c>
    </row>
    <row r="15" spans="1:35" x14ac:dyDescent="0.15">
      <c r="A15" s="8" t="s">
        <v>5</v>
      </c>
      <c r="B15" s="8" t="s">
        <v>2</v>
      </c>
      <c r="C15" s="8" t="s">
        <v>178</v>
      </c>
      <c r="D15" s="8" t="s">
        <v>0</v>
      </c>
      <c r="G15" t="s">
        <v>445</v>
      </c>
      <c r="H15">
        <f>INT(I26/J26/C16)</f>
        <v>429</v>
      </c>
      <c r="I15" t="s">
        <v>446</v>
      </c>
      <c r="J15">
        <f>ROUND(I21/H15,1)</f>
        <v>1.6</v>
      </c>
      <c r="AA15" t="str">
        <f>[1]怪物属性!A20</f>
        <v>级别</v>
      </c>
      <c r="AB15" t="str">
        <f>[1]怪物属性!B20</f>
        <v>力道</v>
      </c>
      <c r="AC15" t="str">
        <f>[1]怪物属性!C20</f>
        <v>身法</v>
      </c>
      <c r="AD15" t="str">
        <f>[1]怪物属性!D20</f>
        <v>元气</v>
      </c>
      <c r="AE15" t="str">
        <f>[1]怪物属性!E20</f>
        <v>生命值</v>
      </c>
      <c r="AF15" t="str">
        <f>[1]怪物属性!F20</f>
        <v>物理攻击</v>
      </c>
      <c r="AG15" t="str">
        <f>[1]怪物属性!G20</f>
        <v>魔法攻击</v>
      </c>
      <c r="AH15" t="str">
        <f>[1]怪物属性!H20</f>
        <v>物理防御</v>
      </c>
      <c r="AI15" t="str">
        <f>[1]怪物属性!I20</f>
        <v>魔法防御</v>
      </c>
    </row>
    <row r="16" spans="1:35" x14ac:dyDescent="0.15">
      <c r="A16">
        <v>4010</v>
      </c>
      <c r="B16">
        <v>4010</v>
      </c>
      <c r="C16">
        <v>8</v>
      </c>
      <c r="D16">
        <f>MOD(A16,1000)</f>
        <v>10</v>
      </c>
      <c r="G16" t="s">
        <v>447</v>
      </c>
      <c r="H16">
        <v>5</v>
      </c>
      <c r="I16" t="s">
        <v>383</v>
      </c>
      <c r="J16">
        <f>VLOOKUP(D16,召唤物生存,10)</f>
        <v>20.63</v>
      </c>
      <c r="AA16">
        <f>[1]怪物属性!A21</f>
        <v>201</v>
      </c>
      <c r="AB16">
        <f>[1]怪物属性!B21</f>
        <v>0</v>
      </c>
      <c r="AC16">
        <f>[1]怪物属性!C21</f>
        <v>0</v>
      </c>
      <c r="AD16">
        <f>[1]怪物属性!D21</f>
        <v>0</v>
      </c>
      <c r="AE16">
        <f>[1]怪物属性!E21</f>
        <v>1827</v>
      </c>
      <c r="AF16">
        <f>[1]怪物属性!F21</f>
        <v>100</v>
      </c>
      <c r="AG16">
        <f>[1]怪物属性!G21</f>
        <v>0</v>
      </c>
      <c r="AH16">
        <f>[1]怪物属性!H21</f>
        <v>0</v>
      </c>
      <c r="AI16">
        <f>[1]怪物属性!I21</f>
        <v>0</v>
      </c>
    </row>
    <row r="17" spans="1:35" x14ac:dyDescent="0.15">
      <c r="A17" t="s">
        <v>156</v>
      </c>
      <c r="B17" t="s">
        <v>95</v>
      </c>
      <c r="C17" t="s">
        <v>177</v>
      </c>
      <c r="D17" t="s">
        <v>143</v>
      </c>
      <c r="E17" t="s">
        <v>182</v>
      </c>
      <c r="F17" t="s">
        <v>192</v>
      </c>
      <c r="G17" t="s">
        <v>193</v>
      </c>
      <c r="H17" t="s">
        <v>176</v>
      </c>
      <c r="I17" t="s">
        <v>205</v>
      </c>
      <c r="J17" t="s">
        <v>206</v>
      </c>
      <c r="T17">
        <v>55</v>
      </c>
      <c r="AA17">
        <f>[1]怪物属性!A22</f>
        <v>202</v>
      </c>
      <c r="AB17">
        <f>[1]怪物属性!B22</f>
        <v>0</v>
      </c>
      <c r="AC17">
        <f>[1]怪物属性!C22</f>
        <v>0</v>
      </c>
      <c r="AD17">
        <f>[1]怪物属性!D22</f>
        <v>0</v>
      </c>
      <c r="AE17">
        <f>[1]怪物属性!E22</f>
        <v>4788</v>
      </c>
      <c r="AF17">
        <f>[1]怪物属性!F22</f>
        <v>304</v>
      </c>
      <c r="AG17">
        <f>[1]怪物属性!G22</f>
        <v>0</v>
      </c>
      <c r="AH17">
        <f>[1]怪物属性!H22</f>
        <v>0</v>
      </c>
      <c r="AI17">
        <f>[1]怪物属性!I22</f>
        <v>0</v>
      </c>
    </row>
    <row r="18" spans="1:35" x14ac:dyDescent="0.15">
      <c r="A18">
        <v>42</v>
      </c>
      <c r="B18" t="s">
        <v>35</v>
      </c>
      <c r="C18">
        <v>1</v>
      </c>
      <c r="D18">
        <f>VLOOKUP(A18,技能参数,4,FALSE)</f>
        <v>1</v>
      </c>
      <c r="E18">
        <f>IFERROR(VLOOKUP(A18*1000+D16,学习等级编码,2),0)</f>
        <v>4201</v>
      </c>
      <c r="F18">
        <f>IFERROR(INT(VLOOKUP($E18,技能升级,9,FALSE)*$C18*I18*J18),0)</f>
        <v>0</v>
      </c>
      <c r="G18">
        <f>IFERROR(INT(VLOOKUP($E18,技能升级,10,FALSE)*$C18*I18*J18),0)</f>
        <v>0</v>
      </c>
      <c r="H18">
        <f>INT(VLOOKUP($E18,技能升级,11,FALSE)*$C18*I18*J18)</f>
        <v>0</v>
      </c>
      <c r="I18">
        <v>1</v>
      </c>
      <c r="J18">
        <v>1</v>
      </c>
      <c r="Q18">
        <v>11</v>
      </c>
      <c r="R18">
        <v>11</v>
      </c>
      <c r="S18">
        <v>11</v>
      </c>
      <c r="T18">
        <v>11</v>
      </c>
      <c r="AA18">
        <f>[1]怪物属性!A23</f>
        <v>203</v>
      </c>
      <c r="AB18">
        <f>[1]怪物属性!B23</f>
        <v>0</v>
      </c>
      <c r="AC18">
        <f>[1]怪物属性!C23</f>
        <v>0</v>
      </c>
      <c r="AD18">
        <f>[1]怪物属性!D23</f>
        <v>0</v>
      </c>
      <c r="AE18">
        <f>[1]怪物属性!E23</f>
        <v>9459</v>
      </c>
      <c r="AF18">
        <f>[1]怪物属性!F23</f>
        <v>521</v>
      </c>
      <c r="AG18">
        <f>[1]怪物属性!G23</f>
        <v>0</v>
      </c>
      <c r="AH18">
        <f>[1]怪物属性!H23</f>
        <v>0</v>
      </c>
      <c r="AI18">
        <f>[1]怪物属性!I23</f>
        <v>0</v>
      </c>
    </row>
    <row r="19" spans="1:35" x14ac:dyDescent="0.15">
      <c r="A19">
        <v>43</v>
      </c>
      <c r="B19" t="s">
        <v>36</v>
      </c>
      <c r="C19">
        <v>1</v>
      </c>
      <c r="D19">
        <f>VLOOKUP(A19,技能参数,4,FALSE)</f>
        <v>1</v>
      </c>
      <c r="E19">
        <f>IFERROR(VLOOKUP(A19*1000+D16,学习等级编码,2),0)</f>
        <v>4301</v>
      </c>
      <c r="F19">
        <f t="shared" ref="F19" si="6">IFERROR(INT(VLOOKUP($E19,技能升级,9,FALSE)*$C19*I19*J19),0)</f>
        <v>0</v>
      </c>
      <c r="G19">
        <f t="shared" ref="G19" si="7">IFERROR(INT(VLOOKUP($E19,技能升级,10,FALSE)*$C19*I19*J19),0)</f>
        <v>0</v>
      </c>
      <c r="H19">
        <f>INT(VLOOKUP($E19,技能升级,11,FALSE)*$C19*I19*J19)</f>
        <v>0</v>
      </c>
      <c r="I19">
        <v>1</v>
      </c>
      <c r="J19">
        <v>1</v>
      </c>
      <c r="Q19">
        <v>8</v>
      </c>
      <c r="R19">
        <v>7</v>
      </c>
      <c r="S19">
        <v>7</v>
      </c>
      <c r="T19">
        <v>7</v>
      </c>
      <c r="AA19">
        <f>[1]怪物属性!A24</f>
        <v>204</v>
      </c>
      <c r="AB19">
        <f>[1]怪物属性!B24</f>
        <v>0</v>
      </c>
      <c r="AC19">
        <f>[1]怪物属性!C24</f>
        <v>0</v>
      </c>
      <c r="AD19">
        <f>[1]怪物属性!D24</f>
        <v>0</v>
      </c>
      <c r="AE19">
        <f>[1]怪物属性!E24</f>
        <v>15747</v>
      </c>
      <c r="AF19">
        <f>[1]怪物属性!F24</f>
        <v>900</v>
      </c>
      <c r="AG19">
        <f>[1]怪物属性!G24</f>
        <v>0</v>
      </c>
      <c r="AH19">
        <f>[1]怪物属性!H24</f>
        <v>0</v>
      </c>
      <c r="AI19">
        <f>[1]怪物属性!I24</f>
        <v>0</v>
      </c>
    </row>
    <row r="20" spans="1:35" x14ac:dyDescent="0.15">
      <c r="A20">
        <v>44</v>
      </c>
      <c r="B20" t="s">
        <v>38</v>
      </c>
      <c r="C20">
        <v>1</v>
      </c>
      <c r="D20">
        <f>IFERROR(INT(VLOOKUP($E20,技能升级,13,FALSE)),0)</f>
        <v>4</v>
      </c>
      <c r="E20">
        <f>IFERROR(VLOOKUP(A20*1000+D16,学习等级编码,2),0)</f>
        <v>4401</v>
      </c>
      <c r="F20">
        <f>IFERROR(INT(VLOOKUP($E20,技能升级,9,FALSE)*$C20*I20*J20),0)</f>
        <v>0</v>
      </c>
      <c r="G20">
        <f>IFERROR(INT(VLOOKUP($E20,技能升级,10,FALSE)*$D20*I20*J20),0)</f>
        <v>6000</v>
      </c>
      <c r="H20">
        <f>INT(VLOOKUP($E20,技能升级,11,FALSE)*$D20*I20*J20)</f>
        <v>100</v>
      </c>
      <c r="I20">
        <v>1</v>
      </c>
      <c r="J20">
        <f>VLOOKUP(A16,$A$2:$G$11,7,FALSE)</f>
        <v>1</v>
      </c>
      <c r="Q20">
        <v>10</v>
      </c>
      <c r="R20">
        <v>9</v>
      </c>
      <c r="S20">
        <v>9</v>
      </c>
      <c r="T20">
        <v>9</v>
      </c>
      <c r="AA20">
        <f>[1]怪物属性!A25</f>
        <v>205</v>
      </c>
      <c r="AB20">
        <f>[1]怪物属性!B25</f>
        <v>0</v>
      </c>
      <c r="AC20">
        <f>[1]怪物属性!C25</f>
        <v>0</v>
      </c>
      <c r="AD20">
        <f>[1]怪物属性!D25</f>
        <v>0</v>
      </c>
      <c r="AE20">
        <f>[1]怪物属性!E25</f>
        <v>22629</v>
      </c>
      <c r="AF20">
        <f>[1]怪物属性!F25</f>
        <v>1257</v>
      </c>
      <c r="AG20">
        <f>[1]怪物属性!G25</f>
        <v>0</v>
      </c>
      <c r="AH20">
        <f>[1]怪物属性!H25</f>
        <v>0</v>
      </c>
      <c r="AI20">
        <f>[1]怪物属性!I25</f>
        <v>0</v>
      </c>
    </row>
    <row r="21" spans="1:35" x14ac:dyDescent="0.15">
      <c r="A21">
        <v>45</v>
      </c>
      <c r="B21" t="s">
        <v>37</v>
      </c>
      <c r="C21">
        <v>1</v>
      </c>
      <c r="D21">
        <f>VLOOKUP(A21,技能参数,4,FALSE)</f>
        <v>2</v>
      </c>
      <c r="E21">
        <f>IFERROR(VLOOKUP(A21*1000+D16,学习等级编码,2),0)</f>
        <v>4501</v>
      </c>
      <c r="F21">
        <f>IFERROR(INT(VLOOKUP($E21,技能升级,9,FALSE)*$C21*I21*J21),0)</f>
        <v>0</v>
      </c>
      <c r="G21">
        <f t="shared" ref="G21:G22" si="8">IFERROR(INT(VLOOKUP($E21,技能升级,10,FALSE)*$C21*I21*J21),0)</f>
        <v>0</v>
      </c>
      <c r="H21">
        <f>INT(VLOOKUP($E21,技能升级,11,FALSE)*$C21*I21*J21)</f>
        <v>0</v>
      </c>
      <c r="I21">
        <f>INT(VLOOKUP($E21,技能升级,13,FALSE)*$C21)</f>
        <v>690</v>
      </c>
      <c r="J21">
        <v>1</v>
      </c>
      <c r="Q21">
        <v>12</v>
      </c>
      <c r="R21">
        <v>22</v>
      </c>
      <c r="S21">
        <v>35</v>
      </c>
      <c r="T21">
        <v>51</v>
      </c>
      <c r="W21">
        <v>10</v>
      </c>
      <c r="X21">
        <v>11</v>
      </c>
      <c r="Y21">
        <v>12</v>
      </c>
      <c r="Z21">
        <v>13</v>
      </c>
      <c r="AA21">
        <f>[1]怪物属性!A26</f>
        <v>206</v>
      </c>
      <c r="AB21">
        <f>[1]怪物属性!B26</f>
        <v>0</v>
      </c>
      <c r="AC21">
        <f>[1]怪物属性!C26</f>
        <v>0</v>
      </c>
      <c r="AD21">
        <f>[1]怪物属性!D26</f>
        <v>0</v>
      </c>
      <c r="AE21">
        <f>[1]怪物属性!E26</f>
        <v>31059</v>
      </c>
      <c r="AF21">
        <f>[1]怪物属性!F26</f>
        <v>1766</v>
      </c>
      <c r="AG21">
        <f>[1]怪物属性!G26</f>
        <v>0</v>
      </c>
      <c r="AH21">
        <f>[1]怪物属性!H26</f>
        <v>0</v>
      </c>
      <c r="AI21">
        <f>[1]怪物属性!I26</f>
        <v>0</v>
      </c>
    </row>
    <row r="22" spans="1:35" x14ac:dyDescent="0.15">
      <c r="A22">
        <v>41</v>
      </c>
      <c r="B22" t="s">
        <v>361</v>
      </c>
      <c r="C22">
        <f>IF(INT((C16-C18*D18-C19*D19-C20*D20-C21*D21)/D22)&gt;0,INT((C16-C18*D18-C19*D19-C20*D20-C21*D21)/D22),0)</f>
        <v>0</v>
      </c>
      <c r="D22">
        <f>VLOOKUP(A22,技能参数,4,FALSE)</f>
        <v>1.2</v>
      </c>
      <c r="E22">
        <f>IFERROR(VLOOKUP(A22*1000+D16,学习等级编码,2),0)</f>
        <v>4102</v>
      </c>
      <c r="F22">
        <f>IFERROR(INT(VLOOKUP($E22,技能升级,9,FALSE)*$C22*I22*J22),0)</f>
        <v>0</v>
      </c>
      <c r="G22">
        <f t="shared" si="8"/>
        <v>0</v>
      </c>
      <c r="H22">
        <f>INT(VLOOKUP($E22,技能升级,11,FALSE)*$C22*I22*J22)</f>
        <v>0</v>
      </c>
      <c r="I22">
        <v>1</v>
      </c>
      <c r="J22">
        <f>VLOOKUP(A16,$A$2:$G$11,7,FALSE)</f>
        <v>1</v>
      </c>
      <c r="N22" t="s">
        <v>363</v>
      </c>
      <c r="O22" t="s">
        <v>364</v>
      </c>
      <c r="P22" t="s">
        <v>365</v>
      </c>
      <c r="Q22" t="s">
        <v>369</v>
      </c>
      <c r="R22" t="s">
        <v>366</v>
      </c>
      <c r="S22" t="s">
        <v>368</v>
      </c>
      <c r="T22" t="s">
        <v>367</v>
      </c>
      <c r="U22" t="s">
        <v>382</v>
      </c>
      <c r="V22" t="s">
        <v>370</v>
      </c>
      <c r="W22" t="s">
        <v>377</v>
      </c>
      <c r="X22" t="s">
        <v>378</v>
      </c>
      <c r="Y22" t="s">
        <v>379</v>
      </c>
      <c r="Z22" t="s">
        <v>380</v>
      </c>
      <c r="AA22">
        <f>[1]怪物属性!A27</f>
        <v>207</v>
      </c>
      <c r="AB22">
        <f>[1]怪物属性!B27</f>
        <v>0</v>
      </c>
      <c r="AC22">
        <f>[1]怪物属性!C27</f>
        <v>0</v>
      </c>
      <c r="AD22">
        <f>[1]怪物属性!D27</f>
        <v>0</v>
      </c>
      <c r="AE22">
        <f>[1]怪物属性!E27</f>
        <v>40524</v>
      </c>
      <c r="AF22">
        <f>[1]怪物属性!F27</f>
        <v>2392</v>
      </c>
      <c r="AG22">
        <f>[1]怪物属性!G27</f>
        <v>0</v>
      </c>
      <c r="AH22">
        <f>[1]怪物属性!H27</f>
        <v>0</v>
      </c>
      <c r="AI22">
        <f>[1]怪物属性!I27</f>
        <v>0</v>
      </c>
    </row>
    <row r="23" spans="1:35" x14ac:dyDescent="0.15">
      <c r="A23">
        <f>VLOOKUP(E18,技能升级,13,FALSE)</f>
        <v>101</v>
      </c>
      <c r="B23" t="s">
        <v>375</v>
      </c>
      <c r="C23">
        <f>IF(C16&lt;J16,C16+C16-H16,IF(C16&gt;J16+H16,J16+J16,J16+C16-H16))</f>
        <v>11</v>
      </c>
      <c r="G23">
        <f>INT((VLOOKUP(A23,召唤物属性,7,FALSE)-
IF($B16&gt;10000,VLOOKUP($B16,实战属性,15,FALSE),VLOOKUP($B16,总基本属性,9,FALSE))*$L$13)*I23*J23)</f>
        <v>110</v>
      </c>
      <c r="I23">
        <f>VLOOKUP($E18,技能升级,14,FALSE)</f>
        <v>1</v>
      </c>
      <c r="J23">
        <v>1</v>
      </c>
      <c r="N23">
        <v>10</v>
      </c>
      <c r="O23">
        <f>INT(R23*V23)</f>
        <v>1827</v>
      </c>
      <c r="P23">
        <f>技能升级表!N177+技能升级表!N187</f>
        <v>3</v>
      </c>
      <c r="Q23">
        <f>ROUND((VLOOKUP(VLOOKUP(Q$21*1000+$N23,学习等级编码,2),技能升级,Q$20,FALSE)/1000*VLOOKUP(INT(Q$21/10)*1000+$N23,总基本属性,Q$19,FALSE)+VLOOKUP(VLOOKUP(Q$21*1000+$N23,学习等级编码,2),技能升级,Q$18,FALSE)),0)</f>
        <v>122</v>
      </c>
      <c r="R23">
        <f t="shared" ref="Q23:S32" si="9">ROUND((VLOOKUP(VLOOKUP(R$21*1000+$N23,学习等级编码,2),技能升级,R$20,FALSE)/1000*VLOOKUP(INT(R$21/10)*1000+$N23,总基本属性,R$19,FALSE)+VLOOKUP(VLOOKUP(R$21*1000+$N23,学习等级编码,2),技能升级,R$18,FALSE)),0)</f>
        <v>609</v>
      </c>
      <c r="S23">
        <f t="shared" si="9"/>
        <v>318</v>
      </c>
      <c r="T23">
        <f t="shared" ref="T23:T32" si="10">ROUND(((VLOOKUP(VLOOKUP(T$21*1000+$N23,学习等级编码,2),技能升级,T$20,FALSE)/1000*VLOOKUP(INT(T$21/10)*1000+$N23,总基本属性,T$19,FALSE)+VLOOKUP(VLOOKUP(T$21*1000+$N23,学习等级编码,2),技能升级,T$18,FALSE))*VLOOKUP(VLOOKUP(T$17*1000+$N23,学习等级编码,2),技能升级,T$20,FALSE)/1000*3),0)</f>
        <v>357</v>
      </c>
      <c r="U23">
        <f t="shared" ref="U23:U32" si="11">VLOOKUP(VLOOKUP(45000+N23,学习等级编码,2),技能升级,13,FALSE)</f>
        <v>690</v>
      </c>
      <c r="V23">
        <v>3</v>
      </c>
      <c r="W23">
        <f>ROUND(($O23+$U23)/Q23,2)</f>
        <v>20.63</v>
      </c>
      <c r="X23">
        <f>ROUND(($O23+$U23)/R23*2.5,2)</f>
        <v>10.33</v>
      </c>
      <c r="Y23">
        <f>ROUND(($O23+$U23)/S23*2,2)</f>
        <v>15.83</v>
      </c>
      <c r="Z23">
        <f>ROUND(($O23+$U23)/T23*0.9,2)</f>
        <v>6.35</v>
      </c>
      <c r="AA23">
        <f>[1]怪物属性!A28</f>
        <v>208</v>
      </c>
      <c r="AB23">
        <f>[1]怪物属性!B28</f>
        <v>0</v>
      </c>
      <c r="AC23">
        <f>[1]怪物属性!C28</f>
        <v>0</v>
      </c>
      <c r="AD23">
        <f>[1]怪物属性!D28</f>
        <v>0</v>
      </c>
      <c r="AE23">
        <f>[1]怪物属性!E28</f>
        <v>49452</v>
      </c>
      <c r="AF23">
        <f>[1]怪物属性!F28</f>
        <v>2816</v>
      </c>
      <c r="AG23">
        <f>[1]怪物属性!G28</f>
        <v>0</v>
      </c>
      <c r="AH23">
        <f>[1]怪物属性!H28</f>
        <v>0</v>
      </c>
      <c r="AI23">
        <f>[1]怪物属性!I28</f>
        <v>0</v>
      </c>
    </row>
    <row r="24" spans="1:35" x14ac:dyDescent="0.15">
      <c r="A24">
        <f>VLOOKUP(E19,技能升级,13,FALSE)</f>
        <v>201</v>
      </c>
      <c r="B24" t="s">
        <v>374</v>
      </c>
      <c r="C24">
        <f>IF(C16&lt;J16,C16+C16-H16,IF(C16&gt;J16+H16,J16+J16,J16+C16-H16))</f>
        <v>11</v>
      </c>
      <c r="F24">
        <f>INT((VLOOKUP(A24,召唤物属性,6,FALSE)-
IF($B16&gt;10000,VLOOKUP($B16,实战属性,15,FALSE),VLOOKUP($B16,总基本属性,9,FALSE))*$L$13)*I24*J24)</f>
        <v>120</v>
      </c>
      <c r="I24">
        <f>VLOOKUP($E19,技能升级,14,FALSE)</f>
        <v>2</v>
      </c>
      <c r="J24">
        <v>1</v>
      </c>
      <c r="N24">
        <v>20</v>
      </c>
      <c r="O24">
        <f>INT(R24*V24)</f>
        <v>4788</v>
      </c>
      <c r="P24">
        <f>技能升级表!N178+技能升级表!N188</f>
        <v>3</v>
      </c>
      <c r="Q24">
        <f t="shared" si="9"/>
        <v>391</v>
      </c>
      <c r="R24">
        <f t="shared" si="9"/>
        <v>1596</v>
      </c>
      <c r="S24">
        <f t="shared" si="9"/>
        <v>758</v>
      </c>
      <c r="T24">
        <f t="shared" si="10"/>
        <v>902</v>
      </c>
      <c r="U24">
        <f t="shared" si="11"/>
        <v>690</v>
      </c>
      <c r="V24">
        <v>3</v>
      </c>
      <c r="W24">
        <f>ROUND(($O24+$U24)/Q24,2)</f>
        <v>14.01</v>
      </c>
      <c r="X24">
        <f t="shared" ref="X24:X32" si="12">ROUND(($O24+$U24)/R24*2.5,2)</f>
        <v>8.58</v>
      </c>
      <c r="Y24">
        <f t="shared" ref="Y24:Y32" si="13">ROUND(($O24+$U24)/S24*2,2)</f>
        <v>14.45</v>
      </c>
      <c r="Z24">
        <f t="shared" ref="Z24:Z32" si="14">ROUND(($O24+$U24)/T24*0.9,2)</f>
        <v>5.47</v>
      </c>
      <c r="AA24">
        <f>[1]怪物属性!A29</f>
        <v>209</v>
      </c>
      <c r="AB24">
        <f>[1]怪物属性!B29</f>
        <v>0</v>
      </c>
      <c r="AC24">
        <f>[1]怪物属性!C29</f>
        <v>0</v>
      </c>
      <c r="AD24">
        <f>[1]怪物属性!D29</f>
        <v>0</v>
      </c>
      <c r="AE24">
        <f>[1]怪物属性!E29</f>
        <v>61914</v>
      </c>
      <c r="AF24">
        <f>[1]怪物属性!F29</f>
        <v>3550</v>
      </c>
      <c r="AG24">
        <f>[1]怪物属性!G29</f>
        <v>0</v>
      </c>
      <c r="AH24">
        <f>[1]怪物属性!H29</f>
        <v>0</v>
      </c>
      <c r="AI24">
        <f>[1]怪物属性!I29</f>
        <v>0</v>
      </c>
    </row>
    <row r="25" spans="1:35" x14ac:dyDescent="0.15">
      <c r="E25" t="s">
        <v>194</v>
      </c>
      <c r="F25">
        <f>SUM(F18:F22)/1000</f>
        <v>0</v>
      </c>
      <c r="G25">
        <f>SUM(G18:G22)/1000</f>
        <v>6</v>
      </c>
      <c r="H25">
        <f>SUM(H18:H21)</f>
        <v>100</v>
      </c>
      <c r="I25" t="s">
        <v>196</v>
      </c>
      <c r="J25" t="s">
        <v>197</v>
      </c>
      <c r="N25">
        <v>30</v>
      </c>
      <c r="O25">
        <f t="shared" ref="O25:O32" si="15">INT(R25*V25)</f>
        <v>9459</v>
      </c>
      <c r="P25">
        <f>技能升级表!N179+技能升级表!N189</f>
        <v>4</v>
      </c>
      <c r="Q25">
        <f t="shared" si="9"/>
        <v>788</v>
      </c>
      <c r="R25">
        <f t="shared" si="9"/>
        <v>3153</v>
      </c>
      <c r="S25">
        <f t="shared" si="9"/>
        <v>1593</v>
      </c>
      <c r="T25">
        <f t="shared" si="10"/>
        <v>1843</v>
      </c>
      <c r="U25">
        <f>VLOOKUP(VLOOKUP(45000+N25,学习等级编码,2),技能升级,13,FALSE)</f>
        <v>2166</v>
      </c>
      <c r="V25">
        <v>3</v>
      </c>
      <c r="W25">
        <f>ROUND(($O25+$U25)/Q25,2)</f>
        <v>14.75</v>
      </c>
      <c r="X25">
        <f>ROUND(($O25+$U25)/R25*2.5,2)</f>
        <v>9.2200000000000006</v>
      </c>
      <c r="Y25">
        <f t="shared" si="13"/>
        <v>14.6</v>
      </c>
      <c r="Z25">
        <f t="shared" si="14"/>
        <v>5.68</v>
      </c>
      <c r="AA25">
        <f>[1]怪物属性!A30</f>
        <v>210</v>
      </c>
      <c r="AB25">
        <f>[1]怪物属性!B30</f>
        <v>0</v>
      </c>
      <c r="AC25">
        <f>[1]怪物属性!C30</f>
        <v>0</v>
      </c>
      <c r="AD25">
        <f>[1]怪物属性!D30</f>
        <v>0</v>
      </c>
      <c r="AE25">
        <f>[1]怪物属性!E30</f>
        <v>77217</v>
      </c>
      <c r="AF25">
        <f>[1]怪物属性!F30</f>
        <v>4346</v>
      </c>
      <c r="AG25">
        <f>[1]怪物属性!G30</f>
        <v>0</v>
      </c>
      <c r="AH25">
        <f>[1]怪物属性!H30</f>
        <v>0</v>
      </c>
      <c r="AI25">
        <f>[1]怪物属性!I30</f>
        <v>0</v>
      </c>
    </row>
    <row r="26" spans="1:35" x14ac:dyDescent="0.15">
      <c r="E26" t="s">
        <v>195</v>
      </c>
      <c r="F26">
        <f>INT((IF($A16&gt;10000,VLOOKUP($A16,实战属性,13,FALSE),VLOOKUP($A16,总基本属性,7,FALSE))-
IF($B16&gt;10000,VLOOKUP($B16,实战属性,15,FALSE),VLOOKUP($B16,总基本属性,9,FALSE))*$L$13)*F25)</f>
        <v>0</v>
      </c>
      <c r="G26">
        <f>INT((IF($A16&gt;10000,VLOOKUP($A16,实战属性,14,FALSE),VLOOKUP($A16,总基本属性,8,FALSE))-
IF($B16&gt;10000,VLOOKUP($B16,实战属性,16,FALSE),VLOOKUP($B16,总基本属性,10,FALSE))*$L$13)*G25)</f>
        <v>816</v>
      </c>
      <c r="H26">
        <f>H25+F26+G26</f>
        <v>916</v>
      </c>
      <c r="I26">
        <f>IF($B16&gt;10000,VLOOKUP($B16,实战属性,12,FALSE),VLOOKUP($B16,总基本属性,6,FALSE))+I21</f>
        <v>3300</v>
      </c>
      <c r="J26">
        <f>ROUND(I26/H27,2)</f>
        <v>0.96</v>
      </c>
      <c r="N26">
        <v>40</v>
      </c>
      <c r="O26">
        <f t="shared" si="15"/>
        <v>15747</v>
      </c>
      <c r="P26">
        <f>技能升级表!N180+技能升级表!N190</f>
        <v>4</v>
      </c>
      <c r="Q26">
        <f t="shared" si="9"/>
        <v>1347</v>
      </c>
      <c r="R26">
        <f t="shared" si="9"/>
        <v>5249</v>
      </c>
      <c r="S26">
        <f t="shared" si="9"/>
        <v>2854</v>
      </c>
      <c r="T26">
        <f t="shared" si="10"/>
        <v>3172</v>
      </c>
      <c r="U26">
        <f t="shared" si="11"/>
        <v>3822</v>
      </c>
      <c r="V26">
        <v>3</v>
      </c>
      <c r="W26">
        <f t="shared" ref="W26:W32" si="16">ROUND(($O26+$U26)/Q26,2)</f>
        <v>14.53</v>
      </c>
      <c r="X26">
        <f t="shared" si="12"/>
        <v>9.32</v>
      </c>
      <c r="Y26">
        <f t="shared" si="13"/>
        <v>13.71</v>
      </c>
      <c r="Z26">
        <f t="shared" si="14"/>
        <v>5.55</v>
      </c>
    </row>
    <row r="27" spans="1:35" x14ac:dyDescent="0.15">
      <c r="E27" t="s">
        <v>376</v>
      </c>
      <c r="F27">
        <f>INT(F24*C24)</f>
        <v>1320</v>
      </c>
      <c r="G27">
        <f>INT(G23*C23)</f>
        <v>1210</v>
      </c>
      <c r="H27">
        <f>F27+G27+H26</f>
        <v>3446</v>
      </c>
      <c r="N27">
        <v>50</v>
      </c>
      <c r="O27">
        <f t="shared" si="15"/>
        <v>22629</v>
      </c>
      <c r="P27">
        <f>技能升级表!N181+技能升级表!N191</f>
        <v>5</v>
      </c>
      <c r="Q27">
        <f t="shared" si="9"/>
        <v>2078</v>
      </c>
      <c r="R27">
        <f t="shared" si="9"/>
        <v>7543</v>
      </c>
      <c r="S27">
        <f t="shared" si="9"/>
        <v>4206</v>
      </c>
      <c r="T27">
        <f t="shared" si="10"/>
        <v>4738</v>
      </c>
      <c r="U27">
        <f t="shared" si="11"/>
        <v>3822</v>
      </c>
      <c r="V27">
        <v>3</v>
      </c>
      <c r="W27">
        <f t="shared" si="16"/>
        <v>12.73</v>
      </c>
      <c r="X27">
        <f t="shared" si="12"/>
        <v>8.77</v>
      </c>
      <c r="Y27">
        <f t="shared" si="13"/>
        <v>12.58</v>
      </c>
      <c r="Z27">
        <f t="shared" si="14"/>
        <v>5.0199999999999996</v>
      </c>
    </row>
    <row r="28" spans="1:35" x14ac:dyDescent="0.15">
      <c r="N28">
        <v>60</v>
      </c>
      <c r="O28">
        <f t="shared" si="15"/>
        <v>31059</v>
      </c>
      <c r="P28">
        <f>技能升级表!N182+技能升级表!N192</f>
        <v>5</v>
      </c>
      <c r="Q28">
        <f t="shared" si="9"/>
        <v>2805</v>
      </c>
      <c r="R28">
        <f t="shared" si="9"/>
        <v>10353</v>
      </c>
      <c r="S28">
        <f t="shared" si="9"/>
        <v>6368</v>
      </c>
      <c r="T28">
        <f t="shared" si="10"/>
        <v>6581</v>
      </c>
      <c r="U28">
        <f t="shared" si="11"/>
        <v>8916</v>
      </c>
      <c r="V28">
        <v>3</v>
      </c>
      <c r="W28">
        <f t="shared" si="16"/>
        <v>14.25</v>
      </c>
      <c r="X28">
        <f t="shared" si="12"/>
        <v>9.65</v>
      </c>
      <c r="Y28">
        <f t="shared" si="13"/>
        <v>12.55</v>
      </c>
      <c r="Z28">
        <f t="shared" si="14"/>
        <v>5.47</v>
      </c>
    </row>
    <row r="29" spans="1:35" x14ac:dyDescent="0.15">
      <c r="N29">
        <v>70</v>
      </c>
      <c r="O29">
        <f t="shared" si="15"/>
        <v>40524</v>
      </c>
      <c r="P29">
        <f>技能升级表!N183+技能升级表!N193</f>
        <v>5</v>
      </c>
      <c r="Q29">
        <f t="shared" si="9"/>
        <v>3552</v>
      </c>
      <c r="R29">
        <f t="shared" si="9"/>
        <v>13508</v>
      </c>
      <c r="S29">
        <f t="shared" si="9"/>
        <v>9115</v>
      </c>
      <c r="T29">
        <f t="shared" si="10"/>
        <v>9148</v>
      </c>
      <c r="U29">
        <f t="shared" si="11"/>
        <v>12372</v>
      </c>
      <c r="V29">
        <v>3</v>
      </c>
      <c r="W29">
        <f t="shared" si="16"/>
        <v>14.89</v>
      </c>
      <c r="X29">
        <f t="shared" si="12"/>
        <v>9.7899999999999991</v>
      </c>
      <c r="Y29">
        <f t="shared" si="13"/>
        <v>11.61</v>
      </c>
      <c r="Z29">
        <f t="shared" si="14"/>
        <v>5.2</v>
      </c>
    </row>
    <row r="30" spans="1:35" x14ac:dyDescent="0.15">
      <c r="N30">
        <v>80</v>
      </c>
      <c r="O30">
        <f t="shared" si="15"/>
        <v>49452</v>
      </c>
      <c r="P30">
        <f>技能升级表!N184+技能升级表!N194</f>
        <v>6</v>
      </c>
      <c r="Q30">
        <f t="shared" si="9"/>
        <v>4458</v>
      </c>
      <c r="R30">
        <f t="shared" si="9"/>
        <v>16484</v>
      </c>
      <c r="S30">
        <f t="shared" si="9"/>
        <v>11624</v>
      </c>
      <c r="T30">
        <f t="shared" si="10"/>
        <v>11412</v>
      </c>
      <c r="U30">
        <f t="shared" si="11"/>
        <v>12372</v>
      </c>
      <c r="V30">
        <v>3</v>
      </c>
      <c r="W30">
        <f t="shared" si="16"/>
        <v>13.87</v>
      </c>
      <c r="X30">
        <f t="shared" si="12"/>
        <v>9.3800000000000008</v>
      </c>
      <c r="Y30">
        <f t="shared" si="13"/>
        <v>10.64</v>
      </c>
      <c r="Z30">
        <f t="shared" si="14"/>
        <v>4.88</v>
      </c>
    </row>
    <row r="31" spans="1:35" x14ac:dyDescent="0.15">
      <c r="A31" s="8" t="s">
        <v>5</v>
      </c>
      <c r="B31" s="8" t="s">
        <v>2</v>
      </c>
      <c r="C31" s="8" t="s">
        <v>178</v>
      </c>
      <c r="D31" s="8" t="s">
        <v>0</v>
      </c>
      <c r="G31" t="s">
        <v>445</v>
      </c>
      <c r="H31">
        <f>INT(I42/J42/C32)</f>
        <v>1281</v>
      </c>
      <c r="I31" t="s">
        <v>446</v>
      </c>
      <c r="J31">
        <f>ROUND(I37/H31,1)</f>
        <v>0.5</v>
      </c>
      <c r="N31">
        <v>90</v>
      </c>
      <c r="O31">
        <f t="shared" si="15"/>
        <v>61914</v>
      </c>
      <c r="P31">
        <f>技能升级表!N185+技能升级表!N195</f>
        <v>6</v>
      </c>
      <c r="Q31">
        <f t="shared" si="9"/>
        <v>5558</v>
      </c>
      <c r="R31">
        <f t="shared" si="9"/>
        <v>20638</v>
      </c>
      <c r="S31">
        <f t="shared" si="9"/>
        <v>15486</v>
      </c>
      <c r="T31">
        <f t="shared" si="10"/>
        <v>15491</v>
      </c>
      <c r="U31">
        <f t="shared" si="11"/>
        <v>21066</v>
      </c>
      <c r="V31">
        <v>3</v>
      </c>
      <c r="W31">
        <f t="shared" si="16"/>
        <v>14.93</v>
      </c>
      <c r="X31">
        <f t="shared" si="12"/>
        <v>10.050000000000001</v>
      </c>
      <c r="Y31">
        <f t="shared" si="13"/>
        <v>10.72</v>
      </c>
      <c r="Z31">
        <f t="shared" si="14"/>
        <v>4.82</v>
      </c>
    </row>
    <row r="32" spans="1:35" x14ac:dyDescent="0.15">
      <c r="A32">
        <f>A16+10</f>
        <v>4020</v>
      </c>
      <c r="B32">
        <f>B16+10</f>
        <v>4020</v>
      </c>
      <c r="C32">
        <v>7</v>
      </c>
      <c r="D32">
        <f>MOD(A32,1000)</f>
        <v>20</v>
      </c>
      <c r="G32" t="s">
        <v>447</v>
      </c>
      <c r="H32">
        <v>4</v>
      </c>
      <c r="I32" t="s">
        <v>383</v>
      </c>
      <c r="J32">
        <f>VLOOKUP(D32,召唤物生存,10)</f>
        <v>14.01</v>
      </c>
      <c r="N32">
        <v>100</v>
      </c>
      <c r="O32">
        <f t="shared" si="15"/>
        <v>77217</v>
      </c>
      <c r="P32">
        <f>技能升级表!N186+技能升级表!N196</f>
        <v>6</v>
      </c>
      <c r="Q32">
        <f t="shared" si="9"/>
        <v>6961</v>
      </c>
      <c r="R32">
        <f t="shared" si="9"/>
        <v>25739</v>
      </c>
      <c r="S32">
        <f t="shared" si="9"/>
        <v>20147</v>
      </c>
      <c r="T32">
        <f t="shared" si="10"/>
        <v>20053</v>
      </c>
      <c r="U32">
        <f t="shared" si="11"/>
        <v>32172</v>
      </c>
      <c r="V32">
        <v>3</v>
      </c>
      <c r="W32">
        <f t="shared" si="16"/>
        <v>15.71</v>
      </c>
      <c r="X32">
        <f t="shared" si="12"/>
        <v>10.62</v>
      </c>
      <c r="Y32">
        <f t="shared" si="13"/>
        <v>10.86</v>
      </c>
      <c r="Z32">
        <f t="shared" si="14"/>
        <v>4.91</v>
      </c>
    </row>
    <row r="33" spans="1:10" x14ac:dyDescent="0.15">
      <c r="A33" t="s">
        <v>156</v>
      </c>
      <c r="B33" t="s">
        <v>95</v>
      </c>
      <c r="C33" t="s">
        <v>177</v>
      </c>
      <c r="D33" t="s">
        <v>143</v>
      </c>
      <c r="E33" t="s">
        <v>182</v>
      </c>
      <c r="F33" t="s">
        <v>192</v>
      </c>
      <c r="G33" t="s">
        <v>193</v>
      </c>
      <c r="H33" t="s">
        <v>176</v>
      </c>
      <c r="I33" t="s">
        <v>205</v>
      </c>
      <c r="J33" t="s">
        <v>206</v>
      </c>
    </row>
    <row r="34" spans="1:10" x14ac:dyDescent="0.15">
      <c r="A34">
        <v>42</v>
      </c>
      <c r="B34" t="s">
        <v>35</v>
      </c>
      <c r="C34">
        <v>1</v>
      </c>
      <c r="D34">
        <f>VLOOKUP(A34,技能参数,4,FALSE)</f>
        <v>1</v>
      </c>
      <c r="E34">
        <f>IFERROR(VLOOKUP(A34*1000+D32,学习等级编码,2),0)</f>
        <v>4202</v>
      </c>
      <c r="F34">
        <f>IFERROR(INT(VLOOKUP($E34,技能升级,9,FALSE)*$C34*I34*J34),0)</f>
        <v>0</v>
      </c>
      <c r="G34">
        <f>IFERROR(INT(VLOOKUP($E34,技能升级,10,FALSE)*$C34*I34*J34),0)</f>
        <v>0</v>
      </c>
      <c r="H34">
        <f>INT(VLOOKUP($E34,技能升级,11,FALSE)*$C34*I34*J34)</f>
        <v>0</v>
      </c>
      <c r="I34">
        <v>1</v>
      </c>
      <c r="J34">
        <v>1</v>
      </c>
    </row>
    <row r="35" spans="1:10" x14ac:dyDescent="0.15">
      <c r="A35">
        <v>43</v>
      </c>
      <c r="B35" t="s">
        <v>36</v>
      </c>
      <c r="C35">
        <v>1</v>
      </c>
      <c r="D35">
        <f>VLOOKUP(A35,技能参数,4,FALSE)</f>
        <v>1</v>
      </c>
      <c r="E35">
        <f>IFERROR(VLOOKUP(A35*1000+D32,学习等级编码,2),0)</f>
        <v>4302</v>
      </c>
      <c r="F35">
        <f t="shared" ref="F35" si="17">IFERROR(INT(VLOOKUP($E35,技能升级,9,FALSE)*$C35*I35*J35),0)</f>
        <v>0</v>
      </c>
      <c r="G35">
        <f t="shared" ref="G35" si="18">IFERROR(INT(VLOOKUP($E35,技能升级,10,FALSE)*$C35*I35*J35),0)</f>
        <v>0</v>
      </c>
      <c r="H35">
        <f>INT(VLOOKUP($E35,技能升级,11,FALSE)*$C35*I35*J35)</f>
        <v>0</v>
      </c>
      <c r="I35">
        <v>1</v>
      </c>
      <c r="J35">
        <v>1</v>
      </c>
    </row>
    <row r="36" spans="1:10" x14ac:dyDescent="0.15">
      <c r="A36">
        <v>44</v>
      </c>
      <c r="B36" t="s">
        <v>38</v>
      </c>
      <c r="C36">
        <v>1</v>
      </c>
      <c r="D36">
        <f>IFERROR(INT(VLOOKUP($E36,技能升级,13,FALSE)),0)</f>
        <v>4</v>
      </c>
      <c r="E36">
        <f>IFERROR(VLOOKUP(A36*1000+D32,学习等级编码,2),0)</f>
        <v>4402</v>
      </c>
      <c r="F36">
        <f>IFERROR(INT(VLOOKUP($E36,技能升级,9,FALSE)*$C36*I36*J36),0)</f>
        <v>0</v>
      </c>
      <c r="G36">
        <f>IFERROR(INT(VLOOKUP($E36,技能升级,10,FALSE)*$D36*I36*J36),0)</f>
        <v>6280</v>
      </c>
      <c r="H36">
        <f>INT(VLOOKUP($E36,技能升级,11,FALSE)*$D36*I36*J36)</f>
        <v>180</v>
      </c>
      <c r="I36">
        <v>1</v>
      </c>
      <c r="J36">
        <f>VLOOKUP(A32,$A$2:$G$11,7,FALSE)</f>
        <v>1</v>
      </c>
    </row>
    <row r="37" spans="1:10" x14ac:dyDescent="0.15">
      <c r="A37">
        <v>45</v>
      </c>
      <c r="B37" t="s">
        <v>37</v>
      </c>
      <c r="C37">
        <v>1</v>
      </c>
      <c r="D37">
        <f>VLOOKUP(A37,技能参数,4,FALSE)</f>
        <v>2</v>
      </c>
      <c r="E37">
        <f>IFERROR(VLOOKUP(A37*1000+D32,学习等级编码,2),0)</f>
        <v>4501</v>
      </c>
      <c r="F37">
        <f>IFERROR(INT(VLOOKUP($E37,技能升级,9,FALSE)*$C37*I37*J37),0)</f>
        <v>0</v>
      </c>
      <c r="G37">
        <f t="shared" ref="G37:G38" si="19">IFERROR(INT(VLOOKUP($E37,技能升级,10,FALSE)*$C37*I37*J37),0)</f>
        <v>0</v>
      </c>
      <c r="H37">
        <f>INT(VLOOKUP($E37,技能升级,11,FALSE)*$C37*I37*J37)</f>
        <v>0</v>
      </c>
      <c r="I37">
        <f>INT(VLOOKUP($E37,技能升级,13,FALSE)*$C37)</f>
        <v>690</v>
      </c>
      <c r="J37">
        <v>1</v>
      </c>
    </row>
    <row r="38" spans="1:10" x14ac:dyDescent="0.15">
      <c r="A38">
        <v>41</v>
      </c>
      <c r="B38" t="s">
        <v>361</v>
      </c>
      <c r="C38">
        <f>IF(INT((C32-C34*D34-C35*D35-C36*D36-C37*D37)/D38)&gt;0,INT((C32-C34*D34-C35*D35-C36*D36-C37*D37)/D38),0)</f>
        <v>0</v>
      </c>
      <c r="D38">
        <f>VLOOKUP(A38,技能参数,4,FALSE)</f>
        <v>1.2</v>
      </c>
      <c r="E38">
        <f>IFERROR(VLOOKUP(A38*1000+D32,学习等级编码,2),0)</f>
        <v>4103</v>
      </c>
      <c r="F38">
        <f>IFERROR(INT(VLOOKUP($E38,技能升级,9,FALSE)*$C38*I38*J38),0)</f>
        <v>0</v>
      </c>
      <c r="G38">
        <f t="shared" si="19"/>
        <v>0</v>
      </c>
      <c r="H38">
        <f>INT(VLOOKUP($E38,技能升级,11,FALSE)*$C38*I38*J38)</f>
        <v>0</v>
      </c>
      <c r="I38">
        <v>1</v>
      </c>
      <c r="J38">
        <f>VLOOKUP(A32,$A$2:$G$11,7,FALSE)</f>
        <v>1</v>
      </c>
    </row>
    <row r="39" spans="1:10" x14ac:dyDescent="0.15">
      <c r="A39">
        <f>VLOOKUP(E34,技能升级,13,FALSE)</f>
        <v>102</v>
      </c>
      <c r="B39" t="s">
        <v>375</v>
      </c>
      <c r="C39">
        <f>IF(C32&lt;J32,C32+C32-H32,IF(C32&gt;J32+H32,J32+J32,J32+C32-H32))</f>
        <v>10</v>
      </c>
      <c r="G39">
        <f>INT((VLOOKUP(A39,召唤物属性,7,FALSE)-
IF($B32&gt;10000,VLOOKUP($B32,实战属性,15,FALSE),VLOOKUP($B32,总基本属性,9,FALSE))*$L$13)*I39*J39)</f>
        <v>258</v>
      </c>
      <c r="I39">
        <f>VLOOKUP($E34,技能升级,14,FALSE)</f>
        <v>1</v>
      </c>
      <c r="J39">
        <v>1</v>
      </c>
    </row>
    <row r="40" spans="1:10" x14ac:dyDescent="0.15">
      <c r="A40">
        <f>VLOOKUP(E35,技能升级,13,FALSE)</f>
        <v>202</v>
      </c>
      <c r="B40" t="s">
        <v>374</v>
      </c>
      <c r="C40">
        <f>IF(C32&lt;J32,C32+C32-H32,IF(C32&gt;J32+H32,J32+J32,J32+C32-H32))</f>
        <v>10</v>
      </c>
      <c r="F40">
        <f>INT((VLOOKUP(A40,召唤物属性,6,FALSE)-
IF($B32&gt;10000,VLOOKUP($B32,实战属性,15,FALSE),VLOOKUP($B32,总基本属性,9,FALSE))*$L$13)*I40*J40)</f>
        <v>397</v>
      </c>
      <c r="I40">
        <f>VLOOKUP($E35,技能升级,14,FALSE)</f>
        <v>2</v>
      </c>
      <c r="J40">
        <v>1</v>
      </c>
    </row>
    <row r="41" spans="1:10" x14ac:dyDescent="0.15">
      <c r="E41" t="s">
        <v>194</v>
      </c>
      <c r="F41">
        <f>SUM(F34:F38)/1000</f>
        <v>0</v>
      </c>
      <c r="G41">
        <f>SUM(G34:G38)/1000</f>
        <v>6.28</v>
      </c>
      <c r="H41">
        <f>SUM(H34:H37)</f>
        <v>180</v>
      </c>
      <c r="I41" t="s">
        <v>196</v>
      </c>
      <c r="J41" t="s">
        <v>197</v>
      </c>
    </row>
    <row r="42" spans="1:10" x14ac:dyDescent="0.15">
      <c r="E42" t="s">
        <v>195</v>
      </c>
      <c r="F42">
        <f>INT((IF($A32&gt;10000,VLOOKUP($A32,实战属性,13,FALSE),VLOOKUP($A32,总基本属性,7,FALSE))-
IF($B32&gt;10000,VLOOKUP($B32,实战属性,15,FALSE),VLOOKUP($B32,总基本属性,9,FALSE))*$L$13)*F41)</f>
        <v>0</v>
      </c>
      <c r="G42">
        <f>INT((IF($A32&gt;10000,VLOOKUP($A32,实战属性,14,FALSE),VLOOKUP($A32,总基本属性,8,FALSE))-
IF($B32&gt;10000,VLOOKUP($B32,实战属性,16,FALSE),VLOOKUP($B32,总基本属性,10,FALSE))*$L$13)*G41)</f>
        <v>2238</v>
      </c>
      <c r="H42">
        <f>H41+F42+G42</f>
        <v>2418</v>
      </c>
      <c r="I42">
        <f>IF($B32&gt;10000,VLOOKUP($B32,实战属性,12,FALSE),VLOOKUP($B32,总基本属性,6,FALSE))+I37</f>
        <v>8520</v>
      </c>
      <c r="J42">
        <f>ROUND(I42/H43,2)</f>
        <v>0.95</v>
      </c>
    </row>
    <row r="43" spans="1:10" x14ac:dyDescent="0.15">
      <c r="E43" t="s">
        <v>376</v>
      </c>
      <c r="F43">
        <f>INT(F40*C40)</f>
        <v>3970</v>
      </c>
      <c r="G43">
        <f>INT(G39*C39)</f>
        <v>2580</v>
      </c>
      <c r="H43">
        <f>F43+G43+H42</f>
        <v>8968</v>
      </c>
    </row>
    <row r="47" spans="1:10" x14ac:dyDescent="0.15">
      <c r="A47" s="8" t="s">
        <v>5</v>
      </c>
      <c r="B47" s="8" t="s">
        <v>2</v>
      </c>
      <c r="C47" s="8" t="s">
        <v>178</v>
      </c>
      <c r="D47" s="8" t="s">
        <v>0</v>
      </c>
      <c r="G47" t="s">
        <v>445</v>
      </c>
      <c r="H47">
        <f>INT(I58/J58/C48)</f>
        <v>2664</v>
      </c>
      <c r="I47" t="s">
        <v>446</v>
      </c>
      <c r="J47">
        <f>ROUND(I53/H47,1)</f>
        <v>0.8</v>
      </c>
    </row>
    <row r="48" spans="1:10" x14ac:dyDescent="0.15">
      <c r="A48">
        <f>A32+10</f>
        <v>4030</v>
      </c>
      <c r="B48">
        <f>B32+10</f>
        <v>4030</v>
      </c>
      <c r="C48">
        <v>7</v>
      </c>
      <c r="D48">
        <f>MOD(A48,1000)</f>
        <v>30</v>
      </c>
      <c r="G48" t="s">
        <v>447</v>
      </c>
      <c r="H48">
        <v>4</v>
      </c>
      <c r="I48" t="s">
        <v>383</v>
      </c>
      <c r="J48">
        <f>VLOOKUP(D48,召唤物生存,10)</f>
        <v>14.75</v>
      </c>
    </row>
    <row r="49" spans="1:10" x14ac:dyDescent="0.15">
      <c r="A49" t="s">
        <v>156</v>
      </c>
      <c r="B49" t="s">
        <v>95</v>
      </c>
      <c r="C49" t="s">
        <v>177</v>
      </c>
      <c r="D49" t="s">
        <v>143</v>
      </c>
      <c r="E49" t="s">
        <v>182</v>
      </c>
      <c r="F49" t="s">
        <v>192</v>
      </c>
      <c r="G49" t="s">
        <v>193</v>
      </c>
      <c r="H49" t="s">
        <v>176</v>
      </c>
      <c r="I49" t="s">
        <v>205</v>
      </c>
      <c r="J49" t="s">
        <v>206</v>
      </c>
    </row>
    <row r="50" spans="1:10" x14ac:dyDescent="0.15">
      <c r="A50">
        <v>42</v>
      </c>
      <c r="B50" t="s">
        <v>35</v>
      </c>
      <c r="C50">
        <v>1</v>
      </c>
      <c r="D50">
        <f>VLOOKUP(A50,技能参数,4,FALSE)</f>
        <v>1</v>
      </c>
      <c r="E50">
        <f>IFERROR(VLOOKUP(A50*1000+D48,学习等级编码,2),0)</f>
        <v>4203</v>
      </c>
      <c r="F50">
        <f>IFERROR(INT(VLOOKUP($E50,技能升级,9,FALSE)*$C50*I50*J50),0)</f>
        <v>0</v>
      </c>
      <c r="G50">
        <f>IFERROR(INT(VLOOKUP($E50,技能升级,10,FALSE)*$C50*I50*J50),0)</f>
        <v>0</v>
      </c>
      <c r="H50">
        <f>INT(VLOOKUP($E50,技能升级,11,FALSE)*$C50*I50*J50)</f>
        <v>0</v>
      </c>
      <c r="I50">
        <v>1</v>
      </c>
      <c r="J50">
        <v>1</v>
      </c>
    </row>
    <row r="51" spans="1:10" x14ac:dyDescent="0.15">
      <c r="A51">
        <v>43</v>
      </c>
      <c r="B51" t="s">
        <v>36</v>
      </c>
      <c r="C51">
        <v>1</v>
      </c>
      <c r="D51">
        <f>VLOOKUP(A51,技能参数,4,FALSE)</f>
        <v>1</v>
      </c>
      <c r="E51">
        <f>IFERROR(VLOOKUP(A51*1000+D48,学习等级编码,2),0)</f>
        <v>4303</v>
      </c>
      <c r="F51">
        <f t="shared" ref="F51" si="20">IFERROR(INT(VLOOKUP($E51,技能升级,9,FALSE)*$C51*I51*J51),0)</f>
        <v>0</v>
      </c>
      <c r="G51">
        <f t="shared" ref="G51" si="21">IFERROR(INT(VLOOKUP($E51,技能升级,10,FALSE)*$C51*I51*J51),0)</f>
        <v>0</v>
      </c>
      <c r="H51">
        <f>INT(VLOOKUP($E51,技能升级,11,FALSE)*$C51*I51*J51)</f>
        <v>0</v>
      </c>
      <c r="I51">
        <v>1</v>
      </c>
      <c r="J51">
        <v>1</v>
      </c>
    </row>
    <row r="52" spans="1:10" x14ac:dyDescent="0.15">
      <c r="A52">
        <v>44</v>
      </c>
      <c r="B52" t="s">
        <v>38</v>
      </c>
      <c r="C52">
        <v>1</v>
      </c>
      <c r="D52">
        <f>IFERROR(INT(VLOOKUP($E52,技能升级,13,FALSE)),0)</f>
        <v>4</v>
      </c>
      <c r="E52">
        <f>IFERROR(VLOOKUP(A52*1000+D48,学习等级编码,2),0)</f>
        <v>4403</v>
      </c>
      <c r="F52">
        <f>IFERROR(INT(VLOOKUP($E52,技能升级,9,FALSE)*$C52*I52*J52),0)</f>
        <v>0</v>
      </c>
      <c r="G52">
        <f>IFERROR(INT(VLOOKUP($E52,技能升级,10,FALSE)*$D52*I52*J52),0)</f>
        <v>6520</v>
      </c>
      <c r="H52">
        <f>INT(VLOOKUP($E52,技能升级,11,FALSE)*$D52*I52*J52)</f>
        <v>320</v>
      </c>
      <c r="I52">
        <v>1</v>
      </c>
      <c r="J52">
        <f>VLOOKUP(A48,$A$2:$G$11,7,FALSE)</f>
        <v>1</v>
      </c>
    </row>
    <row r="53" spans="1:10" x14ac:dyDescent="0.15">
      <c r="A53">
        <v>45</v>
      </c>
      <c r="B53" t="s">
        <v>37</v>
      </c>
      <c r="C53">
        <v>1</v>
      </c>
      <c r="D53">
        <f>VLOOKUP(A53,技能参数,4,FALSE)</f>
        <v>2</v>
      </c>
      <c r="E53">
        <f>IFERROR(VLOOKUP(A53*1000+D48,学习等级编码,2),0)</f>
        <v>4502</v>
      </c>
      <c r="F53">
        <f>IFERROR(INT(VLOOKUP($E53,技能升级,9,FALSE)*$C53*I53*J53),0)</f>
        <v>0</v>
      </c>
      <c r="G53">
        <f t="shared" ref="G53:G54" si="22">IFERROR(INT(VLOOKUP($E53,技能升级,10,FALSE)*$C53*I53*J53),0)</f>
        <v>0</v>
      </c>
      <c r="H53">
        <f>INT(VLOOKUP($E53,技能升级,11,FALSE)*$C53*I53*J53)</f>
        <v>0</v>
      </c>
      <c r="I53">
        <f>INT(VLOOKUP($E53,技能升级,13,FALSE)*$C53)</f>
        <v>2166</v>
      </c>
      <c r="J53">
        <v>1</v>
      </c>
    </row>
    <row r="54" spans="1:10" x14ac:dyDescent="0.15">
      <c r="A54">
        <v>41</v>
      </c>
      <c r="B54" t="s">
        <v>361</v>
      </c>
      <c r="C54">
        <f>IF(INT((C48-C50*D50-C51*D51-C52*D52-C53*D53)/D54)&gt;0,INT((C48-C50*D50-C51*D51-C52*D52-C53*D53)/D54),0)</f>
        <v>0</v>
      </c>
      <c r="D54">
        <f>VLOOKUP(A54,技能参数,4,FALSE)</f>
        <v>1.2</v>
      </c>
      <c r="E54">
        <f>IFERROR(VLOOKUP(A54*1000+D48,学习等级编码,2),0)</f>
        <v>4105</v>
      </c>
      <c r="F54">
        <f>IFERROR(INT(VLOOKUP($E54,技能升级,9,FALSE)*$C54*I54*J54),0)</f>
        <v>0</v>
      </c>
      <c r="G54">
        <f t="shared" si="22"/>
        <v>0</v>
      </c>
      <c r="H54">
        <f>INT(VLOOKUP($E54,技能升级,11,FALSE)*$C54*I54*J54)</f>
        <v>0</v>
      </c>
      <c r="I54">
        <v>1</v>
      </c>
      <c r="J54">
        <f>VLOOKUP(A48,$A$2:$G$11,7,FALSE)</f>
        <v>1</v>
      </c>
    </row>
    <row r="55" spans="1:10" x14ac:dyDescent="0.15">
      <c r="A55">
        <f>VLOOKUP(E50,技能升级,13,FALSE)</f>
        <v>103</v>
      </c>
      <c r="B55" t="s">
        <v>375</v>
      </c>
      <c r="C55">
        <f>IF(C48&lt;J48,C48+C48-H48,IF(C48&gt;J48+H48,J48+J48,J48+C48-H48))</f>
        <v>10</v>
      </c>
      <c r="G55">
        <f>INT((VLOOKUP(A55,召唤物属性,7,FALSE)-
IF($B48&gt;10000,VLOOKUP($B48,实战属性,15,FALSE),VLOOKUP($B48,总基本属性,9,FALSE))*$L$13)*I55*J55)</f>
        <v>434</v>
      </c>
      <c r="I55">
        <f>VLOOKUP($E50,技能升级,14,FALSE)</f>
        <v>1</v>
      </c>
      <c r="J55">
        <v>1</v>
      </c>
    </row>
    <row r="56" spans="1:10" x14ac:dyDescent="0.15">
      <c r="A56">
        <f>VLOOKUP(E51,技能升级,13,FALSE)</f>
        <v>203</v>
      </c>
      <c r="B56" t="s">
        <v>374</v>
      </c>
      <c r="C56">
        <f>IF(C48&lt;J48,C48+C48-H48,IF(C48&gt;J48+H48,J48+J48,J48+C48-H48))</f>
        <v>10</v>
      </c>
      <c r="F56">
        <f>INT((VLOOKUP(A56,召唤物属性,6,FALSE)-
IF($B48&gt;10000,VLOOKUP($B48,实战属性,15,FALSE),VLOOKUP($B48,总基本属性,9,FALSE))*$L$13)*I56*J56)</f>
        <v>943</v>
      </c>
      <c r="I56">
        <f>VLOOKUP($E51,技能升级,14,FALSE)</f>
        <v>3</v>
      </c>
      <c r="J56">
        <v>1</v>
      </c>
    </row>
    <row r="57" spans="1:10" x14ac:dyDescent="0.15">
      <c r="E57" t="s">
        <v>194</v>
      </c>
      <c r="F57">
        <f>SUM(F50:F54)/1000</f>
        <v>0</v>
      </c>
      <c r="G57">
        <f>SUM(G50:G54)/1000</f>
        <v>6.52</v>
      </c>
      <c r="H57">
        <f>SUM(H50:H53)</f>
        <v>320</v>
      </c>
      <c r="I57" t="s">
        <v>196</v>
      </c>
      <c r="J57" t="s">
        <v>197</v>
      </c>
    </row>
    <row r="58" spans="1:10" x14ac:dyDescent="0.15">
      <c r="E58" t="s">
        <v>195</v>
      </c>
      <c r="F58">
        <f>INT((IF($A48&gt;10000,VLOOKUP($A48,实战属性,13,FALSE),VLOOKUP($A48,总基本属性,7,FALSE))-
IF($B48&gt;10000,VLOOKUP($B48,实战属性,15,FALSE),VLOOKUP($B48,总基本属性,9,FALSE))*$L$13)*F57)</f>
        <v>0</v>
      </c>
      <c r="G58">
        <f>INT((IF($A48&gt;10000,VLOOKUP($A48,实战属性,14,FALSE),VLOOKUP($A48,总基本属性,8,FALSE))-
IF($B48&gt;10000,VLOOKUP($B48,实战属性,16,FALSE),VLOOKUP($B48,总基本属性,10,FALSE))*$L$13)*G57)</f>
        <v>4547</v>
      </c>
      <c r="H58">
        <f>H57+F58+G58</f>
        <v>4867</v>
      </c>
      <c r="I58">
        <f>IF($B48&gt;10000,VLOOKUP($B48,实战属性,12,FALSE),VLOOKUP($B48,总基本属性,6,FALSE))+I53</f>
        <v>18276</v>
      </c>
      <c r="J58">
        <f>ROUND(I58/H59,2)</f>
        <v>0.98</v>
      </c>
    </row>
    <row r="59" spans="1:10" x14ac:dyDescent="0.15">
      <c r="E59" t="s">
        <v>376</v>
      </c>
      <c r="F59">
        <f>INT(F56*C56)</f>
        <v>9430</v>
      </c>
      <c r="G59">
        <f>INT(G55*C55)</f>
        <v>4340</v>
      </c>
      <c r="H59">
        <f>F59+G59+H58</f>
        <v>18637</v>
      </c>
    </row>
    <row r="63" spans="1:10" x14ac:dyDescent="0.15">
      <c r="A63" s="8" t="s">
        <v>5</v>
      </c>
      <c r="B63" s="8" t="s">
        <v>2</v>
      </c>
      <c r="C63" s="8" t="s">
        <v>178</v>
      </c>
      <c r="D63" s="8" t="s">
        <v>0</v>
      </c>
      <c r="G63" t="s">
        <v>445</v>
      </c>
      <c r="H63">
        <f>INT(I74/J74/C64)</f>
        <v>4592</v>
      </c>
      <c r="I63" t="s">
        <v>446</v>
      </c>
      <c r="J63">
        <f>ROUND(I69/H63,1)</f>
        <v>0.8</v>
      </c>
    </row>
    <row r="64" spans="1:10" x14ac:dyDescent="0.15">
      <c r="A64">
        <f>A48+10</f>
        <v>4040</v>
      </c>
      <c r="B64">
        <f>B48+10</f>
        <v>4040</v>
      </c>
      <c r="C64">
        <v>7</v>
      </c>
      <c r="D64">
        <f>MOD(A64,1000)</f>
        <v>40</v>
      </c>
      <c r="G64" t="s">
        <v>447</v>
      </c>
      <c r="H64">
        <v>4</v>
      </c>
      <c r="I64" t="s">
        <v>383</v>
      </c>
      <c r="J64">
        <f>VLOOKUP(D64,召唤物生存,10)</f>
        <v>14.53</v>
      </c>
    </row>
    <row r="65" spans="1:10" x14ac:dyDescent="0.15">
      <c r="A65" t="s">
        <v>156</v>
      </c>
      <c r="B65" t="s">
        <v>95</v>
      </c>
      <c r="C65" t="s">
        <v>177</v>
      </c>
      <c r="D65" t="s">
        <v>143</v>
      </c>
      <c r="E65" t="s">
        <v>182</v>
      </c>
      <c r="F65" t="s">
        <v>192</v>
      </c>
      <c r="G65" t="s">
        <v>193</v>
      </c>
      <c r="H65" t="s">
        <v>176</v>
      </c>
      <c r="I65" t="s">
        <v>205</v>
      </c>
      <c r="J65" t="s">
        <v>206</v>
      </c>
    </row>
    <row r="66" spans="1:10" x14ac:dyDescent="0.15">
      <c r="A66">
        <v>42</v>
      </c>
      <c r="B66" t="s">
        <v>35</v>
      </c>
      <c r="C66">
        <v>1</v>
      </c>
      <c r="D66">
        <f>VLOOKUP(A66,技能参数,4,FALSE)</f>
        <v>1</v>
      </c>
      <c r="E66">
        <f>IFERROR(VLOOKUP(A66*1000+D64,学习等级编码,2),0)</f>
        <v>4204</v>
      </c>
      <c r="F66">
        <f>IFERROR(INT(VLOOKUP($E66,技能升级,9,FALSE)*$C66*I66*J66),0)</f>
        <v>0</v>
      </c>
      <c r="G66">
        <f>IFERROR(INT(VLOOKUP($E66,技能升级,10,FALSE)*$C66*I66*J66),0)</f>
        <v>0</v>
      </c>
      <c r="H66">
        <f>INT(VLOOKUP($E66,技能升级,11,FALSE)*$C66*I66*J66)</f>
        <v>0</v>
      </c>
      <c r="I66">
        <v>1</v>
      </c>
      <c r="J66">
        <v>1</v>
      </c>
    </row>
    <row r="67" spans="1:10" x14ac:dyDescent="0.15">
      <c r="A67">
        <v>43</v>
      </c>
      <c r="B67" t="s">
        <v>36</v>
      </c>
      <c r="C67">
        <v>1</v>
      </c>
      <c r="D67">
        <f>VLOOKUP(A67,技能参数,4,FALSE)</f>
        <v>1</v>
      </c>
      <c r="E67">
        <f>IFERROR(VLOOKUP(A67*1000+D64,学习等级编码,2),0)</f>
        <v>4304</v>
      </c>
      <c r="F67">
        <f t="shared" ref="F67" si="23">IFERROR(INT(VLOOKUP($E67,技能升级,9,FALSE)*$C67*I67*J67),0)</f>
        <v>0</v>
      </c>
      <c r="G67">
        <f t="shared" ref="G67" si="24">IFERROR(INT(VLOOKUP($E67,技能升级,10,FALSE)*$C67*I67*J67),0)</f>
        <v>0</v>
      </c>
      <c r="H67">
        <f>INT(VLOOKUP($E67,技能升级,11,FALSE)*$C67*I67*J67)</f>
        <v>0</v>
      </c>
      <c r="I67">
        <v>1</v>
      </c>
      <c r="J67">
        <v>1</v>
      </c>
    </row>
    <row r="68" spans="1:10" x14ac:dyDescent="0.15">
      <c r="A68">
        <v>44</v>
      </c>
      <c r="B68" t="s">
        <v>38</v>
      </c>
      <c r="C68">
        <v>1</v>
      </c>
      <c r="D68">
        <f>IFERROR(INT(VLOOKUP($E68,技能升级,13,FALSE)),0)</f>
        <v>4</v>
      </c>
      <c r="E68">
        <f>IFERROR(VLOOKUP(A68*1000+D64,学习等级编码,2),0)</f>
        <v>4404</v>
      </c>
      <c r="F68">
        <f>IFERROR(INT(VLOOKUP($E68,技能升级,9,FALSE)*$C68*I68*J68),0)</f>
        <v>0</v>
      </c>
      <c r="G68">
        <f>IFERROR(INT(VLOOKUP($E68,技能升级,10,FALSE)*$D68*I68*J68),0)</f>
        <v>6800</v>
      </c>
      <c r="H68">
        <f>INT(VLOOKUP($E68,技能升级,11,FALSE)*$D68*I68*J68)</f>
        <v>520</v>
      </c>
      <c r="I68">
        <v>1</v>
      </c>
      <c r="J68">
        <f>VLOOKUP(A64,$A$2:$G$11,7,FALSE)</f>
        <v>1</v>
      </c>
    </row>
    <row r="69" spans="1:10" x14ac:dyDescent="0.15">
      <c r="A69">
        <v>45</v>
      </c>
      <c r="B69" t="s">
        <v>37</v>
      </c>
      <c r="C69">
        <v>1</v>
      </c>
      <c r="D69">
        <f>VLOOKUP(A69,技能参数,4,FALSE)</f>
        <v>2</v>
      </c>
      <c r="E69">
        <f>IFERROR(VLOOKUP(A69*1000+D64,学习等级编码,2),0)</f>
        <v>4503</v>
      </c>
      <c r="F69">
        <f>IFERROR(INT(VLOOKUP($E69,技能升级,9,FALSE)*$C69*I69*J69),0)</f>
        <v>0</v>
      </c>
      <c r="G69">
        <f t="shared" ref="G69:G70" si="25">IFERROR(INT(VLOOKUP($E69,技能升级,10,FALSE)*$C69*I69*J69),0)</f>
        <v>0</v>
      </c>
      <c r="H69">
        <f>INT(VLOOKUP($E69,技能升级,11,FALSE)*$C69*I69*J69)</f>
        <v>0</v>
      </c>
      <c r="I69">
        <f>INT(VLOOKUP($E69,技能升级,13,FALSE)*$C69)</f>
        <v>3822</v>
      </c>
      <c r="J69">
        <v>1</v>
      </c>
    </row>
    <row r="70" spans="1:10" x14ac:dyDescent="0.15">
      <c r="A70">
        <v>41</v>
      </c>
      <c r="B70" t="s">
        <v>361</v>
      </c>
      <c r="C70">
        <f>IF(INT((C64-C66*D66-C67*D67-C68*D68-C69*D69)/D70)&gt;0,INT((C64-C66*D66-C67*D67-C68*D68-C69*D69)/D70),0)</f>
        <v>0</v>
      </c>
      <c r="D70">
        <f>VLOOKUP(A70,技能参数,4,FALSE)</f>
        <v>1.2</v>
      </c>
      <c r="E70">
        <f>IFERROR(VLOOKUP(A70*1000+D64,学习等级编码,2),0)</f>
        <v>4106</v>
      </c>
      <c r="F70">
        <f>IFERROR(INT(VLOOKUP($E70,技能升级,9,FALSE)*$C70*I70*J70),0)</f>
        <v>0</v>
      </c>
      <c r="G70">
        <f t="shared" si="25"/>
        <v>0</v>
      </c>
      <c r="H70">
        <f>INT(VLOOKUP($E70,技能升级,11,FALSE)*$C70*I70*J70)</f>
        <v>0</v>
      </c>
      <c r="I70">
        <v>1</v>
      </c>
      <c r="J70">
        <f>VLOOKUP(A64,$A$2:$G$11,7,FALSE)</f>
        <v>1</v>
      </c>
    </row>
    <row r="71" spans="1:10" x14ac:dyDescent="0.15">
      <c r="A71">
        <f>VLOOKUP(E66,技能升级,13,FALSE)</f>
        <v>104</v>
      </c>
      <c r="B71" t="s">
        <v>375</v>
      </c>
      <c r="C71">
        <f>IF(C64&lt;J64,C64+C64-H64,IF(C64&gt;J64+H64,J64+J64,J64+C64-H64))</f>
        <v>10</v>
      </c>
      <c r="G71">
        <f>INT((VLOOKUP(A71,召唤物属性,7,FALSE)-
IF($B64&gt;10000,VLOOKUP($B64,实战属性,15,FALSE),VLOOKUP($B64,总基本属性,9,FALSE))*$L$13)*I71*J71)</f>
        <v>707</v>
      </c>
      <c r="I71">
        <f>VLOOKUP($E66,技能升级,14,FALSE)</f>
        <v>1</v>
      </c>
      <c r="J71">
        <v>1</v>
      </c>
    </row>
    <row r="72" spans="1:10" x14ac:dyDescent="0.15">
      <c r="A72">
        <f>VLOOKUP(E67,技能升级,13,FALSE)</f>
        <v>204</v>
      </c>
      <c r="B72" t="s">
        <v>374</v>
      </c>
      <c r="C72">
        <f>IF(C64&lt;J64,C64+C64-H64,IF(C64&gt;J64+H64,J64+J64,J64+C64-H64))</f>
        <v>10</v>
      </c>
      <c r="F72">
        <f>INT((VLOOKUP(A72,召唤物属性,6,FALSE)-
IF($B64&gt;10000,VLOOKUP($B64,实战属性,15,FALSE),VLOOKUP($B64,总基本属性,9,FALSE))*$L$13)*I72*J72)</f>
        <v>1671</v>
      </c>
      <c r="I72">
        <f>VLOOKUP($E67,技能升级,14,FALSE)</f>
        <v>3</v>
      </c>
      <c r="J72">
        <v>1</v>
      </c>
    </row>
    <row r="73" spans="1:10" x14ac:dyDescent="0.15">
      <c r="E73" t="s">
        <v>194</v>
      </c>
      <c r="F73">
        <f>SUM(F66:F70)/1000</f>
        <v>0</v>
      </c>
      <c r="G73">
        <f>SUM(G66:G70)/1000</f>
        <v>6.8</v>
      </c>
      <c r="H73">
        <f>SUM(H66:H69)</f>
        <v>520</v>
      </c>
      <c r="I73" t="s">
        <v>196</v>
      </c>
      <c r="J73" t="s">
        <v>197</v>
      </c>
    </row>
    <row r="74" spans="1:10" x14ac:dyDescent="0.15">
      <c r="E74" t="s">
        <v>195</v>
      </c>
      <c r="F74">
        <f>INT((IF($A64&gt;10000,VLOOKUP($A64,实战属性,13,FALSE),VLOOKUP($A64,总基本属性,7,FALSE))-
IF($B64&gt;10000,VLOOKUP($B64,实战属性,15,FALSE),VLOOKUP($B64,总基本属性,9,FALSE))*$L$13)*F73)</f>
        <v>0</v>
      </c>
      <c r="G74">
        <f>INT((IF($A64&gt;10000,VLOOKUP($A64,实战属性,14,FALSE),VLOOKUP($A64,总基本属性,8,FALSE))-
IF($B64&gt;10000,VLOOKUP($B64,实战属性,16,FALSE),VLOOKUP($B64,总基本属性,10,FALSE))*$L$13)*G73)</f>
        <v>7881</v>
      </c>
      <c r="H74">
        <f>H73+F74+G74</f>
        <v>8401</v>
      </c>
      <c r="I74">
        <f>IF($B64&gt;10000,VLOOKUP($B64,实战属性,12,FALSE),VLOOKUP($B64,总基本属性,6,FALSE))+I69</f>
        <v>31182</v>
      </c>
      <c r="J74">
        <f>ROUND(I74/H75,2)</f>
        <v>0.97</v>
      </c>
    </row>
    <row r="75" spans="1:10" x14ac:dyDescent="0.15">
      <c r="E75" t="s">
        <v>376</v>
      </c>
      <c r="F75">
        <f>INT(F72*C72)</f>
        <v>16710</v>
      </c>
      <c r="G75">
        <f>INT(G71*C71)</f>
        <v>7070</v>
      </c>
      <c r="H75">
        <f>F75+G75+H74</f>
        <v>32181</v>
      </c>
    </row>
    <row r="79" spans="1:10" x14ac:dyDescent="0.15">
      <c r="A79" s="8" t="s">
        <v>5</v>
      </c>
      <c r="B79" s="8" t="s">
        <v>2</v>
      </c>
      <c r="C79" s="8" t="s">
        <v>178</v>
      </c>
      <c r="D79" s="8" t="s">
        <v>0</v>
      </c>
      <c r="G79" t="s">
        <v>445</v>
      </c>
      <c r="H79">
        <f>INT(I90/J90/C80)</f>
        <v>7801</v>
      </c>
      <c r="I79" t="s">
        <v>446</v>
      </c>
      <c r="J79">
        <f>ROUND(I85/H79,1)</f>
        <v>0.5</v>
      </c>
    </row>
    <row r="80" spans="1:10" x14ac:dyDescent="0.15">
      <c r="A80">
        <f>A64+10</f>
        <v>4050</v>
      </c>
      <c r="B80">
        <f>B64+10</f>
        <v>4050</v>
      </c>
      <c r="C80">
        <v>6</v>
      </c>
      <c r="D80">
        <f>MOD(A80,1000)</f>
        <v>50</v>
      </c>
      <c r="G80" t="s">
        <v>447</v>
      </c>
      <c r="H80">
        <v>4</v>
      </c>
      <c r="I80" t="s">
        <v>383</v>
      </c>
      <c r="J80">
        <f>VLOOKUP(D80,召唤物生存,10)</f>
        <v>12.73</v>
      </c>
    </row>
    <row r="81" spans="1:10" x14ac:dyDescent="0.15">
      <c r="A81" t="s">
        <v>156</v>
      </c>
      <c r="B81" t="s">
        <v>95</v>
      </c>
      <c r="C81" t="s">
        <v>177</v>
      </c>
      <c r="D81" t="s">
        <v>143</v>
      </c>
      <c r="E81" t="s">
        <v>182</v>
      </c>
      <c r="F81" t="s">
        <v>192</v>
      </c>
      <c r="G81" t="s">
        <v>193</v>
      </c>
      <c r="H81" t="s">
        <v>176</v>
      </c>
      <c r="I81" t="s">
        <v>205</v>
      </c>
      <c r="J81" t="s">
        <v>206</v>
      </c>
    </row>
    <row r="82" spans="1:10" x14ac:dyDescent="0.15">
      <c r="A82">
        <v>42</v>
      </c>
      <c r="B82" t="s">
        <v>35</v>
      </c>
      <c r="C82">
        <v>1</v>
      </c>
      <c r="D82">
        <f>VLOOKUP(A82,技能参数,4,FALSE)</f>
        <v>1</v>
      </c>
      <c r="E82">
        <f>IFERROR(VLOOKUP(A82*1000+D80,学习等级编码,2),0)</f>
        <v>4205</v>
      </c>
      <c r="F82">
        <f>IFERROR(INT(VLOOKUP($E82,技能升级,9,FALSE)*$C82*I82*J82),0)</f>
        <v>0</v>
      </c>
      <c r="G82">
        <f>IFERROR(INT(VLOOKUP($E82,技能升级,10,FALSE)*$C82*I82*J82),0)</f>
        <v>0</v>
      </c>
      <c r="H82">
        <f>INT(VLOOKUP($E82,技能升级,11,FALSE)*$C82*I82*J82)</f>
        <v>0</v>
      </c>
      <c r="I82">
        <v>1</v>
      </c>
      <c r="J82">
        <v>1</v>
      </c>
    </row>
    <row r="83" spans="1:10" x14ac:dyDescent="0.15">
      <c r="A83">
        <v>43</v>
      </c>
      <c r="B83" t="s">
        <v>36</v>
      </c>
      <c r="C83">
        <v>1</v>
      </c>
      <c r="D83">
        <f>VLOOKUP(A83,技能参数,4,FALSE)</f>
        <v>1</v>
      </c>
      <c r="E83">
        <f>IFERROR(VLOOKUP(A83*1000+D80,学习等级编码,2),0)</f>
        <v>4305</v>
      </c>
      <c r="F83">
        <f t="shared" ref="F83" si="26">IFERROR(INT(VLOOKUP($E83,技能升级,9,FALSE)*$C83*I83*J83),0)</f>
        <v>0</v>
      </c>
      <c r="G83">
        <f t="shared" ref="G83" si="27">IFERROR(INT(VLOOKUP($E83,技能升级,10,FALSE)*$C83*I83*J83),0)</f>
        <v>0</v>
      </c>
      <c r="H83">
        <f>INT(VLOOKUP($E83,技能升级,11,FALSE)*$C83*I83*J83)</f>
        <v>0</v>
      </c>
      <c r="I83">
        <v>1</v>
      </c>
      <c r="J83">
        <v>1</v>
      </c>
    </row>
    <row r="84" spans="1:10" x14ac:dyDescent="0.15">
      <c r="A84">
        <v>44</v>
      </c>
      <c r="B84" t="s">
        <v>38</v>
      </c>
      <c r="C84">
        <v>1</v>
      </c>
      <c r="D84">
        <f>IFERROR(INT(VLOOKUP($E84,技能升级,13,FALSE)),0)</f>
        <v>5</v>
      </c>
      <c r="E84">
        <f>IFERROR(VLOOKUP(A84*1000+D80,学习等级编码,2),0)</f>
        <v>4405</v>
      </c>
      <c r="F84">
        <f>IFERROR(INT(VLOOKUP($E84,技能升级,9,FALSE)*$C84*I84*J84),0)</f>
        <v>0</v>
      </c>
      <c r="G84">
        <f>IFERROR(INT(VLOOKUP($E84,技能升级,10,FALSE)*$D84*I84*J84),0)</f>
        <v>8850</v>
      </c>
      <c r="H84">
        <f>INT(VLOOKUP($E84,技能升级,11,FALSE)*$D84*I84*J84)</f>
        <v>975</v>
      </c>
      <c r="I84">
        <v>1</v>
      </c>
      <c r="J84">
        <f>VLOOKUP(A80,$A$2:$G$11,7,FALSE)</f>
        <v>1</v>
      </c>
    </row>
    <row r="85" spans="1:10" x14ac:dyDescent="0.15">
      <c r="A85">
        <v>45</v>
      </c>
      <c r="B85" t="s">
        <v>37</v>
      </c>
      <c r="C85">
        <v>1</v>
      </c>
      <c r="D85">
        <f>VLOOKUP(A85,技能参数,4,FALSE)</f>
        <v>2</v>
      </c>
      <c r="E85">
        <f>IFERROR(VLOOKUP(A85*1000+D80,学习等级编码,2),0)</f>
        <v>4503</v>
      </c>
      <c r="F85">
        <f>IFERROR(INT(VLOOKUP($E85,技能升级,9,FALSE)*$C85*I85*J85),0)</f>
        <v>0</v>
      </c>
      <c r="G85">
        <f t="shared" ref="G85:G86" si="28">IFERROR(INT(VLOOKUP($E85,技能升级,10,FALSE)*$C85*I85*J85),0)</f>
        <v>0</v>
      </c>
      <c r="H85">
        <f>INT(VLOOKUP($E85,技能升级,11,FALSE)*$C85*I85*J85)</f>
        <v>0</v>
      </c>
      <c r="I85">
        <f>INT(VLOOKUP($E85,技能升级,13,FALSE)*$C85)</f>
        <v>3822</v>
      </c>
      <c r="J85">
        <v>1</v>
      </c>
    </row>
    <row r="86" spans="1:10" x14ac:dyDescent="0.15">
      <c r="A86">
        <v>41</v>
      </c>
      <c r="B86" t="s">
        <v>361</v>
      </c>
      <c r="C86">
        <f>IF(INT((C80-C82*D82-C83*D83-C84*D84-C85*D85)/D86)&gt;0,INT((C80-C82*D82-C83*D83-C84*D84-C85*D85)/D86),0)</f>
        <v>0</v>
      </c>
      <c r="D86">
        <f>VLOOKUP(A86,技能参数,4,FALSE)</f>
        <v>1.2</v>
      </c>
      <c r="E86">
        <f>IFERROR(VLOOKUP(A86*1000+D80,学习等级编码,2),0)</f>
        <v>4108</v>
      </c>
      <c r="F86">
        <f>IFERROR(INT(VLOOKUP($E86,技能升级,9,FALSE)*$C86*I86*J86),0)</f>
        <v>0</v>
      </c>
      <c r="G86">
        <f t="shared" si="28"/>
        <v>0</v>
      </c>
      <c r="H86">
        <f>INT(VLOOKUP($E86,技能升级,11,FALSE)*$C86*I86*J86)</f>
        <v>0</v>
      </c>
      <c r="I86">
        <v>1</v>
      </c>
      <c r="J86">
        <f>VLOOKUP(A80,$A$2:$G$11,7,FALSE)</f>
        <v>1</v>
      </c>
    </row>
    <row r="87" spans="1:10" x14ac:dyDescent="0.15">
      <c r="A87">
        <f>VLOOKUP(E82,技能升级,13,FALSE)</f>
        <v>105</v>
      </c>
      <c r="B87" t="s">
        <v>375</v>
      </c>
      <c r="C87">
        <f>IF(C80&lt;J80,C80+C80-H80,IF(C80&gt;J80+H80,J80+J80,J80+C80-H80))</f>
        <v>8</v>
      </c>
      <c r="G87">
        <f>INT((VLOOKUP(A87,召唤物属性,7,FALSE)-
IF($B80&gt;10000,VLOOKUP($B80,实战属性,15,FALSE),VLOOKUP($B80,总基本属性,9,FALSE))*$L$13)*I87*J87)</f>
        <v>1684</v>
      </c>
      <c r="I87">
        <f>VLOOKUP($E82,技能升级,14,FALSE)</f>
        <v>2</v>
      </c>
      <c r="J87">
        <v>1</v>
      </c>
    </row>
    <row r="88" spans="1:10" x14ac:dyDescent="0.15">
      <c r="A88">
        <f>VLOOKUP(E83,技能升级,13,FALSE)</f>
        <v>205</v>
      </c>
      <c r="B88" t="s">
        <v>374</v>
      </c>
      <c r="C88">
        <f>IF(C80&lt;J80,C80+C80-H80,IF(C80&gt;J80+H80,J80+J80,J80+C80-H80))</f>
        <v>8</v>
      </c>
      <c r="F88">
        <f>INT((VLOOKUP(A88,召唤物属性,6,FALSE)-
IF($B80&gt;10000,VLOOKUP($B80,实战属性,15,FALSE),VLOOKUP($B80,总基本属性,9,FALSE))*$L$13)*I88*J88)</f>
        <v>2226</v>
      </c>
      <c r="I88">
        <f>VLOOKUP($E83,技能升级,14,FALSE)</f>
        <v>3</v>
      </c>
      <c r="J88">
        <v>1</v>
      </c>
    </row>
    <row r="89" spans="1:10" x14ac:dyDescent="0.15">
      <c r="E89" t="s">
        <v>194</v>
      </c>
      <c r="F89">
        <f>SUM(F82:F86)/1000</f>
        <v>0</v>
      </c>
      <c r="G89">
        <f>SUM(G82:G86)/1000</f>
        <v>8.85</v>
      </c>
      <c r="H89">
        <f>SUM(H82:H85)</f>
        <v>975</v>
      </c>
      <c r="I89" t="s">
        <v>196</v>
      </c>
      <c r="J89" t="s">
        <v>197</v>
      </c>
    </row>
    <row r="90" spans="1:10" x14ac:dyDescent="0.15">
      <c r="E90" t="s">
        <v>195</v>
      </c>
      <c r="F90">
        <f>INT((IF($A80&gt;10000,VLOOKUP($A80,实战属性,13,FALSE),VLOOKUP($A80,总基本属性,7,FALSE))-
IF($B80&gt;10000,VLOOKUP($B80,实战属性,15,FALSE),VLOOKUP($B80,总基本属性,9,FALSE))*$L$13)*F89)</f>
        <v>0</v>
      </c>
      <c r="G90">
        <f>INT((IF($A80&gt;10000,VLOOKUP($A80,实战属性,14,FALSE),VLOOKUP($A80,总基本属性,8,FALSE))-
IF($B80&gt;10000,VLOOKUP($B80,实战属性,16,FALSE),VLOOKUP($B80,总基本属性,10,FALSE))*$L$13)*G89)</f>
        <v>14407</v>
      </c>
      <c r="H90">
        <f>H89+F90+G90</f>
        <v>15382</v>
      </c>
      <c r="I90">
        <f>IF($B80&gt;10000,VLOOKUP($B80,实战属性,12,FALSE),VLOOKUP($B80,总基本属性,6,FALSE))+I85</f>
        <v>45402</v>
      </c>
      <c r="J90">
        <f>ROUND(I90/H91,2)</f>
        <v>0.97</v>
      </c>
    </row>
    <row r="91" spans="1:10" x14ac:dyDescent="0.15">
      <c r="E91" t="s">
        <v>376</v>
      </c>
      <c r="F91">
        <f>INT(F88*C88)</f>
        <v>17808</v>
      </c>
      <c r="G91">
        <f>INT(G87*C87)</f>
        <v>13472</v>
      </c>
      <c r="H91">
        <f>F91+G91+H90</f>
        <v>46662</v>
      </c>
    </row>
    <row r="95" spans="1:10" x14ac:dyDescent="0.15">
      <c r="A95" s="8" t="s">
        <v>5</v>
      </c>
      <c r="B95" s="8" t="s">
        <v>2</v>
      </c>
      <c r="C95" s="8" t="s">
        <v>178</v>
      </c>
      <c r="D95" s="8" t="s">
        <v>0</v>
      </c>
      <c r="G95" t="s">
        <v>445</v>
      </c>
      <c r="H95">
        <f>INT(I106/J106/C96)</f>
        <v>11526</v>
      </c>
      <c r="I95" t="s">
        <v>446</v>
      </c>
      <c r="J95">
        <f>ROUND(I101/H95,1)</f>
        <v>0.8</v>
      </c>
    </row>
    <row r="96" spans="1:10" x14ac:dyDescent="0.15">
      <c r="A96">
        <f>A80+10</f>
        <v>4060</v>
      </c>
      <c r="B96">
        <f>B80+10</f>
        <v>4060</v>
      </c>
      <c r="C96">
        <v>6</v>
      </c>
      <c r="D96">
        <f>MOD(A96,1000)</f>
        <v>60</v>
      </c>
      <c r="G96" t="s">
        <v>447</v>
      </c>
      <c r="H96">
        <v>4</v>
      </c>
      <c r="I96" t="s">
        <v>383</v>
      </c>
      <c r="J96">
        <f>VLOOKUP(D96,召唤物生存,10)</f>
        <v>14.25</v>
      </c>
    </row>
    <row r="97" spans="1:10" x14ac:dyDescent="0.15">
      <c r="A97" t="s">
        <v>156</v>
      </c>
      <c r="B97" t="s">
        <v>95</v>
      </c>
      <c r="C97" t="s">
        <v>177</v>
      </c>
      <c r="D97" t="s">
        <v>143</v>
      </c>
      <c r="E97" t="s">
        <v>182</v>
      </c>
      <c r="F97" t="s">
        <v>192</v>
      </c>
      <c r="G97" t="s">
        <v>193</v>
      </c>
      <c r="H97" t="s">
        <v>176</v>
      </c>
      <c r="I97" t="s">
        <v>205</v>
      </c>
      <c r="J97" t="s">
        <v>206</v>
      </c>
    </row>
    <row r="98" spans="1:10" x14ac:dyDescent="0.15">
      <c r="A98">
        <v>42</v>
      </c>
      <c r="B98" t="s">
        <v>35</v>
      </c>
      <c r="C98">
        <v>1</v>
      </c>
      <c r="D98">
        <f>VLOOKUP(A98,技能参数,4,FALSE)</f>
        <v>1</v>
      </c>
      <c r="E98">
        <f>IFERROR(VLOOKUP(A98*1000+D96,学习等级编码,2),0)</f>
        <v>4206</v>
      </c>
      <c r="F98">
        <f>IFERROR(INT(VLOOKUP($E98,技能升级,9,FALSE)*$C98*I98*J98),0)</f>
        <v>0</v>
      </c>
      <c r="G98">
        <f>IFERROR(INT(VLOOKUP($E98,技能升级,10,FALSE)*$C98*I98*J98),0)</f>
        <v>0</v>
      </c>
      <c r="H98">
        <f>INT(VLOOKUP($E98,技能升级,11,FALSE)*$C98*I98*J98)</f>
        <v>0</v>
      </c>
      <c r="I98">
        <v>1</v>
      </c>
      <c r="J98">
        <v>1</v>
      </c>
    </row>
    <row r="99" spans="1:10" x14ac:dyDescent="0.15">
      <c r="A99">
        <v>43</v>
      </c>
      <c r="B99" t="s">
        <v>36</v>
      </c>
      <c r="C99">
        <v>1</v>
      </c>
      <c r="D99">
        <f>VLOOKUP(A99,技能参数,4,FALSE)</f>
        <v>1</v>
      </c>
      <c r="E99">
        <f>IFERROR(VLOOKUP(A99*1000+D96,学习等级编码,2),0)</f>
        <v>4306</v>
      </c>
      <c r="F99">
        <f t="shared" ref="F99" si="29">IFERROR(INT(VLOOKUP($E99,技能升级,9,FALSE)*$C99*I99*J99),0)</f>
        <v>0</v>
      </c>
      <c r="G99">
        <f t="shared" ref="G99" si="30">IFERROR(INT(VLOOKUP($E99,技能升级,10,FALSE)*$C99*I99*J99),0)</f>
        <v>0</v>
      </c>
      <c r="H99">
        <f>INT(VLOOKUP($E99,技能升级,11,FALSE)*$C99*I99*J99)</f>
        <v>0</v>
      </c>
      <c r="I99">
        <v>1</v>
      </c>
      <c r="J99">
        <v>1</v>
      </c>
    </row>
    <row r="100" spans="1:10" x14ac:dyDescent="0.15">
      <c r="A100">
        <v>44</v>
      </c>
      <c r="B100" t="s">
        <v>38</v>
      </c>
      <c r="C100">
        <v>1</v>
      </c>
      <c r="D100">
        <f>IFERROR(INT(VLOOKUP($E100,技能升级,13,FALSE)),0)</f>
        <v>5</v>
      </c>
      <c r="E100">
        <f>IFERROR(VLOOKUP(A100*1000+D96,学习等级编码,2),0)</f>
        <v>4406</v>
      </c>
      <c r="F100">
        <f>IFERROR(INT(VLOOKUP($E100,技能升级,9,FALSE)*$C100*I100*J100),0)</f>
        <v>0</v>
      </c>
      <c r="G100">
        <f>IFERROR(INT(VLOOKUP($E100,技能升级,10,FALSE)*$D100*I100*J100),0)</f>
        <v>9973</v>
      </c>
      <c r="H100">
        <f>INT(VLOOKUP($E100,技能升级,11,FALSE)*$D100*I100*J100)</f>
        <v>1498</v>
      </c>
      <c r="I100">
        <v>1</v>
      </c>
      <c r="J100">
        <f>VLOOKUP(A96,$A$2:$G$11,7,FALSE)</f>
        <v>1.0899999999999999</v>
      </c>
    </row>
    <row r="101" spans="1:10" x14ac:dyDescent="0.15">
      <c r="A101">
        <v>45</v>
      </c>
      <c r="B101" t="s">
        <v>37</v>
      </c>
      <c r="C101">
        <v>1</v>
      </c>
      <c r="D101">
        <f>VLOOKUP(A101,技能参数,4,FALSE)</f>
        <v>2</v>
      </c>
      <c r="E101">
        <f>IFERROR(VLOOKUP(A101*1000+D96,学习等级编码,2),0)</f>
        <v>4504</v>
      </c>
      <c r="F101">
        <f>IFERROR(INT(VLOOKUP($E101,技能升级,9,FALSE)*$C101*I101*J101),0)</f>
        <v>0</v>
      </c>
      <c r="G101">
        <f t="shared" ref="G101:G102" si="31">IFERROR(INT(VLOOKUP($E101,技能升级,10,FALSE)*$C101*I101*J101),0)</f>
        <v>0</v>
      </c>
      <c r="H101">
        <f>INT(VLOOKUP($E101,技能升级,11,FALSE)*$C101*I101*J101)</f>
        <v>0</v>
      </c>
      <c r="I101">
        <f>INT(VLOOKUP($E101,技能升级,13,FALSE)*$C101)</f>
        <v>8916</v>
      </c>
      <c r="J101">
        <v>1</v>
      </c>
    </row>
    <row r="102" spans="1:10" x14ac:dyDescent="0.15">
      <c r="A102">
        <v>41</v>
      </c>
      <c r="B102" t="s">
        <v>361</v>
      </c>
      <c r="C102">
        <f>IF(INT((C96-C98*D98-C99*D99-C100*D100-C101*D101)/D102)&gt;0,INT((C96-C98*D98-C99*D99-C100*D100-C101*D101)/D102),0)</f>
        <v>0</v>
      </c>
      <c r="D102">
        <f>VLOOKUP(A102,技能参数,4,FALSE)</f>
        <v>1.2</v>
      </c>
      <c r="E102">
        <f>IFERROR(VLOOKUP(A102*1000+D96,学习等级编码,2),0)</f>
        <v>4109</v>
      </c>
      <c r="F102">
        <f>IFERROR(INT(VLOOKUP($E102,技能升级,9,FALSE)*$C102*I102*J102),0)</f>
        <v>0</v>
      </c>
      <c r="G102">
        <f t="shared" si="31"/>
        <v>0</v>
      </c>
      <c r="H102">
        <f>INT(VLOOKUP($E102,技能升级,11,FALSE)*$C102*I102*J102)</f>
        <v>0</v>
      </c>
      <c r="I102">
        <v>1</v>
      </c>
      <c r="J102">
        <f>VLOOKUP(A96,$A$2:$G$11,7,FALSE)</f>
        <v>1.0899999999999999</v>
      </c>
    </row>
    <row r="103" spans="1:10" x14ac:dyDescent="0.15">
      <c r="A103">
        <f>VLOOKUP(E98,技能升级,13,FALSE)</f>
        <v>106</v>
      </c>
      <c r="B103" t="s">
        <v>375</v>
      </c>
      <c r="C103">
        <f>IF(C96&lt;J96,C96+C96-H96,IF(C96&gt;J96+H96,J96+J96,J96+C96-H96))</f>
        <v>8</v>
      </c>
      <c r="G103">
        <f>INT((VLOOKUP(A103,召唤物属性,7,FALSE)-
IF($B96&gt;10000,VLOOKUP($B96,实战属性,15,FALSE),VLOOKUP($B96,总基本属性,9,FALSE))*$L$13)*I103*J103)</f>
        <v>2286</v>
      </c>
      <c r="I103">
        <f>VLOOKUP($E98,技能升级,14,FALSE)</f>
        <v>2</v>
      </c>
      <c r="J103">
        <v>1</v>
      </c>
    </row>
    <row r="104" spans="1:10" x14ac:dyDescent="0.15">
      <c r="A104">
        <f>VLOOKUP(E99,技能升级,13,FALSE)</f>
        <v>206</v>
      </c>
      <c r="B104" t="s">
        <v>374</v>
      </c>
      <c r="C104">
        <f>IF(C96&lt;J96,C96+C96-H96,IF(C96&gt;J96+H96,J96+J96,J96+C96-H96))</f>
        <v>8</v>
      </c>
      <c r="F104">
        <f>INT((VLOOKUP(A104,召唤物属性,6,FALSE)-
IF($B96&gt;10000,VLOOKUP($B96,实战属性,15,FALSE),VLOOKUP($B96,总基本属性,9,FALSE))*$L$13)*I104*J104)</f>
        <v>3129</v>
      </c>
      <c r="I104">
        <f>VLOOKUP($E99,技能升级,14,FALSE)</f>
        <v>3</v>
      </c>
      <c r="J104">
        <v>1</v>
      </c>
    </row>
    <row r="105" spans="1:10" x14ac:dyDescent="0.15">
      <c r="E105" t="s">
        <v>194</v>
      </c>
      <c r="F105">
        <f>SUM(F98:F102)/1000</f>
        <v>0</v>
      </c>
      <c r="G105">
        <f>SUM(G98:G102)/1000</f>
        <v>9.9730000000000008</v>
      </c>
      <c r="H105">
        <f>SUM(H98:H101)</f>
        <v>1498</v>
      </c>
      <c r="I105" t="s">
        <v>196</v>
      </c>
      <c r="J105" t="s">
        <v>197</v>
      </c>
    </row>
    <row r="106" spans="1:10" x14ac:dyDescent="0.15">
      <c r="E106" t="s">
        <v>195</v>
      </c>
      <c r="F106">
        <f>INT((IF($A96&gt;10000,VLOOKUP($A96,实战属性,13,FALSE),VLOOKUP($A96,总基本属性,7,FALSE))-
IF($B96&gt;10000,VLOOKUP($B96,实战属性,15,FALSE),VLOOKUP($B96,总基本属性,9,FALSE))*$L$13)*F105)</f>
        <v>0</v>
      </c>
      <c r="G106">
        <f>INT((IF($A96&gt;10000,VLOOKUP($A96,实战属性,14,FALSE),VLOOKUP($A96,总基本属性,8,FALSE))-
IF($B96&gt;10000,VLOOKUP($B96,实战属性,16,FALSE),VLOOKUP($B96,总基本属性,10,FALSE))*$L$13)*G105)</f>
        <v>24364</v>
      </c>
      <c r="H106">
        <f>H105+F106+G106</f>
        <v>25862</v>
      </c>
      <c r="I106">
        <f>IF($B96&gt;10000,VLOOKUP($B96,实战属性,12,FALSE),VLOOKUP($B96,总基本属性,6,FALSE))+I101</f>
        <v>67776</v>
      </c>
      <c r="J106">
        <f>ROUND(I106/H107,2)</f>
        <v>0.98</v>
      </c>
    </row>
    <row r="107" spans="1:10" x14ac:dyDescent="0.15">
      <c r="E107" t="s">
        <v>376</v>
      </c>
      <c r="F107">
        <f>INT(F104*C104)</f>
        <v>25032</v>
      </c>
      <c r="G107">
        <f>INT(G103*C103)</f>
        <v>18288</v>
      </c>
      <c r="H107">
        <f>F107+G107+H106</f>
        <v>69182</v>
      </c>
    </row>
    <row r="111" spans="1:10" x14ac:dyDescent="0.15">
      <c r="A111" s="8" t="s">
        <v>5</v>
      </c>
      <c r="B111" s="8" t="s">
        <v>2</v>
      </c>
      <c r="C111" s="8" t="s">
        <v>178</v>
      </c>
      <c r="D111" s="8" t="s">
        <v>0</v>
      </c>
      <c r="G111" t="s">
        <v>445</v>
      </c>
      <c r="H111">
        <f>INT(I122/J122/C112)</f>
        <v>15882</v>
      </c>
      <c r="I111" t="s">
        <v>446</v>
      </c>
      <c r="J111">
        <f>ROUND(I117/H111,1)</f>
        <v>0.8</v>
      </c>
    </row>
    <row r="112" spans="1:10" x14ac:dyDescent="0.15">
      <c r="A112">
        <f>A96+10</f>
        <v>4070</v>
      </c>
      <c r="B112">
        <f>B96+10</f>
        <v>4070</v>
      </c>
      <c r="C112">
        <v>6</v>
      </c>
      <c r="D112">
        <f>MOD(A112,1000)</f>
        <v>70</v>
      </c>
      <c r="G112" t="s">
        <v>447</v>
      </c>
      <c r="H112">
        <v>4</v>
      </c>
      <c r="I112" t="s">
        <v>383</v>
      </c>
      <c r="J112">
        <f>VLOOKUP(D112,召唤物生存,10)</f>
        <v>14.89</v>
      </c>
    </row>
    <row r="113" spans="1:10" x14ac:dyDescent="0.15">
      <c r="A113" t="s">
        <v>156</v>
      </c>
      <c r="B113" t="s">
        <v>95</v>
      </c>
      <c r="C113" t="s">
        <v>177</v>
      </c>
      <c r="D113" t="s">
        <v>143</v>
      </c>
      <c r="E113" t="s">
        <v>182</v>
      </c>
      <c r="F113" t="s">
        <v>192</v>
      </c>
      <c r="G113" t="s">
        <v>193</v>
      </c>
      <c r="H113" t="s">
        <v>176</v>
      </c>
      <c r="I113" t="s">
        <v>205</v>
      </c>
      <c r="J113" t="s">
        <v>206</v>
      </c>
    </row>
    <row r="114" spans="1:10" x14ac:dyDescent="0.15">
      <c r="A114">
        <v>42</v>
      </c>
      <c r="B114" t="s">
        <v>35</v>
      </c>
      <c r="C114">
        <v>1</v>
      </c>
      <c r="D114">
        <f>VLOOKUP(A114,技能参数,4,FALSE)</f>
        <v>1</v>
      </c>
      <c r="E114">
        <f>IFERROR(VLOOKUP(A114*1000+D112,学习等级编码,2),0)</f>
        <v>4207</v>
      </c>
      <c r="F114">
        <f>IFERROR(INT(VLOOKUP($E114,技能升级,9,FALSE)*$C114*I114*J114),0)</f>
        <v>0</v>
      </c>
      <c r="G114">
        <f>IFERROR(INT(VLOOKUP($E114,技能升级,10,FALSE)*$C114*I114*J114),0)</f>
        <v>0</v>
      </c>
      <c r="H114">
        <f>INT(VLOOKUP($E114,技能升级,11,FALSE)*$C114*I114*J114)</f>
        <v>0</v>
      </c>
      <c r="I114">
        <v>1</v>
      </c>
      <c r="J114">
        <v>1</v>
      </c>
    </row>
    <row r="115" spans="1:10" x14ac:dyDescent="0.15">
      <c r="A115">
        <v>43</v>
      </c>
      <c r="B115" t="s">
        <v>36</v>
      </c>
      <c r="C115">
        <v>1</v>
      </c>
      <c r="D115">
        <f>VLOOKUP(A115,技能参数,4,FALSE)</f>
        <v>1</v>
      </c>
      <c r="E115">
        <f>IFERROR(VLOOKUP(A115*1000+D112,学习等级编码,2),0)</f>
        <v>4307</v>
      </c>
      <c r="F115">
        <f t="shared" ref="F115" si="32">IFERROR(INT(VLOOKUP($E115,技能升级,9,FALSE)*$C115*I115*J115),0)</f>
        <v>0</v>
      </c>
      <c r="G115">
        <f t="shared" ref="G115" si="33">IFERROR(INT(VLOOKUP($E115,技能升级,10,FALSE)*$C115*I115*J115),0)</f>
        <v>0</v>
      </c>
      <c r="H115">
        <f>INT(VLOOKUP($E115,技能升级,11,FALSE)*$C115*I115*J115)</f>
        <v>0</v>
      </c>
      <c r="I115">
        <v>1</v>
      </c>
      <c r="J115">
        <v>1</v>
      </c>
    </row>
    <row r="116" spans="1:10" x14ac:dyDescent="0.15">
      <c r="A116">
        <v>44</v>
      </c>
      <c r="B116" t="s">
        <v>38</v>
      </c>
      <c r="C116">
        <v>1</v>
      </c>
      <c r="D116">
        <f>IFERROR(INT(VLOOKUP($E116,技能升级,13,FALSE)),0)</f>
        <v>5</v>
      </c>
      <c r="E116">
        <f>IFERROR(VLOOKUP(A116*1000+D112,学习等级编码,2),0)</f>
        <v>4407</v>
      </c>
      <c r="F116">
        <f>IFERROR(INT(VLOOKUP($E116,技能升级,9,FALSE)*$C116*I116*J116),0)</f>
        <v>0</v>
      </c>
      <c r="G116">
        <f>IFERROR(INT(VLOOKUP($E116,技能升级,10,FALSE)*$D116*I116*J116),0)</f>
        <v>10640</v>
      </c>
      <c r="H116">
        <f>INT(VLOOKUP($E116,技能升级,11,FALSE)*$D116*I116*J116)</f>
        <v>2072</v>
      </c>
      <c r="I116">
        <v>1</v>
      </c>
      <c r="J116">
        <f>VLOOKUP(A112,$A$2:$G$11,7,FALSE)</f>
        <v>1.1200000000000001</v>
      </c>
    </row>
    <row r="117" spans="1:10" x14ac:dyDescent="0.15">
      <c r="A117">
        <v>45</v>
      </c>
      <c r="B117" t="s">
        <v>37</v>
      </c>
      <c r="C117">
        <v>1</v>
      </c>
      <c r="D117">
        <f>VLOOKUP(A117,技能参数,4,FALSE)</f>
        <v>2</v>
      </c>
      <c r="E117">
        <f>IFERROR(VLOOKUP(A117*1000+D112,学习等级编码,2),0)</f>
        <v>4505</v>
      </c>
      <c r="F117">
        <f>IFERROR(INT(VLOOKUP($E117,技能升级,9,FALSE)*$C117*I117*J117),0)</f>
        <v>0</v>
      </c>
      <c r="G117">
        <f t="shared" ref="G117:G118" si="34">IFERROR(INT(VLOOKUP($E117,技能升级,10,FALSE)*$C117*I117*J117),0)</f>
        <v>0</v>
      </c>
      <c r="H117">
        <f>INT(VLOOKUP($E117,技能升级,11,FALSE)*$C117*I117*J117)</f>
        <v>0</v>
      </c>
      <c r="I117">
        <f>INT(VLOOKUP($E117,技能升级,13,FALSE)*$C117)</f>
        <v>12372</v>
      </c>
      <c r="J117">
        <v>1</v>
      </c>
    </row>
    <row r="118" spans="1:10" x14ac:dyDescent="0.15">
      <c r="A118">
        <v>41</v>
      </c>
      <c r="B118" t="s">
        <v>361</v>
      </c>
      <c r="C118">
        <f>IF(INT((C112-C114*D114-C115*D115-C116*D116-C117*D117)/D118)&gt;0,INT((C112-C114*D114-C115*D115-C116*D116-C117*D117)/D118),0)</f>
        <v>0</v>
      </c>
      <c r="D118">
        <f>VLOOKUP(A118,技能参数,4,FALSE)</f>
        <v>1.2</v>
      </c>
      <c r="E118">
        <f>IFERROR(VLOOKUP(A118*1000+D112,学习等级编码,2),0)</f>
        <v>4111</v>
      </c>
      <c r="F118">
        <f>IFERROR(INT(VLOOKUP($E118,技能升级,9,FALSE)*$C118*I118*J118),0)</f>
        <v>0</v>
      </c>
      <c r="G118">
        <f t="shared" si="34"/>
        <v>0</v>
      </c>
      <c r="H118">
        <f>INT(VLOOKUP($E118,技能升级,11,FALSE)*$C118*I118*J118)</f>
        <v>0</v>
      </c>
      <c r="I118">
        <v>1</v>
      </c>
      <c r="J118">
        <f>VLOOKUP(A112,$A$2:$G$11,7,FALSE)</f>
        <v>1.1200000000000001</v>
      </c>
    </row>
    <row r="119" spans="1:10" x14ac:dyDescent="0.15">
      <c r="A119">
        <f>VLOOKUP(E114,技能升级,13,FALSE)</f>
        <v>107</v>
      </c>
      <c r="B119" t="s">
        <v>375</v>
      </c>
      <c r="C119">
        <f>IF(C112&lt;J112,C112+C112-H112,IF(C112&gt;J112+H112,J112+J112,J112+C112-H112))</f>
        <v>8</v>
      </c>
      <c r="G119">
        <f>INT((VLOOKUP(A119,召唤物属性,7,FALSE)-
IF($B112&gt;10000,VLOOKUP($B112,实战属性,15,FALSE),VLOOKUP($B112,总基本属性,9,FALSE))*$L$13)*I119*J119)</f>
        <v>3051</v>
      </c>
      <c r="I119">
        <f>VLOOKUP($E114,技能升级,14,FALSE)</f>
        <v>2</v>
      </c>
      <c r="J119">
        <v>1</v>
      </c>
    </row>
    <row r="120" spans="1:10" x14ac:dyDescent="0.15">
      <c r="A120">
        <f>VLOOKUP(E115,技能升级,13,FALSE)</f>
        <v>207</v>
      </c>
      <c r="B120" t="s">
        <v>374</v>
      </c>
      <c r="C120">
        <f>IF(C112&lt;J112,C112+C112-H112,IF(C112&gt;J112+H112,J112+J112,J112+C112-H112))</f>
        <v>8</v>
      </c>
      <c r="F120">
        <f>INT((VLOOKUP(A120,召唤物属性,6,FALSE)-
IF($B112&gt;10000,VLOOKUP($B112,实战属性,15,FALSE),VLOOKUP($B112,总基本属性,9,FALSE))*$L$13)*I120*J120)</f>
        <v>4276</v>
      </c>
      <c r="I120">
        <f>VLOOKUP($E115,技能升级,14,FALSE)</f>
        <v>3</v>
      </c>
      <c r="J120">
        <v>1</v>
      </c>
    </row>
    <row r="121" spans="1:10" x14ac:dyDescent="0.15">
      <c r="E121" t="s">
        <v>194</v>
      </c>
      <c r="F121">
        <f>SUM(F114:F118)/1000</f>
        <v>0</v>
      </c>
      <c r="G121">
        <f>SUM(G114:G118)/1000</f>
        <v>10.64</v>
      </c>
      <c r="H121">
        <f>SUM(H114:H117)</f>
        <v>2072</v>
      </c>
      <c r="I121" t="s">
        <v>196</v>
      </c>
      <c r="J121" t="s">
        <v>197</v>
      </c>
    </row>
    <row r="122" spans="1:10" x14ac:dyDescent="0.15">
      <c r="E122" t="s">
        <v>195</v>
      </c>
      <c r="F122">
        <f>INT((IF($A112&gt;10000,VLOOKUP($A112,实战属性,13,FALSE),VLOOKUP($A112,总基本属性,7,FALSE))-
IF($B112&gt;10000,VLOOKUP($B112,实战属性,15,FALSE),VLOOKUP($B112,总基本属性,9,FALSE))*$L$13)*F121)</f>
        <v>0</v>
      </c>
      <c r="G122">
        <f>INT((IF($A112&gt;10000,VLOOKUP($A112,实战属性,14,FALSE),VLOOKUP($A112,总基本属性,8,FALSE))-
IF($B112&gt;10000,VLOOKUP($B112,实战属性,16,FALSE),VLOOKUP($B112,总基本属性,10,FALSE))*$L$13)*G121)</f>
        <v>34744</v>
      </c>
      <c r="H122">
        <f>H121+F122+G122</f>
        <v>36816</v>
      </c>
      <c r="I122">
        <f>IF($B112&gt;10000,VLOOKUP($B112,实战属性,12,FALSE),VLOOKUP($B112,总基本属性,6,FALSE))+I117</f>
        <v>91482</v>
      </c>
      <c r="J122">
        <f>ROUND(I122/H123,2)</f>
        <v>0.96</v>
      </c>
    </row>
    <row r="123" spans="1:10" x14ac:dyDescent="0.15">
      <c r="E123" t="s">
        <v>376</v>
      </c>
      <c r="F123">
        <f>INT(F120*C120)</f>
        <v>34208</v>
      </c>
      <c r="G123">
        <f>INT(G119*C119)</f>
        <v>24408</v>
      </c>
      <c r="H123">
        <f>F123+G123+H122</f>
        <v>95432</v>
      </c>
    </row>
    <row r="127" spans="1:10" x14ac:dyDescent="0.15">
      <c r="A127" s="8" t="s">
        <v>5</v>
      </c>
      <c r="B127" s="8" t="s">
        <v>2</v>
      </c>
      <c r="C127" s="8" t="s">
        <v>178</v>
      </c>
      <c r="D127" s="8" t="s">
        <v>0</v>
      </c>
      <c r="G127" t="s">
        <v>445</v>
      </c>
      <c r="H127">
        <f>INT(I138/J138/C128)</f>
        <v>21848</v>
      </c>
      <c r="I127" t="s">
        <v>446</v>
      </c>
      <c r="J127">
        <f>ROUND(I133/H127,1)</f>
        <v>0.6</v>
      </c>
    </row>
    <row r="128" spans="1:10" x14ac:dyDescent="0.15">
      <c r="A128">
        <f>A112+10</f>
        <v>4080</v>
      </c>
      <c r="B128">
        <f>B112+10</f>
        <v>4080</v>
      </c>
      <c r="C128">
        <v>5</v>
      </c>
      <c r="D128">
        <f>MOD(A128,1000)</f>
        <v>80</v>
      </c>
      <c r="G128" t="s">
        <v>447</v>
      </c>
      <c r="H128">
        <v>4</v>
      </c>
      <c r="I128" t="s">
        <v>383</v>
      </c>
      <c r="J128">
        <f>VLOOKUP(D128,召唤物生存,10)</f>
        <v>13.87</v>
      </c>
    </row>
    <row r="129" spans="1:10" x14ac:dyDescent="0.15">
      <c r="A129" t="s">
        <v>156</v>
      </c>
      <c r="B129" t="s">
        <v>95</v>
      </c>
      <c r="C129" t="s">
        <v>177</v>
      </c>
      <c r="D129" t="s">
        <v>143</v>
      </c>
      <c r="E129" t="s">
        <v>182</v>
      </c>
      <c r="F129" t="s">
        <v>192</v>
      </c>
      <c r="G129" t="s">
        <v>193</v>
      </c>
      <c r="H129" t="s">
        <v>176</v>
      </c>
      <c r="I129" t="s">
        <v>205</v>
      </c>
      <c r="J129" t="s">
        <v>206</v>
      </c>
    </row>
    <row r="130" spans="1:10" x14ac:dyDescent="0.15">
      <c r="A130">
        <v>42</v>
      </c>
      <c r="B130" t="s">
        <v>35</v>
      </c>
      <c r="C130">
        <v>1</v>
      </c>
      <c r="D130">
        <f>VLOOKUP(A130,技能参数,4,FALSE)</f>
        <v>1</v>
      </c>
      <c r="E130">
        <f>IFERROR(VLOOKUP(A130*1000+D128,学习等级编码,2),0)</f>
        <v>4208</v>
      </c>
      <c r="F130">
        <f>IFERROR(INT(VLOOKUP($E130,技能升级,9,FALSE)*$C130*I130*J130),0)</f>
        <v>0</v>
      </c>
      <c r="G130">
        <f>IFERROR(INT(VLOOKUP($E130,技能升级,10,FALSE)*$C130*I130*J130),0)</f>
        <v>0</v>
      </c>
      <c r="H130">
        <f>INT(VLOOKUP($E130,技能升级,11,FALSE)*$C130*I130*J130)</f>
        <v>0</v>
      </c>
      <c r="I130">
        <v>1</v>
      </c>
      <c r="J130">
        <v>1</v>
      </c>
    </row>
    <row r="131" spans="1:10" x14ac:dyDescent="0.15">
      <c r="A131">
        <v>43</v>
      </c>
      <c r="B131" t="s">
        <v>36</v>
      </c>
      <c r="C131">
        <v>1</v>
      </c>
      <c r="D131">
        <f>VLOOKUP(A131,技能参数,4,FALSE)</f>
        <v>1</v>
      </c>
      <c r="E131">
        <f>IFERROR(VLOOKUP(A131*1000+D128,学习等级编码,2),0)</f>
        <v>4308</v>
      </c>
      <c r="F131">
        <f t="shared" ref="F131" si="35">IFERROR(INT(VLOOKUP($E131,技能升级,9,FALSE)*$C131*I131*J131),0)</f>
        <v>0</v>
      </c>
      <c r="G131">
        <f t="shared" ref="G131" si="36">IFERROR(INT(VLOOKUP($E131,技能升级,10,FALSE)*$C131*I131*J131),0)</f>
        <v>0</v>
      </c>
      <c r="H131">
        <f>INT(VLOOKUP($E131,技能升级,11,FALSE)*$C131*I131*J131)</f>
        <v>0</v>
      </c>
      <c r="I131">
        <v>1</v>
      </c>
      <c r="J131">
        <v>1</v>
      </c>
    </row>
    <row r="132" spans="1:10" x14ac:dyDescent="0.15">
      <c r="A132">
        <v>44</v>
      </c>
      <c r="B132" t="s">
        <v>38</v>
      </c>
      <c r="C132">
        <v>1</v>
      </c>
      <c r="D132">
        <f>IFERROR(INT(VLOOKUP($E132,技能升级,13,FALSE)),0)</f>
        <v>5</v>
      </c>
      <c r="E132">
        <f>IFERROR(VLOOKUP(A132*1000+D128,学习等级编码,2),0)</f>
        <v>4408</v>
      </c>
      <c r="F132">
        <f>IFERROR(INT(VLOOKUP($E132,技能升级,9,FALSE)*$C132*I132*J132),0)</f>
        <v>0</v>
      </c>
      <c r="G132">
        <f>IFERROR(INT(VLOOKUP($E132,技能升级,10,FALSE)*$D132*I132*J132),0)</f>
        <v>11426</v>
      </c>
      <c r="H132">
        <f>INT(VLOOKUP($E132,技能升级,11,FALSE)*$D132*I132*J132)</f>
        <v>2784</v>
      </c>
      <c r="I132">
        <v>1</v>
      </c>
      <c r="J132">
        <f>VLOOKUP(A128,$A$2:$G$11,7,FALSE)</f>
        <v>1.1600000000000001</v>
      </c>
    </row>
    <row r="133" spans="1:10" x14ac:dyDescent="0.15">
      <c r="A133">
        <v>45</v>
      </c>
      <c r="B133" t="s">
        <v>37</v>
      </c>
      <c r="C133">
        <v>1</v>
      </c>
      <c r="D133">
        <f>VLOOKUP(A133,技能参数,4,FALSE)</f>
        <v>2</v>
      </c>
      <c r="E133">
        <f>IFERROR(VLOOKUP(A133*1000+D128,学习等级编码,2),0)</f>
        <v>4505</v>
      </c>
      <c r="F133">
        <f>IFERROR(INT(VLOOKUP($E133,技能升级,9,FALSE)*$C133*I133*J133),0)</f>
        <v>0</v>
      </c>
      <c r="G133">
        <f t="shared" ref="G133:G134" si="37">IFERROR(INT(VLOOKUP($E133,技能升级,10,FALSE)*$C133*I133*J133),0)</f>
        <v>0</v>
      </c>
      <c r="H133">
        <f>INT(VLOOKUP($E133,技能升级,11,FALSE)*$C133*I133*J133)</f>
        <v>0</v>
      </c>
      <c r="I133">
        <f>INT(VLOOKUP($E133,技能升级,13,FALSE)*$C133)</f>
        <v>12372</v>
      </c>
      <c r="J133">
        <v>1</v>
      </c>
    </row>
    <row r="134" spans="1:10" x14ac:dyDescent="0.15">
      <c r="A134">
        <v>41</v>
      </c>
      <c r="B134" t="s">
        <v>361</v>
      </c>
      <c r="C134">
        <f>IF(INT((C128-C130*D130-C131*D131-C132*D132-C133*D133)/D134)&gt;0,INT((C128-C130*D130-C131*D131-C132*D132-C133*D133)/D134),0)</f>
        <v>0</v>
      </c>
      <c r="D134">
        <f>VLOOKUP(A134,技能参数,4,FALSE)</f>
        <v>1.2</v>
      </c>
      <c r="E134">
        <f>IFERROR(VLOOKUP(A134*1000+D128,学习等级编码,2),0)</f>
        <v>4112</v>
      </c>
      <c r="F134">
        <f>IFERROR(INT(VLOOKUP($E134,技能升级,9,FALSE)*$C134*I134*J134),0)</f>
        <v>0</v>
      </c>
      <c r="G134">
        <f t="shared" si="37"/>
        <v>0</v>
      </c>
      <c r="H134">
        <f>INT(VLOOKUP($E134,技能升级,11,FALSE)*$C134*I134*J134)</f>
        <v>0</v>
      </c>
      <c r="I134">
        <v>1</v>
      </c>
      <c r="J134">
        <f>VLOOKUP(A128,$A$2:$G$11,7,FALSE)</f>
        <v>1.1600000000000001</v>
      </c>
    </row>
    <row r="135" spans="1:10" x14ac:dyDescent="0.15">
      <c r="A135">
        <f>VLOOKUP(E130,技能升级,13,FALSE)</f>
        <v>108</v>
      </c>
      <c r="B135" t="s">
        <v>375</v>
      </c>
      <c r="C135">
        <f>IF(C128&lt;J128,C128+C128-H128,IF(C128&gt;J128+H128,J128+J128,J128+C128-H128))</f>
        <v>6</v>
      </c>
      <c r="G135">
        <f>INT((VLOOKUP(A135,召唤物属性,7,FALSE)-
IF($B128&gt;10000,VLOOKUP($B128,实战属性,15,FALSE),VLOOKUP($B128,总基本属性,9,FALSE))*$L$13)*I135*J135)</f>
        <v>3740</v>
      </c>
      <c r="I135">
        <f>VLOOKUP($E130,技能升级,14,FALSE)</f>
        <v>2</v>
      </c>
      <c r="J135">
        <v>1</v>
      </c>
    </row>
    <row r="136" spans="1:10" x14ac:dyDescent="0.15">
      <c r="A136">
        <f>VLOOKUP(E131,技能升级,13,FALSE)</f>
        <v>208</v>
      </c>
      <c r="B136" t="s">
        <v>374</v>
      </c>
      <c r="C136">
        <f>IF(C128&lt;J128,C128+C128-H128,IF(C128&gt;J128+H128,J128+J128,J128+C128-H128))</f>
        <v>6</v>
      </c>
      <c r="F136">
        <f>INT((VLOOKUP(A136,召唤物属性,6,FALSE)-
IF($B128&gt;10000,VLOOKUP($B128,实战属性,15,FALSE),VLOOKUP($B128,总基本属性,9,FALSE))*$L$13)*I136*J136)</f>
        <v>6280</v>
      </c>
      <c r="I136">
        <f>VLOOKUP($E131,技能升级,14,FALSE)</f>
        <v>4</v>
      </c>
      <c r="J136">
        <v>1</v>
      </c>
    </row>
    <row r="137" spans="1:10" x14ac:dyDescent="0.15">
      <c r="E137" t="s">
        <v>194</v>
      </c>
      <c r="F137">
        <f>SUM(F130:F134)/1000</f>
        <v>0</v>
      </c>
      <c r="G137">
        <f>SUM(G130:G134)/1000</f>
        <v>11.426</v>
      </c>
      <c r="H137">
        <f>SUM(H130:H133)</f>
        <v>2784</v>
      </c>
      <c r="I137" t="s">
        <v>196</v>
      </c>
      <c r="J137" t="s">
        <v>197</v>
      </c>
    </row>
    <row r="138" spans="1:10" x14ac:dyDescent="0.15">
      <c r="E138" t="s">
        <v>195</v>
      </c>
      <c r="F138">
        <f>INT((IF($A128&gt;10000,VLOOKUP($A128,实战属性,13,FALSE),VLOOKUP($A128,总基本属性,7,FALSE))-
IF($B128&gt;10000,VLOOKUP($B128,实战属性,15,FALSE),VLOOKUP($B128,总基本属性,9,FALSE))*$L$13)*F137)</f>
        <v>0</v>
      </c>
      <c r="G138">
        <f>INT((IF($A128&gt;10000,VLOOKUP($A128,实战属性,14,FALSE),VLOOKUP($A128,总基本属性,8,FALSE))-
IF($B128&gt;10000,VLOOKUP($B128,实战属性,16,FALSE),VLOOKUP($B128,总基本属性,10,FALSE))*$L$13)*G137)</f>
        <v>46206</v>
      </c>
      <c r="H138">
        <f>H137+F138+G138</f>
        <v>48990</v>
      </c>
      <c r="I138">
        <f>IF($B128&gt;10000,VLOOKUP($B128,实战属性,12,FALSE),VLOOKUP($B128,总基本属性,6,FALSE))+I133</f>
        <v>114702</v>
      </c>
      <c r="J138">
        <f>ROUND(I138/H139,2)</f>
        <v>1.05</v>
      </c>
    </row>
    <row r="139" spans="1:10" x14ac:dyDescent="0.15">
      <c r="E139" t="s">
        <v>376</v>
      </c>
      <c r="F139">
        <f>INT(F136*C136)</f>
        <v>37680</v>
      </c>
      <c r="G139">
        <f>INT(G135*C135)</f>
        <v>22440</v>
      </c>
      <c r="H139">
        <f>F139+G139+H138</f>
        <v>109110</v>
      </c>
    </row>
    <row r="143" spans="1:10" x14ac:dyDescent="0.15">
      <c r="A143" s="8" t="s">
        <v>5</v>
      </c>
      <c r="B143" s="8" t="s">
        <v>2</v>
      </c>
      <c r="C143" s="8" t="s">
        <v>178</v>
      </c>
      <c r="D143" s="8" t="s">
        <v>0</v>
      </c>
      <c r="G143" t="s">
        <v>445</v>
      </c>
      <c r="H143">
        <f>INT(I154/J154/C144)</f>
        <v>30861</v>
      </c>
      <c r="I143" t="s">
        <v>446</v>
      </c>
      <c r="J143">
        <f>ROUND(I149/H143,1)</f>
        <v>0.7</v>
      </c>
    </row>
    <row r="144" spans="1:10" x14ac:dyDescent="0.15">
      <c r="A144">
        <f>A128+10</f>
        <v>4090</v>
      </c>
      <c r="B144">
        <f>B128+10</f>
        <v>4090</v>
      </c>
      <c r="C144">
        <v>5</v>
      </c>
      <c r="D144">
        <f>MOD(A144,1000)</f>
        <v>90</v>
      </c>
      <c r="G144" t="s">
        <v>447</v>
      </c>
      <c r="H144">
        <v>4</v>
      </c>
      <c r="I144" t="s">
        <v>383</v>
      </c>
      <c r="J144">
        <f>VLOOKUP(D144,召唤物生存,10)</f>
        <v>14.93</v>
      </c>
    </row>
    <row r="145" spans="1:10" x14ac:dyDescent="0.15">
      <c r="A145" t="s">
        <v>156</v>
      </c>
      <c r="B145" t="s">
        <v>95</v>
      </c>
      <c r="C145" t="s">
        <v>177</v>
      </c>
      <c r="D145" t="s">
        <v>143</v>
      </c>
      <c r="E145" t="s">
        <v>182</v>
      </c>
      <c r="F145" t="s">
        <v>192</v>
      </c>
      <c r="G145" t="s">
        <v>193</v>
      </c>
      <c r="H145" t="s">
        <v>176</v>
      </c>
      <c r="I145" t="s">
        <v>205</v>
      </c>
      <c r="J145" t="s">
        <v>206</v>
      </c>
    </row>
    <row r="146" spans="1:10" x14ac:dyDescent="0.15">
      <c r="A146">
        <v>42</v>
      </c>
      <c r="B146" t="s">
        <v>35</v>
      </c>
      <c r="C146">
        <v>1</v>
      </c>
      <c r="D146">
        <f>VLOOKUP(A146,技能参数,4,FALSE)</f>
        <v>1</v>
      </c>
      <c r="E146">
        <f>IFERROR(VLOOKUP(A146*1000+D144,学习等级编码,2),0)</f>
        <v>4209</v>
      </c>
      <c r="F146">
        <f>IFERROR(INT(VLOOKUP($E146,技能升级,9,FALSE)*$C146*I146*J146),0)</f>
        <v>0</v>
      </c>
      <c r="G146">
        <f>IFERROR(INT(VLOOKUP($E146,技能升级,10,FALSE)*$C146*I146*J146),0)</f>
        <v>0</v>
      </c>
      <c r="H146">
        <f>INT(VLOOKUP($E146,技能升级,11,FALSE)*$C146*I146*J146)</f>
        <v>0</v>
      </c>
      <c r="I146">
        <v>1</v>
      </c>
      <c r="J146">
        <v>1</v>
      </c>
    </row>
    <row r="147" spans="1:10" x14ac:dyDescent="0.15">
      <c r="A147">
        <v>43</v>
      </c>
      <c r="B147" t="s">
        <v>36</v>
      </c>
      <c r="C147">
        <v>1</v>
      </c>
      <c r="D147">
        <f>VLOOKUP(A147,技能参数,4,FALSE)</f>
        <v>1</v>
      </c>
      <c r="E147">
        <f>IFERROR(VLOOKUP(A147*1000+D144,学习等级编码,2),0)</f>
        <v>4309</v>
      </c>
      <c r="F147">
        <f t="shared" ref="F147" si="38">IFERROR(INT(VLOOKUP($E147,技能升级,9,FALSE)*$C147*I147*J147),0)</f>
        <v>0</v>
      </c>
      <c r="G147">
        <f t="shared" ref="G147" si="39">IFERROR(INT(VLOOKUP($E147,技能升级,10,FALSE)*$C147*I147*J147),0)</f>
        <v>0</v>
      </c>
      <c r="H147">
        <f>INT(VLOOKUP($E147,技能升级,11,FALSE)*$C147*I147*J147)</f>
        <v>0</v>
      </c>
      <c r="I147">
        <v>1</v>
      </c>
      <c r="J147">
        <v>1</v>
      </c>
    </row>
    <row r="148" spans="1:10" x14ac:dyDescent="0.15">
      <c r="A148">
        <v>44</v>
      </c>
      <c r="B148" t="s">
        <v>38</v>
      </c>
      <c r="C148">
        <v>1</v>
      </c>
      <c r="D148">
        <f>IFERROR(INT(VLOOKUP($E148,技能升级,13,FALSE)),0)</f>
        <v>6</v>
      </c>
      <c r="E148">
        <f>IFERROR(VLOOKUP(A148*1000+D144,学习等级编码,2),0)</f>
        <v>4409</v>
      </c>
      <c r="F148">
        <f>IFERROR(INT(VLOOKUP($E148,技能升级,9,FALSE)*$C148*I148*J148),0)</f>
        <v>0</v>
      </c>
      <c r="G148">
        <f>IFERROR(INT(VLOOKUP($E148,技能升级,10,FALSE)*$D148*I148*J148),0)</f>
        <v>14616</v>
      </c>
      <c r="H148">
        <f>INT(VLOOKUP($E148,技能升级,11,FALSE)*$D148*I148*J148)</f>
        <v>4356</v>
      </c>
      <c r="I148">
        <v>1</v>
      </c>
      <c r="J148">
        <f>VLOOKUP(A144,$A$2:$G$11,7,FALSE)</f>
        <v>1.2</v>
      </c>
    </row>
    <row r="149" spans="1:10" x14ac:dyDescent="0.15">
      <c r="A149">
        <v>45</v>
      </c>
      <c r="B149" t="s">
        <v>37</v>
      </c>
      <c r="C149">
        <v>1</v>
      </c>
      <c r="D149">
        <f>VLOOKUP(A149,技能参数,4,FALSE)</f>
        <v>2</v>
      </c>
      <c r="E149">
        <f>IFERROR(VLOOKUP(A149*1000+D144,学习等级编码,2),0)</f>
        <v>4506</v>
      </c>
      <c r="F149">
        <f>IFERROR(INT(VLOOKUP($E149,技能升级,9,FALSE)*$C149*I149*J149),0)</f>
        <v>0</v>
      </c>
      <c r="G149">
        <f t="shared" ref="G149:G150" si="40">IFERROR(INT(VLOOKUP($E149,技能升级,10,FALSE)*$C149*I149*J149),0)</f>
        <v>0</v>
      </c>
      <c r="H149">
        <f>INT(VLOOKUP($E149,技能升级,11,FALSE)*$C149*I149*J149)</f>
        <v>0</v>
      </c>
      <c r="I149">
        <f>INT(VLOOKUP($E149,技能升级,13,FALSE)*$C149)</f>
        <v>21066</v>
      </c>
      <c r="J149">
        <v>1</v>
      </c>
    </row>
    <row r="150" spans="1:10" x14ac:dyDescent="0.15">
      <c r="A150">
        <v>41</v>
      </c>
      <c r="B150" t="s">
        <v>361</v>
      </c>
      <c r="C150">
        <f>IF(INT((C144-C146*D146-C147*D147-C148*D148-C149*D149)/D150)&gt;0,INT((C144-C146*D146-C147*D147-C148*D148-C149*D149)/D150),0)</f>
        <v>0</v>
      </c>
      <c r="D150">
        <f>VLOOKUP(A150,技能参数,4,FALSE)</f>
        <v>1.2</v>
      </c>
      <c r="E150">
        <f>IFERROR(VLOOKUP(A150*1000+D144,学习等级编码,2),0)</f>
        <v>4114</v>
      </c>
      <c r="F150">
        <f>IFERROR(INT(VLOOKUP($E150,技能升级,9,FALSE)*$C150*I150*J150),0)</f>
        <v>0</v>
      </c>
      <c r="G150">
        <f t="shared" si="40"/>
        <v>0</v>
      </c>
      <c r="H150">
        <f>INT(VLOOKUP($E150,技能升级,11,FALSE)*$C150*I150*J150)</f>
        <v>0</v>
      </c>
      <c r="I150">
        <v>1</v>
      </c>
      <c r="J150">
        <f>VLOOKUP(A144,$A$2:$G$11,7,FALSE)</f>
        <v>1.2</v>
      </c>
    </row>
    <row r="151" spans="1:10" x14ac:dyDescent="0.15">
      <c r="A151">
        <f>VLOOKUP(E146,技能升级,13,FALSE)</f>
        <v>109</v>
      </c>
      <c r="B151" t="s">
        <v>375</v>
      </c>
      <c r="C151">
        <f>IF(C144&lt;J144,C144+C144-H144,IF(C144&gt;J144+H144,J144+J144,J144+C144-H144))</f>
        <v>6</v>
      </c>
      <c r="G151">
        <f>INT((VLOOKUP(A151,召唤物属性,7,FALSE)-
IF($B144&gt;10000,VLOOKUP($B144,实战属性,15,FALSE),VLOOKUP($B144,总基本属性,9,FALSE))*$L$13)*I151*J151)</f>
        <v>4579</v>
      </c>
      <c r="I151">
        <f>VLOOKUP($E146,技能升级,14,FALSE)</f>
        <v>2</v>
      </c>
      <c r="J151">
        <v>1</v>
      </c>
    </row>
    <row r="152" spans="1:10" x14ac:dyDescent="0.15">
      <c r="A152">
        <f>VLOOKUP(E147,技能升级,13,FALSE)</f>
        <v>209</v>
      </c>
      <c r="B152" t="s">
        <v>374</v>
      </c>
      <c r="C152">
        <f>IF(C144&lt;J144,C144+C144-H144,IF(C144&gt;J144+H144,J144+J144,J144+C144-H144))</f>
        <v>6</v>
      </c>
      <c r="F152">
        <f>INT((VLOOKUP(A152,召唤物属性,6,FALSE)-
IF($B144&gt;10000,VLOOKUP($B144,实战属性,15,FALSE),VLOOKUP($B144,总基本属性,9,FALSE))*$L$13)*I152*J152)</f>
        <v>7958</v>
      </c>
      <c r="I152">
        <f>VLOOKUP($E147,技能升级,14,FALSE)</f>
        <v>4</v>
      </c>
      <c r="J152">
        <v>1</v>
      </c>
    </row>
    <row r="153" spans="1:10" x14ac:dyDescent="0.15">
      <c r="E153" t="s">
        <v>194</v>
      </c>
      <c r="F153">
        <f>SUM(F146:F150)/1000</f>
        <v>0</v>
      </c>
      <c r="G153">
        <f>SUM(G146:G150)/1000</f>
        <v>14.616</v>
      </c>
      <c r="H153">
        <f>SUM(H146:H149)</f>
        <v>4356</v>
      </c>
      <c r="I153" t="s">
        <v>196</v>
      </c>
      <c r="J153" t="s">
        <v>197</v>
      </c>
    </row>
    <row r="154" spans="1:10" x14ac:dyDescent="0.15">
      <c r="E154" t="s">
        <v>195</v>
      </c>
      <c r="F154">
        <f>INT((IF($A144&gt;10000,VLOOKUP($A144,实战属性,13,FALSE),VLOOKUP($A144,总基本属性,7,FALSE))-
IF($B144&gt;10000,VLOOKUP($B144,实战属性,15,FALSE),VLOOKUP($B144,总基本属性,9,FALSE))*$L$13)*F153)</f>
        <v>0</v>
      </c>
      <c r="G154">
        <f>INT((IF($A144&gt;10000,VLOOKUP($A144,实战属性,14,FALSE),VLOOKUP($A144,总基本属性,8,FALSE))-
IF($B144&gt;10000,VLOOKUP($B144,实战属性,16,FALSE),VLOOKUP($B144,总基本属性,10,FALSE))*$L$13)*G153)</f>
        <v>74051</v>
      </c>
      <c r="H154">
        <f>H153+F154+G154</f>
        <v>78407</v>
      </c>
      <c r="I154">
        <f>IF($B144&gt;10000,VLOOKUP($B144,实战属性,12,FALSE),VLOOKUP($B144,总基本属性,6,FALSE))+I149</f>
        <v>149676</v>
      </c>
      <c r="J154">
        <f>ROUND(I154/H155,2)</f>
        <v>0.97</v>
      </c>
    </row>
    <row r="155" spans="1:10" x14ac:dyDescent="0.15">
      <c r="E155" t="s">
        <v>376</v>
      </c>
      <c r="F155">
        <f>INT(F152*C152)</f>
        <v>47748</v>
      </c>
      <c r="G155">
        <f>INT(G151*C151)</f>
        <v>27474</v>
      </c>
      <c r="H155">
        <f>F155+G155+H154</f>
        <v>153629</v>
      </c>
    </row>
    <row r="159" spans="1:10" x14ac:dyDescent="0.15">
      <c r="A159" s="8" t="s">
        <v>5</v>
      </c>
      <c r="B159" s="8" t="s">
        <v>2</v>
      </c>
      <c r="C159" s="8" t="s">
        <v>178</v>
      </c>
      <c r="D159" s="8" t="s">
        <v>0</v>
      </c>
      <c r="G159" t="s">
        <v>445</v>
      </c>
      <c r="H159">
        <f>INT(I170/J170/C160)</f>
        <v>39590</v>
      </c>
      <c r="I159" t="s">
        <v>446</v>
      </c>
      <c r="J159">
        <f>ROUND(I165/H159,1)</f>
        <v>0.8</v>
      </c>
    </row>
    <row r="160" spans="1:10" x14ac:dyDescent="0.15">
      <c r="A160">
        <f>A144+10</f>
        <v>4100</v>
      </c>
      <c r="B160">
        <f>B144+10</f>
        <v>4100</v>
      </c>
      <c r="C160">
        <v>5</v>
      </c>
      <c r="D160">
        <f>MOD(A160,1000)</f>
        <v>100</v>
      </c>
      <c r="G160" t="s">
        <v>447</v>
      </c>
      <c r="H160">
        <v>4</v>
      </c>
      <c r="I160" t="s">
        <v>383</v>
      </c>
      <c r="J160">
        <f>VLOOKUP(D160,召唤物生存,10)</f>
        <v>15.71</v>
      </c>
    </row>
    <row r="161" spans="1:10" x14ac:dyDescent="0.15">
      <c r="A161" t="s">
        <v>156</v>
      </c>
      <c r="B161" t="s">
        <v>95</v>
      </c>
      <c r="C161" t="s">
        <v>177</v>
      </c>
      <c r="D161" t="s">
        <v>143</v>
      </c>
      <c r="E161" t="s">
        <v>182</v>
      </c>
      <c r="F161" t="s">
        <v>192</v>
      </c>
      <c r="G161" t="s">
        <v>193</v>
      </c>
      <c r="H161" t="s">
        <v>176</v>
      </c>
      <c r="I161" t="s">
        <v>205</v>
      </c>
      <c r="J161" t="s">
        <v>206</v>
      </c>
    </row>
    <row r="162" spans="1:10" x14ac:dyDescent="0.15">
      <c r="A162">
        <v>42</v>
      </c>
      <c r="B162" t="s">
        <v>35</v>
      </c>
      <c r="C162">
        <v>1</v>
      </c>
      <c r="D162">
        <f>VLOOKUP(A162,技能参数,4,FALSE)</f>
        <v>1</v>
      </c>
      <c r="E162">
        <f>IFERROR(VLOOKUP(A162*1000+D160,学习等级编码,2),0)</f>
        <v>4210</v>
      </c>
      <c r="F162">
        <f>IFERROR(INT(VLOOKUP($E162,技能升级,9,FALSE)*$C162*I162*J162),0)</f>
        <v>0</v>
      </c>
      <c r="G162">
        <f>IFERROR(INT(VLOOKUP($E162,技能升级,10,FALSE)*$C162*I162*J162),0)</f>
        <v>0</v>
      </c>
      <c r="H162">
        <f>INT(VLOOKUP($E162,技能升级,11,FALSE)*$C162*I162*J162)</f>
        <v>0</v>
      </c>
      <c r="I162">
        <v>1</v>
      </c>
      <c r="J162">
        <v>1</v>
      </c>
    </row>
    <row r="163" spans="1:10" x14ac:dyDescent="0.15">
      <c r="A163">
        <v>43</v>
      </c>
      <c r="B163" t="s">
        <v>36</v>
      </c>
      <c r="C163">
        <v>1</v>
      </c>
      <c r="D163">
        <f>VLOOKUP(A163,技能参数,4,FALSE)</f>
        <v>1</v>
      </c>
      <c r="E163">
        <f>IFERROR(VLOOKUP(A163*1000+D160,学习等级编码,2),0)</f>
        <v>4310</v>
      </c>
      <c r="F163">
        <f t="shared" ref="F163" si="41">IFERROR(INT(VLOOKUP($E163,技能升级,9,FALSE)*$C163*I163*J163),0)</f>
        <v>0</v>
      </c>
      <c r="G163">
        <f t="shared" ref="G163" si="42">IFERROR(INT(VLOOKUP($E163,技能升级,10,FALSE)*$C163*I163*J163),0)</f>
        <v>0</v>
      </c>
      <c r="H163">
        <f>INT(VLOOKUP($E163,技能升级,11,FALSE)*$C163*I163*J163)</f>
        <v>0</v>
      </c>
      <c r="I163">
        <v>1</v>
      </c>
      <c r="J163">
        <v>1</v>
      </c>
    </row>
    <row r="164" spans="1:10" x14ac:dyDescent="0.15">
      <c r="A164">
        <v>44</v>
      </c>
      <c r="B164" t="s">
        <v>38</v>
      </c>
      <c r="C164">
        <v>1</v>
      </c>
      <c r="D164">
        <f>IFERROR(INT(VLOOKUP($E164,技能升级,13,FALSE)),0)</f>
        <v>6</v>
      </c>
      <c r="E164">
        <f>IFERROR(VLOOKUP(A164*1000+D160,学习等级编码,2),0)</f>
        <v>4410</v>
      </c>
      <c r="F164">
        <f>IFERROR(INT(VLOOKUP($E164,技能升级,9,FALSE)*$C164*I164*J164),0)</f>
        <v>0</v>
      </c>
      <c r="G164">
        <f>IFERROR(INT(VLOOKUP($E164,技能升级,10,FALSE)*$D164*I164*J164),0)</f>
        <v>15750</v>
      </c>
      <c r="H164">
        <f>INT(VLOOKUP($E164,技能升级,11,FALSE)*$D164*I164*J164)</f>
        <v>5587</v>
      </c>
      <c r="I164">
        <v>1</v>
      </c>
      <c r="J164">
        <f>VLOOKUP(A160,$A$2:$G$11,7,FALSE)</f>
        <v>1.25</v>
      </c>
    </row>
    <row r="165" spans="1:10" x14ac:dyDescent="0.15">
      <c r="A165">
        <v>45</v>
      </c>
      <c r="B165" t="s">
        <v>37</v>
      </c>
      <c r="C165">
        <v>1</v>
      </c>
      <c r="D165">
        <f>VLOOKUP(A165,技能参数,4,FALSE)</f>
        <v>2</v>
      </c>
      <c r="E165">
        <f>IFERROR(VLOOKUP(A165*1000+D160,学习等级编码,2),0)</f>
        <v>4507</v>
      </c>
      <c r="F165">
        <f>IFERROR(INT(VLOOKUP($E165,技能升级,9,FALSE)*$C165*I165*J165),0)</f>
        <v>0</v>
      </c>
      <c r="G165">
        <f t="shared" ref="G165:G166" si="43">IFERROR(INT(VLOOKUP($E165,技能升级,10,FALSE)*$C165*I165*J165),0)</f>
        <v>0</v>
      </c>
      <c r="H165">
        <f>INT(VLOOKUP($E165,技能升级,11,FALSE)*$C165*I165*J165)</f>
        <v>0</v>
      </c>
      <c r="I165">
        <f>INT(VLOOKUP($E165,技能升级,13,FALSE)*$C165)</f>
        <v>32172</v>
      </c>
      <c r="J165">
        <v>1</v>
      </c>
    </row>
    <row r="166" spans="1:10" x14ac:dyDescent="0.15">
      <c r="A166">
        <v>41</v>
      </c>
      <c r="B166" t="s">
        <v>361</v>
      </c>
      <c r="C166">
        <f>IF(INT((C160-C162*D162-C163*D163-C164*D164-C165*D165)/D166)&gt;0,INT((C160-C162*D162-C163*D163-C164*D164-C165*D165)/D166),0)</f>
        <v>0</v>
      </c>
      <c r="D166">
        <f>VLOOKUP(A166,技能参数,4,FALSE)</f>
        <v>1.2</v>
      </c>
      <c r="E166">
        <f>IFERROR(VLOOKUP(A166*1000+D160,学习等级编码,2),0)</f>
        <v>4115</v>
      </c>
      <c r="F166">
        <f>IFERROR(INT(VLOOKUP($E166,技能升级,9,FALSE)*$C166*I166*J166),0)</f>
        <v>0</v>
      </c>
      <c r="G166">
        <f t="shared" si="43"/>
        <v>0</v>
      </c>
      <c r="H166">
        <f>INT(VLOOKUP($E166,技能升级,11,FALSE)*$C166*I166*J166)</f>
        <v>0</v>
      </c>
      <c r="I166">
        <v>1</v>
      </c>
      <c r="J166">
        <f>VLOOKUP(A160,$A$2:$G$11,7,FALSE)</f>
        <v>1.25</v>
      </c>
    </row>
    <row r="167" spans="1:10" x14ac:dyDescent="0.15">
      <c r="A167">
        <f>VLOOKUP(E162,技能升级,13,FALSE)</f>
        <v>110</v>
      </c>
      <c r="B167" t="s">
        <v>375</v>
      </c>
      <c r="C167">
        <f>IF(C160&lt;J160,C160+C160-H160,IF(C160&gt;J160+H160,J160+J160,J160+C160-H160))</f>
        <v>6</v>
      </c>
      <c r="G167">
        <f>INT((VLOOKUP(A167,召唤物属性,7,FALSE)-
IF($B160&gt;10000,VLOOKUP($B160,实战属性,15,FALSE),VLOOKUP($B160,总基本属性,9,FALSE))*$L$13)*I167*J167)</f>
        <v>5470</v>
      </c>
      <c r="I167">
        <f>VLOOKUP($E162,技能升级,14,FALSE)</f>
        <v>2</v>
      </c>
      <c r="J167">
        <v>1</v>
      </c>
    </row>
    <row r="168" spans="1:10" x14ac:dyDescent="0.15">
      <c r="A168">
        <f>VLOOKUP(E163,技能升级,13,FALSE)</f>
        <v>210</v>
      </c>
      <c r="B168" t="s">
        <v>374</v>
      </c>
      <c r="C168">
        <f>IF(C160&lt;J160,C160+C160-H160,IF(C160&gt;J160+H160,J160+J160,J160+C160-H160))</f>
        <v>6</v>
      </c>
      <c r="F168">
        <f>INT((VLOOKUP(A168,召唤物属性,6,FALSE)-
IF($B160&gt;10000,VLOOKUP($B160,实战属性,15,FALSE),VLOOKUP($B160,总基本属性,9,FALSE))*$L$13)*I168*J168)</f>
        <v>9740</v>
      </c>
      <c r="I168">
        <f>VLOOKUP($E163,技能升级,14,FALSE)</f>
        <v>4</v>
      </c>
      <c r="J168">
        <v>1</v>
      </c>
    </row>
    <row r="169" spans="1:10" x14ac:dyDescent="0.15">
      <c r="E169" t="s">
        <v>194</v>
      </c>
      <c r="F169">
        <f>SUM(F162:F166)/1000</f>
        <v>0</v>
      </c>
      <c r="G169">
        <f>SUM(G162:G166)/1000</f>
        <v>15.75</v>
      </c>
      <c r="H169">
        <f>SUM(H162:H165)</f>
        <v>5587</v>
      </c>
      <c r="I169" t="s">
        <v>196</v>
      </c>
      <c r="J169" t="s">
        <v>197</v>
      </c>
    </row>
    <row r="170" spans="1:10" x14ac:dyDescent="0.15">
      <c r="E170" t="s">
        <v>195</v>
      </c>
      <c r="F170">
        <f>INT((IF($A160&gt;10000,VLOOKUP($A160,实战属性,13,FALSE),VLOOKUP($A160,总基本属性,7,FALSE))-
IF($B160&gt;10000,VLOOKUP($B160,实战属性,15,FALSE),VLOOKUP($B160,总基本属性,9,FALSE))*$L$13)*F169)</f>
        <v>0</v>
      </c>
      <c r="G170">
        <f>INT((IF($A160&gt;10000,VLOOKUP($A160,实战属性,14,FALSE),VLOOKUP($A160,总基本属性,8,FALSE))-
IF($B160&gt;10000,VLOOKUP($B160,实战属性,16,FALSE),VLOOKUP($B160,总基本属性,10,FALSE))*$L$13)*G169)</f>
        <v>101666</v>
      </c>
      <c r="H170">
        <f>H169+F170+G170</f>
        <v>107253</v>
      </c>
      <c r="I170">
        <f>IF($B160&gt;10000,VLOOKUP($B160,实战属性,12,FALSE),VLOOKUP($B160,总基本属性,6,FALSE))+I165</f>
        <v>190032</v>
      </c>
      <c r="J170">
        <f>ROUND(I170/H171,2)</f>
        <v>0.96</v>
      </c>
    </row>
    <row r="171" spans="1:10" x14ac:dyDescent="0.15">
      <c r="E171" t="s">
        <v>376</v>
      </c>
      <c r="F171">
        <f>INT(F168*C168)</f>
        <v>58440</v>
      </c>
      <c r="G171">
        <f>INT(G167*C167)</f>
        <v>32820</v>
      </c>
      <c r="H171">
        <f>F171+G171+H170</f>
        <v>198513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A292" zoomScaleNormal="100" workbookViewId="0">
      <selection activeCell="C311" sqref="C311"/>
    </sheetView>
  </sheetViews>
  <sheetFormatPr defaultRowHeight="13.5" x14ac:dyDescent="0.15"/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431</v>
      </c>
      <c r="H1" t="s">
        <v>435</v>
      </c>
      <c r="I1" t="s">
        <v>436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2010</v>
      </c>
      <c r="B2">
        <v>4010</v>
      </c>
      <c r="C2">
        <f t="shared" ref="C2:C2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2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2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2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H2">
        <v>1</v>
      </c>
      <c r="I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 t="shared" ref="A3:B18" si="4">A2+10</f>
        <v>2020</v>
      </c>
      <c r="B3">
        <f>B2+10</f>
        <v>4020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</v>
      </c>
      <c r="G3">
        <v>1</v>
      </c>
      <c r="H3">
        <v>1</v>
      </c>
      <c r="I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 t="shared" si="4"/>
        <v>2030</v>
      </c>
      <c r="B4">
        <f t="shared" ref="B4:B11" si="5">B3+10</f>
        <v>4030</v>
      </c>
      <c r="C4">
        <f t="shared" si="0"/>
        <v>0.01</v>
      </c>
      <c r="D4">
        <f t="shared" si="1"/>
        <v>0</v>
      </c>
      <c r="E4">
        <f t="shared" si="2"/>
        <v>0</v>
      </c>
      <c r="F4">
        <f t="shared" si="3"/>
        <v>0</v>
      </c>
      <c r="G4">
        <v>1</v>
      </c>
      <c r="H4">
        <v>1</v>
      </c>
      <c r="I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si="4"/>
        <v>2040</v>
      </c>
      <c r="B5">
        <f t="shared" si="5"/>
        <v>4040</v>
      </c>
      <c r="C5">
        <f t="shared" si="0"/>
        <v>0.01</v>
      </c>
      <c r="D5">
        <f t="shared" si="1"/>
        <v>0</v>
      </c>
      <c r="E5">
        <f t="shared" si="2"/>
        <v>0</v>
      </c>
      <c r="F5">
        <f t="shared" si="3"/>
        <v>0</v>
      </c>
      <c r="G5">
        <v>1</v>
      </c>
      <c r="H5">
        <v>1</v>
      </c>
      <c r="I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4"/>
        <v>2050</v>
      </c>
      <c r="B6">
        <f t="shared" si="5"/>
        <v>4050</v>
      </c>
      <c r="C6">
        <f t="shared" si="0"/>
        <v>0.09</v>
      </c>
      <c r="D6">
        <f t="shared" si="1"/>
        <v>7.0000000000000007E-2</v>
      </c>
      <c r="E6">
        <f t="shared" si="2"/>
        <v>0</v>
      </c>
      <c r="F6">
        <f t="shared" si="3"/>
        <v>0</v>
      </c>
      <c r="G6">
        <f>C6*1.5+D6*2+1-C6-D6</f>
        <v>1.1149999999999998</v>
      </c>
      <c r="H6">
        <v>1</v>
      </c>
      <c r="I6">
        <v>1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4"/>
        <v>2060</v>
      </c>
      <c r="B7">
        <f t="shared" si="5"/>
        <v>4060</v>
      </c>
      <c r="C7">
        <f t="shared" si="0"/>
        <v>0.15</v>
      </c>
      <c r="D7">
        <f t="shared" si="1"/>
        <v>0.11</v>
      </c>
      <c r="E7">
        <f t="shared" si="2"/>
        <v>0</v>
      </c>
      <c r="F7">
        <f t="shared" si="3"/>
        <v>0</v>
      </c>
      <c r="G7">
        <f t="shared" ref="G7:G11" si="6">C7*1.5+D7*2+1-C7-D7</f>
        <v>1.1849999999999998</v>
      </c>
      <c r="H7">
        <v>1</v>
      </c>
      <c r="I7">
        <v>1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4"/>
        <v>2070</v>
      </c>
      <c r="B8">
        <f t="shared" si="5"/>
        <v>4070</v>
      </c>
      <c r="C8">
        <f t="shared" si="0"/>
        <v>0.23</v>
      </c>
      <c r="D8">
        <f t="shared" si="1"/>
        <v>0.16</v>
      </c>
      <c r="E8">
        <f t="shared" si="2"/>
        <v>0</v>
      </c>
      <c r="F8">
        <f t="shared" si="3"/>
        <v>0</v>
      </c>
      <c r="G8">
        <f t="shared" si="6"/>
        <v>1.2750000000000001</v>
      </c>
      <c r="H8">
        <v>1</v>
      </c>
      <c r="I8">
        <v>1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4"/>
        <v>2080</v>
      </c>
      <c r="B9">
        <f t="shared" si="5"/>
        <v>4080</v>
      </c>
      <c r="C9">
        <f t="shared" si="0"/>
        <v>0.31</v>
      </c>
      <c r="D9">
        <f t="shared" si="1"/>
        <v>0.21</v>
      </c>
      <c r="E9">
        <f t="shared" si="2"/>
        <v>0</v>
      </c>
      <c r="F9">
        <f t="shared" si="3"/>
        <v>0</v>
      </c>
      <c r="G9">
        <f t="shared" si="6"/>
        <v>1.365</v>
      </c>
      <c r="H9">
        <v>1</v>
      </c>
      <c r="I9">
        <v>1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4"/>
        <v>2090</v>
      </c>
      <c r="B10">
        <f t="shared" si="5"/>
        <v>4090</v>
      </c>
      <c r="C10">
        <f t="shared" si="0"/>
        <v>0.4</v>
      </c>
      <c r="D10">
        <f t="shared" si="1"/>
        <v>0.28999999999999998</v>
      </c>
      <c r="E10">
        <f t="shared" si="2"/>
        <v>0</v>
      </c>
      <c r="F10">
        <f t="shared" si="3"/>
        <v>0</v>
      </c>
      <c r="G10">
        <f t="shared" si="6"/>
        <v>1.4900000000000002</v>
      </c>
      <c r="H10">
        <v>1</v>
      </c>
      <c r="I10">
        <v>1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4"/>
        <v>2100</v>
      </c>
      <c r="B11">
        <f t="shared" si="5"/>
        <v>4100</v>
      </c>
      <c r="C11">
        <f t="shared" si="0"/>
        <v>0.49</v>
      </c>
      <c r="D11">
        <f t="shared" si="1"/>
        <v>0.35</v>
      </c>
      <c r="E11">
        <f t="shared" si="2"/>
        <v>0</v>
      </c>
      <c r="F11">
        <f t="shared" si="3"/>
        <v>0</v>
      </c>
      <c r="G11">
        <f t="shared" si="6"/>
        <v>1.5950000000000002</v>
      </c>
      <c r="H11">
        <v>1</v>
      </c>
      <c r="I11">
        <v>1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A12">
        <v>4010</v>
      </c>
      <c r="B12">
        <v>2010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v>1</v>
      </c>
      <c r="H12">
        <v>1</v>
      </c>
      <c r="I12">
        <v>1</v>
      </c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A13">
        <f>A12+10</f>
        <v>4020</v>
      </c>
      <c r="B13">
        <f t="shared" si="4"/>
        <v>2020</v>
      </c>
      <c r="C13">
        <f t="shared" si="0"/>
        <v>0</v>
      </c>
      <c r="D13">
        <f t="shared" si="1"/>
        <v>0.01</v>
      </c>
      <c r="E13">
        <f t="shared" si="2"/>
        <v>0.01</v>
      </c>
      <c r="F13">
        <f t="shared" si="3"/>
        <v>0</v>
      </c>
      <c r="G13">
        <v>1</v>
      </c>
      <c r="H13">
        <v>1</v>
      </c>
      <c r="I13">
        <v>1</v>
      </c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4" spans="1:24" x14ac:dyDescent="0.15">
      <c r="A14">
        <f t="shared" ref="A14:B21" si="7">A13+10</f>
        <v>4030</v>
      </c>
      <c r="B14">
        <f t="shared" si="4"/>
        <v>2030</v>
      </c>
      <c r="C14">
        <f t="shared" si="0"/>
        <v>0</v>
      </c>
      <c r="D14">
        <f t="shared" si="1"/>
        <v>0.01</v>
      </c>
      <c r="E14">
        <f t="shared" si="2"/>
        <v>0.01</v>
      </c>
      <c r="F14">
        <f t="shared" si="3"/>
        <v>0</v>
      </c>
      <c r="G14">
        <v>1</v>
      </c>
      <c r="H14">
        <v>1</v>
      </c>
      <c r="I14">
        <v>1</v>
      </c>
    </row>
    <row r="15" spans="1:24" x14ac:dyDescent="0.15">
      <c r="A15">
        <f t="shared" si="7"/>
        <v>4040</v>
      </c>
      <c r="B15">
        <f t="shared" si="4"/>
        <v>2040</v>
      </c>
      <c r="C15">
        <f t="shared" si="0"/>
        <v>0</v>
      </c>
      <c r="D15">
        <f t="shared" si="1"/>
        <v>0.02</v>
      </c>
      <c r="E15">
        <f t="shared" si="2"/>
        <v>0.02</v>
      </c>
      <c r="F15">
        <f t="shared" si="3"/>
        <v>0</v>
      </c>
      <c r="G15">
        <v>1</v>
      </c>
      <c r="H15">
        <v>1</v>
      </c>
      <c r="I15">
        <v>1</v>
      </c>
    </row>
    <row r="16" spans="1:24" x14ac:dyDescent="0.15">
      <c r="A16">
        <f t="shared" si="7"/>
        <v>4050</v>
      </c>
      <c r="B16">
        <f t="shared" si="4"/>
        <v>2050</v>
      </c>
      <c r="C16">
        <f t="shared" si="0"/>
        <v>0</v>
      </c>
      <c r="D16">
        <f t="shared" si="1"/>
        <v>0.04</v>
      </c>
      <c r="E16">
        <f t="shared" si="2"/>
        <v>0.03</v>
      </c>
      <c r="F16">
        <f t="shared" si="3"/>
        <v>0</v>
      </c>
      <c r="G16">
        <v>1</v>
      </c>
      <c r="H16">
        <v>1</v>
      </c>
      <c r="I16">
        <v>1</v>
      </c>
    </row>
    <row r="17" spans="1:10" x14ac:dyDescent="0.15">
      <c r="A17">
        <f t="shared" si="7"/>
        <v>4060</v>
      </c>
      <c r="B17">
        <f t="shared" si="4"/>
        <v>2060</v>
      </c>
      <c r="C17">
        <f t="shared" si="0"/>
        <v>0</v>
      </c>
      <c r="D17">
        <f t="shared" si="1"/>
        <v>0.05</v>
      </c>
      <c r="E17">
        <f t="shared" si="2"/>
        <v>0.04</v>
      </c>
      <c r="F17">
        <f t="shared" si="3"/>
        <v>0</v>
      </c>
      <c r="G17">
        <v>1</v>
      </c>
      <c r="H17">
        <v>1</v>
      </c>
      <c r="I17">
        <v>1</v>
      </c>
    </row>
    <row r="18" spans="1:10" x14ac:dyDescent="0.15">
      <c r="A18">
        <f t="shared" si="7"/>
        <v>4070</v>
      </c>
      <c r="B18">
        <f t="shared" si="4"/>
        <v>2070</v>
      </c>
      <c r="C18">
        <f t="shared" si="0"/>
        <v>0</v>
      </c>
      <c r="D18">
        <f t="shared" si="1"/>
        <v>7.0000000000000007E-2</v>
      </c>
      <c r="E18">
        <f t="shared" si="2"/>
        <v>0.05</v>
      </c>
      <c r="F18">
        <f t="shared" si="3"/>
        <v>0</v>
      </c>
      <c r="G18">
        <v>1</v>
      </c>
      <c r="H18">
        <v>1</v>
      </c>
      <c r="I18">
        <v>1</v>
      </c>
    </row>
    <row r="19" spans="1:10" x14ac:dyDescent="0.15">
      <c r="A19">
        <f t="shared" si="7"/>
        <v>4080</v>
      </c>
      <c r="B19">
        <f t="shared" si="7"/>
        <v>2080</v>
      </c>
      <c r="C19">
        <f t="shared" si="0"/>
        <v>0</v>
      </c>
      <c r="D19">
        <f t="shared" si="1"/>
        <v>0.09</v>
      </c>
      <c r="E19">
        <f t="shared" si="2"/>
        <v>7.0000000000000007E-2</v>
      </c>
      <c r="F19">
        <f t="shared" si="3"/>
        <v>0</v>
      </c>
      <c r="G19">
        <v>1</v>
      </c>
      <c r="H19">
        <f t="shared" ref="H19:H21" si="8">D19*2+1-D19</f>
        <v>1.0899999999999999</v>
      </c>
      <c r="I19">
        <v>1</v>
      </c>
    </row>
    <row r="20" spans="1:10" x14ac:dyDescent="0.15">
      <c r="A20">
        <f t="shared" si="7"/>
        <v>4090</v>
      </c>
      <c r="B20">
        <f t="shared" si="7"/>
        <v>2090</v>
      </c>
      <c r="C20">
        <f t="shared" si="0"/>
        <v>0</v>
      </c>
      <c r="D20">
        <f t="shared" si="1"/>
        <v>0.11</v>
      </c>
      <c r="E20">
        <f t="shared" si="2"/>
        <v>0.09</v>
      </c>
      <c r="F20">
        <f t="shared" si="3"/>
        <v>0</v>
      </c>
      <c r="G20">
        <v>1</v>
      </c>
      <c r="H20">
        <f t="shared" si="8"/>
        <v>1.1099999999999999</v>
      </c>
      <c r="I20">
        <f t="shared" ref="I20:I21" si="9">E20*0.3+1-E20</f>
        <v>0.93699999999999994</v>
      </c>
    </row>
    <row r="21" spans="1:10" x14ac:dyDescent="0.15">
      <c r="A21">
        <f t="shared" si="7"/>
        <v>4100</v>
      </c>
      <c r="B21">
        <f t="shared" si="7"/>
        <v>2100</v>
      </c>
      <c r="C21">
        <f t="shared" si="0"/>
        <v>0</v>
      </c>
      <c r="D21">
        <f t="shared" si="1"/>
        <v>0.14000000000000001</v>
      </c>
      <c r="E21">
        <f t="shared" si="2"/>
        <v>0.11</v>
      </c>
      <c r="F21">
        <f t="shared" si="3"/>
        <v>0</v>
      </c>
      <c r="G21">
        <v>1</v>
      </c>
      <c r="H21">
        <f t="shared" si="8"/>
        <v>1.1400000000000001</v>
      </c>
      <c r="I21">
        <f t="shared" si="9"/>
        <v>0.92299999999999993</v>
      </c>
    </row>
    <row r="27" spans="1:10" x14ac:dyDescent="0.15">
      <c r="A27" s="8" t="s">
        <v>3</v>
      </c>
      <c r="B27" s="8" t="s">
        <v>442</v>
      </c>
      <c r="C27" s="8" t="s">
        <v>178</v>
      </c>
      <c r="D27" s="8" t="s">
        <v>0</v>
      </c>
    </row>
    <row r="28" spans="1:10" x14ac:dyDescent="0.15">
      <c r="A28">
        <v>2010</v>
      </c>
      <c r="B28">
        <v>4010</v>
      </c>
      <c r="C28">
        <v>14</v>
      </c>
      <c r="D28">
        <f>MOD(A28,1000)</f>
        <v>10</v>
      </c>
    </row>
    <row r="29" spans="1:10" x14ac:dyDescent="0.15">
      <c r="A29" t="s">
        <v>156</v>
      </c>
      <c r="B29" t="s">
        <v>95</v>
      </c>
      <c r="C29" t="s">
        <v>177</v>
      </c>
      <c r="D29" t="s">
        <v>143</v>
      </c>
      <c r="E29" t="s">
        <v>182</v>
      </c>
      <c r="F29" t="s">
        <v>192</v>
      </c>
      <c r="G29" t="s">
        <v>193</v>
      </c>
      <c r="H29" t="s">
        <v>176</v>
      </c>
      <c r="I29" t="s">
        <v>205</v>
      </c>
      <c r="J29" t="s">
        <v>206</v>
      </c>
    </row>
    <row r="30" spans="1:10" x14ac:dyDescent="0.15">
      <c r="A30">
        <v>25</v>
      </c>
      <c r="B30" t="s">
        <v>23</v>
      </c>
      <c r="C30">
        <v>1</v>
      </c>
      <c r="D30">
        <f>VLOOKUP(A30,技能参数,4,FALSE)</f>
        <v>2</v>
      </c>
      <c r="E30">
        <f>IFERROR(VLOOKUP(A30*1000+D28,学习等级编码,2),0)</f>
        <v>2501</v>
      </c>
      <c r="F30">
        <f t="shared" ref="F30:F32" si="10">IFERROR(INT(VLOOKUP($E30,技能升级,9,FALSE)*$C30*I30*J30),0)</f>
        <v>5000</v>
      </c>
      <c r="G30">
        <f t="shared" ref="G30:G33" si="11">IFERROR(INT(VLOOKUP($E30,技能升级,10,FALSE)*$C30*I30*J30),0)</f>
        <v>0</v>
      </c>
      <c r="H30">
        <f>INT(VLOOKUP($E30,技能升级,11,FALSE)*$C30*I30*J30)</f>
        <v>66</v>
      </c>
      <c r="I30">
        <v>1</v>
      </c>
      <c r="J30">
        <v>1</v>
      </c>
    </row>
    <row r="31" spans="1:10" x14ac:dyDescent="0.15">
      <c r="A31">
        <v>23</v>
      </c>
      <c r="B31" t="s">
        <v>24</v>
      </c>
      <c r="C31">
        <f>INT((C28-D31-D32*3)/(VLOOKUP(A31,技能参数,5,FALSE)+2*VLOOKUP(A31,技能参数,4,FALSE))+1)+1</f>
        <v>2</v>
      </c>
      <c r="D31">
        <f>VLOOKUP(A31,技能参数,4,FALSE)</f>
        <v>1</v>
      </c>
      <c r="E31">
        <f>IFERROR(VLOOKUP(A31*1000+D28,学习等级编码,2),0)</f>
        <v>2301</v>
      </c>
      <c r="F31">
        <f t="shared" si="10"/>
        <v>2000</v>
      </c>
      <c r="G31">
        <f t="shared" si="11"/>
        <v>0</v>
      </c>
      <c r="H31">
        <f>INT(VLOOKUP($E31,技能升级,11,FALSE)*$C31*I31*J31)</f>
        <v>44</v>
      </c>
      <c r="I31">
        <v>1</v>
      </c>
      <c r="J31">
        <v>1</v>
      </c>
    </row>
    <row r="32" spans="1:10" x14ac:dyDescent="0.15">
      <c r="A32">
        <v>22</v>
      </c>
      <c r="B32" t="s">
        <v>22</v>
      </c>
      <c r="C32">
        <f>INT((C28-C30*D30-C31*D31-C34)/D32)</f>
        <v>4</v>
      </c>
      <c r="D32">
        <f>VLOOKUP(A32,技能参数,4,FALSE)</f>
        <v>1.5</v>
      </c>
      <c r="E32">
        <f>IFERROR(VLOOKUP(A32*1000+D28,学习等级编码,2),0)</f>
        <v>2201</v>
      </c>
      <c r="F32">
        <f t="shared" si="10"/>
        <v>10800</v>
      </c>
      <c r="G32">
        <f t="shared" si="11"/>
        <v>0</v>
      </c>
      <c r="H32">
        <f>INT(VLOOKUP($E32,技能升级,11,FALSE)*$C32*I32*J32)</f>
        <v>200</v>
      </c>
      <c r="I32">
        <v>1</v>
      </c>
      <c r="J32">
        <f>VLOOKUP(A28,$A$2:$I$21,7,FALSE)</f>
        <v>1</v>
      </c>
    </row>
    <row r="33" spans="1:10" x14ac:dyDescent="0.15">
      <c r="A33">
        <v>21</v>
      </c>
      <c r="B33" t="s">
        <v>441</v>
      </c>
      <c r="C33">
        <f>INT((C28-C30*D30-C31*D31-C32*D32-C34)/D33)</f>
        <v>0</v>
      </c>
      <c r="D33">
        <f>VLOOKUP(A33,技能参数,4,FALSE)</f>
        <v>1</v>
      </c>
      <c r="E33">
        <f>IFERROR(VLOOKUP(A33*1000+D28,学习等级编码,2),0)</f>
        <v>2102</v>
      </c>
      <c r="F33">
        <f>IFERROR(INT(VLOOKUP($E33,技能升级,9,FALSE)*$C33*I33*J33),0)</f>
        <v>0</v>
      </c>
      <c r="G33">
        <f t="shared" si="11"/>
        <v>0</v>
      </c>
      <c r="H33">
        <f>INT(VLOOKUP($E33,技能升级,11,FALSE)*$C33*I33*J33)</f>
        <v>0</v>
      </c>
      <c r="I33">
        <v>1</v>
      </c>
      <c r="J33">
        <v>1</v>
      </c>
    </row>
    <row r="34" spans="1:10" x14ac:dyDescent="0.15">
      <c r="B34" t="s">
        <v>440</v>
      </c>
      <c r="C34">
        <f>D45</f>
        <v>4</v>
      </c>
    </row>
    <row r="35" spans="1:10" x14ac:dyDescent="0.15">
      <c r="E35" t="s">
        <v>194</v>
      </c>
      <c r="F35">
        <f>SUM(F30:F33)/1000</f>
        <v>17.8</v>
      </c>
      <c r="G35">
        <f>SUM(G30:G33)/1000</f>
        <v>0</v>
      </c>
      <c r="H35">
        <f>SUM(H30:H33)</f>
        <v>310</v>
      </c>
      <c r="I35" t="s">
        <v>196</v>
      </c>
      <c r="J35" t="s">
        <v>197</v>
      </c>
    </row>
    <row r="36" spans="1:10" x14ac:dyDescent="0.15">
      <c r="E36" t="s">
        <v>195</v>
      </c>
      <c r="F36">
        <f>INT((IF($A28&gt;10000,VLOOKUP($A28,实战属性,13,FALSE),VLOOKUP($A28,总基本属性,7,FALSE))-
IF($B28&gt;10000,VLOOKUP($B28,实战属性,15,FALSE),VLOOKUP($B28,总基本属性,9,FALSE))*$L$13)*F35)</f>
        <v>2972</v>
      </c>
      <c r="G36">
        <f>INT((IF($A28&gt;10000,VLOOKUP($A28,实战属性,14,FALSE),VLOOKUP($A28,总基本属性,8,FALSE))-
IF($B28&gt;10000,VLOOKUP($B28,实战属性,16,FALSE),VLOOKUP($B28,总基本属性,10,FALSE))*$L$13)*G35)</f>
        <v>0</v>
      </c>
      <c r="H36">
        <f>H35+F36+G36</f>
        <v>3282</v>
      </c>
      <c r="I36">
        <f>IF($B28&gt;10000,VLOOKUP($B28,实战属性,12,FALSE),VLOOKUP($B28,总基本属性,6,FALSE))+I46</f>
        <v>3300</v>
      </c>
      <c r="J36">
        <f>ROUND(I36/H36,2)</f>
        <v>1.01</v>
      </c>
    </row>
    <row r="40" spans="1:10" x14ac:dyDescent="0.15">
      <c r="A40" s="9" t="s">
        <v>5</v>
      </c>
      <c r="B40" s="9" t="s">
        <v>3</v>
      </c>
      <c r="C40" s="9" t="s">
        <v>178</v>
      </c>
      <c r="D40" s="9" t="s">
        <v>0</v>
      </c>
      <c r="G40" t="s">
        <v>445</v>
      </c>
      <c r="H40">
        <f>INT(I52/J52/C41)</f>
        <v>145</v>
      </c>
      <c r="I40" t="s">
        <v>446</v>
      </c>
      <c r="J40">
        <f>ROUND(I46/H40,1)</f>
        <v>4.8</v>
      </c>
    </row>
    <row r="41" spans="1:10" x14ac:dyDescent="0.15">
      <c r="A41">
        <v>4010</v>
      </c>
      <c r="B41">
        <v>2010</v>
      </c>
      <c r="C41">
        <v>24</v>
      </c>
      <c r="D41">
        <f>MOD(A41,1000)</f>
        <v>10</v>
      </c>
      <c r="G41" t="s">
        <v>447</v>
      </c>
      <c r="H41">
        <v>5</v>
      </c>
      <c r="I41" t="s">
        <v>383</v>
      </c>
      <c r="J41">
        <f>VLOOKUP(D41,召唤物生存,11)</f>
        <v>10.33</v>
      </c>
    </row>
    <row r="42" spans="1:10" x14ac:dyDescent="0.15">
      <c r="A42" t="s">
        <v>156</v>
      </c>
      <c r="B42" t="s">
        <v>95</v>
      </c>
      <c r="C42" t="s">
        <v>177</v>
      </c>
      <c r="D42" t="s">
        <v>143</v>
      </c>
      <c r="E42" t="s">
        <v>182</v>
      </c>
      <c r="F42" t="s">
        <v>192</v>
      </c>
      <c r="G42" t="s">
        <v>193</v>
      </c>
      <c r="H42" t="s">
        <v>176</v>
      </c>
      <c r="I42" t="s">
        <v>205</v>
      </c>
      <c r="J42" t="s">
        <v>206</v>
      </c>
    </row>
    <row r="43" spans="1:10" x14ac:dyDescent="0.15">
      <c r="A43">
        <v>42</v>
      </c>
      <c r="B43" t="s">
        <v>35</v>
      </c>
      <c r="C43">
        <v>1</v>
      </c>
      <c r="D43">
        <f>VLOOKUP(A43,技能参数,4,FALSE)</f>
        <v>1</v>
      </c>
      <c r="E43">
        <f>IFERROR(VLOOKUP(A43*1000+D41,学习等级编码,2),0)</f>
        <v>4201</v>
      </c>
      <c r="F43">
        <f>IFERROR(INT(VLOOKUP($E43,技能升级,9,FALSE)*$C43*I43*J43),0)</f>
        <v>0</v>
      </c>
      <c r="G43">
        <f>IFERROR(INT(VLOOKUP($E43,技能升级,10,FALSE)*$C43*I43*J43),0)</f>
        <v>0</v>
      </c>
      <c r="H43">
        <f>INT(VLOOKUP($E43,技能升级,11,FALSE)*$C43*I43*J43)</f>
        <v>0</v>
      </c>
      <c r="I43">
        <v>1</v>
      </c>
      <c r="J43">
        <v>1</v>
      </c>
    </row>
    <row r="44" spans="1:10" x14ac:dyDescent="0.15">
      <c r="A44">
        <v>43</v>
      </c>
      <c r="B44" t="s">
        <v>36</v>
      </c>
      <c r="C44">
        <v>1</v>
      </c>
      <c r="D44">
        <f>VLOOKUP(A44,技能参数,4,FALSE)</f>
        <v>1</v>
      </c>
      <c r="E44">
        <f>IFERROR(VLOOKUP(A44*1000+D41,学习等级编码,2),0)</f>
        <v>4301</v>
      </c>
      <c r="F44">
        <f t="shared" ref="F44" si="12">IFERROR(INT(VLOOKUP($E44,技能升级,9,FALSE)*$C44*I44*J44),0)</f>
        <v>0</v>
      </c>
      <c r="G44">
        <f t="shared" ref="G44" si="13">IFERROR(INT(VLOOKUP($E44,技能升级,10,FALSE)*$C44*I44*J44),0)</f>
        <v>0</v>
      </c>
      <c r="H44">
        <f>INT(VLOOKUP($E44,技能升级,11,FALSE)*$C44*I44*J44)</f>
        <v>0</v>
      </c>
      <c r="I44">
        <v>1</v>
      </c>
      <c r="J44">
        <v>1</v>
      </c>
    </row>
    <row r="45" spans="1:10" x14ac:dyDescent="0.15">
      <c r="A45">
        <v>44</v>
      </c>
      <c r="B45" t="s">
        <v>38</v>
      </c>
      <c r="C45">
        <v>1</v>
      </c>
      <c r="D45">
        <f>IFERROR(INT(VLOOKUP($E45,技能升级,13,FALSE)),0)</f>
        <v>4</v>
      </c>
      <c r="E45">
        <f>IFERROR(VLOOKUP(A45*1000+D41,学习等级编码,2),0)</f>
        <v>4401</v>
      </c>
      <c r="F45">
        <f>IFERROR(INT(VLOOKUP($E45,技能升级,9,FALSE)*$C45*I45*J45),0)</f>
        <v>0</v>
      </c>
      <c r="G45">
        <f>IFERROR(INT(VLOOKUP($E45,技能升级,10,FALSE)*$D45*I45*J45),0)</f>
        <v>6000</v>
      </c>
      <c r="H45">
        <f>INT(VLOOKUP($E45,技能升级,11,FALSE)*$D45*I45*J45)</f>
        <v>100</v>
      </c>
      <c r="I45">
        <v>1</v>
      </c>
      <c r="J45">
        <f>VLOOKUP(A41,$A$2:$I$21,8,FALSE)</f>
        <v>1</v>
      </c>
    </row>
    <row r="46" spans="1:10" x14ac:dyDescent="0.15">
      <c r="A46">
        <v>45</v>
      </c>
      <c r="B46" t="s">
        <v>37</v>
      </c>
      <c r="C46">
        <v>1</v>
      </c>
      <c r="D46">
        <f>VLOOKUP(A46,技能参数,4,FALSE)</f>
        <v>2</v>
      </c>
      <c r="E46">
        <f>IFERROR(VLOOKUP(A46*1000+D41,学习等级编码,2),0)</f>
        <v>4501</v>
      </c>
      <c r="F46">
        <f>IFERROR(INT(VLOOKUP($E46,技能升级,9,FALSE)*$C46*I46*J46),0)</f>
        <v>0</v>
      </c>
      <c r="G46">
        <f t="shared" ref="G46:G47" si="14">IFERROR(INT(VLOOKUP($E46,技能升级,10,FALSE)*$C46*I46*J46),0)</f>
        <v>0</v>
      </c>
      <c r="H46">
        <f>INT(VLOOKUP($E46,技能升级,11,FALSE)*$C46*I46*J46)</f>
        <v>0</v>
      </c>
      <c r="I46">
        <f>INT(VLOOKUP($E46,技能升级,13,FALSE)*$C46)</f>
        <v>690</v>
      </c>
      <c r="J46">
        <v>1</v>
      </c>
    </row>
    <row r="47" spans="1:10" x14ac:dyDescent="0.15">
      <c r="A47">
        <v>41</v>
      </c>
      <c r="B47" t="s">
        <v>361</v>
      </c>
      <c r="C47">
        <f>IF(INT((C41-C43*D43-C44*D44-C45*D45-C46*D46-C50)/D47)&gt;0,INT((C41-C43*D43-C44*D44-C45*D45-C46*D46-C50)/D47),0)</f>
        <v>9</v>
      </c>
      <c r="D47">
        <f>VLOOKUP(A47,技能参数,4,FALSE)</f>
        <v>1.2</v>
      </c>
      <c r="E47">
        <f>IFERROR(VLOOKUP(A47*1000+D41,学习等级编码,2),0)</f>
        <v>4102</v>
      </c>
      <c r="F47">
        <f>IFERROR(INT(VLOOKUP($E47,技能升级,9,FALSE)*$C47*I47*J47),0)</f>
        <v>0</v>
      </c>
      <c r="G47">
        <f t="shared" si="14"/>
        <v>9360</v>
      </c>
      <c r="H47">
        <f>INT(VLOOKUP($E47,技能升级,11,FALSE)*$C47*I47*J47)</f>
        <v>207</v>
      </c>
      <c r="I47">
        <v>1</v>
      </c>
      <c r="J47">
        <f>VLOOKUP(A41,$A$2:$I$21,8,FALSE)</f>
        <v>1</v>
      </c>
    </row>
    <row r="48" spans="1:10" x14ac:dyDescent="0.15">
      <c r="A48">
        <f>VLOOKUP(E43,技能升级,13,FALSE)</f>
        <v>101</v>
      </c>
      <c r="B48" t="s">
        <v>375</v>
      </c>
      <c r="C48">
        <f>IF(C41&lt;J41,C41+C41-H41,IF(C41&gt;J41+H41,J41+J41,J41+C41-H41))-C50*2</f>
        <v>10.66</v>
      </c>
      <c r="G48">
        <f>INT((VLOOKUP(A48,召唤物属性,7,FALSE)-
IF($B41&gt;10000,VLOOKUP($B41,实战属性,15,FALSE),VLOOKUP($B41,总基本属性,9,FALSE))*$L$13)*I48*J48)</f>
        <v>83</v>
      </c>
      <c r="I48">
        <f>VLOOKUP($E43,技能升级,14,FALSE)</f>
        <v>1</v>
      </c>
      <c r="J48">
        <v>1</v>
      </c>
    </row>
    <row r="49" spans="1:10" x14ac:dyDescent="0.15">
      <c r="A49">
        <f>VLOOKUP(E44,技能升级,13,FALSE)</f>
        <v>201</v>
      </c>
      <c r="B49" t="s">
        <v>374</v>
      </c>
      <c r="C49">
        <f>IF(C41&lt;J41,C41+C41-H41,IF(C41&gt;J41+H41,J41+J41,J41+C41-H41))-C50*2</f>
        <v>10.66</v>
      </c>
      <c r="F49">
        <f>INT((VLOOKUP(A49,召唤物属性,6,FALSE)-
IF($B41&gt;10000,VLOOKUP($B41,实战属性,15,FALSE),VLOOKUP($B41,总基本属性,9,FALSE))*$L$13)*I49*J49)</f>
        <v>66</v>
      </c>
      <c r="I49">
        <f>VLOOKUP($E44,技能升级,14,FALSE)</f>
        <v>2</v>
      </c>
      <c r="J49">
        <f>VLOOKUP(A41,$A$2:$I$21,9,FALSE)</f>
        <v>1</v>
      </c>
    </row>
    <row r="50" spans="1:10" x14ac:dyDescent="0.15">
      <c r="B50" t="s">
        <v>411</v>
      </c>
      <c r="C50">
        <f>C31*1.5+2</f>
        <v>5</v>
      </c>
    </row>
    <row r="51" spans="1:10" x14ac:dyDescent="0.15">
      <c r="E51" t="s">
        <v>194</v>
      </c>
      <c r="F51">
        <f>SUM(F43:F47)/1000</f>
        <v>0</v>
      </c>
      <c r="G51">
        <f>SUM(G43:G47)/1000</f>
        <v>15.36</v>
      </c>
      <c r="H51">
        <f>SUM(H43:H46)</f>
        <v>100</v>
      </c>
      <c r="I51" t="s">
        <v>196</v>
      </c>
      <c r="J51" t="s">
        <v>197</v>
      </c>
    </row>
    <row r="52" spans="1:10" x14ac:dyDescent="0.15">
      <c r="E52" t="s">
        <v>195</v>
      </c>
      <c r="F52">
        <f>INT((IF($A41&gt;10000,VLOOKUP($A41,实战属性,13,FALSE),VLOOKUP($A41,总基本属性,7,FALSE))-
IF($B41&gt;10000,VLOOKUP($B41,实战属性,15,FALSE),VLOOKUP($B41,总基本属性,9,FALSE))*$L$13)*F51)</f>
        <v>0</v>
      </c>
      <c r="G52">
        <f>INT((IF($A41&gt;10000,VLOOKUP($A41,实战属性,14,FALSE),VLOOKUP($A41,总基本属性,8,FALSE))-
IF($B41&gt;10000,VLOOKUP($B41,实战属性,16,FALSE),VLOOKUP($B41,总基本属性,10,FALSE))*$L$13)*G51)</f>
        <v>1781</v>
      </c>
      <c r="H52">
        <f>H51+F52+G52</f>
        <v>1881</v>
      </c>
      <c r="I52">
        <f>IF($B41&gt;10000,VLOOKUP($B41,实战属性,12,FALSE),VLOOKUP($B41,总基本属性,6,FALSE))</f>
        <v>3480</v>
      </c>
      <c r="J52">
        <f>ROUND(I52/H53,2)</f>
        <v>1</v>
      </c>
    </row>
    <row r="53" spans="1:10" x14ac:dyDescent="0.15">
      <c r="E53" t="s">
        <v>376</v>
      </c>
      <c r="F53">
        <f>INT(F49*C49)</f>
        <v>703</v>
      </c>
      <c r="G53">
        <f>INT(G48*C48)</f>
        <v>884</v>
      </c>
      <c r="H53">
        <f>F53+G53+H52</f>
        <v>3468</v>
      </c>
    </row>
    <row r="57" spans="1:10" x14ac:dyDescent="0.15">
      <c r="A57" s="8" t="s">
        <v>3</v>
      </c>
      <c r="B57" s="8" t="s">
        <v>442</v>
      </c>
      <c r="C57" s="8" t="s">
        <v>178</v>
      </c>
      <c r="D57" s="8" t="s">
        <v>0</v>
      </c>
    </row>
    <row r="58" spans="1:10" x14ac:dyDescent="0.15">
      <c r="A58">
        <f>A28+10</f>
        <v>2020</v>
      </c>
      <c r="B58">
        <f>B28+10</f>
        <v>4020</v>
      </c>
      <c r="C58">
        <v>14</v>
      </c>
      <c r="D58">
        <f>MOD(A58,1000)</f>
        <v>20</v>
      </c>
    </row>
    <row r="59" spans="1:10" x14ac:dyDescent="0.15">
      <c r="A59" t="s">
        <v>156</v>
      </c>
      <c r="B59" t="s">
        <v>95</v>
      </c>
      <c r="C59" t="s">
        <v>177</v>
      </c>
      <c r="D59" t="s">
        <v>143</v>
      </c>
      <c r="E59" t="s">
        <v>182</v>
      </c>
      <c r="F59" t="s">
        <v>192</v>
      </c>
      <c r="G59" t="s">
        <v>193</v>
      </c>
      <c r="H59" t="s">
        <v>176</v>
      </c>
      <c r="I59" t="s">
        <v>205</v>
      </c>
      <c r="J59" t="s">
        <v>206</v>
      </c>
    </row>
    <row r="60" spans="1:10" x14ac:dyDescent="0.15">
      <c r="A60">
        <v>25</v>
      </c>
      <c r="B60" t="s">
        <v>23</v>
      </c>
      <c r="C60">
        <v>1</v>
      </c>
      <c r="D60">
        <f>VLOOKUP(A60,技能参数,4,FALSE)</f>
        <v>2</v>
      </c>
      <c r="E60">
        <f>IFERROR(VLOOKUP(A60*1000+D58,学习等级编码,2),0)</f>
        <v>2501</v>
      </c>
      <c r="F60">
        <f t="shared" ref="F60:F62" si="15">IFERROR(INT(VLOOKUP($E60,技能升级,9,FALSE)*$C60*I60*J60),0)</f>
        <v>5000</v>
      </c>
      <c r="G60">
        <f t="shared" ref="G60:G63" si="16">IFERROR(INT(VLOOKUP($E60,技能升级,10,FALSE)*$C60*I60*J60),0)</f>
        <v>0</v>
      </c>
      <c r="H60">
        <f>INT(VLOOKUP($E60,技能升级,11,FALSE)*$C60*I60*J60)</f>
        <v>66</v>
      </c>
      <c r="I60">
        <v>1</v>
      </c>
      <c r="J60">
        <v>1</v>
      </c>
    </row>
    <row r="61" spans="1:10" x14ac:dyDescent="0.15">
      <c r="A61">
        <v>23</v>
      </c>
      <c r="B61" t="s">
        <v>24</v>
      </c>
      <c r="C61">
        <f>INT((C58-D61-D62*3)/(VLOOKUP(A61,技能参数,5,FALSE)+2*VLOOKUP(A61,技能参数,4,FALSE))+1)+1</f>
        <v>2</v>
      </c>
      <c r="D61">
        <f>VLOOKUP(A61,技能参数,4,FALSE)</f>
        <v>1</v>
      </c>
      <c r="E61">
        <f>IFERROR(VLOOKUP(A61*1000+D58,学习等级编码,2),0)</f>
        <v>2302</v>
      </c>
      <c r="F61">
        <f t="shared" si="15"/>
        <v>2060</v>
      </c>
      <c r="G61">
        <f t="shared" si="16"/>
        <v>0</v>
      </c>
      <c r="H61">
        <f>INT(VLOOKUP($E61,技能升级,11,FALSE)*$C61*I61*J61)</f>
        <v>80</v>
      </c>
      <c r="I61">
        <v>1</v>
      </c>
      <c r="J61">
        <v>1</v>
      </c>
    </row>
    <row r="62" spans="1:10" x14ac:dyDescent="0.15">
      <c r="A62">
        <v>22</v>
      </c>
      <c r="B62" t="s">
        <v>22</v>
      </c>
      <c r="C62">
        <f>INT((C58-C60*D60-C61*D61-C64)/D62)</f>
        <v>4</v>
      </c>
      <c r="D62">
        <f>VLOOKUP(A62,技能参数,4,FALSE)</f>
        <v>1.5</v>
      </c>
      <c r="E62">
        <f>IFERROR(VLOOKUP(A62*1000+D58,学习等级编码,2),0)</f>
        <v>2202</v>
      </c>
      <c r="F62">
        <f t="shared" si="15"/>
        <v>11040</v>
      </c>
      <c r="G62">
        <f t="shared" si="16"/>
        <v>0</v>
      </c>
      <c r="H62">
        <f>INT(VLOOKUP($E62,技能升级,11,FALSE)*$C62*I62*J62)</f>
        <v>256</v>
      </c>
      <c r="I62">
        <v>1</v>
      </c>
      <c r="J62">
        <f>VLOOKUP(A58,$A$2:$I$21,7,FALSE)</f>
        <v>1</v>
      </c>
    </row>
    <row r="63" spans="1:10" x14ac:dyDescent="0.15">
      <c r="A63">
        <v>21</v>
      </c>
      <c r="B63" t="s">
        <v>441</v>
      </c>
      <c r="C63">
        <f>INT((C58-C60*D60-C61*D61-C62*D62-C64)/D63)</f>
        <v>0</v>
      </c>
      <c r="D63">
        <f>VLOOKUP(A63,技能参数,4,FALSE)</f>
        <v>1</v>
      </c>
      <c r="E63">
        <f>IFERROR(VLOOKUP(A63*1000+D58,学习等级编码,2),0)</f>
        <v>2103</v>
      </c>
      <c r="F63">
        <f>IFERROR(INT(VLOOKUP($E63,技能升级,9,FALSE)*$C63*I63*J63),0)</f>
        <v>0</v>
      </c>
      <c r="G63">
        <f t="shared" si="16"/>
        <v>0</v>
      </c>
      <c r="H63">
        <f>INT(VLOOKUP($E63,技能升级,11,FALSE)*$C63*I63*J63)</f>
        <v>0</v>
      </c>
      <c r="I63">
        <v>1</v>
      </c>
      <c r="J63">
        <v>1</v>
      </c>
    </row>
    <row r="64" spans="1:10" x14ac:dyDescent="0.15">
      <c r="B64" t="s">
        <v>440</v>
      </c>
      <c r="C64">
        <f>D75</f>
        <v>4</v>
      </c>
    </row>
    <row r="65" spans="1:10" x14ac:dyDescent="0.15">
      <c r="E65" t="s">
        <v>194</v>
      </c>
      <c r="F65">
        <f>SUM(F60:F63)/1000</f>
        <v>18.100000000000001</v>
      </c>
      <c r="G65">
        <f>SUM(G60:G63)/1000</f>
        <v>0</v>
      </c>
      <c r="H65">
        <f>SUM(H60:H63)</f>
        <v>402</v>
      </c>
      <c r="I65" t="s">
        <v>196</v>
      </c>
      <c r="J65" t="s">
        <v>197</v>
      </c>
    </row>
    <row r="66" spans="1:10" x14ac:dyDescent="0.15">
      <c r="E66" t="s">
        <v>195</v>
      </c>
      <c r="F66">
        <f>INT((IF($A58&gt;10000,VLOOKUP($A58,实战属性,13,FALSE),VLOOKUP($A58,总基本属性,7,FALSE))-
IF($B58&gt;10000,VLOOKUP($B58,实战属性,15,FALSE),VLOOKUP($B58,总基本属性,9,FALSE))*$L$13)*F65)</f>
        <v>8135</v>
      </c>
      <c r="G66">
        <f>INT((IF($A58&gt;10000,VLOOKUP($A58,实战属性,14,FALSE),VLOOKUP($A58,总基本属性,8,FALSE))-
IF($B58&gt;10000,VLOOKUP($B58,实战属性,16,FALSE),VLOOKUP($B58,总基本属性,10,FALSE))*$L$13)*G65)</f>
        <v>0</v>
      </c>
      <c r="H66">
        <f>H65+F66+G66</f>
        <v>8537</v>
      </c>
      <c r="I66">
        <f>IF($B58&gt;10000,VLOOKUP($B58,实战属性,12,FALSE),VLOOKUP($B58,总基本属性,6,FALSE))+I76</f>
        <v>8520</v>
      </c>
      <c r="J66">
        <f>ROUND(I66/H66,2)</f>
        <v>1</v>
      </c>
    </row>
    <row r="70" spans="1:10" x14ac:dyDescent="0.15">
      <c r="A70" s="9" t="s">
        <v>5</v>
      </c>
      <c r="B70" s="9" t="s">
        <v>3</v>
      </c>
      <c r="C70" s="9" t="s">
        <v>178</v>
      </c>
      <c r="D70" s="9" t="s">
        <v>0</v>
      </c>
      <c r="G70" t="s">
        <v>445</v>
      </c>
      <c r="H70">
        <f>INT(I82/J82/C71)</f>
        <v>330</v>
      </c>
      <c r="I70" t="s">
        <v>446</v>
      </c>
      <c r="J70">
        <f>ROUND(I76/H70,1)</f>
        <v>2.1</v>
      </c>
    </row>
    <row r="71" spans="1:10" x14ac:dyDescent="0.15">
      <c r="A71">
        <f>A41+10</f>
        <v>4020</v>
      </c>
      <c r="B71">
        <f>B41+10</f>
        <v>2020</v>
      </c>
      <c r="C71">
        <v>31</v>
      </c>
      <c r="D71">
        <f>MOD(A71,1000)</f>
        <v>20</v>
      </c>
      <c r="G71" t="s">
        <v>447</v>
      </c>
      <c r="H71">
        <v>5</v>
      </c>
      <c r="I71" t="s">
        <v>383</v>
      </c>
      <c r="J71">
        <f>VLOOKUP(D71,召唤物生存,11)</f>
        <v>8.58</v>
      </c>
    </row>
    <row r="72" spans="1:10" x14ac:dyDescent="0.15">
      <c r="A72" t="s">
        <v>156</v>
      </c>
      <c r="B72" t="s">
        <v>95</v>
      </c>
      <c r="C72" t="s">
        <v>177</v>
      </c>
      <c r="D72" t="s">
        <v>143</v>
      </c>
      <c r="E72" t="s">
        <v>182</v>
      </c>
      <c r="F72" t="s">
        <v>192</v>
      </c>
      <c r="G72" t="s">
        <v>193</v>
      </c>
      <c r="H72" t="s">
        <v>176</v>
      </c>
      <c r="I72" t="s">
        <v>205</v>
      </c>
      <c r="J72" t="s">
        <v>206</v>
      </c>
    </row>
    <row r="73" spans="1:10" x14ac:dyDescent="0.15">
      <c r="A73">
        <v>42</v>
      </c>
      <c r="B73" t="s">
        <v>35</v>
      </c>
      <c r="C73">
        <v>1</v>
      </c>
      <c r="D73">
        <f>VLOOKUP(A73,技能参数,4,FALSE)</f>
        <v>1</v>
      </c>
      <c r="E73">
        <f>IFERROR(VLOOKUP(A73*1000+D71,学习等级编码,2),0)</f>
        <v>4202</v>
      </c>
      <c r="F73">
        <f>IFERROR(INT(VLOOKUP($E73,技能升级,9,FALSE)*$C73*I73*J73),0)</f>
        <v>0</v>
      </c>
      <c r="G73">
        <f>IFERROR(INT(VLOOKUP($E73,技能升级,10,FALSE)*$C73*I73*J73),0)</f>
        <v>0</v>
      </c>
      <c r="H73">
        <f>INT(VLOOKUP($E73,技能升级,11,FALSE)*$C73*I73*J73)</f>
        <v>0</v>
      </c>
      <c r="I73">
        <v>1</v>
      </c>
      <c r="J73">
        <v>1</v>
      </c>
    </row>
    <row r="74" spans="1:10" x14ac:dyDescent="0.15">
      <c r="A74">
        <v>43</v>
      </c>
      <c r="B74" t="s">
        <v>36</v>
      </c>
      <c r="C74">
        <v>1</v>
      </c>
      <c r="D74">
        <f>VLOOKUP(A74,技能参数,4,FALSE)</f>
        <v>1</v>
      </c>
      <c r="E74">
        <f>IFERROR(VLOOKUP(A74*1000+D71,学习等级编码,2),0)</f>
        <v>4302</v>
      </c>
      <c r="F74">
        <f t="shared" ref="F74" si="17">IFERROR(INT(VLOOKUP($E74,技能升级,9,FALSE)*$C74*I74*J74),0)</f>
        <v>0</v>
      </c>
      <c r="G74">
        <f t="shared" ref="G74" si="18">IFERROR(INT(VLOOKUP($E74,技能升级,10,FALSE)*$C74*I74*J74),0)</f>
        <v>0</v>
      </c>
      <c r="H74">
        <f>INT(VLOOKUP($E74,技能升级,11,FALSE)*$C74*I74*J74)</f>
        <v>0</v>
      </c>
      <c r="I74">
        <v>1</v>
      </c>
      <c r="J74">
        <v>1</v>
      </c>
    </row>
    <row r="75" spans="1:10" x14ac:dyDescent="0.15">
      <c r="A75">
        <v>44</v>
      </c>
      <c r="B75" t="s">
        <v>38</v>
      </c>
      <c r="C75">
        <v>1</v>
      </c>
      <c r="D75">
        <f>IFERROR(INT(VLOOKUP($E75,技能升级,13,FALSE)),0)</f>
        <v>4</v>
      </c>
      <c r="E75">
        <f>IFERROR(VLOOKUP(A75*1000+D71,学习等级编码,2),0)</f>
        <v>4402</v>
      </c>
      <c r="F75">
        <f>IFERROR(INT(VLOOKUP($E75,技能升级,9,FALSE)*$C75*I75*J75),0)</f>
        <v>0</v>
      </c>
      <c r="G75">
        <f>IFERROR(INT(VLOOKUP($E75,技能升级,10,FALSE)*$D75*I75*J75),0)</f>
        <v>6280</v>
      </c>
      <c r="H75">
        <f>INT(VLOOKUP($E75,技能升级,11,FALSE)*$D75*I75*J75)</f>
        <v>180</v>
      </c>
      <c r="I75">
        <v>1</v>
      </c>
      <c r="J75">
        <f>VLOOKUP(A71,$A$2:$I$21,8,FALSE)</f>
        <v>1</v>
      </c>
    </row>
    <row r="76" spans="1:10" x14ac:dyDescent="0.15">
      <c r="A76">
        <v>45</v>
      </c>
      <c r="B76" t="s">
        <v>37</v>
      </c>
      <c r="C76">
        <v>1</v>
      </c>
      <c r="D76">
        <f>VLOOKUP(A76,技能参数,4,FALSE)</f>
        <v>2</v>
      </c>
      <c r="E76">
        <f>IFERROR(VLOOKUP(A76*1000+D71,学习等级编码,2),0)</f>
        <v>4501</v>
      </c>
      <c r="F76">
        <f>IFERROR(INT(VLOOKUP($E76,技能升级,9,FALSE)*$C76*I76*J76),0)</f>
        <v>0</v>
      </c>
      <c r="G76">
        <f t="shared" ref="G76:G77" si="19">IFERROR(INT(VLOOKUP($E76,技能升级,10,FALSE)*$C76*I76*J76),0)</f>
        <v>0</v>
      </c>
      <c r="H76">
        <f>INT(VLOOKUP($E76,技能升级,11,FALSE)*$C76*I76*J76)</f>
        <v>0</v>
      </c>
      <c r="I76">
        <f>INT(VLOOKUP($E76,技能升级,13,FALSE)*$C76)</f>
        <v>690</v>
      </c>
      <c r="J76">
        <v>1</v>
      </c>
    </row>
    <row r="77" spans="1:10" x14ac:dyDescent="0.15">
      <c r="A77">
        <v>41</v>
      </c>
      <c r="B77" t="s">
        <v>361</v>
      </c>
      <c r="C77">
        <f>IF(INT((C71-C73*D73-C74*D74-C75*D75-C76*D76-C80)/D77)&gt;0,INT((C71-C73*D73-C74*D74-C75*D75-C76*D76-C80)/D77),0)</f>
        <v>15</v>
      </c>
      <c r="D77">
        <f>VLOOKUP(A77,技能参数,4,FALSE)</f>
        <v>1.2</v>
      </c>
      <c r="E77">
        <f>IFERROR(VLOOKUP(A77*1000+D71,学习等级编码,2),0)</f>
        <v>4103</v>
      </c>
      <c r="F77">
        <f>IFERROR(INT(VLOOKUP($E77,技能升级,9,FALSE)*$C77*I77*J77),0)</f>
        <v>0</v>
      </c>
      <c r="G77">
        <f t="shared" si="19"/>
        <v>16350</v>
      </c>
      <c r="H77">
        <f>INT(VLOOKUP($E77,技能升级,11,FALSE)*$C77*I77*J77)</f>
        <v>555</v>
      </c>
      <c r="I77">
        <v>1</v>
      </c>
      <c r="J77">
        <f>VLOOKUP(A71,$A$2:$I$21,8,FALSE)</f>
        <v>1</v>
      </c>
    </row>
    <row r="78" spans="1:10" x14ac:dyDescent="0.15">
      <c r="A78">
        <f>VLOOKUP(E73,技能升级,13,FALSE)</f>
        <v>102</v>
      </c>
      <c r="B78" t="s">
        <v>375</v>
      </c>
      <c r="C78">
        <f>IF(C71&lt;J71,C71+C71-H71,IF(C71&gt;J71+H71,J71+J71,J71+C71-H71))-C80*2</f>
        <v>7.16</v>
      </c>
      <c r="G78">
        <f>INT((VLOOKUP(A78,召唤物属性,7,FALSE)-
IF($B71&gt;10000,VLOOKUP($B71,实战属性,15,FALSE),VLOOKUP($B71,总基本属性,9,FALSE))*$L$13)*I78*J78)</f>
        <v>188</v>
      </c>
      <c r="I78">
        <f>VLOOKUP($E73,技能升级,14,FALSE)</f>
        <v>1</v>
      </c>
      <c r="J78">
        <v>1</v>
      </c>
    </row>
    <row r="79" spans="1:10" x14ac:dyDescent="0.15">
      <c r="A79">
        <f>VLOOKUP(E74,技能升级,13,FALSE)</f>
        <v>202</v>
      </c>
      <c r="B79" t="s">
        <v>374</v>
      </c>
      <c r="C79">
        <f>IF(C71&lt;J71,C71+C71-H71,IF(C71&gt;J71+H71,J71+J71,J71+C71-H71))-C80*2</f>
        <v>7.16</v>
      </c>
      <c r="F79">
        <f>INT((VLOOKUP(A79,召唤物属性,6,FALSE)-
IF($B71&gt;10000,VLOOKUP($B71,实战属性,15,FALSE),VLOOKUP($B71,总基本属性,9,FALSE))*$L$13)*I79*J79)</f>
        <v>256</v>
      </c>
      <c r="I79">
        <f>VLOOKUP($E74,技能升级,14,FALSE)</f>
        <v>2</v>
      </c>
      <c r="J79">
        <f>VLOOKUP(A71,$A$2:$I$21,9,FALSE)</f>
        <v>1</v>
      </c>
    </row>
    <row r="80" spans="1:10" x14ac:dyDescent="0.15">
      <c r="B80" t="s">
        <v>411</v>
      </c>
      <c r="C80">
        <f>C61*1.5+2</f>
        <v>5</v>
      </c>
    </row>
    <row r="81" spans="1:10" x14ac:dyDescent="0.15">
      <c r="E81" t="s">
        <v>194</v>
      </c>
      <c r="F81">
        <f>SUM(F73:F77)/1000</f>
        <v>0</v>
      </c>
      <c r="G81">
        <f>SUM(G73:G77)/1000</f>
        <v>22.63</v>
      </c>
      <c r="H81">
        <f>SUM(H73:H76)</f>
        <v>180</v>
      </c>
      <c r="I81" t="s">
        <v>196</v>
      </c>
      <c r="J81" t="s">
        <v>197</v>
      </c>
    </row>
    <row r="82" spans="1:10" x14ac:dyDescent="0.15">
      <c r="E82" t="s">
        <v>195</v>
      </c>
      <c r="F82">
        <f>INT((IF($A71&gt;10000,VLOOKUP($A71,实战属性,13,FALSE),VLOOKUP($A71,总基本属性,7,FALSE))-
IF($B71&gt;10000,VLOOKUP($B71,实战属性,15,FALSE),VLOOKUP($B71,总基本属性,9,FALSE))*$L$13)*F81)</f>
        <v>0</v>
      </c>
      <c r="G82">
        <f>INT((IF($A71&gt;10000,VLOOKUP($A71,实战属性,14,FALSE),VLOOKUP($A71,总基本属性,8,FALSE))-
IF($B71&gt;10000,VLOOKUP($B71,实战属性,16,FALSE),VLOOKUP($B71,总基本属性,10,FALSE))*$L$13)*G81)</f>
        <v>6879</v>
      </c>
      <c r="H82">
        <f>H81+F82+G82</f>
        <v>7059</v>
      </c>
      <c r="I82">
        <f>IF($B71&gt;10000,VLOOKUP($B71,实战属性,12,FALSE),VLOOKUP($B71,总基本属性,6,FALSE))</f>
        <v>10440</v>
      </c>
      <c r="J82">
        <f>ROUND(I82/H83,2)</f>
        <v>1.02</v>
      </c>
    </row>
    <row r="83" spans="1:10" x14ac:dyDescent="0.15">
      <c r="E83" t="s">
        <v>376</v>
      </c>
      <c r="F83">
        <f>INT(F79*C79)</f>
        <v>1832</v>
      </c>
      <c r="G83">
        <f>INT(G78*C78)</f>
        <v>1346</v>
      </c>
      <c r="H83">
        <f>F83+G83+H82</f>
        <v>10237</v>
      </c>
    </row>
    <row r="87" spans="1:10" x14ac:dyDescent="0.15">
      <c r="A87" s="8" t="s">
        <v>3</v>
      </c>
      <c r="B87" s="8" t="s">
        <v>442</v>
      </c>
      <c r="C87" s="8" t="s">
        <v>178</v>
      </c>
      <c r="D87" s="8" t="s">
        <v>0</v>
      </c>
    </row>
    <row r="88" spans="1:10" x14ac:dyDescent="0.15">
      <c r="A88">
        <f>A58+10</f>
        <v>2030</v>
      </c>
      <c r="B88">
        <f>B58+10</f>
        <v>4030</v>
      </c>
      <c r="C88">
        <v>15</v>
      </c>
      <c r="D88">
        <f>MOD(A88,1000)</f>
        <v>30</v>
      </c>
    </row>
    <row r="89" spans="1:10" x14ac:dyDescent="0.15">
      <c r="A89" t="s">
        <v>156</v>
      </c>
      <c r="B89" t="s">
        <v>95</v>
      </c>
      <c r="C89" t="s">
        <v>177</v>
      </c>
      <c r="D89" t="s">
        <v>143</v>
      </c>
      <c r="E89" t="s">
        <v>182</v>
      </c>
      <c r="F89" t="s">
        <v>192</v>
      </c>
      <c r="G89" t="s">
        <v>193</v>
      </c>
      <c r="H89" t="s">
        <v>176</v>
      </c>
      <c r="I89" t="s">
        <v>205</v>
      </c>
      <c r="J89" t="s">
        <v>206</v>
      </c>
    </row>
    <row r="90" spans="1:10" x14ac:dyDescent="0.15">
      <c r="A90">
        <v>25</v>
      </c>
      <c r="B90" t="s">
        <v>23</v>
      </c>
      <c r="C90">
        <v>1</v>
      </c>
      <c r="D90">
        <f>VLOOKUP(A90,技能参数,4,FALSE)</f>
        <v>2</v>
      </c>
      <c r="E90">
        <f>IFERROR(VLOOKUP(A90*1000+D88,学习等级编码,2),0)</f>
        <v>2502</v>
      </c>
      <c r="F90">
        <f t="shared" ref="F90:F92" si="20">IFERROR(INT(VLOOKUP($E90,技能升级,9,FALSE)*$C90*I90*J90),0)</f>
        <v>5250</v>
      </c>
      <c r="G90">
        <f t="shared" ref="G90:G93" si="21">IFERROR(INT(VLOOKUP($E90,技能升级,10,FALSE)*$C90*I90*J90),0)</f>
        <v>0</v>
      </c>
      <c r="H90">
        <f>INT(VLOOKUP($E90,技能升级,11,FALSE)*$C90*I90*J90)</f>
        <v>103</v>
      </c>
      <c r="I90">
        <v>1</v>
      </c>
      <c r="J90">
        <v>1</v>
      </c>
    </row>
    <row r="91" spans="1:10" x14ac:dyDescent="0.15">
      <c r="A91">
        <v>23</v>
      </c>
      <c r="B91" t="s">
        <v>24</v>
      </c>
      <c r="C91">
        <f>INT((C88-D91-D92*3)/(VLOOKUP(A91,技能参数,5,FALSE)+2*VLOOKUP(A91,技能参数,4,FALSE))+1)+1</f>
        <v>2</v>
      </c>
      <c r="D91">
        <f>VLOOKUP(A91,技能参数,4,FALSE)</f>
        <v>1</v>
      </c>
      <c r="E91">
        <f>IFERROR(VLOOKUP(A91*1000+D88,学习等级编码,2),0)</f>
        <v>2303</v>
      </c>
      <c r="F91">
        <f t="shared" si="20"/>
        <v>2140</v>
      </c>
      <c r="G91">
        <f t="shared" si="21"/>
        <v>0</v>
      </c>
      <c r="H91">
        <f>INT(VLOOKUP($E91,技能升级,11,FALSE)*$C91*I91*J91)</f>
        <v>142</v>
      </c>
      <c r="I91">
        <v>1</v>
      </c>
      <c r="J91">
        <v>1</v>
      </c>
    </row>
    <row r="92" spans="1:10" x14ac:dyDescent="0.15">
      <c r="A92">
        <v>22</v>
      </c>
      <c r="B92" t="s">
        <v>22</v>
      </c>
      <c r="C92">
        <f>INT((C88-C90*D90-C91*D91-C94)/D92)</f>
        <v>4</v>
      </c>
      <c r="D92">
        <f>VLOOKUP(A92,技能参数,4,FALSE)</f>
        <v>1.5</v>
      </c>
      <c r="E92">
        <f>IFERROR(VLOOKUP(A92*1000+D88,学习等级编码,2),0)</f>
        <v>2203</v>
      </c>
      <c r="F92">
        <f t="shared" si="20"/>
        <v>11280</v>
      </c>
      <c r="G92">
        <f t="shared" si="21"/>
        <v>0</v>
      </c>
      <c r="H92">
        <f>INT(VLOOKUP($E92,技能升级,11,FALSE)*$C92*I92*J92)</f>
        <v>372</v>
      </c>
      <c r="I92">
        <v>1</v>
      </c>
      <c r="J92">
        <f>VLOOKUP(A88,$A$2:$I$21,7,FALSE)</f>
        <v>1</v>
      </c>
    </row>
    <row r="93" spans="1:10" x14ac:dyDescent="0.15">
      <c r="A93">
        <v>21</v>
      </c>
      <c r="B93" t="s">
        <v>441</v>
      </c>
      <c r="C93">
        <f>INT((C88-C90*D90-C91*D91-C92*D92-C94)/D93)</f>
        <v>1</v>
      </c>
      <c r="D93">
        <f>VLOOKUP(A93,技能参数,4,FALSE)</f>
        <v>1</v>
      </c>
      <c r="E93">
        <f>IFERROR(VLOOKUP(A93*1000+D88,学习等级编码,2),0)</f>
        <v>2105</v>
      </c>
      <c r="F93">
        <f>IFERROR(INT(VLOOKUP($E93,技能升级,9,FALSE)*$C93*I93*J93),0)</f>
        <v>1140</v>
      </c>
      <c r="G93">
        <f t="shared" si="21"/>
        <v>0</v>
      </c>
      <c r="H93">
        <f>INT(VLOOKUP($E93,技能升级,11,FALSE)*$C93*I93*J93)</f>
        <v>88</v>
      </c>
      <c r="I93">
        <v>1</v>
      </c>
      <c r="J93">
        <v>1</v>
      </c>
    </row>
    <row r="94" spans="1:10" x14ac:dyDescent="0.15">
      <c r="B94" t="s">
        <v>440</v>
      </c>
      <c r="C94">
        <f>D105</f>
        <v>4</v>
      </c>
    </row>
    <row r="95" spans="1:10" x14ac:dyDescent="0.15">
      <c r="E95" t="s">
        <v>194</v>
      </c>
      <c r="F95">
        <f>SUM(F90:F93)/1000</f>
        <v>19.809999999999999</v>
      </c>
      <c r="G95">
        <f>SUM(G90:G93)/1000</f>
        <v>0</v>
      </c>
      <c r="H95">
        <f>SUM(H90:H93)</f>
        <v>705</v>
      </c>
      <c r="I95" t="s">
        <v>196</v>
      </c>
      <c r="J95" t="s">
        <v>197</v>
      </c>
    </row>
    <row r="96" spans="1:10" x14ac:dyDescent="0.15">
      <c r="E96" t="s">
        <v>195</v>
      </c>
      <c r="F96">
        <f>INT((IF($A88&gt;10000,VLOOKUP($A88,实战属性,13,FALSE),VLOOKUP($A88,总基本属性,7,FALSE))-
IF($B88&gt;10000,VLOOKUP($B88,实战属性,15,FALSE),VLOOKUP($B88,总基本属性,9,FALSE))*$L$13)*F95)</f>
        <v>17403</v>
      </c>
      <c r="G96">
        <f>INT((IF($A88&gt;10000,VLOOKUP($A88,实战属性,14,FALSE),VLOOKUP($A88,总基本属性,8,FALSE))-
IF($B88&gt;10000,VLOOKUP($B88,实战属性,16,FALSE),VLOOKUP($B88,总基本属性,10,FALSE))*$L$13)*G95)</f>
        <v>0</v>
      </c>
      <c r="H96">
        <f>H95+F96+G96</f>
        <v>18108</v>
      </c>
      <c r="I96">
        <f>IF($B88&gt;10000,VLOOKUP($B88,实战属性,12,FALSE),VLOOKUP($B88,总基本属性,6,FALSE))+I106</f>
        <v>18276</v>
      </c>
      <c r="J96">
        <f>ROUND(I96/H96,2)</f>
        <v>1.01</v>
      </c>
    </row>
    <row r="100" spans="1:10" x14ac:dyDescent="0.15">
      <c r="A100" s="9" t="s">
        <v>5</v>
      </c>
      <c r="B100" s="9" t="s">
        <v>3</v>
      </c>
      <c r="C100" s="9" t="s">
        <v>178</v>
      </c>
      <c r="D100" s="9" t="s">
        <v>0</v>
      </c>
      <c r="G100" t="s">
        <v>445</v>
      </c>
      <c r="H100">
        <f>INT(I112/J112/C101)</f>
        <v>695</v>
      </c>
      <c r="I100" t="s">
        <v>446</v>
      </c>
      <c r="J100">
        <f>ROUND(I106/H100,1)</f>
        <v>3.1</v>
      </c>
    </row>
    <row r="101" spans="1:10" x14ac:dyDescent="0.15">
      <c r="A101">
        <f>A71+10</f>
        <v>4030</v>
      </c>
      <c r="B101">
        <f>B71+10</f>
        <v>2030</v>
      </c>
      <c r="C101">
        <v>30</v>
      </c>
      <c r="D101">
        <f>MOD(A101,1000)</f>
        <v>30</v>
      </c>
      <c r="G101" t="s">
        <v>447</v>
      </c>
      <c r="H101">
        <v>5</v>
      </c>
      <c r="I101" t="s">
        <v>383</v>
      </c>
      <c r="J101">
        <f>VLOOKUP(D101,召唤物生存,11)</f>
        <v>9.2200000000000006</v>
      </c>
    </row>
    <row r="102" spans="1:10" x14ac:dyDescent="0.15">
      <c r="A102" t="s">
        <v>156</v>
      </c>
      <c r="B102" t="s">
        <v>95</v>
      </c>
      <c r="C102" t="s">
        <v>177</v>
      </c>
      <c r="D102" t="s">
        <v>143</v>
      </c>
      <c r="E102" t="s">
        <v>182</v>
      </c>
      <c r="F102" t="s">
        <v>192</v>
      </c>
      <c r="G102" t="s">
        <v>193</v>
      </c>
      <c r="H102" t="s">
        <v>176</v>
      </c>
      <c r="I102" t="s">
        <v>205</v>
      </c>
      <c r="J102" t="s">
        <v>206</v>
      </c>
    </row>
    <row r="103" spans="1:10" x14ac:dyDescent="0.15">
      <c r="A103">
        <v>42</v>
      </c>
      <c r="B103" t="s">
        <v>35</v>
      </c>
      <c r="C103">
        <v>1</v>
      </c>
      <c r="D103">
        <f>VLOOKUP(A103,技能参数,4,FALSE)</f>
        <v>1</v>
      </c>
      <c r="E103">
        <f>IFERROR(VLOOKUP(A103*1000+D101,学习等级编码,2),0)</f>
        <v>4203</v>
      </c>
      <c r="F103">
        <f>IFERROR(INT(VLOOKUP($E103,技能升级,9,FALSE)*$C103*I103*J103),0)</f>
        <v>0</v>
      </c>
      <c r="G103">
        <f>IFERROR(INT(VLOOKUP($E103,技能升级,10,FALSE)*$C103*I103*J103),0)</f>
        <v>0</v>
      </c>
      <c r="H103">
        <f>INT(VLOOKUP($E103,技能升级,11,FALSE)*$C103*I103*J103)</f>
        <v>0</v>
      </c>
      <c r="I103">
        <v>1</v>
      </c>
      <c r="J103">
        <v>1</v>
      </c>
    </row>
    <row r="104" spans="1:10" x14ac:dyDescent="0.15">
      <c r="A104">
        <v>43</v>
      </c>
      <c r="B104" t="s">
        <v>36</v>
      </c>
      <c r="C104">
        <v>1</v>
      </c>
      <c r="D104">
        <f>VLOOKUP(A104,技能参数,4,FALSE)</f>
        <v>1</v>
      </c>
      <c r="E104">
        <f>IFERROR(VLOOKUP(A104*1000+D101,学习等级编码,2),0)</f>
        <v>4303</v>
      </c>
      <c r="F104">
        <f t="shared" ref="F104" si="22">IFERROR(INT(VLOOKUP($E104,技能升级,9,FALSE)*$C104*I104*J104),0)</f>
        <v>0</v>
      </c>
      <c r="G104">
        <f t="shared" ref="G104" si="23">IFERROR(INT(VLOOKUP($E104,技能升级,10,FALSE)*$C104*I104*J104),0)</f>
        <v>0</v>
      </c>
      <c r="H104">
        <f>INT(VLOOKUP($E104,技能升级,11,FALSE)*$C104*I104*J104)</f>
        <v>0</v>
      </c>
      <c r="I104">
        <v>1</v>
      </c>
      <c r="J104">
        <v>1</v>
      </c>
    </row>
    <row r="105" spans="1:10" x14ac:dyDescent="0.15">
      <c r="A105">
        <v>44</v>
      </c>
      <c r="B105" t="s">
        <v>38</v>
      </c>
      <c r="C105">
        <v>1</v>
      </c>
      <c r="D105">
        <f>IFERROR(INT(VLOOKUP($E105,技能升级,13,FALSE)),0)</f>
        <v>4</v>
      </c>
      <c r="E105">
        <f>IFERROR(VLOOKUP(A105*1000+D101,学习等级编码,2),0)</f>
        <v>4403</v>
      </c>
      <c r="F105">
        <f>IFERROR(INT(VLOOKUP($E105,技能升级,9,FALSE)*$C105*I105*J105),0)</f>
        <v>0</v>
      </c>
      <c r="G105">
        <f>IFERROR(INT(VLOOKUP($E105,技能升级,10,FALSE)*$D105*I105*J105),0)</f>
        <v>6520</v>
      </c>
      <c r="H105">
        <f>INT(VLOOKUP($E105,技能升级,11,FALSE)*$D105*I105*J105)</f>
        <v>320</v>
      </c>
      <c r="I105">
        <v>1</v>
      </c>
      <c r="J105">
        <f>VLOOKUP(A101,$A$2:$I$21,8,FALSE)</f>
        <v>1</v>
      </c>
    </row>
    <row r="106" spans="1:10" x14ac:dyDescent="0.15">
      <c r="A106">
        <v>45</v>
      </c>
      <c r="B106" t="s">
        <v>37</v>
      </c>
      <c r="C106">
        <v>1</v>
      </c>
      <c r="D106">
        <f>VLOOKUP(A106,技能参数,4,FALSE)</f>
        <v>2</v>
      </c>
      <c r="E106">
        <f>IFERROR(VLOOKUP(A106*1000+D101,学习等级编码,2),0)</f>
        <v>4502</v>
      </c>
      <c r="F106">
        <f>IFERROR(INT(VLOOKUP($E106,技能升级,9,FALSE)*$C106*I106*J106),0)</f>
        <v>0</v>
      </c>
      <c r="G106">
        <f t="shared" ref="G106:G107" si="24">IFERROR(INT(VLOOKUP($E106,技能升级,10,FALSE)*$C106*I106*J106),0)</f>
        <v>0</v>
      </c>
      <c r="H106">
        <f>INT(VLOOKUP($E106,技能升级,11,FALSE)*$C106*I106*J106)</f>
        <v>0</v>
      </c>
      <c r="I106">
        <f>INT(VLOOKUP($E106,技能升级,13,FALSE)*$C106)</f>
        <v>2166</v>
      </c>
      <c r="J106">
        <v>1</v>
      </c>
    </row>
    <row r="107" spans="1:10" x14ac:dyDescent="0.15">
      <c r="A107">
        <v>41</v>
      </c>
      <c r="B107" t="s">
        <v>361</v>
      </c>
      <c r="C107">
        <f>IF(INT((C101-C103*D103-C104*D104-C105*D105-C106*D106-C110)/D107)&gt;0,INT((C101-C103*D103-C104*D104-C105*D105-C106*D106-C110)/D107),0)</f>
        <v>14</v>
      </c>
      <c r="D107">
        <f>VLOOKUP(A107,技能参数,4,FALSE)</f>
        <v>1.2</v>
      </c>
      <c r="E107">
        <f>IFERROR(VLOOKUP(A107*1000+D101,学习等级编码,2),0)</f>
        <v>4105</v>
      </c>
      <c r="F107">
        <f>IFERROR(INT(VLOOKUP($E107,技能升级,9,FALSE)*$C107*I107*J107),0)</f>
        <v>0</v>
      </c>
      <c r="G107">
        <f t="shared" si="24"/>
        <v>16380</v>
      </c>
      <c r="H107">
        <f>INT(VLOOKUP($E107,技能升级,11,FALSE)*$C107*I107*J107)</f>
        <v>1232</v>
      </c>
      <c r="I107">
        <v>1</v>
      </c>
      <c r="J107">
        <f>VLOOKUP(A101,$A$2:$I$21,8,FALSE)</f>
        <v>1</v>
      </c>
    </row>
    <row r="108" spans="1:10" x14ac:dyDescent="0.15">
      <c r="A108">
        <f>VLOOKUP(E103,技能升级,13,FALSE)</f>
        <v>103</v>
      </c>
      <c r="B108" t="s">
        <v>375</v>
      </c>
      <c r="C108">
        <f>IF(C101&lt;J101,C101+C101-H101,IF(C101&gt;J101+H101,J101+J101,J101+C101-H101))-C110*2</f>
        <v>8.4400000000000013</v>
      </c>
      <c r="G108">
        <f>INT((VLOOKUP(A108,召唤物属性,7,FALSE)-
IF($B101&gt;10000,VLOOKUP($B101,实战属性,15,FALSE),VLOOKUP($B101,总基本属性,9,FALSE))*$L$13)*I108*J108)</f>
        <v>296</v>
      </c>
      <c r="I108">
        <f>VLOOKUP($E103,技能升级,14,FALSE)</f>
        <v>1</v>
      </c>
      <c r="J108">
        <v>1</v>
      </c>
    </row>
    <row r="109" spans="1:10" x14ac:dyDescent="0.15">
      <c r="A109">
        <f>VLOOKUP(E104,技能升级,13,FALSE)</f>
        <v>203</v>
      </c>
      <c r="B109" t="s">
        <v>374</v>
      </c>
      <c r="C109">
        <f>IF(C101&lt;J101,C101+C101-H101,IF(C101&gt;J101+H101,J101+J101,J101+C101-H101))-C110*2</f>
        <v>8.4400000000000013</v>
      </c>
      <c r="F109">
        <f>INT((VLOOKUP(A109,召唤物属性,6,FALSE)-
IF($B101&gt;10000,VLOOKUP($B101,实战属性,15,FALSE),VLOOKUP($B101,总基本属性,9,FALSE))*$L$13)*I109*J109)</f>
        <v>529</v>
      </c>
      <c r="I109">
        <f>VLOOKUP($E104,技能升级,14,FALSE)</f>
        <v>3</v>
      </c>
      <c r="J109">
        <f>VLOOKUP(A101,$A$2:$I$21,9,FALSE)</f>
        <v>1</v>
      </c>
    </row>
    <row r="110" spans="1:10" x14ac:dyDescent="0.15">
      <c r="B110" t="s">
        <v>411</v>
      </c>
      <c r="C110">
        <f>C91*1.5+2</f>
        <v>5</v>
      </c>
    </row>
    <row r="111" spans="1:10" x14ac:dyDescent="0.15">
      <c r="E111" t="s">
        <v>194</v>
      </c>
      <c r="F111">
        <f>SUM(F103:F107)/1000</f>
        <v>0</v>
      </c>
      <c r="G111">
        <f>SUM(G103:G107)/1000</f>
        <v>22.9</v>
      </c>
      <c r="H111">
        <f>SUM(H103:H106)</f>
        <v>320</v>
      </c>
      <c r="I111" t="s">
        <v>196</v>
      </c>
      <c r="J111" t="s">
        <v>197</v>
      </c>
    </row>
    <row r="112" spans="1:10" x14ac:dyDescent="0.15">
      <c r="E112" t="s">
        <v>195</v>
      </c>
      <c r="F112">
        <f>INT((IF($A101&gt;10000,VLOOKUP($A101,实战属性,13,FALSE),VLOOKUP($A101,总基本属性,7,FALSE))-
IF($B101&gt;10000,VLOOKUP($B101,实战属性,15,FALSE),VLOOKUP($B101,总基本属性,9,FALSE))*$L$13)*F111)</f>
        <v>0</v>
      </c>
      <c r="G112">
        <f>INT((IF($A101&gt;10000,VLOOKUP($A101,实战属性,14,FALSE),VLOOKUP($A101,总基本属性,8,FALSE))-
IF($B101&gt;10000,VLOOKUP($B101,实战属性,16,FALSE),VLOOKUP($B101,总基本属性,10,FALSE))*$L$13)*G111)</f>
        <v>13602</v>
      </c>
      <c r="H112">
        <f>H111+F112+G112</f>
        <v>13922</v>
      </c>
      <c r="I112">
        <f>IF($B101&gt;10000,VLOOKUP($B101,实战属性,12,FALSE),VLOOKUP($B101,总基本属性,6,FALSE))</f>
        <v>21480</v>
      </c>
      <c r="J112">
        <f>ROUND(I112/H113,2)</f>
        <v>1.03</v>
      </c>
    </row>
    <row r="113" spans="1:10" x14ac:dyDescent="0.15">
      <c r="E113" t="s">
        <v>376</v>
      </c>
      <c r="F113">
        <f>INT(F109*C109)</f>
        <v>4464</v>
      </c>
      <c r="G113">
        <f>INT(G108*C108)</f>
        <v>2498</v>
      </c>
      <c r="H113">
        <f>F113+G113+H112</f>
        <v>20884</v>
      </c>
    </row>
    <row r="117" spans="1:10" x14ac:dyDescent="0.15">
      <c r="A117" s="8" t="s">
        <v>3</v>
      </c>
      <c r="B117" s="8" t="s">
        <v>442</v>
      </c>
      <c r="C117" s="8" t="s">
        <v>178</v>
      </c>
      <c r="D117" s="8" t="s">
        <v>0</v>
      </c>
    </row>
    <row r="118" spans="1:10" x14ac:dyDescent="0.15">
      <c r="A118">
        <f>A88+10</f>
        <v>2040</v>
      </c>
      <c r="B118">
        <f>B88+10</f>
        <v>4040</v>
      </c>
      <c r="C118">
        <v>15</v>
      </c>
      <c r="D118">
        <f>MOD(A118,1000)</f>
        <v>40</v>
      </c>
    </row>
    <row r="119" spans="1:10" x14ac:dyDescent="0.15">
      <c r="A119" t="s">
        <v>156</v>
      </c>
      <c r="B119" t="s">
        <v>95</v>
      </c>
      <c r="C119" t="s">
        <v>177</v>
      </c>
      <c r="D119" t="s">
        <v>143</v>
      </c>
      <c r="E119" t="s">
        <v>182</v>
      </c>
      <c r="F119" t="s">
        <v>192</v>
      </c>
      <c r="G119" t="s">
        <v>193</v>
      </c>
      <c r="H119" t="s">
        <v>176</v>
      </c>
      <c r="I119" t="s">
        <v>205</v>
      </c>
      <c r="J119" t="s">
        <v>206</v>
      </c>
    </row>
    <row r="120" spans="1:10" x14ac:dyDescent="0.15">
      <c r="A120">
        <v>25</v>
      </c>
      <c r="B120" t="s">
        <v>23</v>
      </c>
      <c r="C120">
        <v>1</v>
      </c>
      <c r="D120">
        <f>VLOOKUP(A120,技能参数,4,FALSE)</f>
        <v>2</v>
      </c>
      <c r="E120">
        <f>IFERROR(VLOOKUP(A120*1000+D118,学习等级编码,2),0)</f>
        <v>2503</v>
      </c>
      <c r="F120">
        <f t="shared" ref="F120:F122" si="25">IFERROR(INT(VLOOKUP($E120,技能升级,9,FALSE)*$C120*I120*J120),0)</f>
        <v>5500</v>
      </c>
      <c r="G120">
        <f t="shared" ref="G120:G123" si="26">IFERROR(INT(VLOOKUP($E120,技能升级,10,FALSE)*$C120*I120*J120),0)</f>
        <v>0</v>
      </c>
      <c r="H120">
        <f>INT(VLOOKUP($E120,技能升级,11,FALSE)*$C120*I120*J120)</f>
        <v>181</v>
      </c>
      <c r="I120">
        <v>1</v>
      </c>
      <c r="J120">
        <v>1</v>
      </c>
    </row>
    <row r="121" spans="1:10" x14ac:dyDescent="0.15">
      <c r="A121">
        <v>23</v>
      </c>
      <c r="B121" t="s">
        <v>24</v>
      </c>
      <c r="C121">
        <f>INT((C118-D121-D122*3)/(VLOOKUP(A121,技能参数,5,FALSE)+2*VLOOKUP(A121,技能参数,4,FALSE))+1)+1</f>
        <v>2</v>
      </c>
      <c r="D121">
        <f>VLOOKUP(A121,技能参数,4,FALSE)</f>
        <v>1</v>
      </c>
      <c r="E121">
        <f>IFERROR(VLOOKUP(A121*1000+D118,学习等级编码,2),0)</f>
        <v>2304</v>
      </c>
      <c r="F121">
        <f t="shared" si="25"/>
        <v>2200</v>
      </c>
      <c r="G121">
        <f t="shared" si="26"/>
        <v>0</v>
      </c>
      <c r="H121">
        <f>INT(VLOOKUP($E121,技能升级,11,FALSE)*$C121*I121*J121)</f>
        <v>238</v>
      </c>
      <c r="I121">
        <v>1</v>
      </c>
      <c r="J121">
        <v>1</v>
      </c>
    </row>
    <row r="122" spans="1:10" x14ac:dyDescent="0.15">
      <c r="A122">
        <v>22</v>
      </c>
      <c r="B122" t="s">
        <v>22</v>
      </c>
      <c r="C122">
        <f>INT((C118-C120*D120-C121*D121-C124)/D122)</f>
        <v>4</v>
      </c>
      <c r="D122">
        <f>VLOOKUP(A122,技能参数,4,FALSE)</f>
        <v>1.5</v>
      </c>
      <c r="E122">
        <f>IFERROR(VLOOKUP(A122*1000+D118,学习等级编码,2),0)</f>
        <v>2204</v>
      </c>
      <c r="F122">
        <f t="shared" si="25"/>
        <v>11520</v>
      </c>
      <c r="G122">
        <f t="shared" si="26"/>
        <v>0</v>
      </c>
      <c r="H122">
        <f>INT(VLOOKUP($E122,技能升级,11,FALSE)*$C122*I122*J122)</f>
        <v>548</v>
      </c>
      <c r="I122">
        <v>1</v>
      </c>
      <c r="J122">
        <f>VLOOKUP(A118,$A$2:$I$21,7,FALSE)</f>
        <v>1</v>
      </c>
    </row>
    <row r="123" spans="1:10" x14ac:dyDescent="0.15">
      <c r="A123">
        <v>21</v>
      </c>
      <c r="B123" t="s">
        <v>441</v>
      </c>
      <c r="C123">
        <f>INT((C118-C120*D120-C121*D121-C122*D122-C124)/D123)</f>
        <v>1</v>
      </c>
      <c r="D123">
        <f>VLOOKUP(A123,技能参数,4,FALSE)</f>
        <v>1</v>
      </c>
      <c r="E123">
        <f>IFERROR(VLOOKUP(A123*1000+D118,学习等级编码,2),0)</f>
        <v>2106</v>
      </c>
      <c r="F123">
        <f>IFERROR(INT(VLOOKUP($E123,技能升级,9,FALSE)*$C123*I123*J123),0)</f>
        <v>1180</v>
      </c>
      <c r="G123">
        <f t="shared" si="26"/>
        <v>0</v>
      </c>
      <c r="H123">
        <f>INT(VLOOKUP($E123,技能升级,11,FALSE)*$C123*I123*J123)</f>
        <v>125</v>
      </c>
      <c r="I123">
        <v>1</v>
      </c>
      <c r="J123">
        <v>1</v>
      </c>
    </row>
    <row r="124" spans="1:10" x14ac:dyDescent="0.15">
      <c r="B124" t="s">
        <v>440</v>
      </c>
      <c r="C124">
        <f>D135</f>
        <v>4</v>
      </c>
    </row>
    <row r="125" spans="1:10" x14ac:dyDescent="0.15">
      <c r="E125" t="s">
        <v>194</v>
      </c>
      <c r="F125">
        <f>SUM(F120:F123)/1000</f>
        <v>20.399999999999999</v>
      </c>
      <c r="G125">
        <f>SUM(G120:G123)/1000</f>
        <v>0</v>
      </c>
      <c r="H125">
        <f>SUM(H120:H123)</f>
        <v>1092</v>
      </c>
      <c r="I125" t="s">
        <v>196</v>
      </c>
      <c r="J125" t="s">
        <v>197</v>
      </c>
    </row>
    <row r="126" spans="1:10" x14ac:dyDescent="0.15">
      <c r="E126" t="s">
        <v>195</v>
      </c>
      <c r="F126">
        <f>INT((IF($A118&gt;10000,VLOOKUP($A118,实战属性,13,FALSE),VLOOKUP($A118,总基本属性,7,FALSE))-
IF($B118&gt;10000,VLOOKUP($B118,实战属性,15,FALSE),VLOOKUP($B118,总基本属性,9,FALSE))*$L$13)*F125)</f>
        <v>29212</v>
      </c>
      <c r="G126">
        <f>INT((IF($A118&gt;10000,VLOOKUP($A118,实战属性,14,FALSE),VLOOKUP($A118,总基本属性,8,FALSE))-
IF($B118&gt;10000,VLOOKUP($B118,实战属性,16,FALSE),VLOOKUP($B118,总基本属性,10,FALSE))*$L$13)*G125)</f>
        <v>0</v>
      </c>
      <c r="H126">
        <f>H125+F126+G126</f>
        <v>30304</v>
      </c>
      <c r="I126">
        <f>IF($B118&gt;10000,VLOOKUP($B118,实战属性,12,FALSE),VLOOKUP($B118,总基本属性,6,FALSE))+I136</f>
        <v>31182</v>
      </c>
      <c r="J126">
        <f>ROUND(I126/H126,2)</f>
        <v>1.03</v>
      </c>
    </row>
    <row r="130" spans="1:10" x14ac:dyDescent="0.15">
      <c r="A130" s="9" t="s">
        <v>5</v>
      </c>
      <c r="B130" s="9" t="s">
        <v>3</v>
      </c>
      <c r="C130" s="9" t="s">
        <v>178</v>
      </c>
      <c r="D130" s="9" t="s">
        <v>0</v>
      </c>
      <c r="G130" t="s">
        <v>445</v>
      </c>
      <c r="H130">
        <f>INT(I142/J142/C131)</f>
        <v>1216</v>
      </c>
      <c r="I130" t="s">
        <v>446</v>
      </c>
      <c r="J130">
        <f>ROUND(I136/H130,1)</f>
        <v>3.1</v>
      </c>
    </row>
    <row r="131" spans="1:10" x14ac:dyDescent="0.15">
      <c r="A131">
        <f>A101+10</f>
        <v>4040</v>
      </c>
      <c r="B131">
        <f>B101+10</f>
        <v>2040</v>
      </c>
      <c r="C131">
        <v>30</v>
      </c>
      <c r="D131">
        <f>MOD(A131,1000)</f>
        <v>40</v>
      </c>
      <c r="G131" t="s">
        <v>447</v>
      </c>
      <c r="H131">
        <v>5</v>
      </c>
      <c r="I131" t="s">
        <v>383</v>
      </c>
      <c r="J131">
        <f>VLOOKUP(D131,召唤物生存,11)</f>
        <v>9.32</v>
      </c>
    </row>
    <row r="132" spans="1:10" x14ac:dyDescent="0.15">
      <c r="A132" t="s">
        <v>156</v>
      </c>
      <c r="B132" t="s">
        <v>95</v>
      </c>
      <c r="C132" t="s">
        <v>177</v>
      </c>
      <c r="D132" t="s">
        <v>143</v>
      </c>
      <c r="E132" t="s">
        <v>182</v>
      </c>
      <c r="F132" t="s">
        <v>192</v>
      </c>
      <c r="G132" t="s">
        <v>193</v>
      </c>
      <c r="H132" t="s">
        <v>176</v>
      </c>
      <c r="I132" t="s">
        <v>205</v>
      </c>
      <c r="J132" t="s">
        <v>206</v>
      </c>
    </row>
    <row r="133" spans="1:10" x14ac:dyDescent="0.15">
      <c r="A133">
        <v>42</v>
      </c>
      <c r="B133" t="s">
        <v>35</v>
      </c>
      <c r="C133">
        <v>1</v>
      </c>
      <c r="D133">
        <f>VLOOKUP(A133,技能参数,4,FALSE)</f>
        <v>1</v>
      </c>
      <c r="E133">
        <f>IFERROR(VLOOKUP(A133*1000+D131,学习等级编码,2),0)</f>
        <v>4204</v>
      </c>
      <c r="F133">
        <f>IFERROR(INT(VLOOKUP($E133,技能升级,9,FALSE)*$C133*I133*J133),0)</f>
        <v>0</v>
      </c>
      <c r="G133">
        <f>IFERROR(INT(VLOOKUP($E133,技能升级,10,FALSE)*$C133*I133*J133),0)</f>
        <v>0</v>
      </c>
      <c r="H133">
        <f>INT(VLOOKUP($E133,技能升级,11,FALSE)*$C133*I133*J133)</f>
        <v>0</v>
      </c>
      <c r="I133">
        <v>1</v>
      </c>
      <c r="J133">
        <v>1</v>
      </c>
    </row>
    <row r="134" spans="1:10" x14ac:dyDescent="0.15">
      <c r="A134">
        <v>43</v>
      </c>
      <c r="B134" t="s">
        <v>36</v>
      </c>
      <c r="C134">
        <v>1</v>
      </c>
      <c r="D134">
        <f>VLOOKUP(A134,技能参数,4,FALSE)</f>
        <v>1</v>
      </c>
      <c r="E134">
        <f>IFERROR(VLOOKUP(A134*1000+D131,学习等级编码,2),0)</f>
        <v>4304</v>
      </c>
      <c r="F134">
        <f t="shared" ref="F134" si="27">IFERROR(INT(VLOOKUP($E134,技能升级,9,FALSE)*$C134*I134*J134),0)</f>
        <v>0</v>
      </c>
      <c r="G134">
        <f t="shared" ref="G134" si="28">IFERROR(INT(VLOOKUP($E134,技能升级,10,FALSE)*$C134*I134*J134),0)</f>
        <v>0</v>
      </c>
      <c r="H134">
        <f>INT(VLOOKUP($E134,技能升级,11,FALSE)*$C134*I134*J134)</f>
        <v>0</v>
      </c>
      <c r="I134">
        <v>1</v>
      </c>
      <c r="J134">
        <v>1</v>
      </c>
    </row>
    <row r="135" spans="1:10" x14ac:dyDescent="0.15">
      <c r="A135">
        <v>44</v>
      </c>
      <c r="B135" t="s">
        <v>38</v>
      </c>
      <c r="C135">
        <v>1</v>
      </c>
      <c r="D135">
        <f>IFERROR(INT(VLOOKUP($E135,技能升级,13,FALSE)),0)</f>
        <v>4</v>
      </c>
      <c r="E135">
        <f>IFERROR(VLOOKUP(A135*1000+D131,学习等级编码,2),0)</f>
        <v>4404</v>
      </c>
      <c r="F135">
        <f>IFERROR(INT(VLOOKUP($E135,技能升级,9,FALSE)*$C135*I135*J135),0)</f>
        <v>0</v>
      </c>
      <c r="G135">
        <f>IFERROR(INT(VLOOKUP($E135,技能升级,10,FALSE)*$D135*I135*J135),0)</f>
        <v>6800</v>
      </c>
      <c r="H135">
        <f>INT(VLOOKUP($E135,技能升级,11,FALSE)*$D135*I135*J135)</f>
        <v>520</v>
      </c>
      <c r="I135">
        <v>1</v>
      </c>
      <c r="J135">
        <f>VLOOKUP(A131,$A$2:$I$21,8,FALSE)</f>
        <v>1</v>
      </c>
    </row>
    <row r="136" spans="1:10" x14ac:dyDescent="0.15">
      <c r="A136">
        <v>45</v>
      </c>
      <c r="B136" t="s">
        <v>37</v>
      </c>
      <c r="C136">
        <v>1</v>
      </c>
      <c r="D136">
        <f>VLOOKUP(A136,技能参数,4,FALSE)</f>
        <v>2</v>
      </c>
      <c r="E136">
        <f>IFERROR(VLOOKUP(A136*1000+D131,学习等级编码,2),0)</f>
        <v>4503</v>
      </c>
      <c r="F136">
        <f>IFERROR(INT(VLOOKUP($E136,技能升级,9,FALSE)*$C136*I136*J136),0)</f>
        <v>0</v>
      </c>
      <c r="G136">
        <f t="shared" ref="G136:G137" si="29">IFERROR(INT(VLOOKUP($E136,技能升级,10,FALSE)*$C136*I136*J136),0)</f>
        <v>0</v>
      </c>
      <c r="H136">
        <f>INT(VLOOKUP($E136,技能升级,11,FALSE)*$C136*I136*J136)</f>
        <v>0</v>
      </c>
      <c r="I136">
        <f>INT(VLOOKUP($E136,技能升级,13,FALSE)*$C136)</f>
        <v>3822</v>
      </c>
      <c r="J136">
        <v>1</v>
      </c>
    </row>
    <row r="137" spans="1:10" x14ac:dyDescent="0.15">
      <c r="A137">
        <v>41</v>
      </c>
      <c r="B137" t="s">
        <v>361</v>
      </c>
      <c r="C137">
        <f>IF(INT((C131-C133*D133-C134*D134-C135*D135-C136*D136-C140)/D137)&gt;0,INT((C131-C133*D133-C134*D134-C135*D135-C136*D136-C140)/D137),0)</f>
        <v>14</v>
      </c>
      <c r="D137">
        <f>VLOOKUP(A137,技能参数,4,FALSE)</f>
        <v>1.2</v>
      </c>
      <c r="E137">
        <f>IFERROR(VLOOKUP(A137*1000+D131,学习等级编码,2),0)</f>
        <v>4106</v>
      </c>
      <c r="F137">
        <f>IFERROR(INT(VLOOKUP($E137,技能升级,9,FALSE)*$C137*I137*J137),0)</f>
        <v>0</v>
      </c>
      <c r="G137">
        <f t="shared" si="29"/>
        <v>16940</v>
      </c>
      <c r="H137">
        <f>INT(VLOOKUP($E137,技能升级,11,FALSE)*$C137*I137*J137)</f>
        <v>1750</v>
      </c>
      <c r="I137">
        <v>1</v>
      </c>
      <c r="J137">
        <f>VLOOKUP(A131,$A$2:$I$21,8,FALSE)</f>
        <v>1</v>
      </c>
    </row>
    <row r="138" spans="1:10" x14ac:dyDescent="0.15">
      <c r="A138">
        <f>VLOOKUP(E133,技能升级,13,FALSE)</f>
        <v>104</v>
      </c>
      <c r="B138" t="s">
        <v>375</v>
      </c>
      <c r="C138">
        <f>IF(C131&lt;J131,C131+C131-H131,IF(C131&gt;J131+H131,J131+J131,J131+C131-H131))-C140*2</f>
        <v>8.64</v>
      </c>
      <c r="G138">
        <f>INT((VLOOKUP(A138,召唤物属性,7,FALSE)-
IF($B131&gt;10000,VLOOKUP($B131,实战属性,15,FALSE),VLOOKUP($B131,总基本属性,9,FALSE))*$L$13)*I138*J138)</f>
        <v>478</v>
      </c>
      <c r="I138">
        <f>VLOOKUP($E133,技能升级,14,FALSE)</f>
        <v>1</v>
      </c>
      <c r="J138">
        <v>1</v>
      </c>
    </row>
    <row r="139" spans="1:10" x14ac:dyDescent="0.15">
      <c r="A139">
        <f>VLOOKUP(E134,技能升级,13,FALSE)</f>
        <v>204</v>
      </c>
      <c r="B139" t="s">
        <v>374</v>
      </c>
      <c r="C139">
        <f>IF(C131&lt;J131,C131+C131-H131,IF(C131&gt;J131+H131,J131+J131,J131+C131-H131))-C140*2</f>
        <v>8.64</v>
      </c>
      <c r="F139">
        <f>INT((VLOOKUP(A139,召唤物属性,6,FALSE)-
IF($B131&gt;10000,VLOOKUP($B131,实战属性,15,FALSE),VLOOKUP($B131,总基本属性,9,FALSE))*$L$13)*I139*J139)</f>
        <v>984</v>
      </c>
      <c r="I139">
        <f>VLOOKUP($E134,技能升级,14,FALSE)</f>
        <v>3</v>
      </c>
      <c r="J139">
        <f>VLOOKUP(A131,$A$2:$I$21,9,FALSE)</f>
        <v>1</v>
      </c>
    </row>
    <row r="140" spans="1:10" x14ac:dyDescent="0.15">
      <c r="B140" t="s">
        <v>411</v>
      </c>
      <c r="C140">
        <f>C121*1.5+2</f>
        <v>5</v>
      </c>
    </row>
    <row r="141" spans="1:10" x14ac:dyDescent="0.15">
      <c r="E141" t="s">
        <v>194</v>
      </c>
      <c r="F141">
        <f>SUM(F133:F137)/1000</f>
        <v>0</v>
      </c>
      <c r="G141">
        <f>SUM(G133:G137)/1000</f>
        <v>23.74</v>
      </c>
      <c r="H141">
        <f>SUM(H133:H136)</f>
        <v>520</v>
      </c>
      <c r="I141" t="s">
        <v>196</v>
      </c>
      <c r="J141" t="s">
        <v>197</v>
      </c>
    </row>
    <row r="142" spans="1:10" x14ac:dyDescent="0.15">
      <c r="E142" t="s">
        <v>195</v>
      </c>
      <c r="F142">
        <f>INT((IF($A131&gt;10000,VLOOKUP($A131,实战属性,13,FALSE),VLOOKUP($A131,总基本属性,7,FALSE))-
IF($B131&gt;10000,VLOOKUP($B131,实战属性,15,FALSE),VLOOKUP($B131,总基本属性,9,FALSE))*$L$13)*F141)</f>
        <v>0</v>
      </c>
      <c r="G142">
        <f>INT((IF($A131&gt;10000,VLOOKUP($A131,实战属性,14,FALSE),VLOOKUP($A131,总基本属性,8,FALSE))-
IF($B131&gt;10000,VLOOKUP($B131,实战属性,16,FALSE),VLOOKUP($B131,总基本属性,10,FALSE))*$L$13)*G141)</f>
        <v>23443</v>
      </c>
      <c r="H142">
        <f>H141+F142+G142</f>
        <v>23963</v>
      </c>
      <c r="I142">
        <f>IF($B131&gt;10000,VLOOKUP($B131,实战属性,12,FALSE),VLOOKUP($B131,总基本属性,6,FALSE))</f>
        <v>36480</v>
      </c>
      <c r="J142">
        <f>ROUND(I142/H143,2)</f>
        <v>1</v>
      </c>
    </row>
    <row r="143" spans="1:10" x14ac:dyDescent="0.15">
      <c r="E143" t="s">
        <v>376</v>
      </c>
      <c r="F143">
        <f>INT(F139*C139)</f>
        <v>8501</v>
      </c>
      <c r="G143">
        <f>INT(G138*C138)</f>
        <v>4129</v>
      </c>
      <c r="H143">
        <f>F143+G143+H142</f>
        <v>36593</v>
      </c>
    </row>
    <row r="147" spans="1:10" x14ac:dyDescent="0.15">
      <c r="A147" s="8" t="s">
        <v>3</v>
      </c>
      <c r="B147" s="8" t="s">
        <v>442</v>
      </c>
      <c r="C147" s="8" t="s">
        <v>178</v>
      </c>
      <c r="D147" s="8" t="s">
        <v>0</v>
      </c>
    </row>
    <row r="148" spans="1:10" x14ac:dyDescent="0.15">
      <c r="A148">
        <f>A118+10</f>
        <v>2050</v>
      </c>
      <c r="B148">
        <f>B118+10</f>
        <v>4050</v>
      </c>
      <c r="C148">
        <v>16</v>
      </c>
      <c r="D148">
        <f>MOD(A148,1000)</f>
        <v>50</v>
      </c>
    </row>
    <row r="149" spans="1:10" x14ac:dyDescent="0.15">
      <c r="A149" t="s">
        <v>156</v>
      </c>
      <c r="B149" t="s">
        <v>95</v>
      </c>
      <c r="C149" t="s">
        <v>177</v>
      </c>
      <c r="D149" t="s">
        <v>143</v>
      </c>
      <c r="E149" t="s">
        <v>182</v>
      </c>
      <c r="F149" t="s">
        <v>192</v>
      </c>
      <c r="G149" t="s">
        <v>193</v>
      </c>
      <c r="H149" t="s">
        <v>176</v>
      </c>
      <c r="I149" t="s">
        <v>205</v>
      </c>
      <c r="J149" t="s">
        <v>206</v>
      </c>
    </row>
    <row r="150" spans="1:10" x14ac:dyDescent="0.15">
      <c r="A150">
        <v>25</v>
      </c>
      <c r="B150" t="s">
        <v>23</v>
      </c>
      <c r="C150">
        <v>1</v>
      </c>
      <c r="D150">
        <f>VLOOKUP(A150,技能参数,4,FALSE)</f>
        <v>2</v>
      </c>
      <c r="E150">
        <f>IFERROR(VLOOKUP(A150*1000+D148,学习等级编码,2),0)</f>
        <v>2503</v>
      </c>
      <c r="F150">
        <f t="shared" ref="F150:F152" si="30">IFERROR(INT(VLOOKUP($E150,技能升级,9,FALSE)*$C150*I150*J150),0)</f>
        <v>5500</v>
      </c>
      <c r="G150">
        <f t="shared" ref="G150:G153" si="31">IFERROR(INT(VLOOKUP($E150,技能升级,10,FALSE)*$C150*I150*J150),0)</f>
        <v>0</v>
      </c>
      <c r="H150">
        <f>INT(VLOOKUP($E150,技能升级,11,FALSE)*$C150*I150*J150)</f>
        <v>181</v>
      </c>
      <c r="I150">
        <v>1</v>
      </c>
      <c r="J150">
        <v>1</v>
      </c>
    </row>
    <row r="151" spans="1:10" x14ac:dyDescent="0.15">
      <c r="A151">
        <v>23</v>
      </c>
      <c r="B151" t="s">
        <v>24</v>
      </c>
      <c r="C151">
        <f>INT((C148-D151-D152*3)/(VLOOKUP(A151,技能参数,5,FALSE)+2*VLOOKUP(A151,技能参数,4,FALSE))+1)+1</f>
        <v>2</v>
      </c>
      <c r="D151">
        <f>VLOOKUP(A151,技能参数,4,FALSE)</f>
        <v>1</v>
      </c>
      <c r="E151">
        <f>IFERROR(VLOOKUP(A151*1000+D148,学习等级编码,2),0)</f>
        <v>2305</v>
      </c>
      <c r="F151">
        <f t="shared" si="30"/>
        <v>2260</v>
      </c>
      <c r="G151">
        <f t="shared" si="31"/>
        <v>0</v>
      </c>
      <c r="H151">
        <f>INT(VLOOKUP($E151,技能升级,11,FALSE)*$C151*I151*J151)</f>
        <v>360</v>
      </c>
      <c r="I151">
        <v>1</v>
      </c>
      <c r="J151">
        <v>1</v>
      </c>
    </row>
    <row r="152" spans="1:10" x14ac:dyDescent="0.15">
      <c r="A152">
        <v>22</v>
      </c>
      <c r="B152" t="s">
        <v>22</v>
      </c>
      <c r="C152">
        <f>INT((C148-C150*D150-C151*D151-C154)/D152)</f>
        <v>4</v>
      </c>
      <c r="D152">
        <f>VLOOKUP(A152,技能参数,4,FALSE)</f>
        <v>1.5</v>
      </c>
      <c r="E152">
        <f>IFERROR(VLOOKUP(A152*1000+D148,学习等级编码,2),0)</f>
        <v>2205</v>
      </c>
      <c r="F152">
        <f t="shared" si="30"/>
        <v>13112</v>
      </c>
      <c r="G152">
        <f t="shared" si="31"/>
        <v>0</v>
      </c>
      <c r="H152">
        <f>INT(VLOOKUP($E152,技能升级,11,FALSE)*$C152*I152*J152)</f>
        <v>874</v>
      </c>
      <c r="I152">
        <v>1</v>
      </c>
      <c r="J152">
        <f>VLOOKUP(A148,$A$2:$I$21,7,FALSE)</f>
        <v>1.1149999999999998</v>
      </c>
    </row>
    <row r="153" spans="1:10" x14ac:dyDescent="0.15">
      <c r="A153">
        <v>21</v>
      </c>
      <c r="B153" t="s">
        <v>441</v>
      </c>
      <c r="C153">
        <f>INT((C148-C150*D150-C151*D151-C152*D152-C154)/D153)</f>
        <v>1</v>
      </c>
      <c r="D153">
        <f>VLOOKUP(A153,技能参数,4,FALSE)</f>
        <v>1</v>
      </c>
      <c r="E153">
        <f>IFERROR(VLOOKUP(A153*1000+D148,学习等级编码,2),0)</f>
        <v>2108</v>
      </c>
      <c r="F153">
        <f>IFERROR(INT(VLOOKUP($E153,技能升级,9,FALSE)*$C153*I153*J153),0)</f>
        <v>1250</v>
      </c>
      <c r="G153">
        <f t="shared" si="31"/>
        <v>0</v>
      </c>
      <c r="H153">
        <f>INT(VLOOKUP($E153,技能升级,11,FALSE)*$C153*I153*J153)</f>
        <v>219</v>
      </c>
      <c r="I153">
        <v>1</v>
      </c>
      <c r="J153">
        <v>1</v>
      </c>
    </row>
    <row r="154" spans="1:10" x14ac:dyDescent="0.15">
      <c r="B154" t="s">
        <v>440</v>
      </c>
      <c r="C154">
        <f>D165</f>
        <v>5</v>
      </c>
    </row>
    <row r="155" spans="1:10" x14ac:dyDescent="0.15">
      <c r="E155" t="s">
        <v>194</v>
      </c>
      <c r="F155">
        <f>SUM(F150:F153)/1000</f>
        <v>22.122</v>
      </c>
      <c r="G155">
        <f>SUM(G150:G153)/1000</f>
        <v>0</v>
      </c>
      <c r="H155">
        <f>SUM(H150:H153)</f>
        <v>1634</v>
      </c>
      <c r="I155" t="s">
        <v>196</v>
      </c>
      <c r="J155" t="s">
        <v>197</v>
      </c>
    </row>
    <row r="156" spans="1:10" x14ac:dyDescent="0.15">
      <c r="E156" t="s">
        <v>195</v>
      </c>
      <c r="F156">
        <f>INT((IF($A148&gt;10000,VLOOKUP($A148,实战属性,13,FALSE),VLOOKUP($A148,总基本属性,7,FALSE))-
IF($B148&gt;10000,VLOOKUP($B148,实战属性,15,FALSE),VLOOKUP($B148,总基本属性,9,FALSE))*$L$13)*F155)</f>
        <v>43890</v>
      </c>
      <c r="G156">
        <f>INT((IF($A148&gt;10000,VLOOKUP($A148,实战属性,14,FALSE),VLOOKUP($A148,总基本属性,8,FALSE))-
IF($B148&gt;10000,VLOOKUP($B148,实战属性,16,FALSE),VLOOKUP($B148,总基本属性,10,FALSE))*$L$13)*G155)</f>
        <v>0</v>
      </c>
      <c r="H156">
        <f>H155+F156+G156</f>
        <v>45524</v>
      </c>
      <c r="I156">
        <f>IF($B148&gt;10000,VLOOKUP($B148,实战属性,12,FALSE),VLOOKUP($B148,总基本属性,6,FALSE))+I166</f>
        <v>45402</v>
      </c>
      <c r="J156">
        <f>ROUND(I156/H156,2)</f>
        <v>1</v>
      </c>
    </row>
    <row r="160" spans="1:10" x14ac:dyDescent="0.15">
      <c r="A160" s="9" t="s">
        <v>5</v>
      </c>
      <c r="B160" s="9" t="s">
        <v>3</v>
      </c>
      <c r="C160" s="9" t="s">
        <v>178</v>
      </c>
      <c r="D160" s="9" t="s">
        <v>0</v>
      </c>
      <c r="G160" t="s">
        <v>445</v>
      </c>
      <c r="H160">
        <f>INT(I172/J172/C161)</f>
        <v>1753</v>
      </c>
      <c r="I160" t="s">
        <v>446</v>
      </c>
      <c r="J160">
        <f>ROUND(I166/H160,1)</f>
        <v>2.2000000000000002</v>
      </c>
    </row>
    <row r="161" spans="1:10" x14ac:dyDescent="0.15">
      <c r="A161">
        <f>A131+10</f>
        <v>4050</v>
      </c>
      <c r="B161">
        <f>B131+10</f>
        <v>2050</v>
      </c>
      <c r="C161">
        <v>31</v>
      </c>
      <c r="D161">
        <f>MOD(A161,1000)</f>
        <v>50</v>
      </c>
      <c r="G161" t="s">
        <v>447</v>
      </c>
      <c r="H161">
        <v>5</v>
      </c>
      <c r="I161" t="s">
        <v>383</v>
      </c>
      <c r="J161">
        <f>VLOOKUP(D161,召唤物生存,11)</f>
        <v>8.77</v>
      </c>
    </row>
    <row r="162" spans="1:10" x14ac:dyDescent="0.15">
      <c r="A162" t="s">
        <v>156</v>
      </c>
      <c r="B162" t="s">
        <v>95</v>
      </c>
      <c r="C162" t="s">
        <v>177</v>
      </c>
      <c r="D162" t="s">
        <v>143</v>
      </c>
      <c r="E162" t="s">
        <v>182</v>
      </c>
      <c r="F162" t="s">
        <v>192</v>
      </c>
      <c r="G162" t="s">
        <v>193</v>
      </c>
      <c r="H162" t="s">
        <v>176</v>
      </c>
      <c r="I162" t="s">
        <v>205</v>
      </c>
      <c r="J162" t="s">
        <v>206</v>
      </c>
    </row>
    <row r="163" spans="1:10" x14ac:dyDescent="0.15">
      <c r="A163">
        <v>42</v>
      </c>
      <c r="B163" t="s">
        <v>35</v>
      </c>
      <c r="C163">
        <v>1</v>
      </c>
      <c r="D163">
        <f>VLOOKUP(A163,技能参数,4,FALSE)</f>
        <v>1</v>
      </c>
      <c r="E163">
        <f>IFERROR(VLOOKUP(A163*1000+D161,学习等级编码,2),0)</f>
        <v>4205</v>
      </c>
      <c r="F163">
        <f>IFERROR(INT(VLOOKUP($E163,技能升级,9,FALSE)*$C163*I163*J163),0)</f>
        <v>0</v>
      </c>
      <c r="G163">
        <f>IFERROR(INT(VLOOKUP($E163,技能升级,10,FALSE)*$C163*I163*J163),0)</f>
        <v>0</v>
      </c>
      <c r="H163">
        <f>INT(VLOOKUP($E163,技能升级,11,FALSE)*$C163*I163*J163)</f>
        <v>0</v>
      </c>
      <c r="I163">
        <v>1</v>
      </c>
      <c r="J163">
        <v>1</v>
      </c>
    </row>
    <row r="164" spans="1:10" x14ac:dyDescent="0.15">
      <c r="A164">
        <v>43</v>
      </c>
      <c r="B164" t="s">
        <v>36</v>
      </c>
      <c r="C164">
        <v>1</v>
      </c>
      <c r="D164">
        <f>VLOOKUP(A164,技能参数,4,FALSE)</f>
        <v>1</v>
      </c>
      <c r="E164">
        <f>IFERROR(VLOOKUP(A164*1000+D161,学习等级编码,2),0)</f>
        <v>4305</v>
      </c>
      <c r="F164">
        <f t="shared" ref="F164" si="32">IFERROR(INT(VLOOKUP($E164,技能升级,9,FALSE)*$C164*I164*J164),0)</f>
        <v>0</v>
      </c>
      <c r="G164">
        <f t="shared" ref="G164" si="33">IFERROR(INT(VLOOKUP($E164,技能升级,10,FALSE)*$C164*I164*J164),0)</f>
        <v>0</v>
      </c>
      <c r="H164">
        <f>INT(VLOOKUP($E164,技能升级,11,FALSE)*$C164*I164*J164)</f>
        <v>0</v>
      </c>
      <c r="I164">
        <v>1</v>
      </c>
      <c r="J164">
        <v>1</v>
      </c>
    </row>
    <row r="165" spans="1:10" x14ac:dyDescent="0.15">
      <c r="A165">
        <v>44</v>
      </c>
      <c r="B165" t="s">
        <v>38</v>
      </c>
      <c r="C165">
        <v>1</v>
      </c>
      <c r="D165">
        <f>IFERROR(INT(VLOOKUP($E165,技能升级,13,FALSE)),0)</f>
        <v>5</v>
      </c>
      <c r="E165">
        <f>IFERROR(VLOOKUP(A165*1000+D161,学习等级编码,2),0)</f>
        <v>4405</v>
      </c>
      <c r="F165">
        <f>IFERROR(INT(VLOOKUP($E165,技能升级,9,FALSE)*$C165*I165*J165),0)</f>
        <v>0</v>
      </c>
      <c r="G165">
        <f>IFERROR(INT(VLOOKUP($E165,技能升级,10,FALSE)*$D165*I165*J165),0)</f>
        <v>8850</v>
      </c>
      <c r="H165">
        <f>INT(VLOOKUP($E165,技能升级,11,FALSE)*$D165*I165*J165)</f>
        <v>975</v>
      </c>
      <c r="I165">
        <v>1</v>
      </c>
      <c r="J165">
        <f>VLOOKUP(A161,$A$2:$I$21,8,FALSE)</f>
        <v>1</v>
      </c>
    </row>
    <row r="166" spans="1:10" x14ac:dyDescent="0.15">
      <c r="A166">
        <v>45</v>
      </c>
      <c r="B166" t="s">
        <v>37</v>
      </c>
      <c r="C166">
        <v>1</v>
      </c>
      <c r="D166">
        <f>VLOOKUP(A166,技能参数,4,FALSE)</f>
        <v>2</v>
      </c>
      <c r="E166">
        <f>IFERROR(VLOOKUP(A166*1000+D161,学习等级编码,2),0)</f>
        <v>4503</v>
      </c>
      <c r="F166">
        <f>IFERROR(INT(VLOOKUP($E166,技能升级,9,FALSE)*$C166*I166*J166),0)</f>
        <v>0</v>
      </c>
      <c r="G166">
        <f t="shared" ref="G166:G167" si="34">IFERROR(INT(VLOOKUP($E166,技能升级,10,FALSE)*$C166*I166*J166),0)</f>
        <v>0</v>
      </c>
      <c r="H166">
        <f>INT(VLOOKUP($E166,技能升级,11,FALSE)*$C166*I166*J166)</f>
        <v>0</v>
      </c>
      <c r="I166">
        <f>INT(VLOOKUP($E166,技能升级,13,FALSE)*$C166)</f>
        <v>3822</v>
      </c>
      <c r="J166">
        <v>1</v>
      </c>
    </row>
    <row r="167" spans="1:10" x14ac:dyDescent="0.15">
      <c r="A167">
        <v>41</v>
      </c>
      <c r="B167" t="s">
        <v>361</v>
      </c>
      <c r="C167">
        <f>IF(INT((C161-C163*D163-C164*D164-C165*D165-C166*D166-C170)/D167)&gt;0,INT((C161-C163*D163-C164*D164-C165*D165-C166*D166-C170)/D167),0)</f>
        <v>14</v>
      </c>
      <c r="D167">
        <f>VLOOKUP(A167,技能参数,4,FALSE)</f>
        <v>1.2</v>
      </c>
      <c r="E167">
        <f>IFERROR(VLOOKUP(A167*1000+D161,学习等级编码,2),0)</f>
        <v>4108</v>
      </c>
      <c r="F167">
        <f>IFERROR(INT(VLOOKUP($E167,技能升级,9,FALSE)*$C167*I167*J167),0)</f>
        <v>0</v>
      </c>
      <c r="G167">
        <f t="shared" si="34"/>
        <v>18200</v>
      </c>
      <c r="H167">
        <f>INT(VLOOKUP($E167,技能升级,11,FALSE)*$C167*I167*J167)</f>
        <v>3066</v>
      </c>
      <c r="I167">
        <v>1</v>
      </c>
      <c r="J167">
        <f>VLOOKUP(A161,$A$2:$I$21,8,FALSE)</f>
        <v>1</v>
      </c>
    </row>
    <row r="168" spans="1:10" x14ac:dyDescent="0.15">
      <c r="A168">
        <f>VLOOKUP(E163,技能升级,13,FALSE)</f>
        <v>105</v>
      </c>
      <c r="B168" t="s">
        <v>375</v>
      </c>
      <c r="C168">
        <f>IF(C161&lt;J161,C161+C161-H161,IF(C161&gt;J161+H161,J161+J161,J161+C161-H161))-C170*2</f>
        <v>7.5399999999999991</v>
      </c>
      <c r="G168">
        <f>INT((VLOOKUP(A168,召唤物属性,7,FALSE)-
IF($B161&gt;10000,VLOOKUP($B161,实战属性,15,FALSE),VLOOKUP($B161,总基本属性,9,FALSE))*$L$13)*I168*J168)</f>
        <v>996</v>
      </c>
      <c r="I168">
        <f>VLOOKUP($E163,技能升级,14,FALSE)</f>
        <v>2</v>
      </c>
      <c r="J168">
        <v>1</v>
      </c>
    </row>
    <row r="169" spans="1:10" x14ac:dyDescent="0.15">
      <c r="A169">
        <f>VLOOKUP(E164,技能升级,13,FALSE)</f>
        <v>205</v>
      </c>
      <c r="B169" t="s">
        <v>374</v>
      </c>
      <c r="C169">
        <f>IF(C161&lt;J161,C161+C161-H161,IF(C161&gt;J161+H161,J161+J161,J161+C161-H161))-C170*2</f>
        <v>7.5399999999999991</v>
      </c>
      <c r="F169">
        <f>INT((VLOOKUP(A169,召唤物属性,6,FALSE)-
IF($B161&gt;10000,VLOOKUP($B161,实战属性,15,FALSE),VLOOKUP($B161,总基本属性,9,FALSE))*$L$13)*I169*J169)</f>
        <v>1194</v>
      </c>
      <c r="I169">
        <f>VLOOKUP($E164,技能升级,14,FALSE)</f>
        <v>3</v>
      </c>
      <c r="J169">
        <f>VLOOKUP(A161,$A$2:$I$21,9,FALSE)</f>
        <v>1</v>
      </c>
    </row>
    <row r="170" spans="1:10" x14ac:dyDescent="0.15">
      <c r="B170" t="s">
        <v>411</v>
      </c>
      <c r="C170">
        <f>C151*1.5+2</f>
        <v>5</v>
      </c>
    </row>
    <row r="171" spans="1:10" x14ac:dyDescent="0.15">
      <c r="E171" t="s">
        <v>194</v>
      </c>
      <c r="F171">
        <f>SUM(F163:F167)/1000</f>
        <v>0</v>
      </c>
      <c r="G171">
        <f>SUM(G163:G167)/1000</f>
        <v>27.05</v>
      </c>
      <c r="H171">
        <f>SUM(H163:H166)</f>
        <v>975</v>
      </c>
      <c r="I171" t="s">
        <v>196</v>
      </c>
      <c r="J171" t="s">
        <v>197</v>
      </c>
    </row>
    <row r="172" spans="1:10" x14ac:dyDescent="0.15">
      <c r="E172" t="s">
        <v>195</v>
      </c>
      <c r="F172">
        <f>INT((IF($A161&gt;10000,VLOOKUP($A161,实战属性,13,FALSE),VLOOKUP($A161,总基本属性,7,FALSE))-
IF($B161&gt;10000,VLOOKUP($B161,实战属性,15,FALSE),VLOOKUP($B161,总基本属性,9,FALSE))*$L$13)*F171)</f>
        <v>0</v>
      </c>
      <c r="G172">
        <f>INT((IF($A161&gt;10000,VLOOKUP($A161,实战属性,14,FALSE),VLOOKUP($A161,总基本属性,8,FALSE))-
IF($B161&gt;10000,VLOOKUP($B161,实战属性,16,FALSE),VLOOKUP($B161,总基本属性,10,FALSE))*$L$13)*G171)</f>
        <v>37058</v>
      </c>
      <c r="H172">
        <f>H171+F172+G172</f>
        <v>38033</v>
      </c>
      <c r="I172">
        <f>IF($B161&gt;10000,VLOOKUP($B161,实战属性,12,FALSE),VLOOKUP($B161,总基本属性,6,FALSE))</f>
        <v>55440</v>
      </c>
      <c r="J172">
        <f>ROUND(I172/H173,2)</f>
        <v>1.02</v>
      </c>
    </row>
    <row r="173" spans="1:10" x14ac:dyDescent="0.15">
      <c r="E173" t="s">
        <v>376</v>
      </c>
      <c r="F173">
        <f>INT(F169*C169)</f>
        <v>9002</v>
      </c>
      <c r="G173">
        <f>INT(G168*C168)</f>
        <v>7509</v>
      </c>
      <c r="H173">
        <f>F173+G173+H172</f>
        <v>54544</v>
      </c>
    </row>
    <row r="177" spans="1:10" x14ac:dyDescent="0.15">
      <c r="A177" s="8" t="s">
        <v>3</v>
      </c>
      <c r="B177" s="8" t="s">
        <v>442</v>
      </c>
      <c r="C177" s="8" t="s">
        <v>178</v>
      </c>
      <c r="D177" s="8" t="s">
        <v>0</v>
      </c>
    </row>
    <row r="178" spans="1:10" x14ac:dyDescent="0.15">
      <c r="A178">
        <f>A148+10</f>
        <v>2060</v>
      </c>
      <c r="B178">
        <f>B148+10</f>
        <v>4060</v>
      </c>
      <c r="C178">
        <v>16</v>
      </c>
      <c r="D178">
        <f>MOD(A178,1000)</f>
        <v>60</v>
      </c>
    </row>
    <row r="179" spans="1:10" x14ac:dyDescent="0.15">
      <c r="A179" t="s">
        <v>156</v>
      </c>
      <c r="B179" t="s">
        <v>95</v>
      </c>
      <c r="C179" t="s">
        <v>177</v>
      </c>
      <c r="D179" t="s">
        <v>143</v>
      </c>
      <c r="E179" t="s">
        <v>182</v>
      </c>
      <c r="F179" t="s">
        <v>192</v>
      </c>
      <c r="G179" t="s">
        <v>193</v>
      </c>
      <c r="H179" t="s">
        <v>176</v>
      </c>
      <c r="I179" t="s">
        <v>205</v>
      </c>
      <c r="J179" t="s">
        <v>206</v>
      </c>
    </row>
    <row r="180" spans="1:10" x14ac:dyDescent="0.15">
      <c r="A180">
        <v>25</v>
      </c>
      <c r="B180" t="s">
        <v>23</v>
      </c>
      <c r="C180">
        <v>1</v>
      </c>
      <c r="D180">
        <f>VLOOKUP(A180,技能参数,4,FALSE)</f>
        <v>2</v>
      </c>
      <c r="E180">
        <f>IFERROR(VLOOKUP(A180*1000+D178,学习等级编码,2),0)</f>
        <v>2504</v>
      </c>
      <c r="F180">
        <f t="shared" ref="F180:F182" si="35">IFERROR(INT(VLOOKUP($E180,技能升级,9,FALSE)*$C180*I180*J180),0)</f>
        <v>5750</v>
      </c>
      <c r="G180">
        <f t="shared" ref="G180:G183" si="36">IFERROR(INT(VLOOKUP($E180,技能升级,10,FALSE)*$C180*I180*J180),0)</f>
        <v>0</v>
      </c>
      <c r="H180">
        <f>INT(VLOOKUP($E180,技能升级,11,FALSE)*$C180*I180*J180)</f>
        <v>298</v>
      </c>
      <c r="I180">
        <v>1</v>
      </c>
      <c r="J180">
        <v>1</v>
      </c>
    </row>
    <row r="181" spans="1:10" x14ac:dyDescent="0.15">
      <c r="A181">
        <v>23</v>
      </c>
      <c r="B181" t="s">
        <v>24</v>
      </c>
      <c r="C181">
        <f>INT((C178-D181-D182*3)/(VLOOKUP(A181,技能参数,5,FALSE)+2*VLOOKUP(A181,技能参数,4,FALSE))+1)+1</f>
        <v>2</v>
      </c>
      <c r="D181">
        <f>VLOOKUP(A181,技能参数,4,FALSE)</f>
        <v>1</v>
      </c>
      <c r="E181">
        <f>IFERROR(VLOOKUP(A181*1000+D178,学习等级编码,2),0)</f>
        <v>2306</v>
      </c>
      <c r="F181">
        <f t="shared" si="35"/>
        <v>2340</v>
      </c>
      <c r="G181">
        <f t="shared" si="36"/>
        <v>0</v>
      </c>
      <c r="H181">
        <f>INT(VLOOKUP($E181,技能升级,11,FALSE)*$C181*I181*J181)</f>
        <v>516</v>
      </c>
      <c r="I181">
        <v>1</v>
      </c>
      <c r="J181">
        <v>1</v>
      </c>
    </row>
    <row r="182" spans="1:10" x14ac:dyDescent="0.15">
      <c r="A182">
        <v>22</v>
      </c>
      <c r="B182" t="s">
        <v>22</v>
      </c>
      <c r="C182">
        <f>INT((C178-C180*D180-C181*D181-C184)/D182)</f>
        <v>4</v>
      </c>
      <c r="D182">
        <f>VLOOKUP(A182,技能参数,4,FALSE)</f>
        <v>1.5</v>
      </c>
      <c r="E182">
        <f>IFERROR(VLOOKUP(A182*1000+D178,学习等级编码,2),0)</f>
        <v>2206</v>
      </c>
      <c r="F182">
        <f t="shared" si="35"/>
        <v>14220</v>
      </c>
      <c r="G182">
        <f t="shared" si="36"/>
        <v>0</v>
      </c>
      <c r="H182">
        <f>INT(VLOOKUP($E182,技能升级,11,FALSE)*$C182*I182*J182)</f>
        <v>1279</v>
      </c>
      <c r="I182">
        <v>1</v>
      </c>
      <c r="J182">
        <f>VLOOKUP(A178,$A$2:$I$21,7,FALSE)</f>
        <v>1.1849999999999998</v>
      </c>
    </row>
    <row r="183" spans="1:10" x14ac:dyDescent="0.15">
      <c r="A183">
        <v>21</v>
      </c>
      <c r="B183" t="s">
        <v>441</v>
      </c>
      <c r="C183">
        <f>INT((C178-C180*D180-C181*D181-C182*D182-C184)/D183)</f>
        <v>1</v>
      </c>
      <c r="D183">
        <f>VLOOKUP(A183,技能参数,4,FALSE)</f>
        <v>1</v>
      </c>
      <c r="E183">
        <f>IFERROR(VLOOKUP(A183*1000+D178,学习等级编码,2),0)</f>
        <v>2109</v>
      </c>
      <c r="F183">
        <f>IFERROR(INT(VLOOKUP($E183,技能升级,9,FALSE)*$C183*I183*J183),0)</f>
        <v>1290</v>
      </c>
      <c r="G183">
        <f t="shared" si="36"/>
        <v>0</v>
      </c>
      <c r="H183">
        <f>INT(VLOOKUP($E183,技能升级,11,FALSE)*$C183*I183*J183)</f>
        <v>270</v>
      </c>
      <c r="I183">
        <v>1</v>
      </c>
      <c r="J183">
        <v>1</v>
      </c>
    </row>
    <row r="184" spans="1:10" x14ac:dyDescent="0.15">
      <c r="B184" t="s">
        <v>440</v>
      </c>
      <c r="C184">
        <f>D195</f>
        <v>5</v>
      </c>
    </row>
    <row r="185" spans="1:10" x14ac:dyDescent="0.15">
      <c r="E185" t="s">
        <v>194</v>
      </c>
      <c r="F185">
        <f>SUM(F180:F183)/1000</f>
        <v>23.6</v>
      </c>
      <c r="G185">
        <f>SUM(G180:G183)/1000</f>
        <v>0</v>
      </c>
      <c r="H185">
        <f>SUM(H180:H183)</f>
        <v>2363</v>
      </c>
      <c r="I185" t="s">
        <v>196</v>
      </c>
      <c r="J185" t="s">
        <v>197</v>
      </c>
    </row>
    <row r="186" spans="1:10" x14ac:dyDescent="0.15">
      <c r="E186" t="s">
        <v>195</v>
      </c>
      <c r="F186">
        <f>INT((IF($A178&gt;10000,VLOOKUP($A178,实战属性,13,FALSE),VLOOKUP($A178,总基本属性,7,FALSE))-
IF($B178&gt;10000,VLOOKUP($B178,实战属性,15,FALSE),VLOOKUP($B178,总基本属性,9,FALSE))*$L$13)*F185)</f>
        <v>62256</v>
      </c>
      <c r="G186">
        <f>INT((IF($A178&gt;10000,VLOOKUP($A178,实战属性,14,FALSE),VLOOKUP($A178,总基本属性,8,FALSE))-
IF($B178&gt;10000,VLOOKUP($B178,实战属性,16,FALSE),VLOOKUP($B178,总基本属性,10,FALSE))*$L$13)*G185)</f>
        <v>0</v>
      </c>
      <c r="H186">
        <f>H185+F186+G186</f>
        <v>64619</v>
      </c>
      <c r="I186">
        <f>IF($B178&gt;10000,VLOOKUP($B178,实战属性,12,FALSE),VLOOKUP($B178,总基本属性,6,FALSE))+I196</f>
        <v>67776</v>
      </c>
      <c r="J186">
        <f>ROUND(I186/H186,2)</f>
        <v>1.05</v>
      </c>
    </row>
    <row r="190" spans="1:10" x14ac:dyDescent="0.15">
      <c r="A190" s="9" t="s">
        <v>5</v>
      </c>
      <c r="B190" s="9" t="s">
        <v>3</v>
      </c>
      <c r="C190" s="9" t="s">
        <v>178</v>
      </c>
      <c r="D190" s="9" t="s">
        <v>0</v>
      </c>
      <c r="G190" t="s">
        <v>445</v>
      </c>
      <c r="H190">
        <f>INT(I202/J202/C191)</f>
        <v>2822</v>
      </c>
      <c r="I190" t="s">
        <v>446</v>
      </c>
      <c r="J190">
        <f>ROUND(I196/H190,1)</f>
        <v>3.2</v>
      </c>
    </row>
    <row r="191" spans="1:10" x14ac:dyDescent="0.15">
      <c r="A191">
        <f>A161+10</f>
        <v>4060</v>
      </c>
      <c r="B191">
        <f>B161+10</f>
        <v>2060</v>
      </c>
      <c r="C191">
        <v>27</v>
      </c>
      <c r="D191">
        <f>MOD(A191,1000)</f>
        <v>60</v>
      </c>
      <c r="G191" t="s">
        <v>447</v>
      </c>
      <c r="H191">
        <v>5</v>
      </c>
      <c r="I191" t="s">
        <v>383</v>
      </c>
      <c r="J191">
        <f>VLOOKUP(D191,召唤物生存,11)</f>
        <v>9.65</v>
      </c>
    </row>
    <row r="192" spans="1:10" x14ac:dyDescent="0.15">
      <c r="A192" t="s">
        <v>156</v>
      </c>
      <c r="B192" t="s">
        <v>95</v>
      </c>
      <c r="C192" t="s">
        <v>177</v>
      </c>
      <c r="D192" t="s">
        <v>143</v>
      </c>
      <c r="E192" t="s">
        <v>182</v>
      </c>
      <c r="F192" t="s">
        <v>192</v>
      </c>
      <c r="G192" t="s">
        <v>193</v>
      </c>
      <c r="H192" t="s">
        <v>176</v>
      </c>
      <c r="I192" t="s">
        <v>205</v>
      </c>
      <c r="J192" t="s">
        <v>206</v>
      </c>
    </row>
    <row r="193" spans="1:10" x14ac:dyDescent="0.15">
      <c r="A193">
        <v>42</v>
      </c>
      <c r="B193" t="s">
        <v>35</v>
      </c>
      <c r="C193">
        <v>1</v>
      </c>
      <c r="D193">
        <f>VLOOKUP(A193,技能参数,4,FALSE)</f>
        <v>1</v>
      </c>
      <c r="E193">
        <f>IFERROR(VLOOKUP(A193*1000+D191,学习等级编码,2),0)</f>
        <v>4206</v>
      </c>
      <c r="F193">
        <f>IFERROR(INT(VLOOKUP($E193,技能升级,9,FALSE)*$C193*I193*J193),0)</f>
        <v>0</v>
      </c>
      <c r="G193">
        <f>IFERROR(INT(VLOOKUP($E193,技能升级,10,FALSE)*$C193*I193*J193),0)</f>
        <v>0</v>
      </c>
      <c r="H193">
        <f>INT(VLOOKUP($E193,技能升级,11,FALSE)*$C193*I193*J193)</f>
        <v>0</v>
      </c>
      <c r="I193">
        <v>1</v>
      </c>
      <c r="J193">
        <v>1</v>
      </c>
    </row>
    <row r="194" spans="1:10" x14ac:dyDescent="0.15">
      <c r="A194">
        <v>43</v>
      </c>
      <c r="B194" t="s">
        <v>36</v>
      </c>
      <c r="C194">
        <v>1</v>
      </c>
      <c r="D194">
        <f>VLOOKUP(A194,技能参数,4,FALSE)</f>
        <v>1</v>
      </c>
      <c r="E194">
        <f>IFERROR(VLOOKUP(A194*1000+D191,学习等级编码,2),0)</f>
        <v>4306</v>
      </c>
      <c r="F194">
        <f t="shared" ref="F194" si="37">IFERROR(INT(VLOOKUP($E194,技能升级,9,FALSE)*$C194*I194*J194),0)</f>
        <v>0</v>
      </c>
      <c r="G194">
        <f t="shared" ref="G194" si="38">IFERROR(INT(VLOOKUP($E194,技能升级,10,FALSE)*$C194*I194*J194),0)</f>
        <v>0</v>
      </c>
      <c r="H194">
        <f>INT(VLOOKUP($E194,技能升级,11,FALSE)*$C194*I194*J194)</f>
        <v>0</v>
      </c>
      <c r="I194">
        <v>1</v>
      </c>
      <c r="J194">
        <v>1</v>
      </c>
    </row>
    <row r="195" spans="1:10" x14ac:dyDescent="0.15">
      <c r="A195">
        <v>44</v>
      </c>
      <c r="B195" t="s">
        <v>38</v>
      </c>
      <c r="C195">
        <v>1</v>
      </c>
      <c r="D195">
        <f>IFERROR(INT(VLOOKUP($E195,技能升级,13,FALSE)),0)</f>
        <v>5</v>
      </c>
      <c r="E195">
        <f>IFERROR(VLOOKUP(A195*1000+D191,学习等级编码,2),0)</f>
        <v>4406</v>
      </c>
      <c r="F195">
        <f>IFERROR(INT(VLOOKUP($E195,技能升级,9,FALSE)*$C195*I195*J195),0)</f>
        <v>0</v>
      </c>
      <c r="G195">
        <f>IFERROR(INT(VLOOKUP($E195,技能升级,10,FALSE)*$D195*I195*J195),0)</f>
        <v>9150</v>
      </c>
      <c r="H195">
        <f>INT(VLOOKUP($E195,技能升级,11,FALSE)*$D195*I195*J195)</f>
        <v>1375</v>
      </c>
      <c r="I195">
        <v>1</v>
      </c>
      <c r="J195">
        <f>VLOOKUP(A191,$A$2:$I$21,8,FALSE)</f>
        <v>1</v>
      </c>
    </row>
    <row r="196" spans="1:10" x14ac:dyDescent="0.15">
      <c r="A196">
        <v>45</v>
      </c>
      <c r="B196" t="s">
        <v>37</v>
      </c>
      <c r="C196">
        <v>1</v>
      </c>
      <c r="D196">
        <f>VLOOKUP(A196,技能参数,4,FALSE)</f>
        <v>2</v>
      </c>
      <c r="E196">
        <f>IFERROR(VLOOKUP(A196*1000+D191,学习等级编码,2),0)</f>
        <v>4504</v>
      </c>
      <c r="F196">
        <f>IFERROR(INT(VLOOKUP($E196,技能升级,9,FALSE)*$C196*I196*J196),0)</f>
        <v>0</v>
      </c>
      <c r="G196">
        <f t="shared" ref="G196:G197" si="39">IFERROR(INT(VLOOKUP($E196,技能升级,10,FALSE)*$C196*I196*J196),0)</f>
        <v>0</v>
      </c>
      <c r="H196">
        <f>INT(VLOOKUP($E196,技能升级,11,FALSE)*$C196*I196*J196)</f>
        <v>0</v>
      </c>
      <c r="I196">
        <f>INT(VLOOKUP($E196,技能升级,13,FALSE)*$C196)</f>
        <v>8916</v>
      </c>
      <c r="J196">
        <v>1</v>
      </c>
    </row>
    <row r="197" spans="1:10" x14ac:dyDescent="0.15">
      <c r="A197">
        <v>41</v>
      </c>
      <c r="B197" t="s">
        <v>361</v>
      </c>
      <c r="C197">
        <f>IF(INT((C191-C193*D193-C194*D194-C195*D195-C196*D196-C200)/D197)&gt;0,INT((C191-C193*D193-C194*D194-C195*D195-C196*D196-C200)/D197),0)</f>
        <v>10</v>
      </c>
      <c r="D197">
        <f>VLOOKUP(A197,技能参数,4,FALSE)</f>
        <v>1.2</v>
      </c>
      <c r="E197">
        <f>IFERROR(VLOOKUP(A197*1000+D191,学习等级编码,2),0)</f>
        <v>4109</v>
      </c>
      <c r="F197">
        <f>IFERROR(INT(VLOOKUP($E197,技能升级,9,FALSE)*$C197*I197*J197),0)</f>
        <v>0</v>
      </c>
      <c r="G197">
        <f t="shared" si="39"/>
        <v>13400</v>
      </c>
      <c r="H197">
        <f>INT(VLOOKUP($E197,技能升级,11,FALSE)*$C197*I197*J197)</f>
        <v>2700</v>
      </c>
      <c r="I197">
        <v>1</v>
      </c>
      <c r="J197">
        <f>VLOOKUP(A191,$A$2:$I$21,8,FALSE)</f>
        <v>1</v>
      </c>
    </row>
    <row r="198" spans="1:10" x14ac:dyDescent="0.15">
      <c r="A198">
        <f>VLOOKUP(E193,技能升级,13,FALSE)</f>
        <v>106</v>
      </c>
      <c r="B198" t="s">
        <v>375</v>
      </c>
      <c r="C198">
        <f>IF(C191&lt;J191,C191+C191-H191,IF(C191&gt;J191+H191,J191+J191,J191+C191-H191))-C200*2</f>
        <v>9.3000000000000007</v>
      </c>
      <c r="G198">
        <f>INT((VLOOKUP(A198,召唤物属性,7,FALSE)-
IF($B191&gt;10000,VLOOKUP($B191,实战属性,15,FALSE),VLOOKUP($B191,总基本属性,9,FALSE))*$L$13)*I198*J198)</f>
        <v>1321</v>
      </c>
      <c r="I198">
        <f>VLOOKUP($E193,技能升级,14,FALSE)</f>
        <v>2</v>
      </c>
      <c r="J198">
        <v>1</v>
      </c>
    </row>
    <row r="199" spans="1:10" x14ac:dyDescent="0.15">
      <c r="A199">
        <f>VLOOKUP(E194,技能升级,13,FALSE)</f>
        <v>206</v>
      </c>
      <c r="B199" t="s">
        <v>374</v>
      </c>
      <c r="C199">
        <f>IF(C191&lt;J191,C191+C191-H191,IF(C191&gt;J191+H191,J191+J191,J191+C191-H191))-C200*2</f>
        <v>9.3000000000000007</v>
      </c>
      <c r="F199">
        <f>INT((VLOOKUP(A199,召唤物属性,6,FALSE)-
IF($B191&gt;10000,VLOOKUP($B191,实战属性,15,FALSE),VLOOKUP($B191,总基本属性,9,FALSE))*$L$13)*I199*J199)</f>
        <v>1681</v>
      </c>
      <c r="I199">
        <f>VLOOKUP($E194,技能升级,14,FALSE)</f>
        <v>3</v>
      </c>
      <c r="J199">
        <f>VLOOKUP(A191,$A$2:$I$21,9,FALSE)</f>
        <v>1</v>
      </c>
    </row>
    <row r="200" spans="1:10" x14ac:dyDescent="0.15">
      <c r="B200" t="s">
        <v>411</v>
      </c>
      <c r="C200">
        <f>C181*1.5+2</f>
        <v>5</v>
      </c>
    </row>
    <row r="201" spans="1:10" x14ac:dyDescent="0.15">
      <c r="E201" t="s">
        <v>194</v>
      </c>
      <c r="F201">
        <f>SUM(F193:F197)/1000</f>
        <v>0</v>
      </c>
      <c r="G201">
        <f>SUM(G193:G197)/1000</f>
        <v>22.55</v>
      </c>
      <c r="H201">
        <f>SUM(H193:H196)</f>
        <v>1375</v>
      </c>
      <c r="I201" t="s">
        <v>196</v>
      </c>
      <c r="J201" t="s">
        <v>197</v>
      </c>
    </row>
    <row r="202" spans="1:10" x14ac:dyDescent="0.15">
      <c r="E202" t="s">
        <v>195</v>
      </c>
      <c r="F202">
        <f>INT((IF($A191&gt;10000,VLOOKUP($A191,实战属性,13,FALSE),VLOOKUP($A191,总基本属性,7,FALSE))-
IF($B191&gt;10000,VLOOKUP($B191,实战属性,15,FALSE),VLOOKUP($B191,总基本属性,9,FALSE))*$L$13)*F201)</f>
        <v>0</v>
      </c>
      <c r="G202">
        <f>INT((IF($A191&gt;10000,VLOOKUP($A191,实战属性,14,FALSE),VLOOKUP($A191,总基本属性,8,FALSE))-
IF($B191&gt;10000,VLOOKUP($B191,实战属性,16,FALSE),VLOOKUP($B191,总基本属性,10,FALSE))*$L$13)*G201)</f>
        <v>46937</v>
      </c>
      <c r="H202">
        <f>H201+F202+G202</f>
        <v>48312</v>
      </c>
      <c r="I202">
        <f>IF($B191&gt;10000,VLOOKUP($B191,实战属性,12,FALSE),VLOOKUP($B191,总基本属性,6,FALSE))</f>
        <v>78480</v>
      </c>
      <c r="J202">
        <f>ROUND(I202/H203,2)</f>
        <v>1.03</v>
      </c>
    </row>
    <row r="203" spans="1:10" x14ac:dyDescent="0.15">
      <c r="E203" t="s">
        <v>376</v>
      </c>
      <c r="F203">
        <f>INT(F199*C199)</f>
        <v>15633</v>
      </c>
      <c r="G203">
        <f>INT(G198*C198)</f>
        <v>12285</v>
      </c>
      <c r="H203">
        <f>F203+G203+H202</f>
        <v>76230</v>
      </c>
    </row>
    <row r="207" spans="1:10" x14ac:dyDescent="0.15">
      <c r="A207" s="8" t="s">
        <v>3</v>
      </c>
      <c r="B207" s="8" t="s">
        <v>442</v>
      </c>
      <c r="C207" s="8" t="s">
        <v>178</v>
      </c>
      <c r="D207" s="8" t="s">
        <v>0</v>
      </c>
    </row>
    <row r="208" spans="1:10" x14ac:dyDescent="0.15">
      <c r="A208">
        <f>A178+10</f>
        <v>2070</v>
      </c>
      <c r="B208">
        <f>B178+10</f>
        <v>4070</v>
      </c>
      <c r="C208">
        <v>16</v>
      </c>
      <c r="D208">
        <f>MOD(A208,1000)</f>
        <v>70</v>
      </c>
    </row>
    <row r="209" spans="1:10" x14ac:dyDescent="0.15">
      <c r="A209" t="s">
        <v>156</v>
      </c>
      <c r="B209" t="s">
        <v>95</v>
      </c>
      <c r="C209" t="s">
        <v>177</v>
      </c>
      <c r="D209" t="s">
        <v>143</v>
      </c>
      <c r="E209" t="s">
        <v>182</v>
      </c>
      <c r="F209" t="s">
        <v>192</v>
      </c>
      <c r="G209" t="s">
        <v>193</v>
      </c>
      <c r="H209" t="s">
        <v>176</v>
      </c>
      <c r="I209" t="s">
        <v>205</v>
      </c>
      <c r="J209" t="s">
        <v>206</v>
      </c>
    </row>
    <row r="210" spans="1:10" x14ac:dyDescent="0.15">
      <c r="A210">
        <v>25</v>
      </c>
      <c r="B210" t="s">
        <v>23</v>
      </c>
      <c r="C210">
        <v>1</v>
      </c>
      <c r="D210">
        <f>VLOOKUP(A210,技能参数,4,FALSE)</f>
        <v>2</v>
      </c>
      <c r="E210">
        <f>IFERROR(VLOOKUP(A210*1000+D208,学习等级编码,2),0)</f>
        <v>2505</v>
      </c>
      <c r="F210">
        <f t="shared" ref="F210:F212" si="40">IFERROR(INT(VLOOKUP($E210,技能升级,9,FALSE)*$C210*I210*J210),0)</f>
        <v>6000</v>
      </c>
      <c r="G210">
        <f t="shared" ref="G210:G213" si="41">IFERROR(INT(VLOOKUP($E210,技能升级,10,FALSE)*$C210*I210*J210),0)</f>
        <v>0</v>
      </c>
      <c r="H210">
        <f>INT(VLOOKUP($E210,技能升级,11,FALSE)*$C210*I210*J210)</f>
        <v>441</v>
      </c>
      <c r="I210">
        <v>1</v>
      </c>
      <c r="J210">
        <v>1</v>
      </c>
    </row>
    <row r="211" spans="1:10" x14ac:dyDescent="0.15">
      <c r="A211">
        <v>23</v>
      </c>
      <c r="B211" t="s">
        <v>24</v>
      </c>
      <c r="C211">
        <f>INT((C208-D211-D212*3)/(VLOOKUP(A211,技能参数,5,FALSE)+2*VLOOKUP(A211,技能参数,4,FALSE))+1)+1</f>
        <v>2</v>
      </c>
      <c r="D211">
        <f>VLOOKUP(A211,技能参数,4,FALSE)</f>
        <v>1</v>
      </c>
      <c r="E211">
        <f>IFERROR(VLOOKUP(A211*1000+D208,学习等级编码,2),0)</f>
        <v>2307</v>
      </c>
      <c r="F211">
        <f t="shared" si="40"/>
        <v>2400</v>
      </c>
      <c r="G211">
        <f t="shared" si="41"/>
        <v>0</v>
      </c>
      <c r="H211">
        <f>INT(VLOOKUP($E211,技能升级,11,FALSE)*$C211*I211*J211)</f>
        <v>698</v>
      </c>
      <c r="I211">
        <v>1</v>
      </c>
      <c r="J211">
        <v>1</v>
      </c>
    </row>
    <row r="212" spans="1:10" x14ac:dyDescent="0.15">
      <c r="A212">
        <v>22</v>
      </c>
      <c r="B212" t="s">
        <v>22</v>
      </c>
      <c r="C212">
        <f>INT((C208-C210*D210-C211*D211-C214)/D212)</f>
        <v>4</v>
      </c>
      <c r="D212">
        <f>VLOOKUP(A212,技能参数,4,FALSE)</f>
        <v>1.5</v>
      </c>
      <c r="E212">
        <f>IFERROR(VLOOKUP(A212*1000+D208,学习等级编码,2),0)</f>
        <v>2207</v>
      </c>
      <c r="F212">
        <f t="shared" si="40"/>
        <v>15606</v>
      </c>
      <c r="G212">
        <f t="shared" si="41"/>
        <v>0</v>
      </c>
      <c r="H212">
        <f>INT(VLOOKUP($E212,技能升级,11,FALSE)*$C212*I212*J212)</f>
        <v>1830</v>
      </c>
      <c r="I212">
        <v>1</v>
      </c>
      <c r="J212">
        <f>VLOOKUP(A208,$A$2:$I$21,7,FALSE)</f>
        <v>1.2750000000000001</v>
      </c>
    </row>
    <row r="213" spans="1:10" x14ac:dyDescent="0.15">
      <c r="A213">
        <v>21</v>
      </c>
      <c r="B213" t="s">
        <v>441</v>
      </c>
      <c r="C213">
        <f>INT((C208-C210*D210-C211*D211-C212*D212-C214)/D213)</f>
        <v>1</v>
      </c>
      <c r="D213">
        <f>VLOOKUP(A213,技能参数,4,FALSE)</f>
        <v>1</v>
      </c>
      <c r="E213">
        <f>IFERROR(VLOOKUP(A213*1000+D208,学习等级编码,2),0)</f>
        <v>2111</v>
      </c>
      <c r="F213">
        <f>IFERROR(INT(VLOOKUP($E213,技能升级,9,FALSE)*$C213*I213*J213),0)</f>
        <v>1360</v>
      </c>
      <c r="G213">
        <f t="shared" si="41"/>
        <v>0</v>
      </c>
      <c r="H213">
        <f>INT(VLOOKUP($E213,技能升级,11,FALSE)*$C213*I213*J213)</f>
        <v>406</v>
      </c>
      <c r="I213">
        <v>1</v>
      </c>
      <c r="J213">
        <v>1</v>
      </c>
    </row>
    <row r="214" spans="1:10" x14ac:dyDescent="0.15">
      <c r="B214" t="s">
        <v>440</v>
      </c>
      <c r="C214">
        <f>D225</f>
        <v>5</v>
      </c>
    </row>
    <row r="215" spans="1:10" x14ac:dyDescent="0.15">
      <c r="E215" t="s">
        <v>194</v>
      </c>
      <c r="F215">
        <f>SUM(F210:F213)/1000</f>
        <v>25.366</v>
      </c>
      <c r="G215">
        <f>SUM(G210:G213)/1000</f>
        <v>0</v>
      </c>
      <c r="H215">
        <f>SUM(H210:H213)</f>
        <v>3375</v>
      </c>
      <c r="I215" t="s">
        <v>196</v>
      </c>
      <c r="J215" t="s">
        <v>197</v>
      </c>
    </row>
    <row r="216" spans="1:10" x14ac:dyDescent="0.15">
      <c r="E216" t="s">
        <v>195</v>
      </c>
      <c r="F216">
        <f>INT((IF($A208&gt;10000,VLOOKUP($A208,实战属性,13,FALSE),VLOOKUP($A208,总基本属性,7,FALSE))-
IF($B208&gt;10000,VLOOKUP($B208,实战属性,15,FALSE),VLOOKUP($B208,总基本属性,9,FALSE))*$L$13)*F215)</f>
        <v>84481</v>
      </c>
      <c r="G216">
        <f>INT((IF($A208&gt;10000,VLOOKUP($A208,实战属性,14,FALSE),VLOOKUP($A208,总基本属性,8,FALSE))-
IF($B208&gt;10000,VLOOKUP($B208,实战属性,16,FALSE),VLOOKUP($B208,总基本属性,10,FALSE))*$L$13)*G215)</f>
        <v>0</v>
      </c>
      <c r="H216">
        <f>H215+F216+G216</f>
        <v>87856</v>
      </c>
      <c r="I216">
        <f>IF($B208&gt;10000,VLOOKUP($B208,实战属性,12,FALSE),VLOOKUP($B208,总基本属性,6,FALSE))+I226</f>
        <v>91482</v>
      </c>
      <c r="J216">
        <f>ROUND(I216/H216,2)</f>
        <v>1.04</v>
      </c>
    </row>
    <row r="220" spans="1:10" x14ac:dyDescent="0.15">
      <c r="A220" s="9" t="s">
        <v>5</v>
      </c>
      <c r="B220" s="9" t="s">
        <v>3</v>
      </c>
      <c r="C220" s="9" t="s">
        <v>178</v>
      </c>
      <c r="D220" s="9" t="s">
        <v>0</v>
      </c>
      <c r="G220" t="s">
        <v>445</v>
      </c>
      <c r="H220">
        <f>INT(I232/J232/C221)</f>
        <v>4136</v>
      </c>
      <c r="I220" t="s">
        <v>446</v>
      </c>
      <c r="J220">
        <f>ROUND(I226/H220,1)</f>
        <v>3</v>
      </c>
    </row>
    <row r="221" spans="1:10" x14ac:dyDescent="0.15">
      <c r="A221">
        <f>A191+10</f>
        <v>4070</v>
      </c>
      <c r="B221">
        <f>B191+10</f>
        <v>2070</v>
      </c>
      <c r="C221">
        <v>25</v>
      </c>
      <c r="D221">
        <f>MOD(A221,1000)</f>
        <v>70</v>
      </c>
      <c r="G221" t="s">
        <v>447</v>
      </c>
      <c r="H221">
        <v>5</v>
      </c>
      <c r="I221" t="s">
        <v>383</v>
      </c>
      <c r="J221">
        <f>VLOOKUP(D221,召唤物生存,11)</f>
        <v>9.7899999999999991</v>
      </c>
    </row>
    <row r="222" spans="1:10" x14ac:dyDescent="0.15">
      <c r="A222" t="s">
        <v>156</v>
      </c>
      <c r="B222" t="s">
        <v>95</v>
      </c>
      <c r="C222" t="s">
        <v>177</v>
      </c>
      <c r="D222" t="s">
        <v>143</v>
      </c>
      <c r="E222" t="s">
        <v>182</v>
      </c>
      <c r="F222" t="s">
        <v>192</v>
      </c>
      <c r="G222" t="s">
        <v>193</v>
      </c>
      <c r="H222" t="s">
        <v>176</v>
      </c>
      <c r="I222" t="s">
        <v>205</v>
      </c>
      <c r="J222" t="s">
        <v>206</v>
      </c>
    </row>
    <row r="223" spans="1:10" x14ac:dyDescent="0.15">
      <c r="A223">
        <v>42</v>
      </c>
      <c r="B223" t="s">
        <v>35</v>
      </c>
      <c r="C223">
        <v>1</v>
      </c>
      <c r="D223">
        <f>VLOOKUP(A223,技能参数,4,FALSE)</f>
        <v>1</v>
      </c>
      <c r="E223">
        <f>IFERROR(VLOOKUP(A223*1000+D221,学习等级编码,2),0)</f>
        <v>4207</v>
      </c>
      <c r="F223">
        <f>IFERROR(INT(VLOOKUP($E223,技能升级,9,FALSE)*$C223*I223*J223),0)</f>
        <v>0</v>
      </c>
      <c r="G223">
        <f>IFERROR(INT(VLOOKUP($E223,技能升级,10,FALSE)*$C223*I223*J223),0)</f>
        <v>0</v>
      </c>
      <c r="H223">
        <f>INT(VLOOKUP($E223,技能升级,11,FALSE)*$C223*I223*J223)</f>
        <v>0</v>
      </c>
      <c r="I223">
        <v>1</v>
      </c>
      <c r="J223">
        <v>1</v>
      </c>
    </row>
    <row r="224" spans="1:10" x14ac:dyDescent="0.15">
      <c r="A224">
        <v>43</v>
      </c>
      <c r="B224" t="s">
        <v>36</v>
      </c>
      <c r="C224">
        <v>1</v>
      </c>
      <c r="D224">
        <f>VLOOKUP(A224,技能参数,4,FALSE)</f>
        <v>1</v>
      </c>
      <c r="E224">
        <f>IFERROR(VLOOKUP(A224*1000+D221,学习等级编码,2),0)</f>
        <v>4307</v>
      </c>
      <c r="F224">
        <f t="shared" ref="F224" si="42">IFERROR(INT(VLOOKUP($E224,技能升级,9,FALSE)*$C224*I224*J224),0)</f>
        <v>0</v>
      </c>
      <c r="G224">
        <f t="shared" ref="G224" si="43">IFERROR(INT(VLOOKUP($E224,技能升级,10,FALSE)*$C224*I224*J224),0)</f>
        <v>0</v>
      </c>
      <c r="H224">
        <f>INT(VLOOKUP($E224,技能升级,11,FALSE)*$C224*I224*J224)</f>
        <v>0</v>
      </c>
      <c r="I224">
        <v>1</v>
      </c>
      <c r="J224">
        <v>1</v>
      </c>
    </row>
    <row r="225" spans="1:10" x14ac:dyDescent="0.15">
      <c r="A225">
        <v>44</v>
      </c>
      <c r="B225" t="s">
        <v>38</v>
      </c>
      <c r="C225">
        <v>1</v>
      </c>
      <c r="D225">
        <f>IFERROR(INT(VLOOKUP($E225,技能升级,13,FALSE)),0)</f>
        <v>5</v>
      </c>
      <c r="E225">
        <f>IFERROR(VLOOKUP(A225*1000+D221,学习等级编码,2),0)</f>
        <v>4407</v>
      </c>
      <c r="F225">
        <f>IFERROR(INT(VLOOKUP($E225,技能升级,9,FALSE)*$C225*I225*J225),0)</f>
        <v>0</v>
      </c>
      <c r="G225">
        <f>IFERROR(INT(VLOOKUP($E225,技能升级,10,FALSE)*$D225*I225*J225),0)</f>
        <v>9500</v>
      </c>
      <c r="H225">
        <f>INT(VLOOKUP($E225,技能升级,11,FALSE)*$D225*I225*J225)</f>
        <v>1850</v>
      </c>
      <c r="I225">
        <v>1</v>
      </c>
      <c r="J225">
        <f>VLOOKUP(A221,$A$2:$I$21,8,FALSE)</f>
        <v>1</v>
      </c>
    </row>
    <row r="226" spans="1:10" x14ac:dyDescent="0.15">
      <c r="A226">
        <v>45</v>
      </c>
      <c r="B226" t="s">
        <v>37</v>
      </c>
      <c r="C226">
        <v>1</v>
      </c>
      <c r="D226">
        <f>VLOOKUP(A226,技能参数,4,FALSE)</f>
        <v>2</v>
      </c>
      <c r="E226">
        <f>IFERROR(VLOOKUP(A226*1000+D221,学习等级编码,2),0)</f>
        <v>4505</v>
      </c>
      <c r="F226">
        <f>IFERROR(INT(VLOOKUP($E226,技能升级,9,FALSE)*$C226*I226*J226),0)</f>
        <v>0</v>
      </c>
      <c r="G226">
        <f t="shared" ref="G226:G227" si="44">IFERROR(INT(VLOOKUP($E226,技能升级,10,FALSE)*$C226*I226*J226),0)</f>
        <v>0</v>
      </c>
      <c r="H226">
        <f>INT(VLOOKUP($E226,技能升级,11,FALSE)*$C226*I226*J226)</f>
        <v>0</v>
      </c>
      <c r="I226">
        <f>INT(VLOOKUP($E226,技能升级,13,FALSE)*$C226)</f>
        <v>12372</v>
      </c>
      <c r="J226">
        <v>1</v>
      </c>
    </row>
    <row r="227" spans="1:10" x14ac:dyDescent="0.15">
      <c r="A227">
        <v>41</v>
      </c>
      <c r="B227" t="s">
        <v>361</v>
      </c>
      <c r="C227">
        <f>IF(INT((C221-C223*D223-C224*D224-C225*D225-C226*D226-C230)/D227)&gt;0,INT((C221-C223*D223-C224*D224-C225*D225-C226*D226-C230)/D227),0)</f>
        <v>9</v>
      </c>
      <c r="D227">
        <f>VLOOKUP(A227,技能参数,4,FALSE)</f>
        <v>1.2</v>
      </c>
      <c r="E227">
        <f>IFERROR(VLOOKUP(A227*1000+D221,学习等级编码,2),0)</f>
        <v>4111</v>
      </c>
      <c r="F227">
        <f>IFERROR(INT(VLOOKUP($E227,技能升级,9,FALSE)*$C227*I227*J227),0)</f>
        <v>0</v>
      </c>
      <c r="G227">
        <f t="shared" si="44"/>
        <v>12870</v>
      </c>
      <c r="H227">
        <f>INT(VLOOKUP($E227,技能升级,11,FALSE)*$C227*I227*J227)</f>
        <v>3654</v>
      </c>
      <c r="I227">
        <v>1</v>
      </c>
      <c r="J227">
        <f>VLOOKUP(A221,$A$2:$I$21,8,FALSE)</f>
        <v>1</v>
      </c>
    </row>
    <row r="228" spans="1:10" x14ac:dyDescent="0.15">
      <c r="A228">
        <f>VLOOKUP(E223,技能升级,13,FALSE)</f>
        <v>107</v>
      </c>
      <c r="B228" t="s">
        <v>375</v>
      </c>
      <c r="C228">
        <f>IF(C221&lt;J221,C221+C221-H221,IF(C221&gt;J221+H221,J221+J221,J221+C221-H221))-C230*2</f>
        <v>9.5799999999999983</v>
      </c>
      <c r="G228">
        <f>INT((VLOOKUP(A228,召唤物属性,7,FALSE)-
IF($B221&gt;10000,VLOOKUP($B221,实战属性,15,FALSE),VLOOKUP($B221,总基本属性,9,FALSE))*$L$13)*I228*J228)</f>
        <v>1761</v>
      </c>
      <c r="I228">
        <f>VLOOKUP($E223,技能升级,14,FALSE)</f>
        <v>2</v>
      </c>
      <c r="J228">
        <v>1</v>
      </c>
    </row>
    <row r="229" spans="1:10" x14ac:dyDescent="0.15">
      <c r="A229">
        <f>VLOOKUP(E224,技能升级,13,FALSE)</f>
        <v>207</v>
      </c>
      <c r="B229" t="s">
        <v>374</v>
      </c>
      <c r="C229">
        <f>IF(C221&lt;J221,C221+C221-H221,IF(C221&gt;J221+H221,J221+J221,J221+C221-H221))-C230*2</f>
        <v>9.5799999999999983</v>
      </c>
      <c r="F229">
        <f>INT((VLOOKUP(A229,召唤物属性,6,FALSE)-
IF($B221&gt;10000,VLOOKUP($B221,实战属性,15,FALSE),VLOOKUP($B221,总基本属性,9,FALSE))*$L$13)*I229*J229)</f>
        <v>2341</v>
      </c>
      <c r="I229">
        <f>VLOOKUP($E224,技能升级,14,FALSE)</f>
        <v>3</v>
      </c>
      <c r="J229">
        <f>VLOOKUP(A221,$A$2:$I$21,9,FALSE)</f>
        <v>1</v>
      </c>
    </row>
    <row r="230" spans="1:10" x14ac:dyDescent="0.15">
      <c r="B230" t="s">
        <v>411</v>
      </c>
      <c r="C230">
        <f>C211*1.5+2</f>
        <v>5</v>
      </c>
    </row>
    <row r="231" spans="1:10" x14ac:dyDescent="0.15">
      <c r="E231" t="s">
        <v>194</v>
      </c>
      <c r="F231">
        <f>SUM(F223:F227)/1000</f>
        <v>0</v>
      </c>
      <c r="G231">
        <f>SUM(G223:G227)/1000</f>
        <v>22.37</v>
      </c>
      <c r="H231">
        <f>SUM(H223:H226)</f>
        <v>1850</v>
      </c>
      <c r="I231" t="s">
        <v>196</v>
      </c>
      <c r="J231" t="s">
        <v>197</v>
      </c>
    </row>
    <row r="232" spans="1:10" x14ac:dyDescent="0.15">
      <c r="E232" t="s">
        <v>195</v>
      </c>
      <c r="F232">
        <f>INT((IF($A221&gt;10000,VLOOKUP($A221,实战属性,13,FALSE),VLOOKUP($A221,总基本属性,7,FALSE))-
IF($B221&gt;10000,VLOOKUP($B221,实战属性,15,FALSE),VLOOKUP($B221,总基本属性,9,FALSE))*$L$13)*F231)</f>
        <v>0</v>
      </c>
      <c r="G232">
        <f>INT((IF($A221&gt;10000,VLOOKUP($A221,实战属性,14,FALSE),VLOOKUP($A221,总基本属性,8,FALSE))-
IF($B221&gt;10000,VLOOKUP($B221,实战属性,16,FALSE),VLOOKUP($B221,总基本属性,10,FALSE))*$L$13)*G231)</f>
        <v>62233</v>
      </c>
      <c r="H232">
        <f>H231+F232+G232</f>
        <v>64083</v>
      </c>
      <c r="I232">
        <f>IF($B221&gt;10000,VLOOKUP($B221,实战属性,12,FALSE),VLOOKUP($B221,总基本属性,6,FALSE))</f>
        <v>105480</v>
      </c>
      <c r="J232">
        <f>ROUND(I232/H233,2)</f>
        <v>1.02</v>
      </c>
    </row>
    <row r="233" spans="1:10" x14ac:dyDescent="0.15">
      <c r="E233" t="s">
        <v>376</v>
      </c>
      <c r="F233">
        <f>INT(F229*C229)</f>
        <v>22426</v>
      </c>
      <c r="G233">
        <f>INT(G228*C228)</f>
        <v>16870</v>
      </c>
      <c r="H233">
        <f>F233+G233+H232</f>
        <v>103379</v>
      </c>
    </row>
    <row r="237" spans="1:10" x14ac:dyDescent="0.15">
      <c r="A237" s="8" t="s">
        <v>3</v>
      </c>
      <c r="B237" s="8" t="s">
        <v>442</v>
      </c>
      <c r="C237" s="8" t="s">
        <v>178</v>
      </c>
      <c r="D237" s="8" t="s">
        <v>0</v>
      </c>
    </row>
    <row r="238" spans="1:10" x14ac:dyDescent="0.15">
      <c r="A238">
        <f>A208+10</f>
        <v>2080</v>
      </c>
      <c r="B238">
        <f>B208+10</f>
        <v>4080</v>
      </c>
      <c r="C238">
        <v>16</v>
      </c>
      <c r="D238">
        <f>MOD(A238,1000)</f>
        <v>80</v>
      </c>
    </row>
    <row r="239" spans="1:10" x14ac:dyDescent="0.15">
      <c r="A239" t="s">
        <v>156</v>
      </c>
      <c r="B239" t="s">
        <v>95</v>
      </c>
      <c r="C239" t="s">
        <v>177</v>
      </c>
      <c r="D239" t="s">
        <v>143</v>
      </c>
      <c r="E239" t="s">
        <v>182</v>
      </c>
      <c r="F239" t="s">
        <v>192</v>
      </c>
      <c r="G239" t="s">
        <v>193</v>
      </c>
      <c r="H239" t="s">
        <v>176</v>
      </c>
      <c r="I239" t="s">
        <v>205</v>
      </c>
      <c r="J239" t="s">
        <v>206</v>
      </c>
    </row>
    <row r="240" spans="1:10" x14ac:dyDescent="0.15">
      <c r="A240">
        <v>25</v>
      </c>
      <c r="B240" t="s">
        <v>23</v>
      </c>
      <c r="C240">
        <v>1</v>
      </c>
      <c r="D240">
        <f>VLOOKUP(A240,技能参数,4,FALSE)</f>
        <v>2</v>
      </c>
      <c r="E240">
        <f>IFERROR(VLOOKUP(A240*1000+D238,学习等级编码,2),0)</f>
        <v>2505</v>
      </c>
      <c r="F240">
        <f t="shared" ref="F240:F242" si="45">IFERROR(INT(VLOOKUP($E240,技能升级,9,FALSE)*$C240*I240*J240),0)</f>
        <v>6000</v>
      </c>
      <c r="G240">
        <f t="shared" ref="G240:G243" si="46">IFERROR(INT(VLOOKUP($E240,技能升级,10,FALSE)*$C240*I240*J240),0)</f>
        <v>0</v>
      </c>
      <c r="H240">
        <f>INT(VLOOKUP($E240,技能升级,11,FALSE)*$C240*I240*J240)</f>
        <v>441</v>
      </c>
      <c r="I240">
        <v>1</v>
      </c>
      <c r="J240">
        <v>1</v>
      </c>
    </row>
    <row r="241" spans="1:10" x14ac:dyDescent="0.15">
      <c r="A241">
        <v>23</v>
      </c>
      <c r="B241" t="s">
        <v>24</v>
      </c>
      <c r="C241">
        <f>INT((C238-D241-D242*3)/(VLOOKUP(A241,技能参数,5,FALSE)+2*VLOOKUP(A241,技能参数,4,FALSE))+1)+1</f>
        <v>2</v>
      </c>
      <c r="D241">
        <f>VLOOKUP(A241,技能参数,4,FALSE)</f>
        <v>1</v>
      </c>
      <c r="E241">
        <f>IFERROR(VLOOKUP(A241*1000+D238,学习等级编码,2),0)</f>
        <v>2308</v>
      </c>
      <c r="F241">
        <f t="shared" si="45"/>
        <v>2460</v>
      </c>
      <c r="G241">
        <f t="shared" si="46"/>
        <v>0</v>
      </c>
      <c r="H241">
        <f>INT(VLOOKUP($E241,技能升级,11,FALSE)*$C241*I241*J241)</f>
        <v>914</v>
      </c>
      <c r="I241">
        <v>1</v>
      </c>
      <c r="J241">
        <v>1</v>
      </c>
    </row>
    <row r="242" spans="1:10" x14ac:dyDescent="0.15">
      <c r="A242">
        <v>22</v>
      </c>
      <c r="B242" t="s">
        <v>22</v>
      </c>
      <c r="C242">
        <f>INT((C238-C240*D240-C241*D241-C244)/D242)</f>
        <v>4</v>
      </c>
      <c r="D242">
        <f>VLOOKUP(A242,技能参数,4,FALSE)</f>
        <v>1.5</v>
      </c>
      <c r="E242">
        <f>IFERROR(VLOOKUP(A242*1000+D238,学习等级编码,2),0)</f>
        <v>2208</v>
      </c>
      <c r="F242">
        <f t="shared" si="45"/>
        <v>17035</v>
      </c>
      <c r="G242">
        <f t="shared" si="46"/>
        <v>0</v>
      </c>
      <c r="H242">
        <f>INT(VLOOKUP($E242,技能升级,11,FALSE)*$C242*I242*J242)</f>
        <v>2527</v>
      </c>
      <c r="I242">
        <v>1</v>
      </c>
      <c r="J242">
        <f>VLOOKUP(A238,$A$2:$I$21,7,FALSE)</f>
        <v>1.365</v>
      </c>
    </row>
    <row r="243" spans="1:10" x14ac:dyDescent="0.15">
      <c r="A243">
        <v>21</v>
      </c>
      <c r="B243" t="s">
        <v>441</v>
      </c>
      <c r="C243">
        <f>INT((C238-C240*D240-C241*D241-C242*D242-C244)/D243)</f>
        <v>1</v>
      </c>
      <c r="D243">
        <f>VLOOKUP(A243,技能参数,4,FALSE)</f>
        <v>1</v>
      </c>
      <c r="E243">
        <f>IFERROR(VLOOKUP(A243*1000+D238,学习等级编码,2),0)</f>
        <v>2112</v>
      </c>
      <c r="F243">
        <f>IFERROR(INT(VLOOKUP($E243,技能升级,9,FALSE)*$C243*I243*J243),0)</f>
        <v>1390</v>
      </c>
      <c r="G243">
        <f t="shared" si="46"/>
        <v>0</v>
      </c>
      <c r="H243">
        <f>INT(VLOOKUP($E243,技能升级,11,FALSE)*$C243*I243*J243)</f>
        <v>487</v>
      </c>
      <c r="I243">
        <v>1</v>
      </c>
      <c r="J243">
        <v>1</v>
      </c>
    </row>
    <row r="244" spans="1:10" x14ac:dyDescent="0.15">
      <c r="B244" t="s">
        <v>440</v>
      </c>
      <c r="C244">
        <f>D255</f>
        <v>5</v>
      </c>
    </row>
    <row r="245" spans="1:10" x14ac:dyDescent="0.15">
      <c r="E245" t="s">
        <v>194</v>
      </c>
      <c r="F245">
        <f>SUM(F240:F243)/1000</f>
        <v>26.885000000000002</v>
      </c>
      <c r="G245">
        <f>SUM(G240:G243)/1000</f>
        <v>0</v>
      </c>
      <c r="H245">
        <f>SUM(H240:H243)</f>
        <v>4369</v>
      </c>
      <c r="I245" t="s">
        <v>196</v>
      </c>
      <c r="J245" t="s">
        <v>197</v>
      </c>
    </row>
    <row r="246" spans="1:10" x14ac:dyDescent="0.15">
      <c r="E246" t="s">
        <v>195</v>
      </c>
      <c r="F246">
        <f>INT((IF($A238&gt;10000,VLOOKUP($A238,实战属性,13,FALSE),VLOOKUP($A238,总基本属性,7,FALSE))-
IF($B238&gt;10000,VLOOKUP($B238,实战属性,15,FALSE),VLOOKUP($B238,总基本属性,9,FALSE))*$L$13)*F245)</f>
        <v>104555</v>
      </c>
      <c r="G246">
        <f>INT((IF($A238&gt;10000,VLOOKUP($A238,实战属性,14,FALSE),VLOOKUP($A238,总基本属性,8,FALSE))-
IF($B238&gt;10000,VLOOKUP($B238,实战属性,16,FALSE),VLOOKUP($B238,总基本属性,10,FALSE))*$L$13)*G245)</f>
        <v>0</v>
      </c>
      <c r="H246">
        <f>H245+F246+G246</f>
        <v>108924</v>
      </c>
      <c r="I246">
        <f>IF($B238&gt;10000,VLOOKUP($B238,实战属性,12,FALSE),VLOOKUP($B238,总基本属性,6,FALSE))+I256</f>
        <v>114702</v>
      </c>
      <c r="J246">
        <f>ROUND(I246/H246,2)</f>
        <v>1.05</v>
      </c>
    </row>
    <row r="250" spans="1:10" x14ac:dyDescent="0.15">
      <c r="A250" s="9" t="s">
        <v>5</v>
      </c>
      <c r="B250" s="9" t="s">
        <v>3</v>
      </c>
      <c r="C250" s="9" t="s">
        <v>178</v>
      </c>
      <c r="D250" s="9" t="s">
        <v>0</v>
      </c>
      <c r="G250" t="s">
        <v>445</v>
      </c>
      <c r="H250">
        <f>INT(I262/J262/C251)</f>
        <v>5298</v>
      </c>
      <c r="I250" t="s">
        <v>446</v>
      </c>
      <c r="J250">
        <f>ROUND(I256/H250,1)</f>
        <v>2.2999999999999998</v>
      </c>
    </row>
    <row r="251" spans="1:10" x14ac:dyDescent="0.15">
      <c r="A251">
        <f>A221+10</f>
        <v>4080</v>
      </c>
      <c r="B251">
        <f>B221+10</f>
        <v>2080</v>
      </c>
      <c r="C251">
        <v>25</v>
      </c>
      <c r="D251">
        <f>MOD(A251,1000)</f>
        <v>80</v>
      </c>
      <c r="G251" t="s">
        <v>447</v>
      </c>
      <c r="H251">
        <v>5</v>
      </c>
      <c r="I251" t="s">
        <v>383</v>
      </c>
      <c r="J251">
        <f>VLOOKUP(D251,召唤物生存,11)</f>
        <v>9.3800000000000008</v>
      </c>
    </row>
    <row r="252" spans="1:10" x14ac:dyDescent="0.15">
      <c r="A252" t="s">
        <v>156</v>
      </c>
      <c r="B252" t="s">
        <v>95</v>
      </c>
      <c r="C252" t="s">
        <v>177</v>
      </c>
      <c r="D252" t="s">
        <v>143</v>
      </c>
      <c r="E252" t="s">
        <v>182</v>
      </c>
      <c r="F252" t="s">
        <v>192</v>
      </c>
      <c r="G252" t="s">
        <v>193</v>
      </c>
      <c r="H252" t="s">
        <v>176</v>
      </c>
      <c r="I252" t="s">
        <v>205</v>
      </c>
      <c r="J252" t="s">
        <v>206</v>
      </c>
    </row>
    <row r="253" spans="1:10" x14ac:dyDescent="0.15">
      <c r="A253">
        <v>42</v>
      </c>
      <c r="B253" t="s">
        <v>35</v>
      </c>
      <c r="C253">
        <v>1</v>
      </c>
      <c r="D253">
        <f>VLOOKUP(A253,技能参数,4,FALSE)</f>
        <v>1</v>
      </c>
      <c r="E253">
        <f>IFERROR(VLOOKUP(A253*1000+D251,学习等级编码,2),0)</f>
        <v>4208</v>
      </c>
      <c r="F253">
        <f>IFERROR(INT(VLOOKUP($E253,技能升级,9,FALSE)*$C253*I253*J253),0)</f>
        <v>0</v>
      </c>
      <c r="G253">
        <f>IFERROR(INT(VLOOKUP($E253,技能升级,10,FALSE)*$C253*I253*J253),0)</f>
        <v>0</v>
      </c>
      <c r="H253">
        <f>INT(VLOOKUP($E253,技能升级,11,FALSE)*$C253*I253*J253)</f>
        <v>0</v>
      </c>
      <c r="I253">
        <v>1</v>
      </c>
      <c r="J253">
        <v>1</v>
      </c>
    </row>
    <row r="254" spans="1:10" x14ac:dyDescent="0.15">
      <c r="A254">
        <v>43</v>
      </c>
      <c r="B254" t="s">
        <v>36</v>
      </c>
      <c r="C254">
        <v>1</v>
      </c>
      <c r="D254">
        <f>VLOOKUP(A254,技能参数,4,FALSE)</f>
        <v>1</v>
      </c>
      <c r="E254">
        <f>IFERROR(VLOOKUP(A254*1000+D251,学习等级编码,2),0)</f>
        <v>4308</v>
      </c>
      <c r="F254">
        <f t="shared" ref="F254" si="47">IFERROR(INT(VLOOKUP($E254,技能升级,9,FALSE)*$C254*I254*J254),0)</f>
        <v>0</v>
      </c>
      <c r="G254">
        <f t="shared" ref="G254" si="48">IFERROR(INT(VLOOKUP($E254,技能升级,10,FALSE)*$C254*I254*J254),0)</f>
        <v>0</v>
      </c>
      <c r="H254">
        <f>INT(VLOOKUP($E254,技能升级,11,FALSE)*$C254*I254*J254)</f>
        <v>0</v>
      </c>
      <c r="I254">
        <v>1</v>
      </c>
      <c r="J254">
        <v>1</v>
      </c>
    </row>
    <row r="255" spans="1:10" x14ac:dyDescent="0.15">
      <c r="A255">
        <v>44</v>
      </c>
      <c r="B255" t="s">
        <v>38</v>
      </c>
      <c r="C255">
        <v>1</v>
      </c>
      <c r="D255">
        <f>IFERROR(INT(VLOOKUP($E255,技能升级,13,FALSE)),0)</f>
        <v>5</v>
      </c>
      <c r="E255">
        <f>IFERROR(VLOOKUP(A255*1000+D251,学习等级编码,2),0)</f>
        <v>4408</v>
      </c>
      <c r="F255">
        <f>IFERROR(INT(VLOOKUP($E255,技能升级,9,FALSE)*$C255*I255*J255),0)</f>
        <v>0</v>
      </c>
      <c r="G255">
        <f>IFERROR(INT(VLOOKUP($E255,技能升级,10,FALSE)*$D255*I255*J255),0)</f>
        <v>10736</v>
      </c>
      <c r="H255">
        <f>INT(VLOOKUP($E255,技能升级,11,FALSE)*$D255*I255*J255)</f>
        <v>2616</v>
      </c>
      <c r="I255">
        <v>1</v>
      </c>
      <c r="J255">
        <f>VLOOKUP(A251,$A$2:$I$21,8,FALSE)</f>
        <v>1.0899999999999999</v>
      </c>
    </row>
    <row r="256" spans="1:10" x14ac:dyDescent="0.15">
      <c r="A256">
        <v>45</v>
      </c>
      <c r="B256" t="s">
        <v>37</v>
      </c>
      <c r="C256">
        <v>1</v>
      </c>
      <c r="D256">
        <f>VLOOKUP(A256,技能参数,4,FALSE)</f>
        <v>2</v>
      </c>
      <c r="E256">
        <f>IFERROR(VLOOKUP(A256*1000+D251,学习等级编码,2),0)</f>
        <v>4505</v>
      </c>
      <c r="F256">
        <f>IFERROR(INT(VLOOKUP($E256,技能升级,9,FALSE)*$C256*I256*J256),0)</f>
        <v>0</v>
      </c>
      <c r="G256">
        <f t="shared" ref="G256:G257" si="49">IFERROR(INT(VLOOKUP($E256,技能升级,10,FALSE)*$C256*I256*J256),0)</f>
        <v>0</v>
      </c>
      <c r="H256">
        <f>INT(VLOOKUP($E256,技能升级,11,FALSE)*$C256*I256*J256)</f>
        <v>0</v>
      </c>
      <c r="I256">
        <f>INT(VLOOKUP($E256,技能升级,13,FALSE)*$C256)</f>
        <v>12372</v>
      </c>
      <c r="J256">
        <v>1</v>
      </c>
    </row>
    <row r="257" spans="1:10" x14ac:dyDescent="0.15">
      <c r="A257">
        <v>41</v>
      </c>
      <c r="B257" t="s">
        <v>361</v>
      </c>
      <c r="C257">
        <f>IF(INT((C251-C253*D253-C254*D254-C255*D255-C256*D256-C260)/D257)&gt;0,INT((C251-C253*D253-C254*D254-C255*D255-C256*D256-C260)/D257),0)</f>
        <v>9</v>
      </c>
      <c r="D257">
        <f>VLOOKUP(A257,技能参数,4,FALSE)</f>
        <v>1.2</v>
      </c>
      <c r="E257">
        <f>IFERROR(VLOOKUP(A257*1000+D251,学习等级编码,2),0)</f>
        <v>4112</v>
      </c>
      <c r="F257">
        <f>IFERROR(INT(VLOOKUP($E257,技能升级,9,FALSE)*$C257*I257*J257),0)</f>
        <v>0</v>
      </c>
      <c r="G257">
        <f t="shared" si="49"/>
        <v>14420</v>
      </c>
      <c r="H257">
        <f>INT(VLOOKUP($E257,技能升级,11,FALSE)*$C257*I257*J257)</f>
        <v>4777</v>
      </c>
      <c r="I257">
        <v>1</v>
      </c>
      <c r="J257">
        <f>VLOOKUP(A251,$A$2:$I$21,8,FALSE)</f>
        <v>1.0899999999999999</v>
      </c>
    </row>
    <row r="258" spans="1:10" x14ac:dyDescent="0.15">
      <c r="A258">
        <f>VLOOKUP(E253,技能升级,13,FALSE)</f>
        <v>108</v>
      </c>
      <c r="B258" t="s">
        <v>375</v>
      </c>
      <c r="C258">
        <f>IF(C251&lt;J251,C251+C251-H251,IF(C251&gt;J251+H251,J251+J251,J251+C251-H251))-C260*2</f>
        <v>8.7600000000000016</v>
      </c>
      <c r="G258">
        <f>INT((VLOOKUP(A258,召唤物属性,7,FALSE)-
IF($B251&gt;10000,VLOOKUP($B251,实战属性,15,FALSE),VLOOKUP($B251,总基本属性,9,FALSE))*$L$13)*I258*J258)</f>
        <v>2078</v>
      </c>
      <c r="I258">
        <f>VLOOKUP($E253,技能升级,14,FALSE)</f>
        <v>2</v>
      </c>
      <c r="J258">
        <v>1</v>
      </c>
    </row>
    <row r="259" spans="1:10" x14ac:dyDescent="0.15">
      <c r="A259">
        <f>VLOOKUP(E254,技能升级,13,FALSE)</f>
        <v>208</v>
      </c>
      <c r="B259" t="s">
        <v>374</v>
      </c>
      <c r="C259">
        <f>IF(C251&lt;J251,C251+C251-H251,IF(C251&gt;J251+H251,J251+J251,J251+C251-H251))-C260*2</f>
        <v>8.7600000000000016</v>
      </c>
      <c r="F259">
        <f>INT((VLOOKUP(A259,召唤物属性,6,FALSE)-
IF($B251&gt;10000,VLOOKUP($B251,实战属性,15,FALSE),VLOOKUP($B251,总基本属性,9,FALSE))*$L$13)*I259*J259)</f>
        <v>2956</v>
      </c>
      <c r="I259">
        <f>VLOOKUP($E254,技能升级,14,FALSE)</f>
        <v>4</v>
      </c>
      <c r="J259">
        <f>VLOOKUP(A251,$A$2:$I$21,9,FALSE)</f>
        <v>1</v>
      </c>
    </row>
    <row r="260" spans="1:10" x14ac:dyDescent="0.15">
      <c r="B260" t="s">
        <v>411</v>
      </c>
      <c r="C260">
        <f>C241*1.5+2</f>
        <v>5</v>
      </c>
    </row>
    <row r="261" spans="1:10" x14ac:dyDescent="0.15">
      <c r="E261" t="s">
        <v>194</v>
      </c>
      <c r="F261">
        <f>SUM(F253:F257)/1000</f>
        <v>0</v>
      </c>
      <c r="G261">
        <f>SUM(G253:G257)/1000</f>
        <v>25.155999999999999</v>
      </c>
      <c r="H261">
        <f>SUM(H253:H256)</f>
        <v>2616</v>
      </c>
      <c r="I261" t="s">
        <v>196</v>
      </c>
      <c r="J261" t="s">
        <v>197</v>
      </c>
    </row>
    <row r="262" spans="1:10" x14ac:dyDescent="0.15">
      <c r="E262" t="s">
        <v>195</v>
      </c>
      <c r="F262">
        <f>INT((IF($A251&gt;10000,VLOOKUP($A251,实战属性,13,FALSE),VLOOKUP($A251,总基本属性,7,FALSE))-
IF($B251&gt;10000,VLOOKUP($B251,实战属性,15,FALSE),VLOOKUP($B251,总基本属性,9,FALSE))*$L$13)*F261)</f>
        <v>0</v>
      </c>
      <c r="G262">
        <f>INT((IF($A251&gt;10000,VLOOKUP($A251,实战属性,14,FALSE),VLOOKUP($A251,总基本属性,8,FALSE))-
IF($B251&gt;10000,VLOOKUP($B251,实战属性,16,FALSE),VLOOKUP($B251,总基本属性,10,FALSE))*$L$13)*G261)</f>
        <v>86058</v>
      </c>
      <c r="H262">
        <f>H261+F262+G262</f>
        <v>88674</v>
      </c>
      <c r="I262">
        <f>IF($B251&gt;10000,VLOOKUP($B251,实战属性,12,FALSE),VLOOKUP($B251,总基本属性,6,FALSE))</f>
        <v>136440</v>
      </c>
      <c r="J262">
        <f>ROUND(I262/H263,2)</f>
        <v>1.03</v>
      </c>
    </row>
    <row r="263" spans="1:10" x14ac:dyDescent="0.15">
      <c r="E263" t="s">
        <v>376</v>
      </c>
      <c r="F263">
        <f>INT(F259*C259)</f>
        <v>25894</v>
      </c>
      <c r="G263">
        <f>INT(G258*C258)</f>
        <v>18203</v>
      </c>
      <c r="H263">
        <f>F263+G263+H262</f>
        <v>132771</v>
      </c>
    </row>
    <row r="267" spans="1:10" x14ac:dyDescent="0.15">
      <c r="A267" s="8" t="s">
        <v>3</v>
      </c>
      <c r="B267" s="8" t="s">
        <v>442</v>
      </c>
      <c r="C267" s="8" t="s">
        <v>178</v>
      </c>
      <c r="D267" s="8" t="s">
        <v>0</v>
      </c>
    </row>
    <row r="268" spans="1:10" x14ac:dyDescent="0.15">
      <c r="A268">
        <f>A238+10</f>
        <v>2090</v>
      </c>
      <c r="B268">
        <f>B238+10</f>
        <v>4090</v>
      </c>
      <c r="C268">
        <v>17</v>
      </c>
      <c r="D268">
        <f>MOD(A268,1000)</f>
        <v>90</v>
      </c>
    </row>
    <row r="269" spans="1:10" x14ac:dyDescent="0.15">
      <c r="A269" t="s">
        <v>156</v>
      </c>
      <c r="B269" t="s">
        <v>95</v>
      </c>
      <c r="C269" t="s">
        <v>177</v>
      </c>
      <c r="D269" t="s">
        <v>143</v>
      </c>
      <c r="E269" t="s">
        <v>182</v>
      </c>
      <c r="F269" t="s">
        <v>192</v>
      </c>
      <c r="G269" t="s">
        <v>193</v>
      </c>
      <c r="H269" t="s">
        <v>176</v>
      </c>
      <c r="I269" t="s">
        <v>205</v>
      </c>
      <c r="J269" t="s">
        <v>206</v>
      </c>
    </row>
    <row r="270" spans="1:10" x14ac:dyDescent="0.15">
      <c r="A270">
        <v>25</v>
      </c>
      <c r="B270" t="s">
        <v>23</v>
      </c>
      <c r="C270">
        <v>1</v>
      </c>
      <c r="D270">
        <f>VLOOKUP(A270,技能参数,4,FALSE)</f>
        <v>2</v>
      </c>
      <c r="E270">
        <f>IFERROR(VLOOKUP(A270*1000+D268,学习等级编码,2),0)</f>
        <v>2506</v>
      </c>
      <c r="F270">
        <f t="shared" ref="F270:F272" si="50">IFERROR(INT(VLOOKUP($E270,技能升级,9,FALSE)*$C270*I270*J270),0)</f>
        <v>6250</v>
      </c>
      <c r="G270">
        <f t="shared" ref="G270:G273" si="51">IFERROR(INT(VLOOKUP($E270,技能升级,10,FALSE)*$C270*I270*J270),0)</f>
        <v>0</v>
      </c>
      <c r="H270">
        <f>INT(VLOOKUP($E270,技能升级,11,FALSE)*$C270*I270*J270)</f>
        <v>632</v>
      </c>
      <c r="I270">
        <v>1</v>
      </c>
      <c r="J270">
        <v>1</v>
      </c>
    </row>
    <row r="271" spans="1:10" x14ac:dyDescent="0.15">
      <c r="A271">
        <v>23</v>
      </c>
      <c r="B271" t="s">
        <v>24</v>
      </c>
      <c r="C271">
        <f>INT((C268-D271-D272*3)/(VLOOKUP(A271,技能参数,5,FALSE)+2*VLOOKUP(A271,技能参数,4,FALSE))+1)+1</f>
        <v>2</v>
      </c>
      <c r="D271">
        <f>VLOOKUP(A271,技能参数,4,FALSE)</f>
        <v>1</v>
      </c>
      <c r="E271">
        <f>IFERROR(VLOOKUP(A271*1000+D268,学习等级编码,2),0)</f>
        <v>2309</v>
      </c>
      <c r="F271">
        <f t="shared" si="50"/>
        <v>2540</v>
      </c>
      <c r="G271">
        <f t="shared" si="51"/>
        <v>0</v>
      </c>
      <c r="H271">
        <f>INT(VLOOKUP($E271,技能升级,11,FALSE)*$C271*I271*J271)</f>
        <v>1156</v>
      </c>
      <c r="I271">
        <v>1</v>
      </c>
      <c r="J271">
        <v>1</v>
      </c>
    </row>
    <row r="272" spans="1:10" x14ac:dyDescent="0.15">
      <c r="A272">
        <v>22</v>
      </c>
      <c r="B272" t="s">
        <v>22</v>
      </c>
      <c r="C272">
        <f>INT((C268-C270*D270-C271*D271-C274)/D272)</f>
        <v>4</v>
      </c>
      <c r="D272">
        <f>VLOOKUP(A272,技能参数,4,FALSE)</f>
        <v>1.5</v>
      </c>
      <c r="E272">
        <f>IFERROR(VLOOKUP(A272*1000+D268,学习等级编码,2),0)</f>
        <v>2209</v>
      </c>
      <c r="F272">
        <f t="shared" si="50"/>
        <v>18952</v>
      </c>
      <c r="G272">
        <f t="shared" si="51"/>
        <v>0</v>
      </c>
      <c r="H272">
        <f>INT(VLOOKUP($E272,技能升级,11,FALSE)*$C272*I272*J272)</f>
        <v>3468</v>
      </c>
      <c r="I272">
        <v>1</v>
      </c>
      <c r="J272">
        <f>VLOOKUP(A268,$A$2:$I$21,7,FALSE)</f>
        <v>1.4900000000000002</v>
      </c>
    </row>
    <row r="273" spans="1:10" x14ac:dyDescent="0.15">
      <c r="A273">
        <v>21</v>
      </c>
      <c r="B273" t="s">
        <v>441</v>
      </c>
      <c r="C273">
        <f>INT((C268-C270*D270-C271*D271-C272*D272-C274)/D273)</f>
        <v>1</v>
      </c>
      <c r="D273">
        <f>VLOOKUP(A273,技能参数,4,FALSE)</f>
        <v>1</v>
      </c>
      <c r="E273">
        <f>IFERROR(VLOOKUP(A273*1000+D268,学习等级编码,2),0)</f>
        <v>2114</v>
      </c>
      <c r="F273">
        <f>IFERROR(INT(VLOOKUP($E273,技能升级,9,FALSE)*$C273*I273*J273),0)</f>
        <v>1460</v>
      </c>
      <c r="G273">
        <f t="shared" si="51"/>
        <v>0</v>
      </c>
      <c r="H273">
        <f>INT(VLOOKUP($E273,技能升级,11,FALSE)*$C273*I273*J273)</f>
        <v>667</v>
      </c>
      <c r="I273">
        <v>1</v>
      </c>
      <c r="J273">
        <v>1</v>
      </c>
    </row>
    <row r="274" spans="1:10" x14ac:dyDescent="0.15">
      <c r="B274" t="s">
        <v>440</v>
      </c>
      <c r="C274">
        <f>D285</f>
        <v>6</v>
      </c>
    </row>
    <row r="275" spans="1:10" x14ac:dyDescent="0.15">
      <c r="E275" t="s">
        <v>194</v>
      </c>
      <c r="F275">
        <f>SUM(F270:F273)/1000</f>
        <v>29.202000000000002</v>
      </c>
      <c r="G275">
        <f>SUM(G270:G273)/1000</f>
        <v>0</v>
      </c>
      <c r="H275">
        <f>SUM(H270:H273)</f>
        <v>5923</v>
      </c>
      <c r="I275" t="s">
        <v>196</v>
      </c>
      <c r="J275" t="s">
        <v>197</v>
      </c>
    </row>
    <row r="276" spans="1:10" x14ac:dyDescent="0.15">
      <c r="E276" t="s">
        <v>195</v>
      </c>
      <c r="F276">
        <f>INT((IF($A268&gt;10000,VLOOKUP($A268,实战属性,13,FALSE),VLOOKUP($A268,总基本属性,7,FALSE))-
IF($B268&gt;10000,VLOOKUP($B268,实战属性,15,FALSE),VLOOKUP($B268,总基本属性,9,FALSE))*$L$13)*F275)</f>
        <v>138607</v>
      </c>
      <c r="G276">
        <f>INT((IF($A268&gt;10000,VLOOKUP($A268,实战属性,14,FALSE),VLOOKUP($A268,总基本属性,8,FALSE))-
IF($B268&gt;10000,VLOOKUP($B268,实战属性,16,FALSE),VLOOKUP($B268,总基本属性,10,FALSE))*$L$13)*G275)</f>
        <v>0</v>
      </c>
      <c r="H276">
        <f>H275+F276+G276</f>
        <v>144530</v>
      </c>
      <c r="I276">
        <f>IF($B268&gt;10000,VLOOKUP($B268,实战属性,12,FALSE),VLOOKUP($B268,总基本属性,6,FALSE))+I286</f>
        <v>149676</v>
      </c>
      <c r="J276">
        <f>ROUND(I276/H276,2)</f>
        <v>1.04</v>
      </c>
    </row>
    <row r="280" spans="1:10" x14ac:dyDescent="0.15">
      <c r="A280" s="9" t="s">
        <v>5</v>
      </c>
      <c r="B280" s="9" t="s">
        <v>3</v>
      </c>
      <c r="C280" s="9" t="s">
        <v>178</v>
      </c>
      <c r="D280" s="9" t="s">
        <v>0</v>
      </c>
      <c r="G280" t="s">
        <v>445</v>
      </c>
      <c r="H280">
        <f>INT(I292/J292/C281)</f>
        <v>7309</v>
      </c>
      <c r="I280" t="s">
        <v>446</v>
      </c>
      <c r="J280">
        <f>ROUND(I286/H280,1)</f>
        <v>2.9</v>
      </c>
    </row>
    <row r="281" spans="1:10" x14ac:dyDescent="0.15">
      <c r="A281">
        <f>A251+10</f>
        <v>4090</v>
      </c>
      <c r="B281">
        <f>B251+10</f>
        <v>2090</v>
      </c>
      <c r="C281">
        <v>23</v>
      </c>
      <c r="D281">
        <f>MOD(A281,1000)</f>
        <v>90</v>
      </c>
      <c r="G281" t="s">
        <v>447</v>
      </c>
      <c r="H281">
        <v>5</v>
      </c>
      <c r="I281" t="s">
        <v>383</v>
      </c>
      <c r="J281">
        <f>VLOOKUP(D281,召唤物生存,11)</f>
        <v>10.050000000000001</v>
      </c>
    </row>
    <row r="282" spans="1:10" x14ac:dyDescent="0.15">
      <c r="A282" t="s">
        <v>156</v>
      </c>
      <c r="B282" t="s">
        <v>95</v>
      </c>
      <c r="C282" t="s">
        <v>177</v>
      </c>
      <c r="D282" t="s">
        <v>143</v>
      </c>
      <c r="E282" t="s">
        <v>182</v>
      </c>
      <c r="F282" t="s">
        <v>192</v>
      </c>
      <c r="G282" t="s">
        <v>193</v>
      </c>
      <c r="H282" t="s">
        <v>176</v>
      </c>
      <c r="I282" t="s">
        <v>205</v>
      </c>
      <c r="J282" t="s">
        <v>206</v>
      </c>
    </row>
    <row r="283" spans="1:10" x14ac:dyDescent="0.15">
      <c r="A283">
        <v>42</v>
      </c>
      <c r="B283" t="s">
        <v>35</v>
      </c>
      <c r="C283">
        <v>1</v>
      </c>
      <c r="D283">
        <f>VLOOKUP(A283,技能参数,4,FALSE)</f>
        <v>1</v>
      </c>
      <c r="E283">
        <f>IFERROR(VLOOKUP(A283*1000+D281,学习等级编码,2),0)</f>
        <v>4209</v>
      </c>
      <c r="F283">
        <f>IFERROR(INT(VLOOKUP($E283,技能升级,9,FALSE)*$C283*I283*J283),0)</f>
        <v>0</v>
      </c>
      <c r="G283">
        <f>IFERROR(INT(VLOOKUP($E283,技能升级,10,FALSE)*$C283*I283*J283),0)</f>
        <v>0</v>
      </c>
      <c r="H283">
        <f>INT(VLOOKUP($E283,技能升级,11,FALSE)*$C283*I283*J283)</f>
        <v>0</v>
      </c>
      <c r="I283">
        <v>1</v>
      </c>
      <c r="J283">
        <v>1</v>
      </c>
    </row>
    <row r="284" spans="1:10" x14ac:dyDescent="0.15">
      <c r="A284">
        <v>43</v>
      </c>
      <c r="B284" t="s">
        <v>36</v>
      </c>
      <c r="C284">
        <v>1</v>
      </c>
      <c r="D284">
        <f>VLOOKUP(A284,技能参数,4,FALSE)</f>
        <v>1</v>
      </c>
      <c r="E284">
        <f>IFERROR(VLOOKUP(A284*1000+D281,学习等级编码,2),0)</f>
        <v>4309</v>
      </c>
      <c r="F284">
        <f t="shared" ref="F284" si="52">IFERROR(INT(VLOOKUP($E284,技能升级,9,FALSE)*$C284*I284*J284),0)</f>
        <v>0</v>
      </c>
      <c r="G284">
        <f t="shared" ref="G284" si="53">IFERROR(INT(VLOOKUP($E284,技能升级,10,FALSE)*$C284*I284*J284),0)</f>
        <v>0</v>
      </c>
      <c r="H284">
        <f>INT(VLOOKUP($E284,技能升级,11,FALSE)*$C284*I284*J284)</f>
        <v>0</v>
      </c>
      <c r="I284">
        <v>1</v>
      </c>
      <c r="J284">
        <v>1</v>
      </c>
    </row>
    <row r="285" spans="1:10" x14ac:dyDescent="0.15">
      <c r="A285">
        <v>44</v>
      </c>
      <c r="B285" t="s">
        <v>38</v>
      </c>
      <c r="C285">
        <v>1</v>
      </c>
      <c r="D285">
        <f>IFERROR(INT(VLOOKUP($E285,技能升级,13,FALSE)),0)</f>
        <v>6</v>
      </c>
      <c r="E285">
        <f>IFERROR(VLOOKUP(A285*1000+D281,学习等级编码,2),0)</f>
        <v>4409</v>
      </c>
      <c r="F285">
        <f>IFERROR(INT(VLOOKUP($E285,技能升级,9,FALSE)*$C285*I285*J285),0)</f>
        <v>0</v>
      </c>
      <c r="G285">
        <f>IFERROR(INT(VLOOKUP($E285,技能升级,10,FALSE)*$D285*I285*J285),0)</f>
        <v>13519</v>
      </c>
      <c r="H285">
        <f>INT(VLOOKUP($E285,技能升级,11,FALSE)*$D285*I285*J285)</f>
        <v>4029</v>
      </c>
      <c r="I285">
        <v>1</v>
      </c>
      <c r="J285">
        <f>VLOOKUP(A281,$A$2:$I$21,8,FALSE)</f>
        <v>1.1099999999999999</v>
      </c>
    </row>
    <row r="286" spans="1:10" x14ac:dyDescent="0.15">
      <c r="A286">
        <v>45</v>
      </c>
      <c r="B286" t="s">
        <v>37</v>
      </c>
      <c r="C286">
        <v>1</v>
      </c>
      <c r="D286">
        <f>VLOOKUP(A286,技能参数,4,FALSE)</f>
        <v>2</v>
      </c>
      <c r="E286">
        <f>IFERROR(VLOOKUP(A286*1000+D281,学习等级编码,2),0)</f>
        <v>4506</v>
      </c>
      <c r="F286">
        <f>IFERROR(INT(VLOOKUP($E286,技能升级,9,FALSE)*$C286*I286*J286),0)</f>
        <v>0</v>
      </c>
      <c r="G286">
        <f t="shared" ref="G286:G287" si="54">IFERROR(INT(VLOOKUP($E286,技能升级,10,FALSE)*$C286*I286*J286),0)</f>
        <v>0</v>
      </c>
      <c r="H286">
        <f>INT(VLOOKUP($E286,技能升级,11,FALSE)*$C286*I286*J286)</f>
        <v>0</v>
      </c>
      <c r="I286">
        <f>INT(VLOOKUP($E286,技能升级,13,FALSE)*$C286)</f>
        <v>21066</v>
      </c>
      <c r="J286">
        <v>1</v>
      </c>
    </row>
    <row r="287" spans="1:10" x14ac:dyDescent="0.15">
      <c r="A287">
        <v>41</v>
      </c>
      <c r="B287" t="s">
        <v>361</v>
      </c>
      <c r="C287">
        <f>IF(INT((C281-C283*D283-C284*D284-C285*D285-C286*D286-C290)/D287)&gt;0,INT((C281-C283*D283-C284*D284-C285*D285-C286*D286-C290)/D287),0)</f>
        <v>6</v>
      </c>
      <c r="D287">
        <f>VLOOKUP(A287,技能参数,4,FALSE)</f>
        <v>1.2</v>
      </c>
      <c r="E287">
        <f>IFERROR(VLOOKUP(A287*1000+D281,学习等级编码,2),0)</f>
        <v>4114</v>
      </c>
      <c r="F287">
        <f>IFERROR(INT(VLOOKUP($E287,技能升级,9,FALSE)*$C287*I287*J287),0)</f>
        <v>0</v>
      </c>
      <c r="G287">
        <f t="shared" si="54"/>
        <v>10389</v>
      </c>
      <c r="H287">
        <f>INT(VLOOKUP($E287,技能升级,11,FALSE)*$C287*I287*J287)</f>
        <v>4442</v>
      </c>
      <c r="I287">
        <v>1</v>
      </c>
      <c r="J287">
        <f>VLOOKUP(A281,$A$2:$I$21,8,FALSE)</f>
        <v>1.1099999999999999</v>
      </c>
    </row>
    <row r="288" spans="1:10" x14ac:dyDescent="0.15">
      <c r="A288">
        <f>VLOOKUP(E283,技能升级,13,FALSE)</f>
        <v>109</v>
      </c>
      <c r="B288" t="s">
        <v>375</v>
      </c>
      <c r="C288">
        <f>IF(C281&lt;J281,C281+C281-H281,IF(C281&gt;J281+H281,J281+J281,J281+C281-H281))-C290*2</f>
        <v>10.100000000000001</v>
      </c>
      <c r="G288">
        <f>INT((VLOOKUP(A288,召唤物属性,7,FALSE)-
IF($B281&gt;10000,VLOOKUP($B281,实战属性,15,FALSE),VLOOKUP($B281,总基本属性,9,FALSE))*$L$13)*I288*J288)</f>
        <v>2497</v>
      </c>
      <c r="I288">
        <f>VLOOKUP($E283,技能升级,14,FALSE)</f>
        <v>2</v>
      </c>
      <c r="J288">
        <v>1</v>
      </c>
    </row>
    <row r="289" spans="1:10" x14ac:dyDescent="0.15">
      <c r="A289">
        <f>VLOOKUP(E284,技能升级,13,FALSE)</f>
        <v>209</v>
      </c>
      <c r="B289" t="s">
        <v>374</v>
      </c>
      <c r="C289">
        <f>IF(C281&lt;J281,C281+C281-H281,IF(C281&gt;J281+H281,J281+J281,J281+C281-H281))-C290*2</f>
        <v>10.100000000000001</v>
      </c>
      <c r="F289">
        <f>INT((VLOOKUP(A289,召唤物属性,6,FALSE)-
IF($B281&gt;10000,VLOOKUP($B281,实战属性,15,FALSE),VLOOKUP($B281,总基本属性,9,FALSE))*$L$13)*I289*J289)</f>
        <v>3554</v>
      </c>
      <c r="I289">
        <f>VLOOKUP($E284,技能升级,14,FALSE)</f>
        <v>4</v>
      </c>
      <c r="J289">
        <f>VLOOKUP(A281,$A$2:$I$21,9,FALSE)</f>
        <v>0.93699999999999994</v>
      </c>
    </row>
    <row r="290" spans="1:10" x14ac:dyDescent="0.15">
      <c r="B290" t="s">
        <v>411</v>
      </c>
      <c r="C290">
        <f>C271*1.5+2</f>
        <v>5</v>
      </c>
    </row>
    <row r="291" spans="1:10" x14ac:dyDescent="0.15">
      <c r="E291" t="s">
        <v>194</v>
      </c>
      <c r="F291">
        <f>SUM(F283:F287)/1000</f>
        <v>0</v>
      </c>
      <c r="G291">
        <f>SUM(G283:G287)/1000</f>
        <v>23.908000000000001</v>
      </c>
      <c r="H291">
        <f>SUM(H283:H286)</f>
        <v>4029</v>
      </c>
      <c r="I291" t="s">
        <v>196</v>
      </c>
      <c r="J291" t="s">
        <v>197</v>
      </c>
    </row>
    <row r="292" spans="1:10" x14ac:dyDescent="0.15">
      <c r="E292" t="s">
        <v>195</v>
      </c>
      <c r="F292">
        <f>INT((IF($A281&gt;10000,VLOOKUP($A281,实战属性,13,FALSE),VLOOKUP($A281,总基本属性,7,FALSE))-
IF($B281&gt;10000,VLOOKUP($B281,实战属性,15,FALSE),VLOOKUP($B281,总基本属性,9,FALSE))*$L$13)*F291)</f>
        <v>0</v>
      </c>
      <c r="G292">
        <f>INT((IF($A281&gt;10000,VLOOKUP($A281,实战属性,14,FALSE),VLOOKUP($A281,总基本属性,8,FALSE))-
IF($B281&gt;10000,VLOOKUP($B281,实战属性,16,FALSE),VLOOKUP($B281,总基本属性,10,FALSE))*$L$13)*G291)</f>
        <v>102469</v>
      </c>
      <c r="H292">
        <f>H291+F292+G292</f>
        <v>106498</v>
      </c>
      <c r="I292">
        <f>IF($B281&gt;10000,VLOOKUP($B281,实战属性,12,FALSE),VLOOKUP($B281,总基本属性,6,FALSE))</f>
        <v>171480</v>
      </c>
      <c r="J292">
        <f>ROUND(I292/H293,2)</f>
        <v>1.02</v>
      </c>
    </row>
    <row r="293" spans="1:10" x14ac:dyDescent="0.15">
      <c r="E293" t="s">
        <v>376</v>
      </c>
      <c r="F293">
        <f>INT(F289*C289)</f>
        <v>35895</v>
      </c>
      <c r="G293">
        <f>INT(G288*C288)</f>
        <v>25219</v>
      </c>
      <c r="H293">
        <f>F293+G293+H292</f>
        <v>167612</v>
      </c>
    </row>
    <row r="297" spans="1:10" x14ac:dyDescent="0.15">
      <c r="A297" s="8" t="s">
        <v>3</v>
      </c>
      <c r="B297" s="8" t="s">
        <v>442</v>
      </c>
      <c r="C297" s="8" t="s">
        <v>178</v>
      </c>
      <c r="D297" s="8" t="s">
        <v>0</v>
      </c>
    </row>
    <row r="298" spans="1:10" x14ac:dyDescent="0.15">
      <c r="A298">
        <f>A268+10</f>
        <v>2100</v>
      </c>
      <c r="B298">
        <f>B268+10</f>
        <v>4100</v>
      </c>
      <c r="C298">
        <v>17</v>
      </c>
      <c r="D298">
        <f>MOD(A298,1000)</f>
        <v>100</v>
      </c>
    </row>
    <row r="299" spans="1:10" x14ac:dyDescent="0.15">
      <c r="A299" t="s">
        <v>156</v>
      </c>
      <c r="B299" t="s">
        <v>95</v>
      </c>
      <c r="C299" t="s">
        <v>177</v>
      </c>
      <c r="D299" t="s">
        <v>143</v>
      </c>
      <c r="E299" t="s">
        <v>182</v>
      </c>
      <c r="F299" t="s">
        <v>192</v>
      </c>
      <c r="G299" t="s">
        <v>193</v>
      </c>
      <c r="H299" t="s">
        <v>176</v>
      </c>
      <c r="I299" t="s">
        <v>205</v>
      </c>
      <c r="J299" t="s">
        <v>206</v>
      </c>
    </row>
    <row r="300" spans="1:10" x14ac:dyDescent="0.15">
      <c r="A300">
        <v>25</v>
      </c>
      <c r="B300" t="s">
        <v>23</v>
      </c>
      <c r="C300">
        <v>1</v>
      </c>
      <c r="D300">
        <f>VLOOKUP(A300,技能参数,4,FALSE)</f>
        <v>2</v>
      </c>
      <c r="E300">
        <f>IFERROR(VLOOKUP(A300*1000+D298,学习等级编码,2),0)</f>
        <v>2507</v>
      </c>
      <c r="F300">
        <f t="shared" ref="F300:F302" si="55">IFERROR(INT(VLOOKUP($E300,技能升级,9,FALSE)*$C300*I300*J300),0)</f>
        <v>6500</v>
      </c>
      <c r="G300">
        <f t="shared" ref="G300:G303" si="56">IFERROR(INT(VLOOKUP($E300,技能升级,10,FALSE)*$C300*I300*J300),0)</f>
        <v>0</v>
      </c>
      <c r="H300">
        <f>INT(VLOOKUP($E300,技能升级,11,FALSE)*$C300*I300*J300)</f>
        <v>859</v>
      </c>
      <c r="I300">
        <v>1</v>
      </c>
      <c r="J300">
        <v>1</v>
      </c>
    </row>
    <row r="301" spans="1:10" x14ac:dyDescent="0.15">
      <c r="A301">
        <v>23</v>
      </c>
      <c r="B301" t="s">
        <v>24</v>
      </c>
      <c r="C301">
        <f>INT((C298-D301-D302*3)/(VLOOKUP(A301,技能参数,5,FALSE)+2*VLOOKUP(A301,技能参数,4,FALSE))+1)+1</f>
        <v>2</v>
      </c>
      <c r="D301">
        <f>VLOOKUP(A301,技能参数,4,FALSE)</f>
        <v>1</v>
      </c>
      <c r="E301">
        <f>IFERROR(VLOOKUP(A301*1000+D298,学习等级编码,2),0)</f>
        <v>2310</v>
      </c>
      <c r="F301">
        <f t="shared" si="55"/>
        <v>2600</v>
      </c>
      <c r="G301">
        <f t="shared" si="56"/>
        <v>0</v>
      </c>
      <c r="H301">
        <f>INT(VLOOKUP($E301,技能升级,11,FALSE)*$C301*I301*J301)</f>
        <v>1432</v>
      </c>
      <c r="I301">
        <v>1</v>
      </c>
      <c r="J301">
        <v>1</v>
      </c>
    </row>
    <row r="302" spans="1:10" x14ac:dyDescent="0.15">
      <c r="A302">
        <v>22</v>
      </c>
      <c r="B302" t="s">
        <v>22</v>
      </c>
      <c r="C302">
        <f>INT((C298-C300*D300-C301*D301-C304)/D302)</f>
        <v>4</v>
      </c>
      <c r="D302">
        <f>VLOOKUP(A302,技能参数,4,FALSE)</f>
        <v>1.5</v>
      </c>
      <c r="E302">
        <f>IFERROR(VLOOKUP(A302*1000+D298,学习等级编码,2),0)</f>
        <v>2210</v>
      </c>
      <c r="F302">
        <f t="shared" si="55"/>
        <v>20671</v>
      </c>
      <c r="G302">
        <f t="shared" si="56"/>
        <v>0</v>
      </c>
      <c r="H302">
        <f>INT(VLOOKUP($E302,技能升级,11,FALSE)*$C302*I302*J302)</f>
        <v>4568</v>
      </c>
      <c r="I302">
        <v>1</v>
      </c>
      <c r="J302">
        <f>VLOOKUP(A298,$A$2:$I$21,7,FALSE)</f>
        <v>1.5950000000000002</v>
      </c>
    </row>
    <row r="303" spans="1:10" x14ac:dyDescent="0.15">
      <c r="A303">
        <v>21</v>
      </c>
      <c r="B303" t="s">
        <v>441</v>
      </c>
      <c r="C303">
        <f>INT((C298-C300*D300-C301*D301-C302*D302-C304)/D303)</f>
        <v>1</v>
      </c>
      <c r="D303">
        <f>VLOOKUP(A303,技能参数,4,FALSE)</f>
        <v>1</v>
      </c>
      <c r="E303">
        <f>IFERROR(VLOOKUP(A303*1000+D298,学习等级编码,2),0)</f>
        <v>2115</v>
      </c>
      <c r="F303">
        <f>IFERROR(INT(VLOOKUP($E303,技能升级,9,FALSE)*$C303*I303*J303),0)</f>
        <v>1500</v>
      </c>
      <c r="G303">
        <f t="shared" si="56"/>
        <v>0</v>
      </c>
      <c r="H303">
        <f>INT(VLOOKUP($E303,技能升级,11,FALSE)*$C303*I303*J303)</f>
        <v>769</v>
      </c>
      <c r="I303">
        <v>1</v>
      </c>
      <c r="J303">
        <v>1</v>
      </c>
    </row>
    <row r="304" spans="1:10" x14ac:dyDescent="0.15">
      <c r="B304" t="s">
        <v>440</v>
      </c>
      <c r="C304">
        <f>D315</f>
        <v>6</v>
      </c>
    </row>
    <row r="305" spans="1:10" x14ac:dyDescent="0.15">
      <c r="E305" t="s">
        <v>194</v>
      </c>
      <c r="F305">
        <f>SUM(F300:F303)/1000</f>
        <v>31.271000000000001</v>
      </c>
      <c r="G305">
        <f>SUM(G300:G303)/1000</f>
        <v>0</v>
      </c>
      <c r="H305">
        <f>SUM(H300:H303)</f>
        <v>7628</v>
      </c>
      <c r="I305" t="s">
        <v>196</v>
      </c>
      <c r="J305" t="s">
        <v>197</v>
      </c>
    </row>
    <row r="306" spans="1:10" x14ac:dyDescent="0.15">
      <c r="E306" t="s">
        <v>195</v>
      </c>
      <c r="F306">
        <f>INT((IF($A298&gt;10000,VLOOKUP($A298,实战属性,13,FALSE),VLOOKUP($A298,总基本属性,7,FALSE))-
IF($B298&gt;10000,VLOOKUP($B298,实战属性,15,FALSE),VLOOKUP($B298,总基本属性,9,FALSE))*$L$13)*F305)</f>
        <v>181747</v>
      </c>
      <c r="G306">
        <f>INT((IF($A298&gt;10000,VLOOKUP($A298,实战属性,14,FALSE),VLOOKUP($A298,总基本属性,8,FALSE))-
IF($B298&gt;10000,VLOOKUP($B298,实战属性,16,FALSE),VLOOKUP($B298,总基本属性,10,FALSE))*$L$13)*G305)</f>
        <v>0</v>
      </c>
      <c r="H306">
        <f>H305+F306+G306</f>
        <v>189375</v>
      </c>
      <c r="I306">
        <f>IF($B298&gt;10000,VLOOKUP($B298,实战属性,12,FALSE),VLOOKUP($B298,总基本属性,6,FALSE))+I316</f>
        <v>190032</v>
      </c>
      <c r="J306">
        <f>ROUND(I306/H306,2)</f>
        <v>1</v>
      </c>
    </row>
    <row r="310" spans="1:10" x14ac:dyDescent="0.15">
      <c r="A310" s="9" t="s">
        <v>5</v>
      </c>
      <c r="B310" s="9" t="s">
        <v>3</v>
      </c>
      <c r="C310" s="9" t="s">
        <v>178</v>
      </c>
      <c r="D310" s="9" t="s">
        <v>0</v>
      </c>
      <c r="G310" t="s">
        <v>445</v>
      </c>
      <c r="H310">
        <f>INT(I322/J322/C311)</f>
        <v>10227</v>
      </c>
      <c r="I310" t="s">
        <v>446</v>
      </c>
      <c r="J310">
        <f>ROUND(I316/H310,1)</f>
        <v>3.1</v>
      </c>
    </row>
    <row r="311" spans="1:10" x14ac:dyDescent="0.15">
      <c r="A311">
        <f>A281+10</f>
        <v>4100</v>
      </c>
      <c r="B311">
        <f>B281+10</f>
        <v>2100</v>
      </c>
      <c r="C311">
        <v>21</v>
      </c>
      <c r="D311">
        <f>MOD(A311,1000)</f>
        <v>100</v>
      </c>
      <c r="G311" t="s">
        <v>447</v>
      </c>
      <c r="H311">
        <v>5</v>
      </c>
      <c r="I311" t="s">
        <v>383</v>
      </c>
      <c r="J311">
        <f>VLOOKUP(D311,召唤物生存,11)</f>
        <v>10.62</v>
      </c>
    </row>
    <row r="312" spans="1:10" x14ac:dyDescent="0.15">
      <c r="A312" t="s">
        <v>156</v>
      </c>
      <c r="B312" t="s">
        <v>95</v>
      </c>
      <c r="C312" t="s">
        <v>177</v>
      </c>
      <c r="D312" t="s">
        <v>143</v>
      </c>
      <c r="E312" t="s">
        <v>182</v>
      </c>
      <c r="F312" t="s">
        <v>192</v>
      </c>
      <c r="G312" t="s">
        <v>193</v>
      </c>
      <c r="H312" t="s">
        <v>176</v>
      </c>
      <c r="I312" t="s">
        <v>205</v>
      </c>
      <c r="J312" t="s">
        <v>206</v>
      </c>
    </row>
    <row r="313" spans="1:10" x14ac:dyDescent="0.15">
      <c r="A313">
        <v>42</v>
      </c>
      <c r="B313" t="s">
        <v>35</v>
      </c>
      <c r="C313">
        <v>1</v>
      </c>
      <c r="D313">
        <f>VLOOKUP(A313,技能参数,4,FALSE)</f>
        <v>1</v>
      </c>
      <c r="E313">
        <f>IFERROR(VLOOKUP(A313*1000+D311,学习等级编码,2),0)</f>
        <v>4210</v>
      </c>
      <c r="F313">
        <f>IFERROR(INT(VLOOKUP($E313,技能升级,9,FALSE)*$C313*I313*J313),0)</f>
        <v>0</v>
      </c>
      <c r="G313">
        <f>IFERROR(INT(VLOOKUP($E313,技能升级,10,FALSE)*$C313*I313*J313),0)</f>
        <v>0</v>
      </c>
      <c r="H313">
        <f>INT(VLOOKUP($E313,技能升级,11,FALSE)*$C313*I313*J313)</f>
        <v>0</v>
      </c>
      <c r="I313">
        <v>1</v>
      </c>
      <c r="J313">
        <v>1</v>
      </c>
    </row>
    <row r="314" spans="1:10" x14ac:dyDescent="0.15">
      <c r="A314">
        <v>43</v>
      </c>
      <c r="B314" t="s">
        <v>36</v>
      </c>
      <c r="C314">
        <v>1</v>
      </c>
      <c r="D314">
        <f>VLOOKUP(A314,技能参数,4,FALSE)</f>
        <v>1</v>
      </c>
      <c r="E314">
        <f>IFERROR(VLOOKUP(A314*1000+D311,学习等级编码,2),0)</f>
        <v>4310</v>
      </c>
      <c r="F314">
        <f t="shared" ref="F314" si="57">IFERROR(INT(VLOOKUP($E314,技能升级,9,FALSE)*$C314*I314*J314),0)</f>
        <v>0</v>
      </c>
      <c r="G314">
        <f t="shared" ref="G314" si="58">IFERROR(INT(VLOOKUP($E314,技能升级,10,FALSE)*$C314*I314*J314),0)</f>
        <v>0</v>
      </c>
      <c r="H314">
        <f>INT(VLOOKUP($E314,技能升级,11,FALSE)*$C314*I314*J314)</f>
        <v>0</v>
      </c>
      <c r="I314">
        <v>1</v>
      </c>
      <c r="J314">
        <v>1</v>
      </c>
    </row>
    <row r="315" spans="1:10" x14ac:dyDescent="0.15">
      <c r="A315">
        <v>44</v>
      </c>
      <c r="B315" t="s">
        <v>38</v>
      </c>
      <c r="C315">
        <v>1</v>
      </c>
      <c r="D315">
        <f>IFERROR(INT(VLOOKUP($E315,技能升级,13,FALSE)),0)</f>
        <v>6</v>
      </c>
      <c r="E315">
        <f>IFERROR(VLOOKUP(A315*1000+D311,学习等级编码,2),0)</f>
        <v>4410</v>
      </c>
      <c r="F315">
        <f>IFERROR(INT(VLOOKUP($E315,技能升级,9,FALSE)*$C315*I315*J315),0)</f>
        <v>0</v>
      </c>
      <c r="G315">
        <f>IFERROR(INT(VLOOKUP($E315,技能升级,10,FALSE)*$D315*I315*J315),0)</f>
        <v>14364</v>
      </c>
      <c r="H315">
        <f>INT(VLOOKUP($E315,技能升级,11,FALSE)*$D315*I315*J315)</f>
        <v>5095</v>
      </c>
      <c r="I315">
        <v>1</v>
      </c>
      <c r="J315">
        <f>VLOOKUP(A311,$A$2:$I$21,8,FALSE)</f>
        <v>1.1400000000000001</v>
      </c>
    </row>
    <row r="316" spans="1:10" x14ac:dyDescent="0.15">
      <c r="A316">
        <v>45</v>
      </c>
      <c r="B316" t="s">
        <v>37</v>
      </c>
      <c r="C316">
        <v>1</v>
      </c>
      <c r="D316">
        <f>VLOOKUP(A316,技能参数,4,FALSE)</f>
        <v>2</v>
      </c>
      <c r="E316">
        <f>IFERROR(VLOOKUP(A316*1000+D311,学习等级编码,2),0)</f>
        <v>4507</v>
      </c>
      <c r="F316">
        <f>IFERROR(INT(VLOOKUP($E316,技能升级,9,FALSE)*$C316*I316*J316),0)</f>
        <v>0</v>
      </c>
      <c r="G316">
        <f t="shared" ref="G316:G317" si="59">IFERROR(INT(VLOOKUP($E316,技能升级,10,FALSE)*$C316*I316*J316),0)</f>
        <v>0</v>
      </c>
      <c r="H316">
        <f>INT(VLOOKUP($E316,技能升级,11,FALSE)*$C316*I316*J316)</f>
        <v>0</v>
      </c>
      <c r="I316">
        <f>INT(VLOOKUP($E316,技能升级,13,FALSE)*$C316)</f>
        <v>32172</v>
      </c>
      <c r="J316">
        <v>1</v>
      </c>
    </row>
    <row r="317" spans="1:10" x14ac:dyDescent="0.15">
      <c r="A317">
        <v>41</v>
      </c>
      <c r="B317" t="s">
        <v>361</v>
      </c>
      <c r="C317">
        <f>IF(INT((C311-C313*D313-C314*D314-C315*D315-C316*D316-C320)/D317)&gt;0,INT((C311-C313*D313-C314*D314-C315*D315-C316*D316-C320)/D317),0)</f>
        <v>5</v>
      </c>
      <c r="D317">
        <f>VLOOKUP(A317,技能参数,4,FALSE)</f>
        <v>1.2</v>
      </c>
      <c r="E317">
        <f>IFERROR(VLOOKUP(A317*1000+D311,学习等级编码,2),0)</f>
        <v>4115</v>
      </c>
      <c r="F317">
        <f>IFERROR(INT(VLOOKUP($E317,技能升级,9,FALSE)*$C317*I317*J317),0)</f>
        <v>0</v>
      </c>
      <c r="G317">
        <f t="shared" si="59"/>
        <v>9120</v>
      </c>
      <c r="H317">
        <f>INT(VLOOKUP($E317,技能升级,11,FALSE)*$C317*I317*J317)</f>
        <v>4383</v>
      </c>
      <c r="I317">
        <v>1</v>
      </c>
      <c r="J317">
        <f>VLOOKUP(A311,$A$2:$I$21,8,FALSE)</f>
        <v>1.1400000000000001</v>
      </c>
    </row>
    <row r="318" spans="1:10" x14ac:dyDescent="0.15">
      <c r="A318">
        <f>VLOOKUP(E313,技能升级,13,FALSE)</f>
        <v>110</v>
      </c>
      <c r="B318" t="s">
        <v>375</v>
      </c>
      <c r="C318">
        <f>IF(C311&lt;J311,C311+C311-H311,IF(C311&gt;J311+H311,J311+J311,J311+C311-H311))-C320*2</f>
        <v>11.239999999999998</v>
      </c>
      <c r="G318">
        <f>INT((VLOOKUP(A318,召唤物属性,7,FALSE)-
IF($B311&gt;10000,VLOOKUP($B311,实战属性,15,FALSE),VLOOKUP($B311,总基本属性,9,FALSE))*$L$13)*I318*J318)</f>
        <v>2921</v>
      </c>
      <c r="I318">
        <f>VLOOKUP($E313,技能升级,14,FALSE)</f>
        <v>2</v>
      </c>
      <c r="J318">
        <v>1</v>
      </c>
    </row>
    <row r="319" spans="1:10" x14ac:dyDescent="0.15">
      <c r="A319">
        <f>VLOOKUP(E314,技能升级,13,FALSE)</f>
        <v>210</v>
      </c>
      <c r="B319" t="s">
        <v>374</v>
      </c>
      <c r="C319">
        <f>IF(C311&lt;J311,C311+C311-H311,IF(C311&gt;J311+H311,J311+J311,J311+C311-H311))-C320*2</f>
        <v>11.239999999999998</v>
      </c>
      <c r="F319">
        <f>INT((VLOOKUP(A319,召唤物属性,6,FALSE)-
IF($B311&gt;10000,VLOOKUP($B311,实战属性,15,FALSE),VLOOKUP($B311,总基本属性,9,FALSE))*$L$13)*I319*J319)</f>
        <v>4284</v>
      </c>
      <c r="I319">
        <f>VLOOKUP($E314,技能升级,14,FALSE)</f>
        <v>4</v>
      </c>
      <c r="J319">
        <f>VLOOKUP(A311,$A$2:$I$21,9,FALSE)</f>
        <v>0.92299999999999993</v>
      </c>
    </row>
    <row r="320" spans="1:10" x14ac:dyDescent="0.15">
      <c r="B320" t="s">
        <v>411</v>
      </c>
      <c r="C320">
        <f>C301*1.5+2</f>
        <v>5</v>
      </c>
    </row>
    <row r="321" spans="5:10" x14ac:dyDescent="0.15">
      <c r="E321" t="s">
        <v>194</v>
      </c>
      <c r="F321">
        <f>SUM(F313:F317)/1000</f>
        <v>0</v>
      </c>
      <c r="G321">
        <f>SUM(G313:G317)/1000</f>
        <v>23.484000000000002</v>
      </c>
      <c r="H321">
        <f>SUM(H313:H316)</f>
        <v>5095</v>
      </c>
      <c r="I321" t="s">
        <v>196</v>
      </c>
      <c r="J321" t="s">
        <v>197</v>
      </c>
    </row>
    <row r="322" spans="5:10" x14ac:dyDescent="0.15">
      <c r="E322" t="s">
        <v>195</v>
      </c>
      <c r="F322">
        <f>INT((IF($A311&gt;10000,VLOOKUP($A311,实战属性,13,FALSE),VLOOKUP($A311,总基本属性,7,FALSE))-
IF($B311&gt;10000,VLOOKUP($B311,实战属性,15,FALSE),VLOOKUP($B311,总基本属性,9,FALSE))*$L$13)*F321)</f>
        <v>0</v>
      </c>
      <c r="G322">
        <f>INT((IF($A311&gt;10000,VLOOKUP($A311,实战属性,14,FALSE),VLOOKUP($A311,总基本属性,8,FALSE))-
IF($B311&gt;10000,VLOOKUP($B311,实战属性,16,FALSE),VLOOKUP($B311,总基本属性,10,FALSE))*$L$13)*G321)</f>
        <v>129150</v>
      </c>
      <c r="H322">
        <f>H321+F322+G322</f>
        <v>134245</v>
      </c>
      <c r="I322">
        <f>IF($B311&gt;10000,VLOOKUP($B311,实战属性,12,FALSE),VLOOKUP($B311,总基本属性,6,FALSE))</f>
        <v>210480</v>
      </c>
      <c r="J322">
        <f>ROUND(I322/H323,2)</f>
        <v>0.98</v>
      </c>
    </row>
    <row r="323" spans="5:10" x14ac:dyDescent="0.15">
      <c r="E323" t="s">
        <v>376</v>
      </c>
      <c r="F323">
        <f>INT(F319*C319)</f>
        <v>48152</v>
      </c>
      <c r="G323">
        <f>INT(G318*C318)</f>
        <v>32832</v>
      </c>
      <c r="H323">
        <f>F323+G323+H322</f>
        <v>215229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3"/>
  <sheetViews>
    <sheetView workbookViewId="0">
      <selection activeCell="O64" sqref="O64"/>
    </sheetView>
  </sheetViews>
  <sheetFormatPr defaultRowHeight="13.5" x14ac:dyDescent="0.15"/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434</v>
      </c>
      <c r="H1" t="s">
        <v>435</v>
      </c>
      <c r="I1" t="s">
        <v>436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11101</v>
      </c>
      <c r="B2">
        <v>4010</v>
      </c>
      <c r="C2">
        <f t="shared" ref="C2:C2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2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2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2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H2">
        <v>1</v>
      </c>
      <c r="I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>A2+1</f>
        <v>11102</v>
      </c>
      <c r="B3">
        <f>B2+10</f>
        <v>4020</v>
      </c>
      <c r="C3">
        <f t="shared" si="0"/>
        <v>0.01</v>
      </c>
      <c r="D3">
        <f t="shared" si="1"/>
        <v>0</v>
      </c>
      <c r="E3">
        <f t="shared" si="2"/>
        <v>0</v>
      </c>
      <c r="F3">
        <f t="shared" si="3"/>
        <v>0</v>
      </c>
      <c r="G3">
        <v>1</v>
      </c>
      <c r="H3">
        <v>1</v>
      </c>
      <c r="I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 t="shared" ref="A4:A11" si="4">A3+1</f>
        <v>11103</v>
      </c>
      <c r="B4">
        <f t="shared" ref="B4:B11" si="5">B3+10</f>
        <v>4030</v>
      </c>
      <c r="C4">
        <f t="shared" si="0"/>
        <v>0.02</v>
      </c>
      <c r="D4">
        <f t="shared" si="1"/>
        <v>0</v>
      </c>
      <c r="E4">
        <f t="shared" si="2"/>
        <v>0</v>
      </c>
      <c r="F4">
        <f t="shared" si="3"/>
        <v>0</v>
      </c>
      <c r="G4">
        <v>1</v>
      </c>
      <c r="H4">
        <v>1</v>
      </c>
      <c r="I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si="4"/>
        <v>11104</v>
      </c>
      <c r="B5">
        <f t="shared" si="5"/>
        <v>4040</v>
      </c>
      <c r="C5">
        <f t="shared" si="0"/>
        <v>0.03</v>
      </c>
      <c r="D5">
        <f t="shared" si="1"/>
        <v>0</v>
      </c>
      <c r="E5">
        <f t="shared" si="2"/>
        <v>0</v>
      </c>
      <c r="F5">
        <f t="shared" si="3"/>
        <v>0</v>
      </c>
      <c r="G5">
        <v>1</v>
      </c>
      <c r="H5">
        <v>1</v>
      </c>
      <c r="I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4"/>
        <v>11105</v>
      </c>
      <c r="B6">
        <f t="shared" si="5"/>
        <v>4050</v>
      </c>
      <c r="C6">
        <f t="shared" si="0"/>
        <v>0.09</v>
      </c>
      <c r="D6">
        <f t="shared" si="1"/>
        <v>0</v>
      </c>
      <c r="E6">
        <f t="shared" si="2"/>
        <v>0</v>
      </c>
      <c r="F6">
        <f t="shared" si="3"/>
        <v>0</v>
      </c>
      <c r="G6">
        <f>C6*1.5+1-C6</f>
        <v>1.0449999999999999</v>
      </c>
      <c r="H6">
        <v>1</v>
      </c>
      <c r="I6">
        <v>1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4"/>
        <v>11106</v>
      </c>
      <c r="B7">
        <f t="shared" si="5"/>
        <v>4060</v>
      </c>
      <c r="C7">
        <f t="shared" si="0"/>
        <v>0.14000000000000001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ref="G7:G11" si="6">C7*1.5+1-C7</f>
        <v>1.0699999999999998</v>
      </c>
      <c r="H7">
        <v>1</v>
      </c>
      <c r="I7">
        <v>1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4"/>
        <v>11107</v>
      </c>
      <c r="B8">
        <f t="shared" si="5"/>
        <v>4070</v>
      </c>
      <c r="C8">
        <f t="shared" si="0"/>
        <v>0.19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6"/>
        <v>1.0950000000000002</v>
      </c>
      <c r="H8">
        <v>1</v>
      </c>
      <c r="I8">
        <v>1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4"/>
        <v>11108</v>
      </c>
      <c r="B9">
        <f t="shared" si="5"/>
        <v>4080</v>
      </c>
      <c r="C9">
        <f t="shared" si="0"/>
        <v>0.25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6"/>
        <v>1.125</v>
      </c>
      <c r="H9">
        <v>1</v>
      </c>
      <c r="I9">
        <v>1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4"/>
        <v>11109</v>
      </c>
      <c r="B10">
        <f t="shared" si="5"/>
        <v>4090</v>
      </c>
      <c r="C10">
        <f t="shared" si="0"/>
        <v>0.32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6"/>
        <v>1.1599999999999999</v>
      </c>
      <c r="H10">
        <v>1</v>
      </c>
      <c r="I10">
        <v>1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4"/>
        <v>11110</v>
      </c>
      <c r="B11">
        <f t="shared" si="5"/>
        <v>4100</v>
      </c>
      <c r="C11">
        <f t="shared" si="0"/>
        <v>0.39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6"/>
        <v>1.1949999999999998</v>
      </c>
      <c r="H11">
        <v>1</v>
      </c>
      <c r="I11">
        <v>1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A12">
        <v>4010</v>
      </c>
      <c r="B12">
        <v>11101</v>
      </c>
      <c r="C12">
        <f t="shared" si="0"/>
        <v>0</v>
      </c>
      <c r="D12">
        <f t="shared" si="1"/>
        <v>0</v>
      </c>
      <c r="E12">
        <f t="shared" si="2"/>
        <v>0.1</v>
      </c>
      <c r="F12">
        <f t="shared" si="3"/>
        <v>0</v>
      </c>
      <c r="G12">
        <v>1</v>
      </c>
      <c r="H12">
        <v>1</v>
      </c>
      <c r="I12">
        <f>E12*0.3+1-E12</f>
        <v>0.93</v>
      </c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A13">
        <f>A12+10</f>
        <v>4020</v>
      </c>
      <c r="B13">
        <f>B12+1</f>
        <v>11102</v>
      </c>
      <c r="C13">
        <f t="shared" si="0"/>
        <v>0</v>
      </c>
      <c r="D13">
        <f t="shared" si="1"/>
        <v>0.01</v>
      </c>
      <c r="E13">
        <f t="shared" si="2"/>
        <v>0.1</v>
      </c>
      <c r="F13">
        <f t="shared" si="3"/>
        <v>0</v>
      </c>
      <c r="G13">
        <v>1</v>
      </c>
      <c r="H13">
        <v>1</v>
      </c>
      <c r="I13">
        <f t="shared" ref="I13:I21" si="7">E13*0.3+1-E13</f>
        <v>0.93</v>
      </c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4" spans="1:24" x14ac:dyDescent="0.15">
      <c r="A14">
        <f t="shared" ref="A14:A21" si="8">A13+10</f>
        <v>4030</v>
      </c>
      <c r="B14">
        <f t="shared" ref="B14:B21" si="9">B13+1</f>
        <v>11103</v>
      </c>
      <c r="C14">
        <f t="shared" si="0"/>
        <v>0</v>
      </c>
      <c r="D14">
        <f t="shared" si="1"/>
        <v>0.03</v>
      </c>
      <c r="E14">
        <f t="shared" si="2"/>
        <v>0.1</v>
      </c>
      <c r="F14">
        <f t="shared" si="3"/>
        <v>0</v>
      </c>
      <c r="G14">
        <v>1</v>
      </c>
      <c r="H14">
        <v>1</v>
      </c>
      <c r="I14">
        <f t="shared" si="7"/>
        <v>0.93</v>
      </c>
    </row>
    <row r="15" spans="1:24" x14ac:dyDescent="0.15">
      <c r="A15">
        <f t="shared" si="8"/>
        <v>4040</v>
      </c>
      <c r="B15">
        <f t="shared" si="9"/>
        <v>11104</v>
      </c>
      <c r="C15">
        <f t="shared" si="0"/>
        <v>0</v>
      </c>
      <c r="D15">
        <f t="shared" si="1"/>
        <v>0.04</v>
      </c>
      <c r="E15">
        <f t="shared" si="2"/>
        <v>0.1</v>
      </c>
      <c r="F15">
        <f t="shared" si="3"/>
        <v>0</v>
      </c>
      <c r="G15">
        <v>1</v>
      </c>
      <c r="H15">
        <v>1</v>
      </c>
      <c r="I15">
        <f t="shared" si="7"/>
        <v>0.93</v>
      </c>
    </row>
    <row r="16" spans="1:24" x14ac:dyDescent="0.15">
      <c r="A16">
        <f t="shared" si="8"/>
        <v>4050</v>
      </c>
      <c r="B16">
        <f t="shared" si="9"/>
        <v>11105</v>
      </c>
      <c r="C16">
        <f t="shared" si="0"/>
        <v>0</v>
      </c>
      <c r="D16">
        <f t="shared" si="1"/>
        <v>0.06</v>
      </c>
      <c r="E16">
        <f t="shared" si="2"/>
        <v>0.1</v>
      </c>
      <c r="F16">
        <f t="shared" si="3"/>
        <v>0</v>
      </c>
      <c r="G16">
        <v>1</v>
      </c>
      <c r="H16">
        <v>1</v>
      </c>
      <c r="I16">
        <f t="shared" si="7"/>
        <v>0.93</v>
      </c>
    </row>
    <row r="17" spans="1:21" x14ac:dyDescent="0.15">
      <c r="A17">
        <f t="shared" si="8"/>
        <v>4060</v>
      </c>
      <c r="B17">
        <f t="shared" si="9"/>
        <v>11106</v>
      </c>
      <c r="C17">
        <f t="shared" si="0"/>
        <v>0</v>
      </c>
      <c r="D17">
        <f t="shared" si="1"/>
        <v>0.09</v>
      </c>
      <c r="E17">
        <f t="shared" si="2"/>
        <v>0.1</v>
      </c>
      <c r="F17">
        <f t="shared" si="3"/>
        <v>0</v>
      </c>
      <c r="G17">
        <v>1</v>
      </c>
      <c r="H17">
        <f>D17*2+1-D17</f>
        <v>1.0899999999999999</v>
      </c>
      <c r="I17">
        <f t="shared" si="7"/>
        <v>0.93</v>
      </c>
    </row>
    <row r="18" spans="1:21" x14ac:dyDescent="0.15">
      <c r="A18">
        <f t="shared" si="8"/>
        <v>4070</v>
      </c>
      <c r="B18">
        <f t="shared" si="9"/>
        <v>11107</v>
      </c>
      <c r="C18">
        <f t="shared" si="0"/>
        <v>0</v>
      </c>
      <c r="D18">
        <f t="shared" si="1"/>
        <v>0.12</v>
      </c>
      <c r="E18">
        <f t="shared" si="2"/>
        <v>0.1</v>
      </c>
      <c r="F18">
        <f t="shared" si="3"/>
        <v>0</v>
      </c>
      <c r="G18">
        <v>1</v>
      </c>
      <c r="H18">
        <f t="shared" ref="H18:H21" si="10">D18*2+1-D18</f>
        <v>1.1200000000000001</v>
      </c>
      <c r="I18">
        <f t="shared" si="7"/>
        <v>0.93</v>
      </c>
    </row>
    <row r="19" spans="1:21" x14ac:dyDescent="0.15">
      <c r="A19">
        <f t="shared" si="8"/>
        <v>4080</v>
      </c>
      <c r="B19">
        <f t="shared" si="9"/>
        <v>11108</v>
      </c>
      <c r="C19">
        <f t="shared" si="0"/>
        <v>0</v>
      </c>
      <c r="D19">
        <f t="shared" si="1"/>
        <v>0.16</v>
      </c>
      <c r="E19">
        <f t="shared" si="2"/>
        <v>0.1</v>
      </c>
      <c r="F19">
        <f t="shared" si="3"/>
        <v>0</v>
      </c>
      <c r="G19">
        <v>1</v>
      </c>
      <c r="H19">
        <f t="shared" si="10"/>
        <v>1.1600000000000001</v>
      </c>
      <c r="I19">
        <f t="shared" si="7"/>
        <v>0.93</v>
      </c>
    </row>
    <row r="20" spans="1:21" x14ac:dyDescent="0.15">
      <c r="A20">
        <f t="shared" si="8"/>
        <v>4090</v>
      </c>
      <c r="B20">
        <f t="shared" si="9"/>
        <v>11109</v>
      </c>
      <c r="C20">
        <f t="shared" si="0"/>
        <v>0</v>
      </c>
      <c r="D20">
        <f t="shared" si="1"/>
        <v>0.2</v>
      </c>
      <c r="E20">
        <f t="shared" si="2"/>
        <v>0.1</v>
      </c>
      <c r="F20">
        <f t="shared" si="3"/>
        <v>0</v>
      </c>
      <c r="G20">
        <v>1</v>
      </c>
      <c r="H20">
        <f t="shared" si="10"/>
        <v>1.2</v>
      </c>
      <c r="I20">
        <f t="shared" si="7"/>
        <v>0.93</v>
      </c>
    </row>
    <row r="21" spans="1:21" x14ac:dyDescent="0.15">
      <c r="A21">
        <f t="shared" si="8"/>
        <v>4100</v>
      </c>
      <c r="B21">
        <f t="shared" si="9"/>
        <v>11110</v>
      </c>
      <c r="C21">
        <f t="shared" si="0"/>
        <v>0</v>
      </c>
      <c r="D21">
        <f t="shared" si="1"/>
        <v>0.25</v>
      </c>
      <c r="E21">
        <f t="shared" si="2"/>
        <v>0.1</v>
      </c>
      <c r="F21">
        <f t="shared" si="3"/>
        <v>0</v>
      </c>
      <c r="G21">
        <v>1</v>
      </c>
      <c r="H21">
        <f t="shared" si="10"/>
        <v>1.25</v>
      </c>
      <c r="I21">
        <f t="shared" si="7"/>
        <v>0.93</v>
      </c>
    </row>
    <row r="27" spans="1:21" x14ac:dyDescent="0.15">
      <c r="A27" s="8" t="s">
        <v>2</v>
      </c>
      <c r="B27" s="8" t="s">
        <v>5</v>
      </c>
      <c r="C27" s="8" t="s">
        <v>178</v>
      </c>
      <c r="D27" s="8" t="s">
        <v>0</v>
      </c>
      <c r="L27" s="8" t="s">
        <v>2</v>
      </c>
      <c r="M27" s="8" t="s">
        <v>5</v>
      </c>
      <c r="N27" s="8" t="s">
        <v>178</v>
      </c>
      <c r="O27" s="8" t="s">
        <v>0</v>
      </c>
    </row>
    <row r="28" spans="1:21" x14ac:dyDescent="0.15">
      <c r="A28">
        <v>11101</v>
      </c>
      <c r="B28">
        <v>4010</v>
      </c>
      <c r="C28">
        <v>19</v>
      </c>
      <c r="D28">
        <f>MOD(B28,1000)</f>
        <v>10</v>
      </c>
      <c r="L28">
        <v>11101</v>
      </c>
      <c r="M28">
        <v>4010</v>
      </c>
      <c r="N28">
        <v>15</v>
      </c>
      <c r="O28">
        <f>MOD(M28,1000)</f>
        <v>10</v>
      </c>
    </row>
    <row r="29" spans="1:21" x14ac:dyDescent="0.15">
      <c r="A29" t="s">
        <v>156</v>
      </c>
      <c r="B29" t="s">
        <v>95</v>
      </c>
      <c r="C29" t="s">
        <v>177</v>
      </c>
      <c r="D29" t="s">
        <v>143</v>
      </c>
      <c r="E29" t="s">
        <v>182</v>
      </c>
      <c r="F29" t="s">
        <v>192</v>
      </c>
      <c r="G29" t="s">
        <v>193</v>
      </c>
      <c r="H29" t="s">
        <v>176</v>
      </c>
      <c r="I29" t="s">
        <v>205</v>
      </c>
      <c r="J29" t="s">
        <v>206</v>
      </c>
      <c r="L29" t="s">
        <v>156</v>
      </c>
      <c r="M29" t="s">
        <v>95</v>
      </c>
      <c r="N29" t="s">
        <v>177</v>
      </c>
      <c r="O29" t="s">
        <v>143</v>
      </c>
      <c r="P29" t="s">
        <v>182</v>
      </c>
      <c r="Q29" t="s">
        <v>192</v>
      </c>
      <c r="R29" t="s">
        <v>193</v>
      </c>
      <c r="S29" t="s">
        <v>176</v>
      </c>
      <c r="T29" t="s">
        <v>205</v>
      </c>
      <c r="U29" t="s">
        <v>206</v>
      </c>
    </row>
    <row r="30" spans="1:21" x14ac:dyDescent="0.15">
      <c r="A30">
        <v>12</v>
      </c>
      <c r="B30" t="s">
        <v>9</v>
      </c>
      <c r="C30">
        <f>C28-C34</f>
        <v>15</v>
      </c>
      <c r="D30">
        <f>VLOOKUP(A30,技能参数,4,FALSE)</f>
        <v>0.6</v>
      </c>
      <c r="E30">
        <f>VLOOKUP(A30*1000+D28,学习等级编码,2)</f>
        <v>1201</v>
      </c>
      <c r="F30">
        <f>INT(VLOOKUP($E30,技能升级,9,FALSE)*$C30*I30*J30)</f>
        <v>0</v>
      </c>
      <c r="G30">
        <f>INT(VLOOKUP($E30,技能升级,10,FALSE)*$C30*I30*J30)</f>
        <v>15000</v>
      </c>
      <c r="H30">
        <f>INT(VLOOKUP($E30,技能升级,11,FALSE)*$C30*I30*J30)</f>
        <v>300</v>
      </c>
      <c r="I30">
        <v>1</v>
      </c>
      <c r="J30">
        <f>VLOOKUP(A28,$A$2:$I$21,7,FALSE)</f>
        <v>1</v>
      </c>
      <c r="L30">
        <v>12</v>
      </c>
      <c r="M30" t="s">
        <v>9</v>
      </c>
      <c r="N30">
        <f>N28</f>
        <v>15</v>
      </c>
      <c r="O30">
        <f>VLOOKUP(L30,技能参数,4,FALSE)</f>
        <v>0.6</v>
      </c>
      <c r="P30">
        <f>VLOOKUP(L30*1000+O28,学习等级编码,2)</f>
        <v>1201</v>
      </c>
      <c r="Q30">
        <f>INT(VLOOKUP(P30,技能升级,9,FALSE)*N30*T30*U30)</f>
        <v>0</v>
      </c>
      <c r="R30">
        <f>INT(VLOOKUP(P30,技能升级,10,FALSE)*N30*T30*U30)</f>
        <v>15000</v>
      </c>
      <c r="S30">
        <f>INT(VLOOKUP(P30,技能升级,11,FALSE)*N30*T30*U30)</f>
        <v>300</v>
      </c>
      <c r="T30">
        <v>1</v>
      </c>
      <c r="U30">
        <f>VLOOKUP(L28,$A$2:$I$21,7,FALSE)</f>
        <v>1</v>
      </c>
    </row>
    <row r="31" spans="1:21" x14ac:dyDescent="0.15">
      <c r="A31">
        <v>15</v>
      </c>
      <c r="B31" t="s">
        <v>12</v>
      </c>
      <c r="C31">
        <v>1</v>
      </c>
      <c r="D31">
        <f>VLOOKUP(A31,技能参数,4,FALSE)</f>
        <v>1.5</v>
      </c>
      <c r="E31">
        <f>VLOOKUP(A31*1000+D28,学习等级编码,2)</f>
        <v>1501</v>
      </c>
      <c r="F31">
        <f>INT(VLOOKUP($E31,技能升级,9,FALSE)*$C31*I31*J31)</f>
        <v>0</v>
      </c>
      <c r="G31">
        <f>INT(VLOOKUP($E31,技能升级,10,FALSE)*$C31*I31*J31)</f>
        <v>0</v>
      </c>
      <c r="H31">
        <f>INT(VLOOKUP($E31,技能升级,11,FALSE)*$C31*I31*J31)</f>
        <v>0</v>
      </c>
      <c r="I31">
        <v>1</v>
      </c>
      <c r="J31">
        <v>1</v>
      </c>
      <c r="L31">
        <v>15</v>
      </c>
      <c r="M31" t="s">
        <v>12</v>
      </c>
      <c r="N31">
        <v>1</v>
      </c>
      <c r="O31">
        <f>VLOOKUP(L31,技能参数,4,FALSE)</f>
        <v>1.5</v>
      </c>
      <c r="P31">
        <f>VLOOKUP(L31*1000+O28,学习等级编码,2)</f>
        <v>1501</v>
      </c>
      <c r="Q31">
        <f>INT(VLOOKUP(P31,技能升级,9,FALSE)*N31*T31*U31)</f>
        <v>0</v>
      </c>
      <c r="R31">
        <f>INT(VLOOKUP(P31,技能升级,10,FALSE)*N31*T31*U31)</f>
        <v>0</v>
      </c>
      <c r="S31">
        <f>INT(VLOOKUP(P31,技能升级,11,FALSE)*N31*T31*U31)</f>
        <v>0</v>
      </c>
      <c r="T31">
        <v>1</v>
      </c>
      <c r="U31">
        <v>1</v>
      </c>
    </row>
    <row r="32" spans="1:21" x14ac:dyDescent="0.15">
      <c r="A32">
        <v>11</v>
      </c>
      <c r="B32" t="s">
        <v>94</v>
      </c>
      <c r="C32">
        <f>INT((C28-D30-D31-C34)/D32)</f>
        <v>12</v>
      </c>
      <c r="D32">
        <f>VLOOKUP(A32,技能参数,4,FALSE)</f>
        <v>1</v>
      </c>
      <c r="E32">
        <f>VLOOKUP(A32*1000+D28,学习等级编码,2)</f>
        <v>1102</v>
      </c>
      <c r="F32">
        <f>INT(VLOOKUP($E32,技能升级,9,FALSE)*$C32*I32*J32)</f>
        <v>12240</v>
      </c>
      <c r="G32">
        <f>INT(VLOOKUP($E32,技能升级,10,FALSE)*$C32*I32*J32)</f>
        <v>0</v>
      </c>
      <c r="H32">
        <f>INT(VLOOKUP($E32,技能升级,11,FALSE)*$C32*I32*J32)</f>
        <v>276</v>
      </c>
      <c r="I32">
        <v>1</v>
      </c>
      <c r="J32">
        <f>VLOOKUP(A28,$A$2:$I$21,7,FALSE)</f>
        <v>1</v>
      </c>
      <c r="L32">
        <v>11</v>
      </c>
      <c r="M32" t="s">
        <v>94</v>
      </c>
      <c r="N32">
        <f>INT((N28-O30-O31)/O32)</f>
        <v>12</v>
      </c>
      <c r="O32">
        <f>VLOOKUP(L32,技能参数,4,FALSE)</f>
        <v>1</v>
      </c>
      <c r="P32">
        <f>VLOOKUP(L32*1000+O28,学习等级编码,2)</f>
        <v>1102</v>
      </c>
      <c r="Q32">
        <f>INT(VLOOKUP(P32,技能升级,9,FALSE)*N32*T32*U32)</f>
        <v>12240</v>
      </c>
      <c r="R32">
        <f>INT(VLOOKUP(P32,技能升级,10,FALSE)*N32*T32*U32)</f>
        <v>0</v>
      </c>
      <c r="S32">
        <f>INT(VLOOKUP(P32,技能升级,11,FALSE)*N32*T32*U32)</f>
        <v>276</v>
      </c>
      <c r="T32">
        <v>1</v>
      </c>
      <c r="U32">
        <f>VLOOKUP(L28,$A$2:$I$21,7,FALSE)</f>
        <v>1</v>
      </c>
    </row>
    <row r="33" spans="1:22" x14ac:dyDescent="0.15">
      <c r="A33">
        <v>14</v>
      </c>
      <c r="B33" t="s">
        <v>11</v>
      </c>
      <c r="C33">
        <v>1</v>
      </c>
      <c r="D33">
        <v>0</v>
      </c>
      <c r="E33">
        <f>VLOOKUP(A33*1000+D28,学习等级编码,2)</f>
        <v>1401</v>
      </c>
      <c r="F33">
        <f>INT(VLOOKUP($E33,技能升级,9,FALSE)*$C33*I33*J33)</f>
        <v>0</v>
      </c>
      <c r="G33">
        <f>INT(VLOOKUP($E33,技能升级,10,FALSE)*$C33*I33*J33)</f>
        <v>0</v>
      </c>
      <c r="H33">
        <f>INT(VLOOKUP($E33,技能升级,11,FALSE)*$C33*I33*J33)</f>
        <v>0</v>
      </c>
      <c r="I33">
        <v>1</v>
      </c>
      <c r="J33">
        <v>1</v>
      </c>
      <c r="L33">
        <v>14</v>
      </c>
      <c r="M33" t="s">
        <v>11</v>
      </c>
      <c r="N33">
        <v>1</v>
      </c>
      <c r="O33">
        <v>0</v>
      </c>
      <c r="P33">
        <f>VLOOKUP(L33*1000+O28,学习等级编码,2)</f>
        <v>1401</v>
      </c>
      <c r="Q33">
        <f>INT(VLOOKUP(P33,技能升级,9,FALSE)*N33*T33*U33)</f>
        <v>0</v>
      </c>
      <c r="R33">
        <f>INT(VLOOKUP(P33,技能升级,10,FALSE)*N33*T33*U33)</f>
        <v>0</v>
      </c>
      <c r="S33">
        <f>INT(VLOOKUP(P33,技能升级,11,FALSE)*N33*T33*U33)</f>
        <v>0</v>
      </c>
      <c r="T33">
        <v>1</v>
      </c>
      <c r="U33">
        <v>1</v>
      </c>
    </row>
    <row r="34" spans="1:22" x14ac:dyDescent="0.15">
      <c r="B34" t="s">
        <v>437</v>
      </c>
      <c r="C34">
        <f>D44</f>
        <v>4</v>
      </c>
      <c r="P34" t="s">
        <v>194</v>
      </c>
      <c r="Q34">
        <f>SUM(Q30:Q32)/1000</f>
        <v>12.24</v>
      </c>
      <c r="R34">
        <f>SUM(R30:R32)/1000</f>
        <v>15</v>
      </c>
      <c r="S34">
        <f>SUM(S30:S32)</f>
        <v>576</v>
      </c>
      <c r="T34" t="s">
        <v>196</v>
      </c>
      <c r="U34" t="s">
        <v>197</v>
      </c>
    </row>
    <row r="35" spans="1:22" x14ac:dyDescent="0.15">
      <c r="E35" t="s">
        <v>194</v>
      </c>
      <c r="F35">
        <f>SUM(F30:F32)/1000</f>
        <v>12.24</v>
      </c>
      <c r="G35">
        <f>SUM(G30:G32)/1000</f>
        <v>15</v>
      </c>
      <c r="H35">
        <f>SUM(H30:H32)</f>
        <v>576</v>
      </c>
      <c r="I35" t="s">
        <v>196</v>
      </c>
      <c r="J35" t="s">
        <v>197</v>
      </c>
      <c r="P35" t="s">
        <v>195</v>
      </c>
      <c r="Q35">
        <f>INT((IF($A28&gt;10000,VLOOKUP($A28,实战属性,13,FALSE),VLOOKUP($A28,总基本属性,7,FALSE))-
IF($B28&gt;10000,VLOOKUP($B28,实战属性,15,FALSE),VLOOKUP($B28,总基本属性,9,FALSE))*$L$13)*Q34)</f>
        <v>1468</v>
      </c>
      <c r="R35">
        <f>INT((IF($A28&gt;10000,VLOOKUP($A28,实战属性,14,FALSE),VLOOKUP($A28,总基本属性,8,FALSE))-
IF($B28&gt;10000,VLOOKUP($B28,实战属性,16,FALSE),VLOOKUP($B28,总基本属性,10,FALSE))*$L$13)*R34)</f>
        <v>1125</v>
      </c>
      <c r="S35">
        <f>S34+Q35+R35</f>
        <v>3169</v>
      </c>
      <c r="T35">
        <f>IF($B28&gt;10000,VLOOKUP($B28,实战属性,12,FALSE),VLOOKUP($B28,总基本属性,6,FALSE))+T45</f>
        <v>3300</v>
      </c>
      <c r="U35">
        <f>ROUND(T35/S35,2)</f>
        <v>1.04</v>
      </c>
    </row>
    <row r="36" spans="1:22" x14ac:dyDescent="0.15">
      <c r="E36" t="s">
        <v>195</v>
      </c>
      <c r="F36">
        <f>INT((IF($A28&gt;10000,VLOOKUP($A28,实战属性,13,FALSE),VLOOKUP($A28,总基本属性,7,FALSE))-
IF($B28&gt;10000,VLOOKUP($B28,实战属性,15,FALSE),VLOOKUP($B28,总基本属性,9,FALSE))*$L$13)*F35)</f>
        <v>1468</v>
      </c>
      <c r="G36">
        <f>INT((IF($A28&gt;10000,VLOOKUP($A28,实战属性,14,FALSE),VLOOKUP($A28,总基本属性,8,FALSE))-
IF($B28&gt;10000,VLOOKUP($B28,实战属性,16,FALSE),VLOOKUP($B28,总基本属性,10,FALSE))*$L$13)*G35)</f>
        <v>1125</v>
      </c>
      <c r="H36">
        <f>H35+F36+G36</f>
        <v>3169</v>
      </c>
      <c r="I36">
        <f>IF($B28&gt;10000,VLOOKUP($B28,实战属性,12,FALSE),VLOOKUP($B28,总基本属性,6,FALSE))+I45</f>
        <v>3300</v>
      </c>
      <c r="J36">
        <f>ROUND(I36/H36,2)</f>
        <v>1.04</v>
      </c>
    </row>
    <row r="39" spans="1:22" x14ac:dyDescent="0.15">
      <c r="A39" s="9" t="s">
        <v>5</v>
      </c>
      <c r="B39" s="9" t="s">
        <v>2</v>
      </c>
      <c r="C39" s="9" t="s">
        <v>178</v>
      </c>
      <c r="D39" s="9" t="s">
        <v>0</v>
      </c>
      <c r="G39" t="s">
        <v>445</v>
      </c>
      <c r="H39">
        <f>INT(I50/J50/C40)</f>
        <v>329</v>
      </c>
      <c r="I39" t="s">
        <v>446</v>
      </c>
      <c r="J39">
        <f>ROUND(I45/H39,1)</f>
        <v>2.1</v>
      </c>
      <c r="L39" s="9" t="s">
        <v>5</v>
      </c>
      <c r="M39" s="9" t="s">
        <v>2</v>
      </c>
      <c r="N39" s="9" t="s">
        <v>178</v>
      </c>
      <c r="O39" s="9" t="s">
        <v>0</v>
      </c>
      <c r="R39" t="s">
        <v>445</v>
      </c>
      <c r="S39">
        <f>INT(T50/U50/N40)</f>
        <v>310</v>
      </c>
      <c r="T39" t="s">
        <v>446</v>
      </c>
      <c r="U39">
        <f>ROUND(T45/S39,1)</f>
        <v>2.2000000000000002</v>
      </c>
    </row>
    <row r="40" spans="1:22" x14ac:dyDescent="0.15">
      <c r="A40">
        <v>4010</v>
      </c>
      <c r="B40">
        <v>11101</v>
      </c>
      <c r="C40">
        <v>16</v>
      </c>
      <c r="D40">
        <f>MOD(A40,1000)</f>
        <v>10</v>
      </c>
      <c r="G40" t="s">
        <v>447</v>
      </c>
      <c r="H40">
        <v>6</v>
      </c>
      <c r="I40" t="s">
        <v>383</v>
      </c>
      <c r="J40">
        <f>VLOOKUP(D40,召唤物生存,10)</f>
        <v>20.63</v>
      </c>
      <c r="L40">
        <v>4010</v>
      </c>
      <c r="M40">
        <v>11101</v>
      </c>
      <c r="N40">
        <v>17</v>
      </c>
      <c r="O40">
        <f>MOD(L40,1000)</f>
        <v>10</v>
      </c>
      <c r="R40" t="s">
        <v>447</v>
      </c>
      <c r="S40">
        <v>6</v>
      </c>
      <c r="T40" t="s">
        <v>383</v>
      </c>
      <c r="U40">
        <f>VLOOKUP(O40,召唤物生存,10)</f>
        <v>20.63</v>
      </c>
    </row>
    <row r="41" spans="1:22" x14ac:dyDescent="0.15">
      <c r="A41" t="s">
        <v>156</v>
      </c>
      <c r="B41" t="s">
        <v>95</v>
      </c>
      <c r="C41" t="s">
        <v>177</v>
      </c>
      <c r="D41" t="s">
        <v>143</v>
      </c>
      <c r="E41" t="s">
        <v>182</v>
      </c>
      <c r="F41" t="s">
        <v>192</v>
      </c>
      <c r="G41" t="s">
        <v>193</v>
      </c>
      <c r="H41" t="s">
        <v>176</v>
      </c>
      <c r="I41" t="s">
        <v>205</v>
      </c>
      <c r="J41" t="s">
        <v>206</v>
      </c>
      <c r="L41" t="s">
        <v>156</v>
      </c>
      <c r="M41" t="s">
        <v>95</v>
      </c>
      <c r="N41" t="s">
        <v>177</v>
      </c>
      <c r="O41" t="s">
        <v>143</v>
      </c>
      <c r="P41" t="s">
        <v>182</v>
      </c>
      <c r="Q41" t="s">
        <v>192</v>
      </c>
      <c r="R41" t="s">
        <v>193</v>
      </c>
      <c r="S41" t="s">
        <v>176</v>
      </c>
      <c r="T41" t="s">
        <v>205</v>
      </c>
      <c r="U41" t="s">
        <v>206</v>
      </c>
    </row>
    <row r="42" spans="1:22" x14ac:dyDescent="0.15">
      <c r="A42">
        <v>42</v>
      </c>
      <c r="B42" t="s">
        <v>35</v>
      </c>
      <c r="C42">
        <v>1</v>
      </c>
      <c r="D42">
        <f>VLOOKUP(A42,技能参数,4,FALSE)</f>
        <v>1</v>
      </c>
      <c r="E42">
        <f>IFERROR(VLOOKUP(A42*1000+D40,学习等级编码,2),0)</f>
        <v>4201</v>
      </c>
      <c r="F42">
        <f>IFERROR(INT(VLOOKUP($E42,技能升级,9,FALSE)*$C42*I42*J42),0)</f>
        <v>0</v>
      </c>
      <c r="G42">
        <f>IFERROR(INT(VLOOKUP($E42,技能升级,10,FALSE)*$C42*I42*J42),0)</f>
        <v>0</v>
      </c>
      <c r="H42">
        <f>INT(VLOOKUP($E42,技能升级,11,FALSE)*$C42*I42*J42)</f>
        <v>0</v>
      </c>
      <c r="I42">
        <v>1</v>
      </c>
      <c r="J42">
        <v>1</v>
      </c>
      <c r="L42">
        <v>42</v>
      </c>
      <c r="M42" t="s">
        <v>35</v>
      </c>
      <c r="N42">
        <v>1</v>
      </c>
      <c r="O42">
        <f>VLOOKUP(L42,技能参数,4,FALSE)</f>
        <v>1</v>
      </c>
      <c r="P42">
        <f>IFERROR(VLOOKUP(L42*1000+O40,学习等级编码,2),0)</f>
        <v>4201</v>
      </c>
      <c r="Q42">
        <f>IFERROR(INT(VLOOKUP(P42,技能升级,9,FALSE)*N42*T42*U42),0)</f>
        <v>0</v>
      </c>
      <c r="R42">
        <f>IFERROR(INT(VLOOKUP(P42,技能升级,10,FALSE)*N42*T42*U42),0)</f>
        <v>0</v>
      </c>
      <c r="S42">
        <f>INT(VLOOKUP(P42,技能升级,11,FALSE)*N42*T42*U42)</f>
        <v>0</v>
      </c>
      <c r="T42">
        <v>1</v>
      </c>
      <c r="U42">
        <v>1</v>
      </c>
    </row>
    <row r="43" spans="1:22" x14ac:dyDescent="0.15">
      <c r="A43">
        <v>43</v>
      </c>
      <c r="B43" t="s">
        <v>36</v>
      </c>
      <c r="C43">
        <v>1</v>
      </c>
      <c r="D43">
        <f>VLOOKUP(A43,技能参数,4,FALSE)</f>
        <v>1</v>
      </c>
      <c r="E43">
        <f>IFERROR(VLOOKUP(A43*1000+D40,学习等级编码,2),0)</f>
        <v>4301</v>
      </c>
      <c r="F43">
        <f t="shared" ref="F43" si="11">IFERROR(INT(VLOOKUP($E43,技能升级,9,FALSE)*$C43*I43*J43),0)</f>
        <v>0</v>
      </c>
      <c r="G43">
        <f t="shared" ref="G43" si="12">IFERROR(INT(VLOOKUP($E43,技能升级,10,FALSE)*$C43*I43*J43),0)</f>
        <v>0</v>
      </c>
      <c r="H43">
        <f>INT(VLOOKUP($E43,技能升级,11,FALSE)*$C43*I43*J43)</f>
        <v>0</v>
      </c>
      <c r="I43">
        <v>1</v>
      </c>
      <c r="J43">
        <v>1</v>
      </c>
      <c r="L43">
        <v>43</v>
      </c>
      <c r="M43" t="s">
        <v>36</v>
      </c>
      <c r="N43">
        <v>1</v>
      </c>
      <c r="O43">
        <f>VLOOKUP(L43,技能参数,4,FALSE)</f>
        <v>1</v>
      </c>
      <c r="P43">
        <f>IFERROR(VLOOKUP(L43*1000+O40,学习等级编码,2),0)</f>
        <v>4301</v>
      </c>
      <c r="Q43">
        <f>IFERROR(INT(VLOOKUP(P43,技能升级,9,FALSE)*N43*T43*U43),0)</f>
        <v>0</v>
      </c>
      <c r="R43">
        <f>IFERROR(INT(VLOOKUP(P43,技能升级,10,FALSE)*N43*T43*U43),0)</f>
        <v>0</v>
      </c>
      <c r="S43">
        <f>INT(VLOOKUP(P43,技能升级,11,FALSE)*N43*T43*U43)</f>
        <v>0</v>
      </c>
      <c r="T43">
        <v>1</v>
      </c>
      <c r="U43">
        <v>1</v>
      </c>
    </row>
    <row r="44" spans="1:22" x14ac:dyDescent="0.15">
      <c r="A44">
        <v>44</v>
      </c>
      <c r="B44" t="s">
        <v>38</v>
      </c>
      <c r="C44">
        <v>1</v>
      </c>
      <c r="D44">
        <f>IFERROR(INT(VLOOKUP($E44,技能升级,13,FALSE)),0)</f>
        <v>4</v>
      </c>
      <c r="E44">
        <f>IFERROR(VLOOKUP(A44*1000+D40,学习等级编码,2),0)</f>
        <v>4401</v>
      </c>
      <c r="F44">
        <f>IFERROR(INT(VLOOKUP($E44,技能升级,9,FALSE)*$C44*I44*J44),0)</f>
        <v>0</v>
      </c>
      <c r="G44">
        <f>IFERROR(INT(VLOOKUP($E44,技能升级,10,FALSE)*$D44*I44*J44),0)</f>
        <v>6000</v>
      </c>
      <c r="H44">
        <f>INT(VLOOKUP($E44,技能升级,11,FALSE)*$D44*I44*J44)</f>
        <v>100</v>
      </c>
      <c r="I44">
        <v>1</v>
      </c>
      <c r="J44">
        <f>VLOOKUP(A40,$A$2:$I$21,8,FALSE)</f>
        <v>1</v>
      </c>
      <c r="L44">
        <v>44</v>
      </c>
      <c r="M44" t="s">
        <v>38</v>
      </c>
      <c r="N44">
        <v>0</v>
      </c>
      <c r="O44">
        <v>0</v>
      </c>
      <c r="P44">
        <f>IFERROR(VLOOKUP(L44*1000+O40,学习等级编码,2),0)</f>
        <v>4401</v>
      </c>
      <c r="Q44">
        <f>IFERROR(INT(VLOOKUP(P44,技能升级,9,FALSE)*N44*T44*U44),0)</f>
        <v>0</v>
      </c>
      <c r="R44">
        <f>IFERROR(INT(VLOOKUP(P44,技能升级,10,FALSE)*N44*T44*U44),0)</f>
        <v>0</v>
      </c>
      <c r="S44">
        <f>INT(VLOOKUP(P44,技能升级,11,FALSE)*N44*T44*U44)</f>
        <v>0</v>
      </c>
      <c r="T44">
        <v>1</v>
      </c>
      <c r="U44">
        <f>VLOOKUP(L40,$A$2:$I$21,8,FALSE)</f>
        <v>1</v>
      </c>
    </row>
    <row r="45" spans="1:22" x14ac:dyDescent="0.15">
      <c r="A45">
        <v>45</v>
      </c>
      <c r="B45" t="s">
        <v>37</v>
      </c>
      <c r="C45">
        <v>1</v>
      </c>
      <c r="D45">
        <f>VLOOKUP(A45,技能参数,4,FALSE)</f>
        <v>2</v>
      </c>
      <c r="E45">
        <f>IFERROR(VLOOKUP(A45*1000+D40,学习等级编码,2),0)</f>
        <v>4501</v>
      </c>
      <c r="F45">
        <f>IFERROR(INT(VLOOKUP($E45,技能升级,9,FALSE)*$C45*I45*J45),0)</f>
        <v>0</v>
      </c>
      <c r="G45">
        <f t="shared" ref="G45:G46" si="13">IFERROR(INT(VLOOKUP($E45,技能升级,10,FALSE)*$C45*I45*J45),0)</f>
        <v>0</v>
      </c>
      <c r="H45">
        <f>INT(VLOOKUP($E45,技能升级,11,FALSE)*$C45*I45*J45)</f>
        <v>0</v>
      </c>
      <c r="I45">
        <f>INT(VLOOKUP($E45,技能升级,13,FALSE)*$C45)</f>
        <v>690</v>
      </c>
      <c r="J45">
        <v>1</v>
      </c>
      <c r="L45">
        <v>45</v>
      </c>
      <c r="M45" t="s">
        <v>37</v>
      </c>
      <c r="N45">
        <v>1</v>
      </c>
      <c r="O45">
        <f>VLOOKUP(L45,技能参数,4,FALSE)</f>
        <v>2</v>
      </c>
      <c r="P45">
        <f>IFERROR(VLOOKUP(L45*1000+O40,学习等级编码,2),0)</f>
        <v>4501</v>
      </c>
      <c r="Q45">
        <f>IFERROR(INT(VLOOKUP(P45,技能升级,9,FALSE)*N45*T45*U45),0)</f>
        <v>0</v>
      </c>
      <c r="R45">
        <f>IFERROR(INT(VLOOKUP(P45,技能升级,10,FALSE)*N45*T45*U45),0)</f>
        <v>0</v>
      </c>
      <c r="S45">
        <f>INT(VLOOKUP(P45,技能升级,11,FALSE)*N45*T45*U45)</f>
        <v>0</v>
      </c>
      <c r="T45">
        <f>INT(VLOOKUP($E45,技能升级,13,FALSE)*$C45)</f>
        <v>690</v>
      </c>
      <c r="U45">
        <v>1</v>
      </c>
    </row>
    <row r="46" spans="1:22" x14ac:dyDescent="0.15">
      <c r="A46">
        <v>41</v>
      </c>
      <c r="B46" t="s">
        <v>361</v>
      </c>
      <c r="C46">
        <f>IF(INT((C40-C42*D42-C43*D43-C44*D44-C45*D45)/D46)&gt;0,INT((C40-C42*D42-C43*D43-C44*D44-C45*D45)/D46),0)</f>
        <v>6</v>
      </c>
      <c r="D46">
        <f>VLOOKUP(A46,技能参数,4,FALSE)</f>
        <v>1.2</v>
      </c>
      <c r="E46">
        <f>IFERROR(VLOOKUP(A46*1000+D40,学习等级编码,2),0)</f>
        <v>4102</v>
      </c>
      <c r="F46">
        <f>IFERROR(INT(VLOOKUP($E46,技能升级,9,FALSE)*$C46*I46*J46),0)</f>
        <v>0</v>
      </c>
      <c r="G46">
        <f t="shared" si="13"/>
        <v>6240</v>
      </c>
      <c r="H46">
        <f>INT(VLOOKUP($E46,技能升级,11,FALSE)*$C46*I46*J46)</f>
        <v>138</v>
      </c>
      <c r="I46">
        <v>1</v>
      </c>
      <c r="J46">
        <f>VLOOKUP(A40,$A$2:$I$21,8,FALSE)</f>
        <v>1</v>
      </c>
      <c r="L46">
        <v>41</v>
      </c>
      <c r="M46" t="s">
        <v>361</v>
      </c>
      <c r="N46">
        <f>IF(INT((N40-N42*O42-N43*O43-N44*O44-N45*O45)/O46)&gt;0,INT((N40-N42*O42-N43*O43-N44*O44-N45*O45)/O46),0)</f>
        <v>10</v>
      </c>
      <c r="O46">
        <f>VLOOKUP(L46,技能参数,4,FALSE)</f>
        <v>1.2</v>
      </c>
      <c r="P46">
        <f>IFERROR(VLOOKUP(L46*1000+O40,学习等级编码,2),0)</f>
        <v>4102</v>
      </c>
      <c r="Q46">
        <f>IFERROR(INT(VLOOKUP(P46,技能升级,9,FALSE)*N46*T46*U46),0)</f>
        <v>0</v>
      </c>
      <c r="R46">
        <f>IFERROR(INT(VLOOKUP(P46,技能升级,10,FALSE)*N46*T46*U46),0)</f>
        <v>10400</v>
      </c>
      <c r="S46">
        <f>INT(VLOOKUP(P46,技能升级,11,FALSE)*N46*T46*U46)</f>
        <v>230</v>
      </c>
      <c r="T46">
        <v>1</v>
      </c>
      <c r="U46">
        <f>VLOOKUP(A40,$A$2:$I$21,8,FALSE)</f>
        <v>1</v>
      </c>
    </row>
    <row r="47" spans="1:22" x14ac:dyDescent="0.15">
      <c r="A47">
        <f>VLOOKUP(E42,技能升级,13,FALSE)</f>
        <v>101</v>
      </c>
      <c r="B47" t="s">
        <v>375</v>
      </c>
      <c r="C47">
        <f>IF(C40&lt;J40,C40+C40-H40,IF(C40&gt;J40+H40,J40+J40,J40+C40-H40))</f>
        <v>26</v>
      </c>
      <c r="G47">
        <f>INT((VLOOKUP(A47,召唤物属性,7,FALSE)-
IF($B40&gt;10000,VLOOKUP($B40,实战属性,15,FALSE),VLOOKUP($B40,总基本属性,9,FALSE))*$L$13)*I47*J47)</f>
        <v>83</v>
      </c>
      <c r="I47">
        <f>VLOOKUP($E42,技能升级,14,FALSE)</f>
        <v>1</v>
      </c>
      <c r="J47">
        <v>1</v>
      </c>
      <c r="L47">
        <f>VLOOKUP(P42,技能升级,13,FALSE)</f>
        <v>101</v>
      </c>
      <c r="M47" t="s">
        <v>375</v>
      </c>
      <c r="N47">
        <f>IF(N40&lt;U40,N40+N40-S40,IF(N40&gt;U40+S40,U40+U40,U40+N40-S40))</f>
        <v>28</v>
      </c>
      <c r="R47">
        <f>INT((VLOOKUP(L47,召唤物属性,7,FALSE)-
IF($B40&gt;10000,VLOOKUP($B40,实战属性,15,FALSE),VLOOKUP($B40,总基本属性,9,FALSE))*$L$13)*T47*U47)</f>
        <v>83</v>
      </c>
      <c r="T47">
        <f>VLOOKUP($E42,技能升级,14,FALSE)</f>
        <v>1</v>
      </c>
      <c r="U47">
        <v>1</v>
      </c>
      <c r="V47" t="s">
        <v>439</v>
      </c>
    </row>
    <row r="48" spans="1:22" x14ac:dyDescent="0.15">
      <c r="A48">
        <f>VLOOKUP(E43,技能升级,13,FALSE)</f>
        <v>201</v>
      </c>
      <c r="B48" t="s">
        <v>374</v>
      </c>
      <c r="C48">
        <f>IF(C40&lt;J40,C40+C40-H40,IF(C40&gt;J40+H40,J40+J40,J40+C40-H40))</f>
        <v>26</v>
      </c>
      <c r="F48">
        <f>INT((VLOOKUP(A48,召唤物属性,6,FALSE)-
IF($B40&gt;10000,VLOOKUP($B40,实战属性,15,FALSE),VLOOKUP($B40,总基本属性,9,FALSE))*$L$13)*I48*J48)</f>
        <v>62</v>
      </c>
      <c r="I48">
        <f>VLOOKUP($E43,技能升级,14,FALSE)</f>
        <v>2</v>
      </c>
      <c r="J48">
        <f>VLOOKUP(A40,$A$2:$I$21,9,FALSE)</f>
        <v>0.93</v>
      </c>
      <c r="L48">
        <f>VLOOKUP(P43,技能升级,13,FALSE)</f>
        <v>201</v>
      </c>
      <c r="M48" t="s">
        <v>374</v>
      </c>
      <c r="N48">
        <f>IF(N40&lt;U40,N40+N40-S40,IF(N40&gt;U40+S40,U40+U40,U40+N40-S40))</f>
        <v>28</v>
      </c>
      <c r="Q48">
        <f>INT((VLOOKUP(L48,召唤物属性,6,FALSE)-
IF($B40&gt;10000,VLOOKUP($B40,实战属性,15,FALSE),VLOOKUP($B40,总基本属性,9,FALSE))*$L$13)*T48*U48)</f>
        <v>62</v>
      </c>
      <c r="T48">
        <f>VLOOKUP($E43,技能升级,14,FALSE)</f>
        <v>2</v>
      </c>
      <c r="U48">
        <f>VLOOKUP(L40,$A$2:$I$21,9,FALSE)</f>
        <v>0.93</v>
      </c>
    </row>
    <row r="49" spans="1:21" x14ac:dyDescent="0.15">
      <c r="E49" t="s">
        <v>194</v>
      </c>
      <c r="F49">
        <f>SUM(F42:F46)/1000</f>
        <v>0</v>
      </c>
      <c r="G49">
        <f>SUM(G42:G46)/1000</f>
        <v>12.24</v>
      </c>
      <c r="H49">
        <f>SUM(H42:H45)</f>
        <v>100</v>
      </c>
      <c r="I49" t="s">
        <v>196</v>
      </c>
      <c r="J49" t="s">
        <v>197</v>
      </c>
      <c r="P49" t="s">
        <v>194</v>
      </c>
      <c r="Q49">
        <f>SUM(Q42:Q46)/1000</f>
        <v>0</v>
      </c>
      <c r="R49">
        <f>SUM(R42:R46)/1000</f>
        <v>10.4</v>
      </c>
      <c r="S49">
        <f>SUM(S42:S45)</f>
        <v>0</v>
      </c>
      <c r="T49" t="s">
        <v>196</v>
      </c>
      <c r="U49" t="s">
        <v>197</v>
      </c>
    </row>
    <row r="50" spans="1:21" x14ac:dyDescent="0.15">
      <c r="E50" t="s">
        <v>195</v>
      </c>
      <c r="F50">
        <f>INT((IF($A40&gt;10000,VLOOKUP($A40,实战属性,13,FALSE),VLOOKUP($A40,总基本属性,7,FALSE))-
IF($B40&gt;10000,VLOOKUP($B40,实战属性,15,FALSE),VLOOKUP($B40,总基本属性,9,FALSE))*$L$13)*F49)</f>
        <v>0</v>
      </c>
      <c r="G50">
        <f>INT((IF($A40&gt;10000,VLOOKUP($A40,实战属性,14,FALSE),VLOOKUP($A40,总基本属性,8,FALSE))-
IF($B40&gt;10000,VLOOKUP($B40,实战属性,16,FALSE),VLOOKUP($B40,总基本属性,10,FALSE))*$L$13)*G49)</f>
        <v>1419</v>
      </c>
      <c r="H50">
        <f>H49+F50+G50</f>
        <v>1519</v>
      </c>
      <c r="I50">
        <f>IF($B40&gt;10000,VLOOKUP($B40,实战属性,12,FALSE),VLOOKUP($B40,总基本属性,6,FALSE))</f>
        <v>5484</v>
      </c>
      <c r="J50">
        <f>ROUND(I50/H51,2)</f>
        <v>1.04</v>
      </c>
      <c r="P50" t="s">
        <v>195</v>
      </c>
      <c r="Q50">
        <f>INT((IF($A40&gt;10000,VLOOKUP($A40,实战属性,13,FALSE),VLOOKUP($A40,总基本属性,7,FALSE))-
IF($B40&gt;10000,VLOOKUP($B40,实战属性,15,FALSE),VLOOKUP($B40,总基本属性,9,FALSE))*$L$13)*Q49)</f>
        <v>0</v>
      </c>
      <c r="R50">
        <f>INT((IF($A40&gt;10000,VLOOKUP($A40,实战属性,14,FALSE),VLOOKUP($A40,总基本属性,8,FALSE))-
IF($B40&gt;10000,VLOOKUP($B40,实战属性,16,FALSE),VLOOKUP($B40,总基本属性,10,FALSE))*$L$13)*R49)</f>
        <v>1206</v>
      </c>
      <c r="S50">
        <f>S49+Q50+R50</f>
        <v>1206</v>
      </c>
      <c r="T50">
        <f>IF($B40&gt;10000,VLOOKUP($B40,实战属性,12,FALSE),VLOOKUP($B40,总基本属性,6,FALSE))</f>
        <v>5484</v>
      </c>
      <c r="U50">
        <f>ROUND(T50/S51,2)</f>
        <v>1.04</v>
      </c>
    </row>
    <row r="51" spans="1:21" x14ac:dyDescent="0.15">
      <c r="E51" t="s">
        <v>376</v>
      </c>
      <c r="F51">
        <f>INT(F48*C48)</f>
        <v>1612</v>
      </c>
      <c r="G51">
        <f>INT(G47*C47)</f>
        <v>2158</v>
      </c>
      <c r="H51">
        <f>F51+G51+H50</f>
        <v>5289</v>
      </c>
      <c r="P51" t="s">
        <v>376</v>
      </c>
      <c r="Q51">
        <f>INT(Q48*N48)</f>
        <v>1736</v>
      </c>
      <c r="R51">
        <f>INT(R47*N47)</f>
        <v>2324</v>
      </c>
      <c r="S51">
        <f>Q51+R51+S50</f>
        <v>5266</v>
      </c>
    </row>
    <row r="55" spans="1:21" x14ac:dyDescent="0.15">
      <c r="A55" s="8" t="s">
        <v>2</v>
      </c>
      <c r="B55" s="8" t="s">
        <v>5</v>
      </c>
      <c r="C55" s="8" t="s">
        <v>178</v>
      </c>
      <c r="D55" s="8" t="s">
        <v>0</v>
      </c>
      <c r="L55" s="8" t="s">
        <v>2</v>
      </c>
      <c r="M55" s="8" t="s">
        <v>5</v>
      </c>
      <c r="N55" s="8" t="s">
        <v>178</v>
      </c>
      <c r="O55" s="8" t="s">
        <v>0</v>
      </c>
    </row>
    <row r="56" spans="1:21" x14ac:dyDescent="0.15">
      <c r="A56">
        <f>A28+1</f>
        <v>11102</v>
      </c>
      <c r="B56">
        <f>B28+10</f>
        <v>4020</v>
      </c>
      <c r="C56">
        <v>19</v>
      </c>
      <c r="D56">
        <f>MOD(B56,1000)</f>
        <v>20</v>
      </c>
      <c r="L56">
        <f>L28+1</f>
        <v>11102</v>
      </c>
      <c r="M56">
        <f>M28+10</f>
        <v>4020</v>
      </c>
      <c r="N56">
        <v>15</v>
      </c>
      <c r="O56">
        <f>MOD(M56,1000)</f>
        <v>20</v>
      </c>
    </row>
    <row r="57" spans="1:21" x14ac:dyDescent="0.15">
      <c r="A57" t="s">
        <v>156</v>
      </c>
      <c r="B57" t="s">
        <v>95</v>
      </c>
      <c r="C57" t="s">
        <v>177</v>
      </c>
      <c r="D57" t="s">
        <v>143</v>
      </c>
      <c r="E57" t="s">
        <v>182</v>
      </c>
      <c r="F57" t="s">
        <v>192</v>
      </c>
      <c r="G57" t="s">
        <v>193</v>
      </c>
      <c r="H57" t="s">
        <v>176</v>
      </c>
      <c r="I57" t="s">
        <v>205</v>
      </c>
      <c r="J57" t="s">
        <v>206</v>
      </c>
      <c r="L57" t="s">
        <v>156</v>
      </c>
      <c r="M57" t="s">
        <v>95</v>
      </c>
      <c r="N57" t="s">
        <v>177</v>
      </c>
      <c r="O57" t="s">
        <v>143</v>
      </c>
      <c r="P57" t="s">
        <v>182</v>
      </c>
      <c r="Q57" t="s">
        <v>192</v>
      </c>
      <c r="R57" t="s">
        <v>193</v>
      </c>
      <c r="S57" t="s">
        <v>176</v>
      </c>
      <c r="T57" t="s">
        <v>205</v>
      </c>
      <c r="U57" t="s">
        <v>206</v>
      </c>
    </row>
    <row r="58" spans="1:21" x14ac:dyDescent="0.15">
      <c r="A58">
        <v>12</v>
      </c>
      <c r="B58" t="s">
        <v>9</v>
      </c>
      <c r="C58">
        <f>C56-C62</f>
        <v>15</v>
      </c>
      <c r="D58">
        <f>VLOOKUP(A58,技能参数,4,FALSE)</f>
        <v>0.6</v>
      </c>
      <c r="E58">
        <f>VLOOKUP(A58*1000+D56,学习等级编码,2)</f>
        <v>1202</v>
      </c>
      <c r="F58">
        <f>INT(VLOOKUP($E58,技能升级,9,FALSE)*$C58*I58*J58)</f>
        <v>0</v>
      </c>
      <c r="G58">
        <f>INT(VLOOKUP($E58,技能升级,10,FALSE)*$C58*I58*J58)</f>
        <v>15450</v>
      </c>
      <c r="H58">
        <f>INT(VLOOKUP($E58,技能升级,11,FALSE)*$C58*I58*J58)</f>
        <v>510</v>
      </c>
      <c r="I58">
        <v>1</v>
      </c>
      <c r="J58">
        <f>VLOOKUP(A56,$A$2:$I$21,7,FALSE)</f>
        <v>1</v>
      </c>
      <c r="L58">
        <v>12</v>
      </c>
      <c r="M58" t="s">
        <v>9</v>
      </c>
      <c r="N58">
        <f>N56</f>
        <v>15</v>
      </c>
      <c r="O58">
        <f>VLOOKUP(L58,技能参数,4,FALSE)</f>
        <v>0.6</v>
      </c>
      <c r="P58">
        <f>VLOOKUP(L58*1000+O56,学习等级编码,2)</f>
        <v>1202</v>
      </c>
      <c r="Q58">
        <f>INT(VLOOKUP(P58,技能升级,9,FALSE)*N58*T58*U58)</f>
        <v>0</v>
      </c>
      <c r="R58">
        <f>INT(VLOOKUP(P58,技能升级,10,FALSE)*N58*T58*U58)</f>
        <v>15450</v>
      </c>
      <c r="S58">
        <f>INT(VLOOKUP(P58,技能升级,11,FALSE)*N58*T58*U58)</f>
        <v>510</v>
      </c>
      <c r="T58">
        <v>1</v>
      </c>
      <c r="U58">
        <f>VLOOKUP(L56,$A$2:$I$21,7,FALSE)</f>
        <v>1</v>
      </c>
    </row>
    <row r="59" spans="1:21" x14ac:dyDescent="0.15">
      <c r="A59">
        <v>15</v>
      </c>
      <c r="B59" t="s">
        <v>12</v>
      </c>
      <c r="C59">
        <v>1</v>
      </c>
      <c r="D59">
        <f>VLOOKUP(A59,技能参数,4,FALSE)</f>
        <v>1.5</v>
      </c>
      <c r="E59">
        <f>VLOOKUP(A59*1000+D56,学习等级编码,2)</f>
        <v>1501</v>
      </c>
      <c r="F59">
        <f>INT(VLOOKUP($E59,技能升级,9,FALSE)*$C59*I59*J59)</f>
        <v>0</v>
      </c>
      <c r="G59">
        <f>INT(VLOOKUP($E59,技能升级,10,FALSE)*$C59*I59*J59)</f>
        <v>0</v>
      </c>
      <c r="H59">
        <f>INT(VLOOKUP($E59,技能升级,11,FALSE)*$C59*I59*J59)</f>
        <v>0</v>
      </c>
      <c r="I59">
        <v>1</v>
      </c>
      <c r="J59">
        <v>1</v>
      </c>
      <c r="L59">
        <v>15</v>
      </c>
      <c r="M59" t="s">
        <v>12</v>
      </c>
      <c r="N59">
        <v>1</v>
      </c>
      <c r="O59">
        <f>VLOOKUP(L59,技能参数,4,FALSE)</f>
        <v>1.5</v>
      </c>
      <c r="P59">
        <f>VLOOKUP(L59*1000+O56,学习等级编码,2)</f>
        <v>1501</v>
      </c>
      <c r="Q59">
        <f>INT(VLOOKUP(P59,技能升级,9,FALSE)*N59*T59*U59)</f>
        <v>0</v>
      </c>
      <c r="R59">
        <f>INT(VLOOKUP(P59,技能升级,10,FALSE)*N59*T59*U59)</f>
        <v>0</v>
      </c>
      <c r="S59">
        <f>INT(VLOOKUP(P59,技能升级,11,FALSE)*N59*T59*U59)</f>
        <v>0</v>
      </c>
      <c r="T59">
        <v>1</v>
      </c>
      <c r="U59">
        <v>1</v>
      </c>
    </row>
    <row r="60" spans="1:21" x14ac:dyDescent="0.15">
      <c r="A60">
        <v>11</v>
      </c>
      <c r="B60" t="s">
        <v>94</v>
      </c>
      <c r="C60">
        <f>INT((C56-D58-D59-C62)/D60)</f>
        <v>12</v>
      </c>
      <c r="D60">
        <f>VLOOKUP(A60,技能参数,4,FALSE)</f>
        <v>1</v>
      </c>
      <c r="E60">
        <f>VLOOKUP(A60*1000+D56,学习等级编码,2)</f>
        <v>1103</v>
      </c>
      <c r="F60">
        <f>INT(VLOOKUP($E60,技能升级,9,FALSE)*$C60*I60*J60)</f>
        <v>12480</v>
      </c>
      <c r="G60">
        <f>INT(VLOOKUP($E60,技能升级,10,FALSE)*$C60*I60*J60)</f>
        <v>0</v>
      </c>
      <c r="H60">
        <f>INT(VLOOKUP($E60,技能升级,11,FALSE)*$C60*I60*J60)</f>
        <v>444</v>
      </c>
      <c r="I60">
        <v>1</v>
      </c>
      <c r="J60">
        <f>VLOOKUP(A56,$A$2:$I$21,7,FALSE)</f>
        <v>1</v>
      </c>
      <c r="L60">
        <v>11</v>
      </c>
      <c r="M60" t="s">
        <v>94</v>
      </c>
      <c r="N60">
        <f>INT((N56-O58-O59)/O60)</f>
        <v>12</v>
      </c>
      <c r="O60">
        <f>VLOOKUP(L60,技能参数,4,FALSE)</f>
        <v>1</v>
      </c>
      <c r="P60">
        <f>VLOOKUP(L60*1000+O56,学习等级编码,2)</f>
        <v>1103</v>
      </c>
      <c r="Q60">
        <f>INT(VLOOKUP(P60,技能升级,9,FALSE)*N60*T60*U60)</f>
        <v>12480</v>
      </c>
      <c r="R60">
        <f>INT(VLOOKUP(P60,技能升级,10,FALSE)*N60*T60*U60)</f>
        <v>0</v>
      </c>
      <c r="S60">
        <f>INT(VLOOKUP(P60,技能升级,11,FALSE)*N60*T60*U60)</f>
        <v>444</v>
      </c>
      <c r="T60">
        <v>1</v>
      </c>
      <c r="U60">
        <f>VLOOKUP(L56,$A$2:$I$21,7,FALSE)</f>
        <v>1</v>
      </c>
    </row>
    <row r="61" spans="1:21" x14ac:dyDescent="0.15">
      <c r="A61">
        <v>14</v>
      </c>
      <c r="B61" t="s">
        <v>11</v>
      </c>
      <c r="C61">
        <v>1</v>
      </c>
      <c r="D61">
        <v>0</v>
      </c>
      <c r="E61">
        <f>VLOOKUP(A61*1000+D56,学习等级编码,2)</f>
        <v>1402</v>
      </c>
      <c r="F61">
        <f>INT(VLOOKUP($E61,技能升级,9,FALSE)*$C61*I61*J61)</f>
        <v>0</v>
      </c>
      <c r="G61">
        <f>INT(VLOOKUP($E61,技能升级,10,FALSE)*$C61*I61*J61)</f>
        <v>0</v>
      </c>
      <c r="H61">
        <f>INT(VLOOKUP($E61,技能升级,11,FALSE)*$C61*I61*J61)</f>
        <v>0</v>
      </c>
      <c r="I61">
        <v>1</v>
      </c>
      <c r="J61">
        <v>1</v>
      </c>
      <c r="L61">
        <v>14</v>
      </c>
      <c r="M61" t="s">
        <v>11</v>
      </c>
      <c r="N61">
        <v>1</v>
      </c>
      <c r="O61">
        <v>0</v>
      </c>
      <c r="P61">
        <f>VLOOKUP(L61*1000+O56,学习等级编码,2)</f>
        <v>1402</v>
      </c>
      <c r="Q61">
        <f>INT(VLOOKUP(P61,技能升级,9,FALSE)*N61*T61*U61)</f>
        <v>0</v>
      </c>
      <c r="R61">
        <f>INT(VLOOKUP(P61,技能升级,10,FALSE)*N61*T61*U61)</f>
        <v>0</v>
      </c>
      <c r="S61">
        <f>INT(VLOOKUP(P61,技能升级,11,FALSE)*N61*T61*U61)</f>
        <v>0</v>
      </c>
      <c r="T61">
        <v>1</v>
      </c>
      <c r="U61">
        <v>1</v>
      </c>
    </row>
    <row r="62" spans="1:21" x14ac:dyDescent="0.15">
      <c r="B62" t="s">
        <v>437</v>
      </c>
      <c r="C62">
        <f>D72</f>
        <v>4</v>
      </c>
      <c r="P62" t="s">
        <v>194</v>
      </c>
      <c r="Q62">
        <f>SUM(Q58:Q60)/1000</f>
        <v>12.48</v>
      </c>
      <c r="R62">
        <f>SUM(R58:R60)/1000</f>
        <v>15.45</v>
      </c>
      <c r="S62">
        <f>SUM(S58:S60)</f>
        <v>954</v>
      </c>
      <c r="T62" t="s">
        <v>196</v>
      </c>
      <c r="U62" t="s">
        <v>197</v>
      </c>
    </row>
    <row r="63" spans="1:21" x14ac:dyDescent="0.15">
      <c r="E63" t="s">
        <v>194</v>
      </c>
      <c r="F63">
        <f>SUM(F58:F60)/1000</f>
        <v>12.48</v>
      </c>
      <c r="G63">
        <f>SUM(G58:G60)/1000</f>
        <v>15.45</v>
      </c>
      <c r="H63">
        <f>SUM(H58:H60)</f>
        <v>954</v>
      </c>
      <c r="I63" t="s">
        <v>196</v>
      </c>
      <c r="J63" t="s">
        <v>197</v>
      </c>
      <c r="P63" t="s">
        <v>195</v>
      </c>
      <c r="Q63">
        <f>INT((IF($A56&gt;10000,VLOOKUP($A56,实战属性,13,FALSE),VLOOKUP($A56,总基本属性,7,FALSE))-
IF($B56&gt;10000,VLOOKUP($B56,实战属性,15,FALSE),VLOOKUP($B56,总基本属性,9,FALSE))*$L$13)*Q62)</f>
        <v>3625</v>
      </c>
      <c r="R63">
        <f>INT((IF($A56&gt;10000,VLOOKUP($A56,实战属性,14,FALSE),VLOOKUP($A56,总基本属性,8,FALSE))-
IF($B56&gt;10000,VLOOKUP($B56,实战属性,16,FALSE),VLOOKUP($B56,总基本属性,10,FALSE))*$L$13)*R62)</f>
        <v>4071</v>
      </c>
      <c r="S63">
        <f>S62+Q63+R63</f>
        <v>8650</v>
      </c>
      <c r="T63">
        <f>IF($B56&gt;10000,VLOOKUP($B56,实战属性,12,FALSE),VLOOKUP($B56,总基本属性,6,FALSE))+T73</f>
        <v>8520</v>
      </c>
      <c r="U63">
        <f>ROUND(T63/S63,2)</f>
        <v>0.98</v>
      </c>
    </row>
    <row r="64" spans="1:21" x14ac:dyDescent="0.15">
      <c r="E64" t="s">
        <v>195</v>
      </c>
      <c r="F64">
        <f>INT((IF($A56&gt;10000,VLOOKUP($A56,实战属性,13,FALSE),VLOOKUP($A56,总基本属性,7,FALSE))-
IF($B56&gt;10000,VLOOKUP($B56,实战属性,15,FALSE),VLOOKUP($B56,总基本属性,9,FALSE))*$L$13)*F63)</f>
        <v>3625</v>
      </c>
      <c r="G64">
        <f>INT((IF($A56&gt;10000,VLOOKUP($A56,实战属性,14,FALSE),VLOOKUP($A56,总基本属性,8,FALSE))-
IF($B56&gt;10000,VLOOKUP($B56,实战属性,16,FALSE),VLOOKUP($B56,总基本属性,10,FALSE))*$L$13)*G63)</f>
        <v>4071</v>
      </c>
      <c r="H64">
        <f>H63+F64+G64</f>
        <v>8650</v>
      </c>
      <c r="I64">
        <f>IF($B56&gt;10000,VLOOKUP($B56,实战属性,12,FALSE),VLOOKUP($B56,总基本属性,6,FALSE))+I73</f>
        <v>8520</v>
      </c>
      <c r="J64">
        <f>ROUND(I64/H64,2)</f>
        <v>0.98</v>
      </c>
    </row>
    <row r="67" spans="1:21" x14ac:dyDescent="0.15">
      <c r="A67" s="9" t="s">
        <v>5</v>
      </c>
      <c r="B67" s="9" t="s">
        <v>2</v>
      </c>
      <c r="C67" s="9" t="s">
        <v>178</v>
      </c>
      <c r="D67" s="9" t="s">
        <v>0</v>
      </c>
      <c r="G67" t="s">
        <v>445</v>
      </c>
      <c r="H67">
        <f>INT(I78/J78/C68)</f>
        <v>988</v>
      </c>
      <c r="I67" t="s">
        <v>446</v>
      </c>
      <c r="J67">
        <f>ROUND(I73/H67,1)</f>
        <v>0.7</v>
      </c>
      <c r="L67" s="9" t="s">
        <v>5</v>
      </c>
      <c r="M67" s="9" t="s">
        <v>2</v>
      </c>
      <c r="N67" s="9" t="s">
        <v>178</v>
      </c>
      <c r="O67" s="9" t="s">
        <v>0</v>
      </c>
      <c r="R67" t="s">
        <v>445</v>
      </c>
      <c r="S67">
        <f>INT(T78/U78/N68)</f>
        <v>926</v>
      </c>
      <c r="T67" t="s">
        <v>446</v>
      </c>
      <c r="U67">
        <f>ROUND(T73/S67,1)</f>
        <v>0.7</v>
      </c>
    </row>
    <row r="68" spans="1:21" x14ac:dyDescent="0.15">
      <c r="A68">
        <f>A40+10</f>
        <v>4020</v>
      </c>
      <c r="B68">
        <f>B40+1</f>
        <v>11102</v>
      </c>
      <c r="C68">
        <v>15</v>
      </c>
      <c r="D68">
        <f>MOD(A68,1000)</f>
        <v>20</v>
      </c>
      <c r="G68" t="s">
        <v>447</v>
      </c>
      <c r="H68">
        <v>4</v>
      </c>
      <c r="I68" t="s">
        <v>383</v>
      </c>
      <c r="J68">
        <f>VLOOKUP(D68,召唤物生存,10)</f>
        <v>14.01</v>
      </c>
      <c r="L68">
        <f>L40+10</f>
        <v>4020</v>
      </c>
      <c r="M68">
        <f>M40+1</f>
        <v>11102</v>
      </c>
      <c r="N68">
        <v>16</v>
      </c>
      <c r="O68">
        <f>MOD(L68,1000)</f>
        <v>20</v>
      </c>
      <c r="R68" t="s">
        <v>447</v>
      </c>
      <c r="S68">
        <v>4</v>
      </c>
      <c r="T68" t="s">
        <v>383</v>
      </c>
      <c r="U68">
        <f>VLOOKUP(O68,召唤物生存,10)</f>
        <v>14.01</v>
      </c>
    </row>
    <row r="69" spans="1:21" x14ac:dyDescent="0.15">
      <c r="A69" t="s">
        <v>156</v>
      </c>
      <c r="B69" t="s">
        <v>95</v>
      </c>
      <c r="C69" t="s">
        <v>177</v>
      </c>
      <c r="D69" t="s">
        <v>143</v>
      </c>
      <c r="E69" t="s">
        <v>182</v>
      </c>
      <c r="F69" t="s">
        <v>192</v>
      </c>
      <c r="G69" t="s">
        <v>193</v>
      </c>
      <c r="H69" t="s">
        <v>176</v>
      </c>
      <c r="I69" t="s">
        <v>205</v>
      </c>
      <c r="J69" t="s">
        <v>206</v>
      </c>
      <c r="L69" t="s">
        <v>156</v>
      </c>
      <c r="M69" t="s">
        <v>95</v>
      </c>
      <c r="N69" t="s">
        <v>177</v>
      </c>
      <c r="O69" t="s">
        <v>143</v>
      </c>
      <c r="P69" t="s">
        <v>182</v>
      </c>
      <c r="Q69" t="s">
        <v>192</v>
      </c>
      <c r="R69" t="s">
        <v>193</v>
      </c>
      <c r="S69" t="s">
        <v>176</v>
      </c>
      <c r="T69" t="s">
        <v>205</v>
      </c>
      <c r="U69" t="s">
        <v>206</v>
      </c>
    </row>
    <row r="70" spans="1:21" x14ac:dyDescent="0.15">
      <c r="A70">
        <v>42</v>
      </c>
      <c r="B70" t="s">
        <v>35</v>
      </c>
      <c r="C70">
        <v>1</v>
      </c>
      <c r="D70">
        <f>VLOOKUP(A70,技能参数,4,FALSE)</f>
        <v>1</v>
      </c>
      <c r="E70">
        <f>IFERROR(VLOOKUP(A70*1000+D68,学习等级编码,2),0)</f>
        <v>4202</v>
      </c>
      <c r="F70">
        <f>IFERROR(INT(VLOOKUP($E70,技能升级,9,FALSE)*$C70*I70*J70),0)</f>
        <v>0</v>
      </c>
      <c r="G70">
        <f>IFERROR(INT(VLOOKUP($E70,技能升级,10,FALSE)*$C70*I70*J70),0)</f>
        <v>0</v>
      </c>
      <c r="H70">
        <f>INT(VLOOKUP($E70,技能升级,11,FALSE)*$C70*I70*J70)</f>
        <v>0</v>
      </c>
      <c r="I70">
        <v>1</v>
      </c>
      <c r="J70">
        <v>1</v>
      </c>
      <c r="L70">
        <v>42</v>
      </c>
      <c r="M70" t="s">
        <v>35</v>
      </c>
      <c r="N70">
        <v>1</v>
      </c>
      <c r="O70">
        <f>VLOOKUP(L70,技能参数,4,FALSE)</f>
        <v>1</v>
      </c>
      <c r="P70">
        <f>IFERROR(VLOOKUP(L70*1000+O68,学习等级编码,2),0)</f>
        <v>4202</v>
      </c>
      <c r="Q70">
        <f>IFERROR(INT(VLOOKUP(P70,技能升级,9,FALSE)*N70*T70*U70),0)</f>
        <v>0</v>
      </c>
      <c r="R70">
        <f>IFERROR(INT(VLOOKUP(P70,技能升级,10,FALSE)*N70*T70*U70),0)</f>
        <v>0</v>
      </c>
      <c r="S70">
        <f>INT(VLOOKUP(P70,技能升级,11,FALSE)*N70*T70*U70)</f>
        <v>0</v>
      </c>
      <c r="T70">
        <v>1</v>
      </c>
      <c r="U70">
        <v>1</v>
      </c>
    </row>
    <row r="71" spans="1:21" x14ac:dyDescent="0.15">
      <c r="A71">
        <v>43</v>
      </c>
      <c r="B71" t="s">
        <v>36</v>
      </c>
      <c r="C71">
        <v>1</v>
      </c>
      <c r="D71">
        <f>VLOOKUP(A71,技能参数,4,FALSE)</f>
        <v>1</v>
      </c>
      <c r="E71">
        <f>IFERROR(VLOOKUP(A71*1000+D68,学习等级编码,2),0)</f>
        <v>4302</v>
      </c>
      <c r="F71">
        <f t="shared" ref="F71" si="14">IFERROR(INT(VLOOKUP($E71,技能升级,9,FALSE)*$C71*I71*J71),0)</f>
        <v>0</v>
      </c>
      <c r="G71">
        <f t="shared" ref="G71" si="15">IFERROR(INT(VLOOKUP($E71,技能升级,10,FALSE)*$C71*I71*J71),0)</f>
        <v>0</v>
      </c>
      <c r="H71">
        <f>INT(VLOOKUP($E71,技能升级,11,FALSE)*$C71*I71*J71)</f>
        <v>0</v>
      </c>
      <c r="I71">
        <v>1</v>
      </c>
      <c r="J71">
        <v>1</v>
      </c>
      <c r="L71">
        <v>43</v>
      </c>
      <c r="M71" t="s">
        <v>36</v>
      </c>
      <c r="N71">
        <v>1</v>
      </c>
      <c r="O71">
        <f>VLOOKUP(L71,技能参数,4,FALSE)</f>
        <v>1</v>
      </c>
      <c r="P71">
        <f>IFERROR(VLOOKUP(L71*1000+O68,学习等级编码,2),0)</f>
        <v>4302</v>
      </c>
      <c r="Q71">
        <f>IFERROR(INT(VLOOKUP(P71,技能升级,9,FALSE)*N71*T71*U71),0)</f>
        <v>0</v>
      </c>
      <c r="R71">
        <f>IFERROR(INT(VLOOKUP(P71,技能升级,10,FALSE)*N71*T71*U71),0)</f>
        <v>0</v>
      </c>
      <c r="S71">
        <f>INT(VLOOKUP(P71,技能升级,11,FALSE)*N71*T71*U71)</f>
        <v>0</v>
      </c>
      <c r="T71">
        <v>1</v>
      </c>
      <c r="U71">
        <v>1</v>
      </c>
    </row>
    <row r="72" spans="1:21" x14ac:dyDescent="0.15">
      <c r="A72">
        <v>44</v>
      </c>
      <c r="B72" t="s">
        <v>38</v>
      </c>
      <c r="C72">
        <v>1</v>
      </c>
      <c r="D72">
        <f>IFERROR(INT(VLOOKUP($E72,技能升级,13,FALSE)),0)</f>
        <v>4</v>
      </c>
      <c r="E72">
        <f>IFERROR(VLOOKUP(A72*1000+D68,学习等级编码,2),0)</f>
        <v>4402</v>
      </c>
      <c r="F72">
        <f>IFERROR(INT(VLOOKUP($E72,技能升级,9,FALSE)*$C72*I72*J72),0)</f>
        <v>0</v>
      </c>
      <c r="G72">
        <f>IFERROR(INT(VLOOKUP($E72,技能升级,10,FALSE)*$D72*I72*J72),0)</f>
        <v>6280</v>
      </c>
      <c r="H72">
        <f>INT(VLOOKUP($E72,技能升级,11,FALSE)*$D72*I72*J72)</f>
        <v>180</v>
      </c>
      <c r="I72">
        <v>1</v>
      </c>
      <c r="J72">
        <f>VLOOKUP(A68,$A$2:$I$21,8,FALSE)</f>
        <v>1</v>
      </c>
      <c r="L72">
        <v>44</v>
      </c>
      <c r="M72" t="s">
        <v>38</v>
      </c>
      <c r="N72">
        <v>0</v>
      </c>
      <c r="O72">
        <v>0</v>
      </c>
      <c r="P72">
        <f>IFERROR(VLOOKUP(L72*1000+O68,学习等级编码,2),0)</f>
        <v>4402</v>
      </c>
      <c r="Q72">
        <f>IFERROR(INT(VLOOKUP(P72,技能升级,9,FALSE)*N72*T72*U72),0)</f>
        <v>0</v>
      </c>
      <c r="R72">
        <f>IFERROR(INT(VLOOKUP(P72,技能升级,10,FALSE)*N72*T72*U72),0)</f>
        <v>0</v>
      </c>
      <c r="S72">
        <f>INT(VLOOKUP(P72,技能升级,11,FALSE)*N72*T72*U72)</f>
        <v>0</v>
      </c>
      <c r="T72">
        <v>1</v>
      </c>
      <c r="U72">
        <f>VLOOKUP(L68,$A$2:$I$21,8,FALSE)</f>
        <v>1</v>
      </c>
    </row>
    <row r="73" spans="1:21" x14ac:dyDescent="0.15">
      <c r="A73">
        <v>45</v>
      </c>
      <c r="B73" t="s">
        <v>37</v>
      </c>
      <c r="C73">
        <v>1</v>
      </c>
      <c r="D73">
        <f>VLOOKUP(A73,技能参数,4,FALSE)</f>
        <v>2</v>
      </c>
      <c r="E73">
        <f>IFERROR(VLOOKUP(A73*1000+D68,学习等级编码,2),0)</f>
        <v>4501</v>
      </c>
      <c r="F73">
        <f>IFERROR(INT(VLOOKUP($E73,技能升级,9,FALSE)*$C73*I73*J73),0)</f>
        <v>0</v>
      </c>
      <c r="G73">
        <f t="shared" ref="G73:G74" si="16">IFERROR(INT(VLOOKUP($E73,技能升级,10,FALSE)*$C73*I73*J73),0)</f>
        <v>0</v>
      </c>
      <c r="H73">
        <f>INT(VLOOKUP($E73,技能升级,11,FALSE)*$C73*I73*J73)</f>
        <v>0</v>
      </c>
      <c r="I73">
        <f>INT(VLOOKUP($E73,技能升级,13,FALSE)*$C73)</f>
        <v>690</v>
      </c>
      <c r="J73">
        <v>1</v>
      </c>
      <c r="L73">
        <v>45</v>
      </c>
      <c r="M73" t="s">
        <v>37</v>
      </c>
      <c r="N73">
        <v>1</v>
      </c>
      <c r="O73">
        <f>VLOOKUP(L73,技能参数,4,FALSE)</f>
        <v>2</v>
      </c>
      <c r="P73">
        <f>IFERROR(VLOOKUP(L73*1000+O68,学习等级编码,2),0)</f>
        <v>4501</v>
      </c>
      <c r="Q73">
        <f>IFERROR(INT(VLOOKUP(P73,技能升级,9,FALSE)*N73*T73*U73),0)</f>
        <v>0</v>
      </c>
      <c r="R73">
        <f>IFERROR(INT(VLOOKUP(P73,技能升级,10,FALSE)*N73*T73*U73),0)</f>
        <v>0</v>
      </c>
      <c r="S73">
        <f>INT(VLOOKUP(P73,技能升级,11,FALSE)*N73*T73*U73)</f>
        <v>0</v>
      </c>
      <c r="T73">
        <f>INT(VLOOKUP($E73,技能升级,13,FALSE)*$C73)</f>
        <v>690</v>
      </c>
      <c r="U73">
        <v>1</v>
      </c>
    </row>
    <row r="74" spans="1:21" x14ac:dyDescent="0.15">
      <c r="A74">
        <v>41</v>
      </c>
      <c r="B74" t="s">
        <v>361</v>
      </c>
      <c r="C74">
        <f>IF(INT((C68-C70*D70-C71*D71-C72*D72-C73*D73)/D74)&gt;0,INT((C68-C70*D70-C71*D71-C72*D72-C73*D73)/D74),0)</f>
        <v>5</v>
      </c>
      <c r="D74">
        <f>VLOOKUP(A74,技能参数,4,FALSE)</f>
        <v>1.2</v>
      </c>
      <c r="E74">
        <f>IFERROR(VLOOKUP(A74*1000+D68,学习等级编码,2),0)</f>
        <v>4103</v>
      </c>
      <c r="F74">
        <f>IFERROR(INT(VLOOKUP($E74,技能升级,9,FALSE)*$C74*I74*J74),0)</f>
        <v>0</v>
      </c>
      <c r="G74">
        <f t="shared" si="16"/>
        <v>5450</v>
      </c>
      <c r="H74">
        <f>INT(VLOOKUP($E74,技能升级,11,FALSE)*$C74*I74*J74)</f>
        <v>185</v>
      </c>
      <c r="I74">
        <v>1</v>
      </c>
      <c r="J74">
        <f>VLOOKUP(A40,$A$2:$I$21,8,FALSE)</f>
        <v>1</v>
      </c>
      <c r="L74">
        <v>41</v>
      </c>
      <c r="M74" t="s">
        <v>361</v>
      </c>
      <c r="N74">
        <f>IF(INT((N68-N70*O70-N71*O71-N72*O72-N73*O73)/O74)&gt;0,INT((N68-N70*O70-N71*O71-N72*O72-N73*O73)/O74),0)</f>
        <v>10</v>
      </c>
      <c r="O74">
        <f>VLOOKUP(L74,技能参数,4,FALSE)</f>
        <v>1.2</v>
      </c>
      <c r="P74">
        <f>IFERROR(VLOOKUP(L74*1000+O68,学习等级编码,2),0)</f>
        <v>4103</v>
      </c>
      <c r="Q74">
        <f>IFERROR(INT(VLOOKUP(P74,技能升级,9,FALSE)*N74*T74*U74),0)</f>
        <v>0</v>
      </c>
      <c r="R74">
        <f>IFERROR(INT(VLOOKUP(P74,技能升级,10,FALSE)*N74*T74*U74),0)</f>
        <v>10900</v>
      </c>
      <c r="S74">
        <f>INT(VLOOKUP(P74,技能升级,11,FALSE)*N74*T74*U74)</f>
        <v>370</v>
      </c>
      <c r="T74">
        <v>1</v>
      </c>
      <c r="U74">
        <f>VLOOKUP(A40,$A$2:$I$21,8,FALSE)</f>
        <v>1</v>
      </c>
    </row>
    <row r="75" spans="1:21" x14ac:dyDescent="0.15">
      <c r="A75">
        <f>VLOOKUP(E70,技能升级,13,FALSE)</f>
        <v>102</v>
      </c>
      <c r="B75" t="s">
        <v>375</v>
      </c>
      <c r="C75">
        <f>IF(C68&lt;J68,C68+C68-H68,IF(C68&gt;J68+H68,J68+J68,J68+C68-H68))</f>
        <v>25.009999999999998</v>
      </c>
      <c r="G75">
        <f>INT((VLOOKUP(A75,召唤物属性,7,FALSE)-
IF($B68&gt;10000,VLOOKUP($B68,实战属性,15,FALSE),VLOOKUP($B68,总基本属性,9,FALSE))*$L$13)*I75*J75)</f>
        <v>194</v>
      </c>
      <c r="I75">
        <f>VLOOKUP($E70,技能升级,14,FALSE)</f>
        <v>1</v>
      </c>
      <c r="J75">
        <v>1</v>
      </c>
      <c r="L75">
        <f>VLOOKUP(P70,技能升级,13,FALSE)</f>
        <v>102</v>
      </c>
      <c r="M75" t="s">
        <v>375</v>
      </c>
      <c r="N75">
        <f>IF(N68&lt;U68,N68+N68-S68,IF(N68&gt;U68+S68,U68+U68,U68+N68-S68))</f>
        <v>26.009999999999998</v>
      </c>
      <c r="R75">
        <f>INT((VLOOKUP(L75,召唤物属性,7,FALSE)-
IF($B68&gt;10000,VLOOKUP($B68,实战属性,15,FALSE),VLOOKUP($B68,总基本属性,9,FALSE))*$L$13)*T75*U75)</f>
        <v>194</v>
      </c>
      <c r="T75">
        <f>VLOOKUP($E70,技能升级,14,FALSE)</f>
        <v>1</v>
      </c>
      <c r="U75">
        <v>1</v>
      </c>
    </row>
    <row r="76" spans="1:21" x14ac:dyDescent="0.15">
      <c r="A76">
        <f>VLOOKUP(E71,技能升级,13,FALSE)</f>
        <v>202</v>
      </c>
      <c r="B76" t="s">
        <v>374</v>
      </c>
      <c r="C76">
        <f>IF(C68&lt;J68,C68+C68-H68,IF(C68&gt;J68+H68,J68+J68,J68+C68-H68))</f>
        <v>25.009999999999998</v>
      </c>
      <c r="F76">
        <f>INT((VLOOKUP(A76,召唤物属性,6,FALSE)-
IF($B68&gt;10000,VLOOKUP($B68,实战属性,15,FALSE),VLOOKUP($B68,总基本属性,9,FALSE))*$L$13)*I76*J76)</f>
        <v>250</v>
      </c>
      <c r="I76">
        <f>VLOOKUP($E71,技能升级,14,FALSE)</f>
        <v>2</v>
      </c>
      <c r="J76">
        <f>VLOOKUP(A68,$A$2:$I$21,9,FALSE)</f>
        <v>0.93</v>
      </c>
      <c r="L76">
        <f>VLOOKUP(P71,技能升级,13,FALSE)</f>
        <v>202</v>
      </c>
      <c r="M76" t="s">
        <v>374</v>
      </c>
      <c r="N76">
        <f>IF(N68&lt;U68,N68+N68-S68,IF(N68&gt;U68+S68,U68+U68,U68+N68-S68))</f>
        <v>26.009999999999998</v>
      </c>
      <c r="Q76">
        <f>INT((VLOOKUP(L76,召唤物属性,6,FALSE)-
IF($B68&gt;10000,VLOOKUP($B68,实战属性,15,FALSE),VLOOKUP($B68,总基本属性,9,FALSE))*$L$13)*T76*U76)</f>
        <v>250</v>
      </c>
      <c r="T76">
        <f>VLOOKUP($E71,技能升级,14,FALSE)</f>
        <v>2</v>
      </c>
      <c r="U76">
        <f>VLOOKUP(L68,$A$2:$I$21,9,FALSE)</f>
        <v>0.93</v>
      </c>
    </row>
    <row r="77" spans="1:21" x14ac:dyDescent="0.15">
      <c r="E77" t="s">
        <v>194</v>
      </c>
      <c r="F77">
        <f>SUM(F70:F74)/1000</f>
        <v>0</v>
      </c>
      <c r="G77">
        <f>SUM(G70:G74)/1000</f>
        <v>11.73</v>
      </c>
      <c r="H77">
        <f>SUM(H70:H73)</f>
        <v>180</v>
      </c>
      <c r="I77" t="s">
        <v>196</v>
      </c>
      <c r="J77" t="s">
        <v>197</v>
      </c>
      <c r="P77" t="s">
        <v>194</v>
      </c>
      <c r="Q77">
        <f>SUM(Q70:Q74)/1000</f>
        <v>0</v>
      </c>
      <c r="R77">
        <f>SUM(R70:R74)/1000</f>
        <v>10.9</v>
      </c>
      <c r="S77">
        <f>SUM(S70:S73)</f>
        <v>0</v>
      </c>
      <c r="T77" t="s">
        <v>196</v>
      </c>
      <c r="U77" t="s">
        <v>197</v>
      </c>
    </row>
    <row r="78" spans="1:21" x14ac:dyDescent="0.15">
      <c r="E78" t="s">
        <v>195</v>
      </c>
      <c r="F78">
        <f>INT((IF($A68&gt;10000,VLOOKUP($A68,实战属性,13,FALSE),VLOOKUP($A68,总基本属性,7,FALSE))-
IF($B68&gt;10000,VLOOKUP($B68,实战属性,15,FALSE),VLOOKUP($B68,总基本属性,9,FALSE))*$L$13)*F77)</f>
        <v>0</v>
      </c>
      <c r="G78">
        <f>INT((IF($A68&gt;10000,VLOOKUP($A68,实战属性,14,FALSE),VLOOKUP($A68,总基本属性,8,FALSE))-
IF($B68&gt;10000,VLOOKUP($B68,实战属性,16,FALSE),VLOOKUP($B68,总基本属性,10,FALSE))*$L$13)*G77)</f>
        <v>3565</v>
      </c>
      <c r="H78">
        <f>H77+F78+G78</f>
        <v>3745</v>
      </c>
      <c r="I78">
        <f>IF($B68&gt;10000,VLOOKUP($B68,实战属性,12,FALSE),VLOOKUP($B68,总基本属性,6,FALSE))</f>
        <v>14971</v>
      </c>
      <c r="J78">
        <f>ROUND(I78/H79,2)</f>
        <v>1.01</v>
      </c>
      <c r="P78" t="s">
        <v>195</v>
      </c>
      <c r="Q78">
        <f>INT((IF($A68&gt;10000,VLOOKUP($A68,实战属性,13,FALSE),VLOOKUP($A68,总基本属性,7,FALSE))-
IF($B68&gt;10000,VLOOKUP($B68,实战属性,15,FALSE),VLOOKUP($B68,总基本属性,9,FALSE))*$L$13)*Q77)</f>
        <v>0</v>
      </c>
      <c r="R78">
        <f>INT((IF($A68&gt;10000,VLOOKUP($A68,实战属性,14,FALSE),VLOOKUP($A68,总基本属性,8,FALSE))-
IF($B68&gt;10000,VLOOKUP($B68,实战属性,16,FALSE),VLOOKUP($B68,总基本属性,10,FALSE))*$L$13)*R77)</f>
        <v>3313</v>
      </c>
      <c r="S78">
        <f>S77+Q78+R78</f>
        <v>3313</v>
      </c>
      <c r="T78">
        <f>IF($B68&gt;10000,VLOOKUP($B68,实战属性,12,FALSE),VLOOKUP($B68,总基本属性,6,FALSE))</f>
        <v>14971</v>
      </c>
      <c r="U78">
        <f>ROUND(T78/S79,2)</f>
        <v>1.01</v>
      </c>
    </row>
    <row r="79" spans="1:21" x14ac:dyDescent="0.15">
      <c r="E79" t="s">
        <v>376</v>
      </c>
      <c r="F79">
        <f>INT(F76*C76)</f>
        <v>6252</v>
      </c>
      <c r="G79">
        <f>INT(G75*C75)</f>
        <v>4851</v>
      </c>
      <c r="H79">
        <f>F79+G79+H78</f>
        <v>14848</v>
      </c>
      <c r="P79" t="s">
        <v>376</v>
      </c>
      <c r="Q79">
        <f>INT(Q76*N76)</f>
        <v>6502</v>
      </c>
      <c r="R79">
        <f>INT(R75*N75)</f>
        <v>5045</v>
      </c>
      <c r="S79">
        <f>Q79+R79+S78</f>
        <v>14860</v>
      </c>
    </row>
    <row r="83" spans="1:21" x14ac:dyDescent="0.15">
      <c r="A83" s="8" t="s">
        <v>2</v>
      </c>
      <c r="B83" s="8" t="s">
        <v>5</v>
      </c>
      <c r="C83" s="8" t="s">
        <v>178</v>
      </c>
      <c r="D83" s="8" t="s">
        <v>0</v>
      </c>
      <c r="L83" s="8" t="s">
        <v>2</v>
      </c>
      <c r="M83" s="8" t="s">
        <v>5</v>
      </c>
      <c r="N83" s="8" t="s">
        <v>178</v>
      </c>
      <c r="O83" s="8" t="s">
        <v>0</v>
      </c>
    </row>
    <row r="84" spans="1:21" x14ac:dyDescent="0.15">
      <c r="A84">
        <f>A56+1</f>
        <v>11103</v>
      </c>
      <c r="B84">
        <f>B56+10</f>
        <v>4030</v>
      </c>
      <c r="C84">
        <v>19</v>
      </c>
      <c r="D84">
        <f>MOD(B84,1000)</f>
        <v>30</v>
      </c>
      <c r="L84">
        <f>L56+1</f>
        <v>11103</v>
      </c>
      <c r="M84">
        <f>M56+10</f>
        <v>4030</v>
      </c>
      <c r="N84">
        <v>15</v>
      </c>
      <c r="O84">
        <f>MOD(M84,1000)</f>
        <v>30</v>
      </c>
    </row>
    <row r="85" spans="1:21" x14ac:dyDescent="0.15">
      <c r="A85" t="s">
        <v>156</v>
      </c>
      <c r="B85" t="s">
        <v>95</v>
      </c>
      <c r="C85" t="s">
        <v>177</v>
      </c>
      <c r="D85" t="s">
        <v>143</v>
      </c>
      <c r="E85" t="s">
        <v>182</v>
      </c>
      <c r="F85" t="s">
        <v>192</v>
      </c>
      <c r="G85" t="s">
        <v>193</v>
      </c>
      <c r="H85" t="s">
        <v>176</v>
      </c>
      <c r="I85" t="s">
        <v>205</v>
      </c>
      <c r="J85" t="s">
        <v>206</v>
      </c>
      <c r="L85" t="s">
        <v>156</v>
      </c>
      <c r="M85" t="s">
        <v>95</v>
      </c>
      <c r="N85" t="s">
        <v>177</v>
      </c>
      <c r="O85" t="s">
        <v>143</v>
      </c>
      <c r="P85" t="s">
        <v>182</v>
      </c>
      <c r="Q85" t="s">
        <v>192</v>
      </c>
      <c r="R85" t="s">
        <v>193</v>
      </c>
      <c r="S85" t="s">
        <v>176</v>
      </c>
      <c r="T85" t="s">
        <v>205</v>
      </c>
      <c r="U85" t="s">
        <v>206</v>
      </c>
    </row>
    <row r="86" spans="1:21" x14ac:dyDescent="0.15">
      <c r="A86">
        <v>12</v>
      </c>
      <c r="B86" t="s">
        <v>9</v>
      </c>
      <c r="C86">
        <f>C84-C90</f>
        <v>15</v>
      </c>
      <c r="D86">
        <f>VLOOKUP(A86,技能参数,4,FALSE)</f>
        <v>0.6</v>
      </c>
      <c r="E86">
        <f>VLOOKUP(A86*1000+D84,学习等级编码,2)</f>
        <v>1203</v>
      </c>
      <c r="F86">
        <f>INT(VLOOKUP($E86,技能升级,9,FALSE)*$C86*I86*J86)</f>
        <v>0</v>
      </c>
      <c r="G86">
        <f>INT(VLOOKUP($E86,技能升级,10,FALSE)*$C86*I86*J86)</f>
        <v>16050</v>
      </c>
      <c r="H86">
        <f>INT(VLOOKUP($E86,技能升级,11,FALSE)*$C86*I86*J86)</f>
        <v>945</v>
      </c>
      <c r="I86">
        <v>1</v>
      </c>
      <c r="J86">
        <f>VLOOKUP(A84,$A$2:$I$21,7,FALSE)</f>
        <v>1</v>
      </c>
      <c r="L86">
        <v>12</v>
      </c>
      <c r="M86" t="s">
        <v>9</v>
      </c>
      <c r="N86">
        <f>N84</f>
        <v>15</v>
      </c>
      <c r="O86">
        <f>VLOOKUP(L86,技能参数,4,FALSE)</f>
        <v>0.6</v>
      </c>
      <c r="P86">
        <f>VLOOKUP(L86*1000+O84,学习等级编码,2)</f>
        <v>1203</v>
      </c>
      <c r="Q86">
        <f>INT(VLOOKUP(P86,技能升级,9,FALSE)*N86*T86*U86)</f>
        <v>0</v>
      </c>
      <c r="R86">
        <f>INT(VLOOKUP(P86,技能升级,10,FALSE)*N86*T86*U86)</f>
        <v>16050</v>
      </c>
      <c r="S86">
        <f>INT(VLOOKUP(P86,技能升级,11,FALSE)*N86*T86*U86)</f>
        <v>945</v>
      </c>
      <c r="T86">
        <v>1</v>
      </c>
      <c r="U86">
        <f>VLOOKUP(L84,$A$2:$I$21,7,FALSE)</f>
        <v>1</v>
      </c>
    </row>
    <row r="87" spans="1:21" x14ac:dyDescent="0.15">
      <c r="A87">
        <v>15</v>
      </c>
      <c r="B87" t="s">
        <v>12</v>
      </c>
      <c r="C87">
        <v>1</v>
      </c>
      <c r="D87">
        <f>VLOOKUP(A87,技能参数,4,FALSE)</f>
        <v>1.5</v>
      </c>
      <c r="E87">
        <f>VLOOKUP(A87*1000+D84,学习等级编码,2)</f>
        <v>1502</v>
      </c>
      <c r="F87">
        <f>INT(VLOOKUP($E87,技能升级,9,FALSE)*$C87*I87*J87)</f>
        <v>0</v>
      </c>
      <c r="G87">
        <f>INT(VLOOKUP($E87,技能升级,10,FALSE)*$C87*I87*J87)</f>
        <v>0</v>
      </c>
      <c r="H87">
        <f>INT(VLOOKUP($E87,技能升级,11,FALSE)*$C87*I87*J87)</f>
        <v>0</v>
      </c>
      <c r="I87">
        <v>1</v>
      </c>
      <c r="J87">
        <v>1</v>
      </c>
      <c r="L87">
        <v>15</v>
      </c>
      <c r="M87" t="s">
        <v>12</v>
      </c>
      <c r="N87">
        <v>1</v>
      </c>
      <c r="O87">
        <f>VLOOKUP(L87,技能参数,4,FALSE)</f>
        <v>1.5</v>
      </c>
      <c r="P87">
        <f>VLOOKUP(L87*1000+O84,学习等级编码,2)</f>
        <v>1502</v>
      </c>
      <c r="Q87">
        <f>INT(VLOOKUP(P87,技能升级,9,FALSE)*N87*T87*U87)</f>
        <v>0</v>
      </c>
      <c r="R87">
        <f>INT(VLOOKUP(P87,技能升级,10,FALSE)*N87*T87*U87)</f>
        <v>0</v>
      </c>
      <c r="S87">
        <f>INT(VLOOKUP(P87,技能升级,11,FALSE)*N87*T87*U87)</f>
        <v>0</v>
      </c>
      <c r="T87">
        <v>1</v>
      </c>
      <c r="U87">
        <v>1</v>
      </c>
    </row>
    <row r="88" spans="1:21" x14ac:dyDescent="0.15">
      <c r="A88">
        <v>11</v>
      </c>
      <c r="B88" t="s">
        <v>94</v>
      </c>
      <c r="C88">
        <f>INT((C84-D86-D87-C90)/D88)</f>
        <v>12</v>
      </c>
      <c r="D88">
        <f>VLOOKUP(A88,技能参数,4,FALSE)</f>
        <v>1</v>
      </c>
      <c r="E88">
        <f>VLOOKUP(A88*1000+D84,学习等级编码,2)</f>
        <v>1105</v>
      </c>
      <c r="F88">
        <f>INT(VLOOKUP($E88,技能升级,9,FALSE)*$C88*I88*J88)</f>
        <v>13080</v>
      </c>
      <c r="G88">
        <f>INT(VLOOKUP($E88,技能升级,10,FALSE)*$C88*I88*J88)</f>
        <v>0</v>
      </c>
      <c r="H88">
        <f>INT(VLOOKUP($E88,技能升级,11,FALSE)*$C88*I88*J88)</f>
        <v>1056</v>
      </c>
      <c r="I88">
        <v>1</v>
      </c>
      <c r="J88">
        <f>VLOOKUP(A84,$A$2:$I$21,7,FALSE)</f>
        <v>1</v>
      </c>
      <c r="L88">
        <v>11</v>
      </c>
      <c r="M88" t="s">
        <v>94</v>
      </c>
      <c r="N88">
        <f>INT((N84-O86-O87)/O88)</f>
        <v>12</v>
      </c>
      <c r="O88">
        <f>VLOOKUP(L88,技能参数,4,FALSE)</f>
        <v>1</v>
      </c>
      <c r="P88">
        <f>VLOOKUP(L88*1000+O84,学习等级编码,2)</f>
        <v>1105</v>
      </c>
      <c r="Q88">
        <f>INT(VLOOKUP(P88,技能升级,9,FALSE)*N88*T88*U88)</f>
        <v>13080</v>
      </c>
      <c r="R88">
        <f>INT(VLOOKUP(P88,技能升级,10,FALSE)*N88*T88*U88)</f>
        <v>0</v>
      </c>
      <c r="S88">
        <f>INT(VLOOKUP(P88,技能升级,11,FALSE)*N88*T88*U88)</f>
        <v>1056</v>
      </c>
      <c r="T88">
        <v>1</v>
      </c>
      <c r="U88">
        <f>VLOOKUP(L84,$A$2:$I$21,7,FALSE)</f>
        <v>1</v>
      </c>
    </row>
    <row r="89" spans="1:21" x14ac:dyDescent="0.15">
      <c r="A89">
        <v>14</v>
      </c>
      <c r="B89" t="s">
        <v>11</v>
      </c>
      <c r="C89">
        <v>1</v>
      </c>
      <c r="D89">
        <v>0</v>
      </c>
      <c r="E89">
        <f>VLOOKUP(A89*1000+D84,学习等级编码,2)</f>
        <v>1403</v>
      </c>
      <c r="F89">
        <f>INT(VLOOKUP($E89,技能升级,9,FALSE)*$C89*I89*J89)</f>
        <v>0</v>
      </c>
      <c r="G89">
        <f>INT(VLOOKUP($E89,技能升级,10,FALSE)*$C89*I89*J89)</f>
        <v>0</v>
      </c>
      <c r="H89">
        <f>INT(VLOOKUP($E89,技能升级,11,FALSE)*$C89*I89*J89)</f>
        <v>0</v>
      </c>
      <c r="I89">
        <v>1</v>
      </c>
      <c r="J89">
        <v>1</v>
      </c>
      <c r="L89">
        <v>14</v>
      </c>
      <c r="M89" t="s">
        <v>11</v>
      </c>
      <c r="N89">
        <v>1</v>
      </c>
      <c r="O89">
        <v>0</v>
      </c>
      <c r="P89">
        <f>VLOOKUP(L89*1000+O84,学习等级编码,2)</f>
        <v>1403</v>
      </c>
      <c r="Q89">
        <f>INT(VLOOKUP(P89,技能升级,9,FALSE)*N89*T89*U89)</f>
        <v>0</v>
      </c>
      <c r="R89">
        <f>INT(VLOOKUP(P89,技能升级,10,FALSE)*N89*T89*U89)</f>
        <v>0</v>
      </c>
      <c r="S89">
        <f>INT(VLOOKUP(P89,技能升级,11,FALSE)*N89*T89*U89)</f>
        <v>0</v>
      </c>
      <c r="T89">
        <v>1</v>
      </c>
      <c r="U89">
        <v>1</v>
      </c>
    </row>
    <row r="90" spans="1:21" x14ac:dyDescent="0.15">
      <c r="B90" t="s">
        <v>437</v>
      </c>
      <c r="C90">
        <f>D100</f>
        <v>4</v>
      </c>
      <c r="P90" t="s">
        <v>194</v>
      </c>
      <c r="Q90">
        <f>SUM(Q86:Q88)/1000</f>
        <v>13.08</v>
      </c>
      <c r="R90">
        <f>SUM(R86:R88)/1000</f>
        <v>16.05</v>
      </c>
      <c r="S90">
        <f>SUM(S86:S88)</f>
        <v>2001</v>
      </c>
      <c r="T90" t="s">
        <v>196</v>
      </c>
      <c r="U90" t="s">
        <v>197</v>
      </c>
    </row>
    <row r="91" spans="1:21" x14ac:dyDescent="0.15">
      <c r="E91" t="s">
        <v>194</v>
      </c>
      <c r="F91">
        <f>SUM(F86:F88)/1000</f>
        <v>13.08</v>
      </c>
      <c r="G91">
        <f>SUM(G86:G88)/1000</f>
        <v>16.05</v>
      </c>
      <c r="H91">
        <f>SUM(H86:H88)</f>
        <v>2001</v>
      </c>
      <c r="I91" t="s">
        <v>196</v>
      </c>
      <c r="J91" t="s">
        <v>197</v>
      </c>
      <c r="P91" t="s">
        <v>195</v>
      </c>
      <c r="Q91">
        <f>INT((IF($A84&gt;10000,VLOOKUP($A84,实战属性,13,FALSE),VLOOKUP($A84,总基本属性,7,FALSE))-
IF($B84&gt;10000,VLOOKUP($B84,实战属性,15,FALSE),VLOOKUP($B84,总基本属性,9,FALSE))*$L$13)*Q90)</f>
        <v>7357</v>
      </c>
      <c r="R91">
        <f>INT((IF($A84&gt;10000,VLOOKUP($A84,实战属性,14,FALSE),VLOOKUP($A84,总基本属性,8,FALSE))-
IF($B84&gt;10000,VLOOKUP($B84,实战属性,16,FALSE),VLOOKUP($B84,总基本属性,10,FALSE))*$L$13)*R90)</f>
        <v>8209</v>
      </c>
      <c r="S91">
        <f>S90+Q91+R91</f>
        <v>17567</v>
      </c>
      <c r="T91">
        <f>IF($B84&gt;10000,VLOOKUP($B84,实战属性,12,FALSE),VLOOKUP($B84,总基本属性,6,FALSE))+T101</f>
        <v>18276</v>
      </c>
      <c r="U91">
        <f>ROUND(T91/S91,2)</f>
        <v>1.04</v>
      </c>
    </row>
    <row r="92" spans="1:21" x14ac:dyDescent="0.15">
      <c r="E92" t="s">
        <v>195</v>
      </c>
      <c r="F92">
        <f>INT((IF($A84&gt;10000,VLOOKUP($A84,实战属性,13,FALSE),VLOOKUP($A84,总基本属性,7,FALSE))-
IF($B84&gt;10000,VLOOKUP($B84,实战属性,15,FALSE),VLOOKUP($B84,总基本属性,9,FALSE))*$L$13)*F91)</f>
        <v>7357</v>
      </c>
      <c r="G92">
        <f>INT((IF($A84&gt;10000,VLOOKUP($A84,实战属性,14,FALSE),VLOOKUP($A84,总基本属性,8,FALSE))-
IF($B84&gt;10000,VLOOKUP($B84,实战属性,16,FALSE),VLOOKUP($B84,总基本属性,10,FALSE))*$L$13)*G91)</f>
        <v>8209</v>
      </c>
      <c r="H92">
        <f>H91+F92+G92</f>
        <v>17567</v>
      </c>
      <c r="I92">
        <f>IF($B84&gt;10000,VLOOKUP($B84,实战属性,12,FALSE),VLOOKUP($B84,总基本属性,6,FALSE))+I101</f>
        <v>18276</v>
      </c>
      <c r="J92">
        <f>ROUND(I92/H92,2)</f>
        <v>1.04</v>
      </c>
    </row>
    <row r="95" spans="1:21" x14ac:dyDescent="0.15">
      <c r="A95" s="9" t="s">
        <v>5</v>
      </c>
      <c r="B95" s="9" t="s">
        <v>2</v>
      </c>
      <c r="C95" s="9" t="s">
        <v>178</v>
      </c>
      <c r="D95" s="9" t="s">
        <v>0</v>
      </c>
      <c r="G95" t="s">
        <v>445</v>
      </c>
      <c r="H95">
        <f>INT(I106/J106/C96)</f>
        <v>1885</v>
      </c>
      <c r="I95" t="s">
        <v>446</v>
      </c>
      <c r="J95">
        <f>ROUND(I101/H95,1)</f>
        <v>1.1000000000000001</v>
      </c>
      <c r="L95" s="9" t="s">
        <v>5</v>
      </c>
      <c r="M95" s="9" t="s">
        <v>2</v>
      </c>
      <c r="N95" s="9" t="s">
        <v>178</v>
      </c>
      <c r="O95" s="9" t="s">
        <v>0</v>
      </c>
      <c r="R95" t="s">
        <v>445</v>
      </c>
      <c r="S95">
        <f>INT(T106/U106/N96)</f>
        <v>1740</v>
      </c>
      <c r="T95" t="s">
        <v>446</v>
      </c>
      <c r="U95">
        <f>ROUND(T101/S95,1)</f>
        <v>1.2</v>
      </c>
    </row>
    <row r="96" spans="1:21" x14ac:dyDescent="0.15">
      <c r="A96">
        <f>A68+10</f>
        <v>4030</v>
      </c>
      <c r="B96">
        <f>B68+1</f>
        <v>11103</v>
      </c>
      <c r="C96">
        <v>16</v>
      </c>
      <c r="D96">
        <f>MOD(A96,1000)</f>
        <v>30</v>
      </c>
      <c r="G96" t="s">
        <v>447</v>
      </c>
      <c r="H96">
        <v>5</v>
      </c>
      <c r="I96" t="s">
        <v>383</v>
      </c>
      <c r="J96">
        <f>VLOOKUP(D96,召唤物生存,10)</f>
        <v>14.75</v>
      </c>
      <c r="L96">
        <f>L68+10</f>
        <v>4030</v>
      </c>
      <c r="M96">
        <f>M68+1</f>
        <v>11103</v>
      </c>
      <c r="N96">
        <v>17</v>
      </c>
      <c r="O96">
        <f>MOD(L96,1000)</f>
        <v>30</v>
      </c>
      <c r="R96" t="s">
        <v>447</v>
      </c>
      <c r="S96">
        <v>5</v>
      </c>
      <c r="T96" t="s">
        <v>383</v>
      </c>
      <c r="U96">
        <f>VLOOKUP(O96,召唤物生存,10)</f>
        <v>14.75</v>
      </c>
    </row>
    <row r="97" spans="1:21" x14ac:dyDescent="0.15">
      <c r="A97" t="s">
        <v>156</v>
      </c>
      <c r="B97" t="s">
        <v>95</v>
      </c>
      <c r="C97" t="s">
        <v>177</v>
      </c>
      <c r="D97" t="s">
        <v>143</v>
      </c>
      <c r="E97" t="s">
        <v>182</v>
      </c>
      <c r="F97" t="s">
        <v>192</v>
      </c>
      <c r="G97" t="s">
        <v>193</v>
      </c>
      <c r="H97" t="s">
        <v>176</v>
      </c>
      <c r="I97" t="s">
        <v>205</v>
      </c>
      <c r="J97" t="s">
        <v>206</v>
      </c>
      <c r="L97" t="s">
        <v>156</v>
      </c>
      <c r="M97" t="s">
        <v>95</v>
      </c>
      <c r="N97" t="s">
        <v>177</v>
      </c>
      <c r="O97" t="s">
        <v>143</v>
      </c>
      <c r="P97" t="s">
        <v>182</v>
      </c>
      <c r="Q97" t="s">
        <v>192</v>
      </c>
      <c r="R97" t="s">
        <v>193</v>
      </c>
      <c r="S97" t="s">
        <v>176</v>
      </c>
      <c r="T97" t="s">
        <v>205</v>
      </c>
      <c r="U97" t="s">
        <v>206</v>
      </c>
    </row>
    <row r="98" spans="1:21" x14ac:dyDescent="0.15">
      <c r="A98">
        <v>42</v>
      </c>
      <c r="B98" t="s">
        <v>35</v>
      </c>
      <c r="C98">
        <v>1</v>
      </c>
      <c r="D98">
        <f>VLOOKUP(A98,技能参数,4,FALSE)</f>
        <v>1</v>
      </c>
      <c r="E98">
        <f>IFERROR(VLOOKUP(A98*1000+D96,学习等级编码,2),0)</f>
        <v>4203</v>
      </c>
      <c r="F98">
        <f>IFERROR(INT(VLOOKUP($E98,技能升级,9,FALSE)*$C98*I98*J98),0)</f>
        <v>0</v>
      </c>
      <c r="G98">
        <f>IFERROR(INT(VLOOKUP($E98,技能升级,10,FALSE)*$C98*I98*J98),0)</f>
        <v>0</v>
      </c>
      <c r="H98">
        <f>INT(VLOOKUP($E98,技能升级,11,FALSE)*$C98*I98*J98)</f>
        <v>0</v>
      </c>
      <c r="I98">
        <v>1</v>
      </c>
      <c r="J98">
        <v>1</v>
      </c>
      <c r="L98">
        <v>42</v>
      </c>
      <c r="M98" t="s">
        <v>35</v>
      </c>
      <c r="N98">
        <v>1</v>
      </c>
      <c r="O98">
        <f>VLOOKUP(L98,技能参数,4,FALSE)</f>
        <v>1</v>
      </c>
      <c r="P98">
        <f>IFERROR(VLOOKUP(L98*1000+O96,学习等级编码,2),0)</f>
        <v>4203</v>
      </c>
      <c r="Q98">
        <f>IFERROR(INT(VLOOKUP(P98,技能升级,9,FALSE)*N98*T98*U98),0)</f>
        <v>0</v>
      </c>
      <c r="R98">
        <f>IFERROR(INT(VLOOKUP(P98,技能升级,10,FALSE)*N98*T98*U98),0)</f>
        <v>0</v>
      </c>
      <c r="S98">
        <f>INT(VLOOKUP(P98,技能升级,11,FALSE)*N98*T98*U98)</f>
        <v>0</v>
      </c>
      <c r="T98">
        <v>1</v>
      </c>
      <c r="U98">
        <v>1</v>
      </c>
    </row>
    <row r="99" spans="1:21" x14ac:dyDescent="0.15">
      <c r="A99">
        <v>43</v>
      </c>
      <c r="B99" t="s">
        <v>36</v>
      </c>
      <c r="C99">
        <v>1</v>
      </c>
      <c r="D99">
        <f>VLOOKUP(A99,技能参数,4,FALSE)</f>
        <v>1</v>
      </c>
      <c r="E99">
        <f>IFERROR(VLOOKUP(A99*1000+D96,学习等级编码,2),0)</f>
        <v>4303</v>
      </c>
      <c r="F99">
        <f t="shared" ref="F99" si="17">IFERROR(INT(VLOOKUP($E99,技能升级,9,FALSE)*$C99*I99*J99),0)</f>
        <v>0</v>
      </c>
      <c r="G99">
        <f t="shared" ref="G99" si="18">IFERROR(INT(VLOOKUP($E99,技能升级,10,FALSE)*$C99*I99*J99),0)</f>
        <v>0</v>
      </c>
      <c r="H99">
        <f>INT(VLOOKUP($E99,技能升级,11,FALSE)*$C99*I99*J99)</f>
        <v>0</v>
      </c>
      <c r="I99">
        <v>1</v>
      </c>
      <c r="J99">
        <v>1</v>
      </c>
      <c r="L99">
        <v>43</v>
      </c>
      <c r="M99" t="s">
        <v>36</v>
      </c>
      <c r="N99">
        <v>1</v>
      </c>
      <c r="O99">
        <f>VLOOKUP(L99,技能参数,4,FALSE)</f>
        <v>1</v>
      </c>
      <c r="P99">
        <f>IFERROR(VLOOKUP(L99*1000+O96,学习等级编码,2),0)</f>
        <v>4303</v>
      </c>
      <c r="Q99">
        <f>IFERROR(INT(VLOOKUP(P99,技能升级,9,FALSE)*N99*T99*U99),0)</f>
        <v>0</v>
      </c>
      <c r="R99">
        <f>IFERROR(INT(VLOOKUP(P99,技能升级,10,FALSE)*N99*T99*U99),0)</f>
        <v>0</v>
      </c>
      <c r="S99">
        <f>INT(VLOOKUP(P99,技能升级,11,FALSE)*N99*T99*U99)</f>
        <v>0</v>
      </c>
      <c r="T99">
        <v>1</v>
      </c>
      <c r="U99">
        <v>1</v>
      </c>
    </row>
    <row r="100" spans="1:21" x14ac:dyDescent="0.15">
      <c r="A100">
        <v>44</v>
      </c>
      <c r="B100" t="s">
        <v>38</v>
      </c>
      <c r="C100">
        <v>1</v>
      </c>
      <c r="D100">
        <f>IFERROR(INT(VLOOKUP($E100,技能升级,13,FALSE)),0)</f>
        <v>4</v>
      </c>
      <c r="E100">
        <f>IFERROR(VLOOKUP(A100*1000+D96,学习等级编码,2),0)</f>
        <v>4403</v>
      </c>
      <c r="F100">
        <f>IFERROR(INT(VLOOKUP($E100,技能升级,9,FALSE)*$C100*I100*J100),0)</f>
        <v>0</v>
      </c>
      <c r="G100">
        <f>IFERROR(INT(VLOOKUP($E100,技能升级,10,FALSE)*$D100*I100*J100),0)</f>
        <v>6520</v>
      </c>
      <c r="H100">
        <f>INT(VLOOKUP($E100,技能升级,11,FALSE)*$D100*I100*J100)</f>
        <v>320</v>
      </c>
      <c r="I100">
        <v>1</v>
      </c>
      <c r="J100">
        <f>VLOOKUP(A96,$A$2:$I$21,8,FALSE)</f>
        <v>1</v>
      </c>
      <c r="L100">
        <v>44</v>
      </c>
      <c r="M100" t="s">
        <v>38</v>
      </c>
      <c r="N100">
        <v>0</v>
      </c>
      <c r="O100">
        <v>0</v>
      </c>
      <c r="P100">
        <f>IFERROR(VLOOKUP(L100*1000+O96,学习等级编码,2),0)</f>
        <v>4403</v>
      </c>
      <c r="Q100">
        <f>IFERROR(INT(VLOOKUP(P100,技能升级,9,FALSE)*N100*T100*U100),0)</f>
        <v>0</v>
      </c>
      <c r="R100">
        <f>IFERROR(INT(VLOOKUP(P100,技能升级,10,FALSE)*N100*T100*U100),0)</f>
        <v>0</v>
      </c>
      <c r="S100">
        <f>INT(VLOOKUP(P100,技能升级,11,FALSE)*N100*T100*U100)</f>
        <v>0</v>
      </c>
      <c r="T100">
        <v>1</v>
      </c>
      <c r="U100">
        <f>VLOOKUP(L96,$A$2:$I$21,8,FALSE)</f>
        <v>1</v>
      </c>
    </row>
    <row r="101" spans="1:21" x14ac:dyDescent="0.15">
      <c r="A101">
        <v>45</v>
      </c>
      <c r="B101" t="s">
        <v>37</v>
      </c>
      <c r="C101">
        <v>1</v>
      </c>
      <c r="D101">
        <f>VLOOKUP(A101,技能参数,4,FALSE)</f>
        <v>2</v>
      </c>
      <c r="E101">
        <f>IFERROR(VLOOKUP(A101*1000+D96,学习等级编码,2),0)</f>
        <v>4502</v>
      </c>
      <c r="F101">
        <f>IFERROR(INT(VLOOKUP($E101,技能升级,9,FALSE)*$C101*I101*J101),0)</f>
        <v>0</v>
      </c>
      <c r="G101">
        <f t="shared" ref="G101:G102" si="19">IFERROR(INT(VLOOKUP($E101,技能升级,10,FALSE)*$C101*I101*J101),0)</f>
        <v>0</v>
      </c>
      <c r="H101">
        <f>INT(VLOOKUP($E101,技能升级,11,FALSE)*$C101*I101*J101)</f>
        <v>0</v>
      </c>
      <c r="I101">
        <f>INT(VLOOKUP($E101,技能升级,13,FALSE)*$C101)</f>
        <v>2166</v>
      </c>
      <c r="J101">
        <v>1</v>
      </c>
      <c r="L101">
        <v>45</v>
      </c>
      <c r="M101" t="s">
        <v>37</v>
      </c>
      <c r="N101">
        <v>1</v>
      </c>
      <c r="O101">
        <f>VLOOKUP(L101,技能参数,4,FALSE)</f>
        <v>2</v>
      </c>
      <c r="P101">
        <f>IFERROR(VLOOKUP(L101*1000+O96,学习等级编码,2),0)</f>
        <v>4502</v>
      </c>
      <c r="Q101">
        <f>IFERROR(INT(VLOOKUP(P101,技能升级,9,FALSE)*N101*T101*U101),0)</f>
        <v>0</v>
      </c>
      <c r="R101">
        <f>IFERROR(INT(VLOOKUP(P101,技能升级,10,FALSE)*N101*T101*U101),0)</f>
        <v>0</v>
      </c>
      <c r="S101">
        <f>INT(VLOOKUP(P101,技能升级,11,FALSE)*N101*T101*U101)</f>
        <v>0</v>
      </c>
      <c r="T101">
        <f>INT(VLOOKUP($E101,技能升级,13,FALSE)*$C101)</f>
        <v>2166</v>
      </c>
      <c r="U101">
        <v>1</v>
      </c>
    </row>
    <row r="102" spans="1:21" x14ac:dyDescent="0.15">
      <c r="A102">
        <v>41</v>
      </c>
      <c r="B102" t="s">
        <v>361</v>
      </c>
      <c r="C102">
        <f>IF(INT((C96-C98*D98-C99*D99-C100*D100-C101*D101)/D102)&gt;0,INT((C96-C98*D98-C99*D99-C100*D100-C101*D101)/D102),0)</f>
        <v>6</v>
      </c>
      <c r="D102">
        <f>VLOOKUP(A102,技能参数,4,FALSE)</f>
        <v>1.2</v>
      </c>
      <c r="E102">
        <f>IFERROR(VLOOKUP(A102*1000+D96,学习等级编码,2),0)</f>
        <v>4105</v>
      </c>
      <c r="F102">
        <f>IFERROR(INT(VLOOKUP($E102,技能升级,9,FALSE)*$C102*I102*J102),0)</f>
        <v>0</v>
      </c>
      <c r="G102">
        <f t="shared" si="19"/>
        <v>7020</v>
      </c>
      <c r="H102">
        <f>INT(VLOOKUP($E102,技能升级,11,FALSE)*$C102*I102*J102)</f>
        <v>528</v>
      </c>
      <c r="I102">
        <v>1</v>
      </c>
      <c r="J102">
        <f>VLOOKUP(A68,$A$2:$I$21,8,FALSE)</f>
        <v>1</v>
      </c>
      <c r="L102">
        <v>41</v>
      </c>
      <c r="M102" t="s">
        <v>361</v>
      </c>
      <c r="N102">
        <f>IF(INT((N96-N98*O98-N99*O99-N100*O100-N101*O101)/O102)&gt;0,INT((N96-N98*O98-N99*O99-N100*O100-N101*O101)/O102),0)</f>
        <v>10</v>
      </c>
      <c r="O102">
        <f>VLOOKUP(L102,技能参数,4,FALSE)</f>
        <v>1.2</v>
      </c>
      <c r="P102">
        <f>IFERROR(VLOOKUP(L102*1000+O96,学习等级编码,2),0)</f>
        <v>4105</v>
      </c>
      <c r="Q102">
        <f>IFERROR(INT(VLOOKUP(P102,技能升级,9,FALSE)*N102*T102*U102),0)</f>
        <v>0</v>
      </c>
      <c r="R102">
        <f>IFERROR(INT(VLOOKUP(P102,技能升级,10,FALSE)*N102*T102*U102),0)</f>
        <v>11700</v>
      </c>
      <c r="S102">
        <f>INT(VLOOKUP(P102,技能升级,11,FALSE)*N102*T102*U102)</f>
        <v>880</v>
      </c>
      <c r="T102">
        <v>1</v>
      </c>
      <c r="U102">
        <f>VLOOKUP(A68,$A$2:$I$21,8,FALSE)</f>
        <v>1</v>
      </c>
    </row>
    <row r="103" spans="1:21" x14ac:dyDescent="0.15">
      <c r="A103">
        <f>VLOOKUP(E98,技能升级,13,FALSE)</f>
        <v>103</v>
      </c>
      <c r="B103" t="s">
        <v>375</v>
      </c>
      <c r="C103">
        <f>IF(C96&lt;J96,C96+C96-H96,IF(C96&gt;J96+H96,J96+J96,J96+C96-H96))</f>
        <v>25.75</v>
      </c>
      <c r="G103">
        <f>INT((VLOOKUP(A103,召唤物属性,7,FALSE)-
IF($B96&gt;10000,VLOOKUP($B96,实战属性,15,FALSE),VLOOKUP($B96,总基本属性,9,FALSE))*$L$13)*I103*J103)</f>
        <v>311</v>
      </c>
      <c r="I103">
        <f>VLOOKUP($E98,技能升级,14,FALSE)</f>
        <v>1</v>
      </c>
      <c r="J103">
        <v>1</v>
      </c>
      <c r="L103">
        <f>VLOOKUP(P98,技能升级,13,FALSE)</f>
        <v>103</v>
      </c>
      <c r="M103" t="s">
        <v>375</v>
      </c>
      <c r="N103">
        <f>IF(N96&lt;U96,N96+N96-S96,IF(N96&gt;U96+S96,U96+U96,U96+N96-S96))</f>
        <v>26.75</v>
      </c>
      <c r="R103">
        <f>INT((VLOOKUP(L103,召唤物属性,7,FALSE)-
IF($B96&gt;10000,VLOOKUP($B96,实战属性,15,FALSE),VLOOKUP($B96,总基本属性,9,FALSE))*$L$13)*T103*U103)</f>
        <v>311</v>
      </c>
      <c r="T103">
        <f>VLOOKUP($E98,技能升级,14,FALSE)</f>
        <v>1</v>
      </c>
      <c r="U103">
        <v>1</v>
      </c>
    </row>
    <row r="104" spans="1:21" x14ac:dyDescent="0.15">
      <c r="A104">
        <f>VLOOKUP(E99,技能升级,13,FALSE)</f>
        <v>203</v>
      </c>
      <c r="B104" t="s">
        <v>374</v>
      </c>
      <c r="C104">
        <f>IF(C96&lt;J96,C96+C96-H96,IF(C96&gt;J96+H96,J96+J96,J96+C96-H96))</f>
        <v>25.75</v>
      </c>
      <c r="F104">
        <f>INT((VLOOKUP(A104,召唤物属性,6,FALSE)-
IF($B96&gt;10000,VLOOKUP($B96,实战属性,15,FALSE),VLOOKUP($B96,总基本属性,9,FALSE))*$L$13)*I104*J104)</f>
        <v>532</v>
      </c>
      <c r="I104">
        <f>VLOOKUP($E99,技能升级,14,FALSE)</f>
        <v>3</v>
      </c>
      <c r="J104">
        <f>VLOOKUP(A96,$A$2:$I$21,9,FALSE)</f>
        <v>0.93</v>
      </c>
      <c r="L104">
        <f>VLOOKUP(P99,技能升级,13,FALSE)</f>
        <v>203</v>
      </c>
      <c r="M104" t="s">
        <v>374</v>
      </c>
      <c r="N104">
        <f>IF(N96&lt;U96,N96+N96-S96,IF(N96&gt;U96+S96,U96+U96,U96+N96-S96))</f>
        <v>26.75</v>
      </c>
      <c r="Q104">
        <f>INT((VLOOKUP(L104,召唤物属性,6,FALSE)-
IF($B96&gt;10000,VLOOKUP($B96,实战属性,15,FALSE),VLOOKUP($B96,总基本属性,9,FALSE))*$L$13)*T104*U104)</f>
        <v>532</v>
      </c>
      <c r="T104">
        <f>VLOOKUP($E99,技能升级,14,FALSE)</f>
        <v>3</v>
      </c>
      <c r="U104">
        <f>VLOOKUP(L96,$A$2:$I$21,9,FALSE)</f>
        <v>0.93</v>
      </c>
    </row>
    <row r="105" spans="1:21" x14ac:dyDescent="0.15">
      <c r="E105" t="s">
        <v>194</v>
      </c>
      <c r="F105">
        <f>SUM(F98:F102)/1000</f>
        <v>0</v>
      </c>
      <c r="G105">
        <f>SUM(G98:G102)/1000</f>
        <v>13.54</v>
      </c>
      <c r="H105">
        <f>SUM(H98:H101)</f>
        <v>320</v>
      </c>
      <c r="I105" t="s">
        <v>196</v>
      </c>
      <c r="J105" t="s">
        <v>197</v>
      </c>
      <c r="P105" t="s">
        <v>194</v>
      </c>
      <c r="Q105">
        <f>SUM(Q98:Q102)/1000</f>
        <v>0</v>
      </c>
      <c r="R105">
        <f>SUM(R98:R102)/1000</f>
        <v>11.7</v>
      </c>
      <c r="S105">
        <f>SUM(S98:S101)</f>
        <v>0</v>
      </c>
      <c r="T105" t="s">
        <v>196</v>
      </c>
      <c r="U105" t="s">
        <v>197</v>
      </c>
    </row>
    <row r="106" spans="1:21" x14ac:dyDescent="0.15">
      <c r="E106" t="s">
        <v>195</v>
      </c>
      <c r="F106">
        <f>INT((IF($A96&gt;10000,VLOOKUP($A96,实战属性,13,FALSE),VLOOKUP($A96,总基本属性,7,FALSE))-
IF($B96&gt;10000,VLOOKUP($B96,实战属性,15,FALSE),VLOOKUP($B96,总基本属性,9,FALSE))*$L$13)*F105)</f>
        <v>0</v>
      </c>
      <c r="G106">
        <f>INT((IF($A96&gt;10000,VLOOKUP($A96,实战属性,14,FALSE),VLOOKUP($A96,总基本属性,8,FALSE))-
IF($B96&gt;10000,VLOOKUP($B96,实战属性,16,FALSE),VLOOKUP($B96,总基本属性,10,FALSE))*$L$13)*G105)</f>
        <v>8042</v>
      </c>
      <c r="H106">
        <f>H105+F106+G106</f>
        <v>8362</v>
      </c>
      <c r="I106">
        <f>IF($B96&gt;10000,VLOOKUP($B96,实战属性,12,FALSE),VLOOKUP($B96,总基本属性,6,FALSE))</f>
        <v>30773</v>
      </c>
      <c r="J106">
        <f>ROUND(I106/H107,2)</f>
        <v>1.02</v>
      </c>
      <c r="P106" t="s">
        <v>195</v>
      </c>
      <c r="Q106">
        <f>INT((IF($A96&gt;10000,VLOOKUP($A96,实战属性,13,FALSE),VLOOKUP($A96,总基本属性,7,FALSE))-
IF($B96&gt;10000,VLOOKUP($B96,实战属性,15,FALSE),VLOOKUP($B96,总基本属性,9,FALSE))*$L$13)*Q105)</f>
        <v>0</v>
      </c>
      <c r="R106">
        <f>INT((IF($A96&gt;10000,VLOOKUP($A96,实战属性,14,FALSE),VLOOKUP($A96,总基本属性,8,FALSE))-
IF($B96&gt;10000,VLOOKUP($B96,实战属性,16,FALSE),VLOOKUP($B96,总基本属性,10,FALSE))*$L$13)*R105)</f>
        <v>6949</v>
      </c>
      <c r="S106">
        <f>S105+Q106+R106</f>
        <v>6949</v>
      </c>
      <c r="T106">
        <f>IF($B96&gt;10000,VLOOKUP($B96,实战属性,12,FALSE),VLOOKUP($B96,总基本属性,6,FALSE))</f>
        <v>30773</v>
      </c>
      <c r="U106">
        <f>ROUND(T106/S107,2)</f>
        <v>1.04</v>
      </c>
    </row>
    <row r="107" spans="1:21" x14ac:dyDescent="0.15">
      <c r="E107" t="s">
        <v>376</v>
      </c>
      <c r="F107">
        <f>INT(F104*C104)</f>
        <v>13699</v>
      </c>
      <c r="G107">
        <f>INT(G103*C103)</f>
        <v>8008</v>
      </c>
      <c r="H107">
        <f>F107+G107+H106</f>
        <v>30069</v>
      </c>
      <c r="P107" t="s">
        <v>376</v>
      </c>
      <c r="Q107">
        <f>INT(Q104*N104)</f>
        <v>14231</v>
      </c>
      <c r="R107">
        <f>INT(R103*N103)</f>
        <v>8319</v>
      </c>
      <c r="S107">
        <f>Q107+R107+S106</f>
        <v>29499</v>
      </c>
    </row>
    <row r="111" spans="1:21" x14ac:dyDescent="0.15">
      <c r="A111" s="8" t="s">
        <v>2</v>
      </c>
      <c r="B111" s="8" t="s">
        <v>5</v>
      </c>
      <c r="C111" s="8" t="s">
        <v>178</v>
      </c>
      <c r="D111" s="8" t="s">
        <v>0</v>
      </c>
      <c r="L111" s="8" t="s">
        <v>2</v>
      </c>
      <c r="M111" s="8" t="s">
        <v>5</v>
      </c>
      <c r="N111" s="8" t="s">
        <v>178</v>
      </c>
      <c r="O111" s="8" t="s">
        <v>0</v>
      </c>
    </row>
    <row r="112" spans="1:21" x14ac:dyDescent="0.15">
      <c r="A112">
        <f>A84+1</f>
        <v>11104</v>
      </c>
      <c r="B112">
        <f>B84+10</f>
        <v>4040</v>
      </c>
      <c r="C112">
        <v>19</v>
      </c>
      <c r="D112">
        <f>MOD(B112,1000)</f>
        <v>40</v>
      </c>
      <c r="L112">
        <f>L84+1</f>
        <v>11104</v>
      </c>
      <c r="M112">
        <f>M84+10</f>
        <v>4040</v>
      </c>
      <c r="N112">
        <v>15</v>
      </c>
      <c r="O112">
        <f>MOD(M112,1000)</f>
        <v>40</v>
      </c>
    </row>
    <row r="113" spans="1:21" x14ac:dyDescent="0.15">
      <c r="A113" t="s">
        <v>156</v>
      </c>
      <c r="B113" t="s">
        <v>95</v>
      </c>
      <c r="C113" t="s">
        <v>177</v>
      </c>
      <c r="D113" t="s">
        <v>143</v>
      </c>
      <c r="E113" t="s">
        <v>182</v>
      </c>
      <c r="F113" t="s">
        <v>192</v>
      </c>
      <c r="G113" t="s">
        <v>193</v>
      </c>
      <c r="H113" t="s">
        <v>176</v>
      </c>
      <c r="I113" t="s">
        <v>205</v>
      </c>
      <c r="J113" t="s">
        <v>206</v>
      </c>
      <c r="L113" t="s">
        <v>156</v>
      </c>
      <c r="M113" t="s">
        <v>95</v>
      </c>
      <c r="N113" t="s">
        <v>177</v>
      </c>
      <c r="O113" t="s">
        <v>143</v>
      </c>
      <c r="P113" t="s">
        <v>182</v>
      </c>
      <c r="Q113" t="s">
        <v>192</v>
      </c>
      <c r="R113" t="s">
        <v>193</v>
      </c>
      <c r="S113" t="s">
        <v>176</v>
      </c>
      <c r="T113" t="s">
        <v>205</v>
      </c>
      <c r="U113" t="s">
        <v>206</v>
      </c>
    </row>
    <row r="114" spans="1:21" x14ac:dyDescent="0.15">
      <c r="A114">
        <v>12</v>
      </c>
      <c r="B114" t="s">
        <v>9</v>
      </c>
      <c r="C114">
        <f>C112-C118</f>
        <v>15</v>
      </c>
      <c r="D114">
        <f>VLOOKUP(A114,技能参数,4,FALSE)</f>
        <v>0.6</v>
      </c>
      <c r="E114">
        <f>VLOOKUP(A114*1000+D112,学习等级编码,2)</f>
        <v>1204</v>
      </c>
      <c r="F114">
        <f>INT(VLOOKUP($E114,技能升级,9,FALSE)*$C114*I114*J114)</f>
        <v>0</v>
      </c>
      <c r="G114">
        <f>INT(VLOOKUP($E114,技能升级,10,FALSE)*$C114*I114*J114)</f>
        <v>16500</v>
      </c>
      <c r="H114">
        <f>INT(VLOOKUP($E114,技能升级,11,FALSE)*$C114*I114*J114)</f>
        <v>1605</v>
      </c>
      <c r="I114">
        <v>1</v>
      </c>
      <c r="J114">
        <f>VLOOKUP(A112,$A$2:$I$21,7,FALSE)</f>
        <v>1</v>
      </c>
      <c r="L114">
        <v>12</v>
      </c>
      <c r="M114" t="s">
        <v>9</v>
      </c>
      <c r="N114">
        <f>N112</f>
        <v>15</v>
      </c>
      <c r="O114">
        <f>VLOOKUP(L114,技能参数,4,FALSE)</f>
        <v>0.6</v>
      </c>
      <c r="P114">
        <f>VLOOKUP(L114*1000+O112,学习等级编码,2)</f>
        <v>1204</v>
      </c>
      <c r="Q114">
        <f>INT(VLOOKUP(P114,技能升级,9,FALSE)*N114*T114*U114)</f>
        <v>0</v>
      </c>
      <c r="R114">
        <f>INT(VLOOKUP(P114,技能升级,10,FALSE)*N114*T114*U114)</f>
        <v>16500</v>
      </c>
      <c r="S114">
        <f>INT(VLOOKUP(P114,技能升级,11,FALSE)*N114*T114*U114)</f>
        <v>1605</v>
      </c>
      <c r="T114">
        <v>1</v>
      </c>
      <c r="U114">
        <f>VLOOKUP(L112,$A$2:$I$21,7,FALSE)</f>
        <v>1</v>
      </c>
    </row>
    <row r="115" spans="1:21" x14ac:dyDescent="0.15">
      <c r="A115">
        <v>15</v>
      </c>
      <c r="B115" t="s">
        <v>12</v>
      </c>
      <c r="C115">
        <v>1</v>
      </c>
      <c r="D115">
        <f>VLOOKUP(A115,技能参数,4,FALSE)</f>
        <v>1.5</v>
      </c>
      <c r="E115">
        <f>VLOOKUP(A115*1000+D112,学习等级编码,2)</f>
        <v>1503</v>
      </c>
      <c r="F115">
        <f>INT(VLOOKUP($E115,技能升级,9,FALSE)*$C115*I115*J115)</f>
        <v>0</v>
      </c>
      <c r="G115">
        <f>INT(VLOOKUP($E115,技能升级,10,FALSE)*$C115*I115*J115)</f>
        <v>0</v>
      </c>
      <c r="H115">
        <f>INT(VLOOKUP($E115,技能升级,11,FALSE)*$C115*I115*J115)</f>
        <v>0</v>
      </c>
      <c r="I115">
        <v>1</v>
      </c>
      <c r="J115">
        <v>1</v>
      </c>
      <c r="L115">
        <v>15</v>
      </c>
      <c r="M115" t="s">
        <v>12</v>
      </c>
      <c r="N115">
        <v>1</v>
      </c>
      <c r="O115">
        <f>VLOOKUP(L115,技能参数,4,FALSE)</f>
        <v>1.5</v>
      </c>
      <c r="P115">
        <f>VLOOKUP(L115*1000+O112,学习等级编码,2)</f>
        <v>1503</v>
      </c>
      <c r="Q115">
        <f>INT(VLOOKUP(P115,技能升级,9,FALSE)*N115*T115*U115)</f>
        <v>0</v>
      </c>
      <c r="R115">
        <f>INT(VLOOKUP(P115,技能升级,10,FALSE)*N115*T115*U115)</f>
        <v>0</v>
      </c>
      <c r="S115">
        <f>INT(VLOOKUP(P115,技能升级,11,FALSE)*N115*T115*U115)</f>
        <v>0</v>
      </c>
      <c r="T115">
        <v>1</v>
      </c>
      <c r="U115">
        <v>1</v>
      </c>
    </row>
    <row r="116" spans="1:21" x14ac:dyDescent="0.15">
      <c r="A116">
        <v>11</v>
      </c>
      <c r="B116" t="s">
        <v>94</v>
      </c>
      <c r="C116">
        <f>INT((C112-D114-D115-C118)/D116)</f>
        <v>12</v>
      </c>
      <c r="D116">
        <f>VLOOKUP(A116,技能参数,4,FALSE)</f>
        <v>1</v>
      </c>
      <c r="E116">
        <f>VLOOKUP(A116*1000+D112,学习等级编码,2)</f>
        <v>1106</v>
      </c>
      <c r="F116">
        <f>INT(VLOOKUP($E116,技能升级,9,FALSE)*$C116*I116*J116)</f>
        <v>13320</v>
      </c>
      <c r="G116">
        <f>INT(VLOOKUP($E116,技能升级,10,FALSE)*$C116*I116*J116)</f>
        <v>0</v>
      </c>
      <c r="H116">
        <f>INT(VLOOKUP($E116,技能升级,11,FALSE)*$C116*I116*J116)</f>
        <v>1500</v>
      </c>
      <c r="I116">
        <v>1</v>
      </c>
      <c r="J116">
        <f>VLOOKUP(A112,$A$2:$I$21,7,FALSE)</f>
        <v>1</v>
      </c>
      <c r="L116">
        <v>11</v>
      </c>
      <c r="M116" t="s">
        <v>94</v>
      </c>
      <c r="N116">
        <f>INT((N112-O114-O115)/O116)</f>
        <v>12</v>
      </c>
      <c r="O116">
        <f>VLOOKUP(L116,技能参数,4,FALSE)</f>
        <v>1</v>
      </c>
      <c r="P116">
        <f>VLOOKUP(L116*1000+O112,学习等级编码,2)</f>
        <v>1106</v>
      </c>
      <c r="Q116">
        <f>INT(VLOOKUP(P116,技能升级,9,FALSE)*N116*T116*U116)</f>
        <v>13320</v>
      </c>
      <c r="R116">
        <f>INT(VLOOKUP(P116,技能升级,10,FALSE)*N116*T116*U116)</f>
        <v>0</v>
      </c>
      <c r="S116">
        <f>INT(VLOOKUP(P116,技能升级,11,FALSE)*N116*T116*U116)</f>
        <v>1500</v>
      </c>
      <c r="T116">
        <v>1</v>
      </c>
      <c r="U116">
        <f>VLOOKUP(L112,$A$2:$I$21,7,FALSE)</f>
        <v>1</v>
      </c>
    </row>
    <row r="117" spans="1:21" x14ac:dyDescent="0.15">
      <c r="A117">
        <v>14</v>
      </c>
      <c r="B117" t="s">
        <v>11</v>
      </c>
      <c r="C117">
        <v>1</v>
      </c>
      <c r="D117">
        <v>0</v>
      </c>
      <c r="E117">
        <f>VLOOKUP(A117*1000+D112,学习等级编码,2)</f>
        <v>1404</v>
      </c>
      <c r="F117">
        <f>INT(VLOOKUP($E117,技能升级,9,FALSE)*$C117*I117*J117)</f>
        <v>0</v>
      </c>
      <c r="G117">
        <f>INT(VLOOKUP($E117,技能升级,10,FALSE)*$C117*I117*J117)</f>
        <v>0</v>
      </c>
      <c r="H117">
        <f>INT(VLOOKUP($E117,技能升级,11,FALSE)*$C117*I117*J117)</f>
        <v>0</v>
      </c>
      <c r="I117">
        <v>1</v>
      </c>
      <c r="J117">
        <v>1</v>
      </c>
      <c r="L117">
        <v>14</v>
      </c>
      <c r="M117" t="s">
        <v>11</v>
      </c>
      <c r="N117">
        <v>1</v>
      </c>
      <c r="O117">
        <v>0</v>
      </c>
      <c r="P117">
        <f>VLOOKUP(L117*1000+O112,学习等级编码,2)</f>
        <v>1404</v>
      </c>
      <c r="Q117">
        <f>INT(VLOOKUP(P117,技能升级,9,FALSE)*N117*T117*U117)</f>
        <v>0</v>
      </c>
      <c r="R117">
        <f>INT(VLOOKUP(P117,技能升级,10,FALSE)*N117*T117*U117)</f>
        <v>0</v>
      </c>
      <c r="S117">
        <f>INT(VLOOKUP(P117,技能升级,11,FALSE)*N117*T117*U117)</f>
        <v>0</v>
      </c>
      <c r="T117">
        <v>1</v>
      </c>
      <c r="U117">
        <v>1</v>
      </c>
    </row>
    <row r="118" spans="1:21" x14ac:dyDescent="0.15">
      <c r="B118" t="s">
        <v>437</v>
      </c>
      <c r="C118">
        <f>D128</f>
        <v>4</v>
      </c>
      <c r="P118" t="s">
        <v>194</v>
      </c>
      <c r="Q118">
        <f>SUM(Q114:Q116)/1000</f>
        <v>13.32</v>
      </c>
      <c r="R118">
        <f>SUM(R114:R116)/1000</f>
        <v>16.5</v>
      </c>
      <c r="S118">
        <f>SUM(S114:S116)</f>
        <v>3105</v>
      </c>
      <c r="T118" t="s">
        <v>196</v>
      </c>
      <c r="U118" t="s">
        <v>197</v>
      </c>
    </row>
    <row r="119" spans="1:21" x14ac:dyDescent="0.15">
      <c r="E119" t="s">
        <v>194</v>
      </c>
      <c r="F119">
        <f>SUM(F114:F116)/1000</f>
        <v>13.32</v>
      </c>
      <c r="G119">
        <f>SUM(G114:G116)/1000</f>
        <v>16.5</v>
      </c>
      <c r="H119">
        <f>SUM(H114:H116)</f>
        <v>3105</v>
      </c>
      <c r="I119" t="s">
        <v>196</v>
      </c>
      <c r="J119" t="s">
        <v>197</v>
      </c>
      <c r="P119" t="s">
        <v>195</v>
      </c>
      <c r="Q119">
        <f>INT((IF($A112&gt;10000,VLOOKUP($A112,实战属性,13,FALSE),VLOOKUP($A112,总基本属性,7,FALSE))-
IF($B112&gt;10000,VLOOKUP($B112,实战属性,15,FALSE),VLOOKUP($B112,总基本属性,9,FALSE))*$L$13)*Q118)</f>
        <v>12480</v>
      </c>
      <c r="R119">
        <f>INT((IF($A112&gt;10000,VLOOKUP($A112,实战属性,14,FALSE),VLOOKUP($A112,总基本属性,8,FALSE))-
IF($B112&gt;10000,VLOOKUP($B112,实战属性,16,FALSE),VLOOKUP($B112,总基本属性,10,FALSE))*$L$13)*R118)</f>
        <v>14041</v>
      </c>
      <c r="S119">
        <f>S118+Q119+R119</f>
        <v>29626</v>
      </c>
      <c r="T119">
        <f>IF($B112&gt;10000,VLOOKUP($B112,实战属性,12,FALSE),VLOOKUP($B112,总基本属性,6,FALSE))+T129</f>
        <v>31182</v>
      </c>
      <c r="U119">
        <f>ROUND(T119/S119,2)</f>
        <v>1.05</v>
      </c>
    </row>
    <row r="120" spans="1:21" x14ac:dyDescent="0.15">
      <c r="E120" t="s">
        <v>195</v>
      </c>
      <c r="F120">
        <f>INT((IF($A112&gt;10000,VLOOKUP($A112,实战属性,13,FALSE),VLOOKUP($A112,总基本属性,7,FALSE))-
IF($B112&gt;10000,VLOOKUP($B112,实战属性,15,FALSE),VLOOKUP($B112,总基本属性,9,FALSE))*$L$13)*F119)</f>
        <v>12480</v>
      </c>
      <c r="G120">
        <f>INT((IF($A112&gt;10000,VLOOKUP($A112,实战属性,14,FALSE),VLOOKUP($A112,总基本属性,8,FALSE))-
IF($B112&gt;10000,VLOOKUP($B112,实战属性,16,FALSE),VLOOKUP($B112,总基本属性,10,FALSE))*$L$13)*G119)</f>
        <v>14041</v>
      </c>
      <c r="H120">
        <f>H119+F120+G120</f>
        <v>29626</v>
      </c>
      <c r="I120">
        <f>IF($B112&gt;10000,VLOOKUP($B112,实战属性,12,FALSE),VLOOKUP($B112,总基本属性,6,FALSE))+I129</f>
        <v>31182</v>
      </c>
      <c r="J120">
        <f>ROUND(I120/H120,2)</f>
        <v>1.05</v>
      </c>
    </row>
    <row r="123" spans="1:21" x14ac:dyDescent="0.15">
      <c r="A123" s="9" t="s">
        <v>5</v>
      </c>
      <c r="B123" s="9" t="s">
        <v>2</v>
      </c>
      <c r="C123" s="9" t="s">
        <v>178</v>
      </c>
      <c r="D123" s="9" t="s">
        <v>0</v>
      </c>
      <c r="G123" t="s">
        <v>445</v>
      </c>
      <c r="H123">
        <f>INT(I134/J134/C124)</f>
        <v>3268</v>
      </c>
      <c r="I123" t="s">
        <v>446</v>
      </c>
      <c r="J123">
        <f>ROUND(I129/H123,1)</f>
        <v>1.2</v>
      </c>
      <c r="L123" s="9" t="s">
        <v>5</v>
      </c>
      <c r="M123" s="9" t="s">
        <v>2</v>
      </c>
      <c r="N123" s="9" t="s">
        <v>178</v>
      </c>
      <c r="O123" s="9" t="s">
        <v>0</v>
      </c>
      <c r="R123" t="s">
        <v>445</v>
      </c>
      <c r="S123">
        <f>INT(T134/U134/N124)</f>
        <v>3114</v>
      </c>
      <c r="T123" t="s">
        <v>446</v>
      </c>
      <c r="U123">
        <f>ROUND(T129/S123,1)</f>
        <v>1.2</v>
      </c>
    </row>
    <row r="124" spans="1:21" x14ac:dyDescent="0.15">
      <c r="A124">
        <f>A96+10</f>
        <v>4040</v>
      </c>
      <c r="B124">
        <f>B96+1</f>
        <v>11104</v>
      </c>
      <c r="C124">
        <v>16</v>
      </c>
      <c r="D124">
        <f>MOD(A124,1000)</f>
        <v>40</v>
      </c>
      <c r="G124" t="s">
        <v>447</v>
      </c>
      <c r="H124">
        <v>5</v>
      </c>
      <c r="I124" t="s">
        <v>383</v>
      </c>
      <c r="J124">
        <f>VLOOKUP(D124,召唤物生存,10)</f>
        <v>14.53</v>
      </c>
      <c r="L124">
        <f>L96+10</f>
        <v>4040</v>
      </c>
      <c r="M124">
        <f>M96+1</f>
        <v>11104</v>
      </c>
      <c r="N124">
        <v>16</v>
      </c>
      <c r="O124">
        <f>MOD(L124,1000)</f>
        <v>40</v>
      </c>
      <c r="R124" t="s">
        <v>447</v>
      </c>
      <c r="S124">
        <v>5</v>
      </c>
      <c r="T124" t="s">
        <v>383</v>
      </c>
      <c r="U124">
        <f>VLOOKUP(O124,召唤物生存,10)</f>
        <v>14.53</v>
      </c>
    </row>
    <row r="125" spans="1:21" x14ac:dyDescent="0.15">
      <c r="A125" t="s">
        <v>156</v>
      </c>
      <c r="B125" t="s">
        <v>95</v>
      </c>
      <c r="C125" t="s">
        <v>177</v>
      </c>
      <c r="D125" t="s">
        <v>143</v>
      </c>
      <c r="E125" t="s">
        <v>182</v>
      </c>
      <c r="F125" t="s">
        <v>192</v>
      </c>
      <c r="G125" t="s">
        <v>193</v>
      </c>
      <c r="H125" t="s">
        <v>176</v>
      </c>
      <c r="I125" t="s">
        <v>205</v>
      </c>
      <c r="J125" t="s">
        <v>206</v>
      </c>
      <c r="L125" t="s">
        <v>156</v>
      </c>
      <c r="M125" t="s">
        <v>95</v>
      </c>
      <c r="N125" t="s">
        <v>177</v>
      </c>
      <c r="O125" t="s">
        <v>143</v>
      </c>
      <c r="P125" t="s">
        <v>182</v>
      </c>
      <c r="Q125" t="s">
        <v>192</v>
      </c>
      <c r="R125" t="s">
        <v>193</v>
      </c>
      <c r="S125" t="s">
        <v>176</v>
      </c>
      <c r="T125" t="s">
        <v>205</v>
      </c>
      <c r="U125" t="s">
        <v>206</v>
      </c>
    </row>
    <row r="126" spans="1:21" x14ac:dyDescent="0.15">
      <c r="A126">
        <v>42</v>
      </c>
      <c r="B126" t="s">
        <v>35</v>
      </c>
      <c r="C126">
        <v>1</v>
      </c>
      <c r="D126">
        <f>VLOOKUP(A126,技能参数,4,FALSE)</f>
        <v>1</v>
      </c>
      <c r="E126">
        <f>IFERROR(VLOOKUP(A126*1000+D124,学习等级编码,2),0)</f>
        <v>4204</v>
      </c>
      <c r="F126">
        <f>IFERROR(INT(VLOOKUP($E126,技能升级,9,FALSE)*$C126*I126*J126),0)</f>
        <v>0</v>
      </c>
      <c r="G126">
        <f>IFERROR(INT(VLOOKUP($E126,技能升级,10,FALSE)*$C126*I126*J126),0)</f>
        <v>0</v>
      </c>
      <c r="H126">
        <f>INT(VLOOKUP($E126,技能升级,11,FALSE)*$C126*I126*J126)</f>
        <v>0</v>
      </c>
      <c r="I126">
        <v>1</v>
      </c>
      <c r="J126">
        <v>1</v>
      </c>
      <c r="L126">
        <v>42</v>
      </c>
      <c r="M126" t="s">
        <v>35</v>
      </c>
      <c r="N126">
        <v>1</v>
      </c>
      <c r="O126">
        <f>VLOOKUP(L126,技能参数,4,FALSE)</f>
        <v>1</v>
      </c>
      <c r="P126">
        <f>IFERROR(VLOOKUP(L126*1000+O124,学习等级编码,2),0)</f>
        <v>4204</v>
      </c>
      <c r="Q126">
        <f>IFERROR(INT(VLOOKUP(P126,技能升级,9,FALSE)*N126*T126*U126),0)</f>
        <v>0</v>
      </c>
      <c r="R126">
        <f>IFERROR(INT(VLOOKUP(P126,技能升级,10,FALSE)*N126*T126*U126),0)</f>
        <v>0</v>
      </c>
      <c r="S126">
        <f>INT(VLOOKUP(P126,技能升级,11,FALSE)*N126*T126*U126)</f>
        <v>0</v>
      </c>
      <c r="T126">
        <v>1</v>
      </c>
      <c r="U126">
        <v>1</v>
      </c>
    </row>
    <row r="127" spans="1:21" x14ac:dyDescent="0.15">
      <c r="A127">
        <v>43</v>
      </c>
      <c r="B127" t="s">
        <v>36</v>
      </c>
      <c r="C127">
        <v>1</v>
      </c>
      <c r="D127">
        <f>VLOOKUP(A127,技能参数,4,FALSE)</f>
        <v>1</v>
      </c>
      <c r="E127">
        <f>IFERROR(VLOOKUP(A127*1000+D124,学习等级编码,2),0)</f>
        <v>4304</v>
      </c>
      <c r="F127">
        <f t="shared" ref="F127" si="20">IFERROR(INT(VLOOKUP($E127,技能升级,9,FALSE)*$C127*I127*J127),0)</f>
        <v>0</v>
      </c>
      <c r="G127">
        <f t="shared" ref="G127" si="21">IFERROR(INT(VLOOKUP($E127,技能升级,10,FALSE)*$C127*I127*J127),0)</f>
        <v>0</v>
      </c>
      <c r="H127">
        <f>INT(VLOOKUP($E127,技能升级,11,FALSE)*$C127*I127*J127)</f>
        <v>0</v>
      </c>
      <c r="I127">
        <v>1</v>
      </c>
      <c r="J127">
        <v>1</v>
      </c>
      <c r="L127">
        <v>43</v>
      </c>
      <c r="M127" t="s">
        <v>36</v>
      </c>
      <c r="N127">
        <v>1</v>
      </c>
      <c r="O127">
        <f>VLOOKUP(L127,技能参数,4,FALSE)</f>
        <v>1</v>
      </c>
      <c r="P127">
        <f>IFERROR(VLOOKUP(L127*1000+O124,学习等级编码,2),0)</f>
        <v>4304</v>
      </c>
      <c r="Q127">
        <f>IFERROR(INT(VLOOKUP(P127,技能升级,9,FALSE)*N127*T127*U127),0)</f>
        <v>0</v>
      </c>
      <c r="R127">
        <f>IFERROR(INT(VLOOKUP(P127,技能升级,10,FALSE)*N127*T127*U127),0)</f>
        <v>0</v>
      </c>
      <c r="S127">
        <f>INT(VLOOKUP(P127,技能升级,11,FALSE)*N127*T127*U127)</f>
        <v>0</v>
      </c>
      <c r="T127">
        <v>1</v>
      </c>
      <c r="U127">
        <v>1</v>
      </c>
    </row>
    <row r="128" spans="1:21" x14ac:dyDescent="0.15">
      <c r="A128">
        <v>44</v>
      </c>
      <c r="B128" t="s">
        <v>38</v>
      </c>
      <c r="C128">
        <v>1</v>
      </c>
      <c r="D128">
        <f>IFERROR(INT(VLOOKUP($E128,技能升级,13,FALSE)),0)</f>
        <v>4</v>
      </c>
      <c r="E128">
        <f>IFERROR(VLOOKUP(A128*1000+D124,学习等级编码,2),0)</f>
        <v>4404</v>
      </c>
      <c r="F128">
        <f>IFERROR(INT(VLOOKUP($E128,技能升级,9,FALSE)*$C128*I128*J128),0)</f>
        <v>0</v>
      </c>
      <c r="G128">
        <f>IFERROR(INT(VLOOKUP($E128,技能升级,10,FALSE)*$D128*I128*J128),0)</f>
        <v>6800</v>
      </c>
      <c r="H128">
        <f>INT(VLOOKUP($E128,技能升级,11,FALSE)*$D128*I128*J128)</f>
        <v>520</v>
      </c>
      <c r="I128">
        <v>1</v>
      </c>
      <c r="J128">
        <f>VLOOKUP(A124,$A$2:$I$21,8,FALSE)</f>
        <v>1</v>
      </c>
      <c r="L128">
        <v>44</v>
      </c>
      <c r="M128" t="s">
        <v>38</v>
      </c>
      <c r="N128">
        <v>0</v>
      </c>
      <c r="O128">
        <v>0</v>
      </c>
      <c r="P128">
        <f>IFERROR(VLOOKUP(L128*1000+O124,学习等级编码,2),0)</f>
        <v>4404</v>
      </c>
      <c r="Q128">
        <f>IFERROR(INT(VLOOKUP(P128,技能升级,9,FALSE)*N128*T128*U128),0)</f>
        <v>0</v>
      </c>
      <c r="R128">
        <f>IFERROR(INT(VLOOKUP(P128,技能升级,10,FALSE)*N128*T128*U128),0)</f>
        <v>0</v>
      </c>
      <c r="S128">
        <f>INT(VLOOKUP(P128,技能升级,11,FALSE)*N128*T128*U128)</f>
        <v>0</v>
      </c>
      <c r="T128">
        <v>1</v>
      </c>
      <c r="U128">
        <f>VLOOKUP(L124,$A$2:$I$21,8,FALSE)</f>
        <v>1</v>
      </c>
    </row>
    <row r="129" spans="1:21" x14ac:dyDescent="0.15">
      <c r="A129">
        <v>45</v>
      </c>
      <c r="B129" t="s">
        <v>37</v>
      </c>
      <c r="C129">
        <v>1</v>
      </c>
      <c r="D129">
        <f>VLOOKUP(A129,技能参数,4,FALSE)</f>
        <v>2</v>
      </c>
      <c r="E129">
        <f>IFERROR(VLOOKUP(A129*1000+D124,学习等级编码,2),0)</f>
        <v>4503</v>
      </c>
      <c r="F129">
        <f>IFERROR(INT(VLOOKUP($E129,技能升级,9,FALSE)*$C129*I129*J129),0)</f>
        <v>0</v>
      </c>
      <c r="G129">
        <f t="shared" ref="G129:G130" si="22">IFERROR(INT(VLOOKUP($E129,技能升级,10,FALSE)*$C129*I129*J129),0)</f>
        <v>0</v>
      </c>
      <c r="H129">
        <f>INT(VLOOKUP($E129,技能升级,11,FALSE)*$C129*I129*J129)</f>
        <v>0</v>
      </c>
      <c r="I129">
        <f>INT(VLOOKUP($E129,技能升级,13,FALSE)*$C129)</f>
        <v>3822</v>
      </c>
      <c r="J129">
        <v>1</v>
      </c>
      <c r="L129">
        <v>45</v>
      </c>
      <c r="M129" t="s">
        <v>37</v>
      </c>
      <c r="N129">
        <v>1</v>
      </c>
      <c r="O129">
        <f>VLOOKUP(L129,技能参数,4,FALSE)</f>
        <v>2</v>
      </c>
      <c r="P129">
        <f>IFERROR(VLOOKUP(L129*1000+O124,学习等级编码,2),0)</f>
        <v>4503</v>
      </c>
      <c r="Q129">
        <f>IFERROR(INT(VLOOKUP(P129,技能升级,9,FALSE)*N129*T129*U129),0)</f>
        <v>0</v>
      </c>
      <c r="R129">
        <f>IFERROR(INT(VLOOKUP(P129,技能升级,10,FALSE)*N129*T129*U129),0)</f>
        <v>0</v>
      </c>
      <c r="S129">
        <f>INT(VLOOKUP(P129,技能升级,11,FALSE)*N129*T129*U129)</f>
        <v>0</v>
      </c>
      <c r="T129">
        <f>INT(VLOOKUP($E129,技能升级,13,FALSE)*$C129)</f>
        <v>3822</v>
      </c>
      <c r="U129">
        <v>1</v>
      </c>
    </row>
    <row r="130" spans="1:21" x14ac:dyDescent="0.15">
      <c r="A130">
        <v>41</v>
      </c>
      <c r="B130" t="s">
        <v>361</v>
      </c>
      <c r="C130">
        <f>IF(INT((C124-C126*D126-C127*D127-C128*D128-C129*D129)/D130)&gt;0,INT((C124-C126*D126-C127*D127-C128*D128-C129*D129)/D130),0)</f>
        <v>6</v>
      </c>
      <c r="D130">
        <f>VLOOKUP(A130,技能参数,4,FALSE)</f>
        <v>1.2</v>
      </c>
      <c r="E130">
        <f>IFERROR(VLOOKUP(A130*1000+D124,学习等级编码,2),0)</f>
        <v>4106</v>
      </c>
      <c r="F130">
        <f>IFERROR(INT(VLOOKUP($E130,技能升级,9,FALSE)*$C130*I130*J130),0)</f>
        <v>0</v>
      </c>
      <c r="G130">
        <f t="shared" si="22"/>
        <v>7260</v>
      </c>
      <c r="H130">
        <f>INT(VLOOKUP($E130,技能升级,11,FALSE)*$C130*I130*J130)</f>
        <v>750</v>
      </c>
      <c r="I130">
        <v>1</v>
      </c>
      <c r="J130">
        <f>VLOOKUP(A96,$A$2:$I$21,8,FALSE)</f>
        <v>1</v>
      </c>
      <c r="L130">
        <v>41</v>
      </c>
      <c r="M130" t="s">
        <v>361</v>
      </c>
      <c r="N130">
        <f>IF(INT((N124-N126*O126-N127*O127-N128*O128-N129*O129)/O130)&gt;0,INT((N124-N126*O126-N127*O127-N128*O128-N129*O129)/O130),0)</f>
        <v>10</v>
      </c>
      <c r="O130">
        <f>VLOOKUP(L130,技能参数,4,FALSE)</f>
        <v>1.2</v>
      </c>
      <c r="P130">
        <f>IFERROR(VLOOKUP(L130*1000+O124,学习等级编码,2),0)</f>
        <v>4106</v>
      </c>
      <c r="Q130">
        <f>IFERROR(INT(VLOOKUP(P130,技能升级,9,FALSE)*N130*T130*U130),0)</f>
        <v>0</v>
      </c>
      <c r="R130">
        <f>IFERROR(INT(VLOOKUP(P130,技能升级,10,FALSE)*N130*T130*U130),0)</f>
        <v>12100</v>
      </c>
      <c r="S130">
        <f>INT(VLOOKUP(P130,技能升级,11,FALSE)*N130*T130*U130)</f>
        <v>1250</v>
      </c>
      <c r="T130">
        <v>1</v>
      </c>
      <c r="U130">
        <f>VLOOKUP(A96,$A$2:$I$21,8,FALSE)</f>
        <v>1</v>
      </c>
    </row>
    <row r="131" spans="1:21" x14ac:dyDescent="0.15">
      <c r="A131">
        <f>VLOOKUP(E126,技能升级,13,FALSE)</f>
        <v>104</v>
      </c>
      <c r="B131" t="s">
        <v>375</v>
      </c>
      <c r="C131">
        <f>IF(C124&lt;J124,C124+C124-H124,IF(C124&gt;J124+H124,J124+J124,J124+C124-H124))</f>
        <v>25.53</v>
      </c>
      <c r="G131">
        <f>INT((VLOOKUP(A131,召唤物属性,7,FALSE)-
IF($B124&gt;10000,VLOOKUP($B124,实战属性,15,FALSE),VLOOKUP($B124,总基本属性,9,FALSE))*$L$13)*I131*J131)</f>
        <v>503</v>
      </c>
      <c r="I131">
        <f>VLOOKUP($E126,技能升级,14,FALSE)</f>
        <v>1</v>
      </c>
      <c r="J131">
        <v>1</v>
      </c>
      <c r="L131">
        <f>VLOOKUP(P126,技能升级,13,FALSE)</f>
        <v>104</v>
      </c>
      <c r="M131" t="s">
        <v>375</v>
      </c>
      <c r="N131">
        <f>IF(N124&lt;U124,N124+N124-S124,IF(N124&gt;U124+S124,U124+U124,U124+N124-S124))</f>
        <v>25.53</v>
      </c>
      <c r="R131">
        <f>INT((VLOOKUP(L131,召唤物属性,7,FALSE)-
IF($B124&gt;10000,VLOOKUP($B124,实战属性,15,FALSE),VLOOKUP($B124,总基本属性,9,FALSE))*$L$13)*T131*U131)</f>
        <v>503</v>
      </c>
      <c r="T131">
        <f>VLOOKUP($E126,技能升级,14,FALSE)</f>
        <v>1</v>
      </c>
      <c r="U131">
        <v>1</v>
      </c>
    </row>
    <row r="132" spans="1:21" x14ac:dyDescent="0.15">
      <c r="A132">
        <f>VLOOKUP(E127,技能升级,13,FALSE)</f>
        <v>204</v>
      </c>
      <c r="B132" t="s">
        <v>374</v>
      </c>
      <c r="C132">
        <f>IF(C124&lt;J124,C124+C124-H124,IF(C124&gt;J124+H124,J124+J124,J124+C124-H124))</f>
        <v>25.53</v>
      </c>
      <c r="F132">
        <f>INT((VLOOKUP(A132,召唤物属性,6,FALSE)-
IF($B124&gt;10000,VLOOKUP($B124,实战属性,15,FALSE),VLOOKUP($B124,总基本属性,9,FALSE))*$L$13)*I132*J132)</f>
        <v>984</v>
      </c>
      <c r="I132">
        <f>VLOOKUP($E127,技能升级,14,FALSE)</f>
        <v>3</v>
      </c>
      <c r="J132">
        <f>VLOOKUP(A124,$A$2:$I$21,9,FALSE)</f>
        <v>0.93</v>
      </c>
      <c r="L132">
        <f>VLOOKUP(P127,技能升级,13,FALSE)</f>
        <v>204</v>
      </c>
      <c r="M132" t="s">
        <v>374</v>
      </c>
      <c r="N132">
        <f>IF(N124&lt;U124,N124+N124-S124,IF(N124&gt;U124+S124,U124+U124,U124+N124-S124))</f>
        <v>25.53</v>
      </c>
      <c r="Q132">
        <f>INT((VLOOKUP(L132,召唤物属性,6,FALSE)-
IF($B124&gt;10000,VLOOKUP($B124,实战属性,15,FALSE),VLOOKUP($B124,总基本属性,9,FALSE))*$L$13)*T132*U132)</f>
        <v>984</v>
      </c>
      <c r="T132">
        <f>VLOOKUP($E127,技能升级,14,FALSE)</f>
        <v>3</v>
      </c>
      <c r="U132">
        <f>VLOOKUP(L124,$A$2:$I$21,9,FALSE)</f>
        <v>0.93</v>
      </c>
    </row>
    <row r="133" spans="1:21" x14ac:dyDescent="0.15">
      <c r="E133" t="s">
        <v>194</v>
      </c>
      <c r="F133">
        <f>SUM(F126:F130)/1000</f>
        <v>0</v>
      </c>
      <c r="G133">
        <f>SUM(G126:G130)/1000</f>
        <v>14.06</v>
      </c>
      <c r="H133">
        <f>SUM(H126:H129)</f>
        <v>520</v>
      </c>
      <c r="I133" t="s">
        <v>196</v>
      </c>
      <c r="J133" t="s">
        <v>197</v>
      </c>
      <c r="P133" t="s">
        <v>194</v>
      </c>
      <c r="Q133">
        <f>SUM(Q126:Q130)/1000</f>
        <v>0</v>
      </c>
      <c r="R133">
        <f>SUM(R126:R130)/1000</f>
        <v>12.1</v>
      </c>
      <c r="S133">
        <f>SUM(S126:S129)</f>
        <v>0</v>
      </c>
      <c r="T133" t="s">
        <v>196</v>
      </c>
      <c r="U133" t="s">
        <v>197</v>
      </c>
    </row>
    <row r="134" spans="1:21" x14ac:dyDescent="0.15">
      <c r="E134" t="s">
        <v>195</v>
      </c>
      <c r="F134">
        <f>INT((IF($A124&gt;10000,VLOOKUP($A124,实战属性,13,FALSE),VLOOKUP($A124,总基本属性,7,FALSE))-
IF($B124&gt;10000,VLOOKUP($B124,实战属性,15,FALSE),VLOOKUP($B124,总基本属性,9,FALSE))*$L$13)*F133)</f>
        <v>0</v>
      </c>
      <c r="G134">
        <f>INT((IF($A124&gt;10000,VLOOKUP($A124,实战属性,14,FALSE),VLOOKUP($A124,总基本属性,8,FALSE))-
IF($B124&gt;10000,VLOOKUP($B124,实战属性,16,FALSE),VLOOKUP($B124,总基本属性,10,FALSE))*$L$13)*G133)</f>
        <v>13884</v>
      </c>
      <c r="H134">
        <f>H133+F134+G134</f>
        <v>14404</v>
      </c>
      <c r="I134">
        <f>IF($B124&gt;10000,VLOOKUP($B124,实战属性,12,FALSE),VLOOKUP($B124,总基本属性,6,FALSE))</f>
        <v>52819</v>
      </c>
      <c r="J134">
        <f>ROUND(I134/H135,2)</f>
        <v>1.01</v>
      </c>
      <c r="P134" t="s">
        <v>195</v>
      </c>
      <c r="Q134">
        <f>INT((IF($A124&gt;10000,VLOOKUP($A124,实战属性,13,FALSE),VLOOKUP($A124,总基本属性,7,FALSE))-
IF($B124&gt;10000,VLOOKUP($B124,实战属性,15,FALSE),VLOOKUP($B124,总基本属性,9,FALSE))*$L$13)*Q133)</f>
        <v>0</v>
      </c>
      <c r="R134">
        <f>INT((IF($A124&gt;10000,VLOOKUP($A124,实战属性,14,FALSE),VLOOKUP($A124,总基本属性,8,FALSE))-
IF($B124&gt;10000,VLOOKUP($B124,实战属性,16,FALSE),VLOOKUP($B124,总基本属性,10,FALSE))*$L$13)*R133)</f>
        <v>11948</v>
      </c>
      <c r="S134">
        <f>S133+Q134+R134</f>
        <v>11948</v>
      </c>
      <c r="T134">
        <f>IF($B124&gt;10000,VLOOKUP($B124,实战属性,12,FALSE),VLOOKUP($B124,总基本属性,6,FALSE))</f>
        <v>52819</v>
      </c>
      <c r="U134">
        <f>ROUND(T134/S135,2)</f>
        <v>1.06</v>
      </c>
    </row>
    <row r="135" spans="1:21" x14ac:dyDescent="0.15">
      <c r="E135" t="s">
        <v>376</v>
      </c>
      <c r="F135">
        <f>INT(F132*C132)</f>
        <v>25121</v>
      </c>
      <c r="G135">
        <f>INT(G131*C131)</f>
        <v>12841</v>
      </c>
      <c r="H135">
        <f>F135+G135+H134</f>
        <v>52366</v>
      </c>
      <c r="P135" t="s">
        <v>376</v>
      </c>
      <c r="Q135">
        <f>INT(Q132*N132)</f>
        <v>25121</v>
      </c>
      <c r="R135">
        <f>INT(R131*N131)</f>
        <v>12841</v>
      </c>
      <c r="S135">
        <f>Q135+R135+S134</f>
        <v>49910</v>
      </c>
    </row>
    <row r="139" spans="1:21" x14ac:dyDescent="0.15">
      <c r="A139" s="8" t="s">
        <v>2</v>
      </c>
      <c r="B139" s="8" t="s">
        <v>5</v>
      </c>
      <c r="C139" s="8" t="s">
        <v>178</v>
      </c>
      <c r="D139" s="8" t="s">
        <v>0</v>
      </c>
      <c r="L139" s="8" t="s">
        <v>2</v>
      </c>
      <c r="M139" s="8" t="s">
        <v>5</v>
      </c>
      <c r="N139" s="8" t="s">
        <v>178</v>
      </c>
      <c r="O139" s="8" t="s">
        <v>0</v>
      </c>
    </row>
    <row r="140" spans="1:21" x14ac:dyDescent="0.15">
      <c r="A140">
        <f>A112+1</f>
        <v>11105</v>
      </c>
      <c r="B140">
        <f>B112+10</f>
        <v>4050</v>
      </c>
      <c r="C140">
        <v>19</v>
      </c>
      <c r="D140">
        <f>MOD(B140,1000)</f>
        <v>50</v>
      </c>
      <c r="L140">
        <f>L112+1</f>
        <v>11105</v>
      </c>
      <c r="M140">
        <f>M112+10</f>
        <v>4050</v>
      </c>
      <c r="N140">
        <v>14</v>
      </c>
      <c r="O140">
        <f>MOD(M140,1000)</f>
        <v>50</v>
      </c>
    </row>
    <row r="141" spans="1:21" x14ac:dyDescent="0.15">
      <c r="A141" t="s">
        <v>156</v>
      </c>
      <c r="B141" t="s">
        <v>95</v>
      </c>
      <c r="C141" t="s">
        <v>177</v>
      </c>
      <c r="D141" t="s">
        <v>143</v>
      </c>
      <c r="E141" t="s">
        <v>182</v>
      </c>
      <c r="F141" t="s">
        <v>192</v>
      </c>
      <c r="G141" t="s">
        <v>193</v>
      </c>
      <c r="H141" t="s">
        <v>176</v>
      </c>
      <c r="I141" t="s">
        <v>205</v>
      </c>
      <c r="J141" t="s">
        <v>206</v>
      </c>
      <c r="L141" t="s">
        <v>156</v>
      </c>
      <c r="M141" t="s">
        <v>95</v>
      </c>
      <c r="N141" t="s">
        <v>177</v>
      </c>
      <c r="O141" t="s">
        <v>143</v>
      </c>
      <c r="P141" t="s">
        <v>182</v>
      </c>
      <c r="Q141" t="s">
        <v>192</v>
      </c>
      <c r="R141" t="s">
        <v>193</v>
      </c>
      <c r="S141" t="s">
        <v>176</v>
      </c>
      <c r="T141" t="s">
        <v>205</v>
      </c>
      <c r="U141" t="s">
        <v>206</v>
      </c>
    </row>
    <row r="142" spans="1:21" x14ac:dyDescent="0.15">
      <c r="A142">
        <v>12</v>
      </c>
      <c r="B142" t="s">
        <v>9</v>
      </c>
      <c r="C142">
        <f>C140-C146</f>
        <v>14</v>
      </c>
      <c r="D142">
        <f>VLOOKUP(A142,技能参数,4,FALSE)</f>
        <v>0.6</v>
      </c>
      <c r="E142">
        <f>VLOOKUP(A142*1000+D140,学习等级编码,2)</f>
        <v>1205</v>
      </c>
      <c r="F142">
        <f>INT(VLOOKUP($E142,技能升级,9,FALSE)*$C142*I142*J142)</f>
        <v>0</v>
      </c>
      <c r="G142">
        <f>INT(VLOOKUP($E142,技能升级,10,FALSE)*$C142*I142*J142)</f>
        <v>16531</v>
      </c>
      <c r="H142">
        <f>INT(VLOOKUP($E142,技能升级,11,FALSE)*$C142*I142*J142)</f>
        <v>2428</v>
      </c>
      <c r="I142">
        <v>1</v>
      </c>
      <c r="J142">
        <f>VLOOKUP(A140,$A$2:$I$21,7,FALSE)</f>
        <v>1.0449999999999999</v>
      </c>
      <c r="L142">
        <v>12</v>
      </c>
      <c r="M142" t="s">
        <v>9</v>
      </c>
      <c r="N142">
        <f>N140</f>
        <v>14</v>
      </c>
      <c r="O142">
        <f>VLOOKUP(L142,技能参数,4,FALSE)</f>
        <v>0.6</v>
      </c>
      <c r="P142">
        <f>VLOOKUP(L142*1000+O140,学习等级编码,2)</f>
        <v>1205</v>
      </c>
      <c r="Q142">
        <f>INT(VLOOKUP(P142,技能升级,9,FALSE)*N142*T142*U142)</f>
        <v>0</v>
      </c>
      <c r="R142">
        <f>INT(VLOOKUP(P142,技能升级,10,FALSE)*N142*T142*U142)</f>
        <v>16531</v>
      </c>
      <c r="S142">
        <f>INT(VLOOKUP(P142,技能升级,11,FALSE)*N142*T142*U142)</f>
        <v>2428</v>
      </c>
      <c r="T142">
        <v>1</v>
      </c>
      <c r="U142">
        <f>VLOOKUP(L140,$A$2:$I$21,7,FALSE)</f>
        <v>1.0449999999999999</v>
      </c>
    </row>
    <row r="143" spans="1:21" x14ac:dyDescent="0.15">
      <c r="A143">
        <v>15</v>
      </c>
      <c r="B143" t="s">
        <v>12</v>
      </c>
      <c r="C143">
        <v>1</v>
      </c>
      <c r="D143">
        <f>VLOOKUP(A143,技能参数,4,FALSE)</f>
        <v>1.5</v>
      </c>
      <c r="E143">
        <f>VLOOKUP(A143*1000+D140,学习等级编码,2)</f>
        <v>1503</v>
      </c>
      <c r="F143">
        <f>INT(VLOOKUP($E143,技能升级,9,FALSE)*$C143*I143*J143)</f>
        <v>0</v>
      </c>
      <c r="G143">
        <f>INT(VLOOKUP($E143,技能升级,10,FALSE)*$C143*I143*J143)</f>
        <v>0</v>
      </c>
      <c r="H143">
        <f>INT(VLOOKUP($E143,技能升级,11,FALSE)*$C143*I143*J143)</f>
        <v>0</v>
      </c>
      <c r="I143">
        <v>1</v>
      </c>
      <c r="J143">
        <v>1</v>
      </c>
      <c r="L143">
        <v>15</v>
      </c>
      <c r="M143" t="s">
        <v>12</v>
      </c>
      <c r="N143">
        <v>1</v>
      </c>
      <c r="O143">
        <f>VLOOKUP(L143,技能参数,4,FALSE)</f>
        <v>1.5</v>
      </c>
      <c r="P143">
        <f>VLOOKUP(L143*1000+O140,学习等级编码,2)</f>
        <v>1503</v>
      </c>
      <c r="Q143">
        <f>INT(VLOOKUP(P143,技能升级,9,FALSE)*N143*T143*U143)</f>
        <v>0</v>
      </c>
      <c r="R143">
        <f>INT(VLOOKUP(P143,技能升级,10,FALSE)*N143*T143*U143)</f>
        <v>0</v>
      </c>
      <c r="S143">
        <f>INT(VLOOKUP(P143,技能升级,11,FALSE)*N143*T143*U143)</f>
        <v>0</v>
      </c>
      <c r="T143">
        <v>1</v>
      </c>
      <c r="U143">
        <v>1</v>
      </c>
    </row>
    <row r="144" spans="1:21" x14ac:dyDescent="0.15">
      <c r="A144">
        <v>11</v>
      </c>
      <c r="B144" t="s">
        <v>94</v>
      </c>
      <c r="C144">
        <f>INT((C140-D142-D143-C146)/D144)</f>
        <v>11</v>
      </c>
      <c r="D144">
        <f>VLOOKUP(A144,技能参数,4,FALSE)</f>
        <v>1</v>
      </c>
      <c r="E144">
        <f>VLOOKUP(A144*1000+D140,学习等级编码,2)</f>
        <v>1108</v>
      </c>
      <c r="F144">
        <f>INT(VLOOKUP($E144,技能升级,9,FALSE)*$C144*I144*J144)</f>
        <v>13219</v>
      </c>
      <c r="G144">
        <f>INT(VLOOKUP($E144,技能升级,10,FALSE)*$C144*I144*J144)</f>
        <v>0</v>
      </c>
      <c r="H144">
        <f>INT(VLOOKUP($E144,技能升级,11,FALSE)*$C144*I144*J144)</f>
        <v>2517</v>
      </c>
      <c r="I144">
        <v>1</v>
      </c>
      <c r="J144">
        <f>VLOOKUP(A140,$A$2:$I$21,7,FALSE)</f>
        <v>1.0449999999999999</v>
      </c>
      <c r="L144">
        <v>11</v>
      </c>
      <c r="M144" t="s">
        <v>94</v>
      </c>
      <c r="N144">
        <f>INT((N140-O142-O143)/O144)</f>
        <v>11</v>
      </c>
      <c r="O144">
        <f>VLOOKUP(L144,技能参数,4,FALSE)</f>
        <v>1</v>
      </c>
      <c r="P144">
        <f>VLOOKUP(L144*1000+O140,学习等级编码,2)</f>
        <v>1108</v>
      </c>
      <c r="Q144">
        <f>INT(VLOOKUP(P144,技能升级,9,FALSE)*N144*T144*U144)</f>
        <v>13219</v>
      </c>
      <c r="R144">
        <f>INT(VLOOKUP(P144,技能升级,10,FALSE)*N144*T144*U144)</f>
        <v>0</v>
      </c>
      <c r="S144">
        <f>INT(VLOOKUP(P144,技能升级,11,FALSE)*N144*T144*U144)</f>
        <v>2517</v>
      </c>
      <c r="T144">
        <v>1</v>
      </c>
      <c r="U144">
        <f>VLOOKUP(L140,$A$2:$I$21,7,FALSE)</f>
        <v>1.0449999999999999</v>
      </c>
    </row>
    <row r="145" spans="1:21" x14ac:dyDescent="0.15">
      <c r="A145">
        <v>14</v>
      </c>
      <c r="B145" t="s">
        <v>11</v>
      </c>
      <c r="C145">
        <v>1</v>
      </c>
      <c r="D145">
        <v>0</v>
      </c>
      <c r="E145">
        <f>VLOOKUP(A145*1000+D140,学习等级编码,2)</f>
        <v>1405</v>
      </c>
      <c r="F145">
        <f>INT(VLOOKUP($E145,技能升级,9,FALSE)*$C145*I145*J145)</f>
        <v>0</v>
      </c>
      <c r="G145">
        <f>INT(VLOOKUP($E145,技能升级,10,FALSE)*$C145*I145*J145)</f>
        <v>0</v>
      </c>
      <c r="H145">
        <f>INT(VLOOKUP($E145,技能升级,11,FALSE)*$C145*I145*J145)</f>
        <v>0</v>
      </c>
      <c r="I145">
        <v>1</v>
      </c>
      <c r="J145">
        <v>1</v>
      </c>
      <c r="L145">
        <v>14</v>
      </c>
      <c r="M145" t="s">
        <v>11</v>
      </c>
      <c r="N145">
        <v>1</v>
      </c>
      <c r="O145">
        <v>0</v>
      </c>
      <c r="P145">
        <f>VLOOKUP(L145*1000+O140,学习等级编码,2)</f>
        <v>1405</v>
      </c>
      <c r="Q145">
        <f>INT(VLOOKUP(P145,技能升级,9,FALSE)*N145*T145*U145)</f>
        <v>0</v>
      </c>
      <c r="R145">
        <f>INT(VLOOKUP(P145,技能升级,10,FALSE)*N145*T145*U145)</f>
        <v>0</v>
      </c>
      <c r="S145">
        <f>INT(VLOOKUP(P145,技能升级,11,FALSE)*N145*T145*U145)</f>
        <v>0</v>
      </c>
      <c r="T145">
        <v>1</v>
      </c>
      <c r="U145">
        <v>1</v>
      </c>
    </row>
    <row r="146" spans="1:21" x14ac:dyDescent="0.15">
      <c r="B146" t="s">
        <v>437</v>
      </c>
      <c r="C146">
        <f>D156</f>
        <v>5</v>
      </c>
      <c r="P146" t="s">
        <v>194</v>
      </c>
      <c r="Q146">
        <f>SUM(Q142:Q144)/1000</f>
        <v>13.218999999999999</v>
      </c>
      <c r="R146">
        <f>SUM(R142:R144)/1000</f>
        <v>16.530999999999999</v>
      </c>
      <c r="S146">
        <f>SUM(S142:S144)</f>
        <v>4945</v>
      </c>
      <c r="T146" t="s">
        <v>196</v>
      </c>
      <c r="U146" t="s">
        <v>197</v>
      </c>
    </row>
    <row r="147" spans="1:21" x14ac:dyDescent="0.15">
      <c r="E147" t="s">
        <v>194</v>
      </c>
      <c r="F147">
        <f>SUM(F142:F144)/1000</f>
        <v>13.218999999999999</v>
      </c>
      <c r="G147">
        <f>SUM(G142:G144)/1000</f>
        <v>16.530999999999999</v>
      </c>
      <c r="H147">
        <f>SUM(H142:H144)</f>
        <v>4945</v>
      </c>
      <c r="I147" t="s">
        <v>196</v>
      </c>
      <c r="J147" t="s">
        <v>197</v>
      </c>
      <c r="P147" t="s">
        <v>195</v>
      </c>
      <c r="Q147">
        <f>INT((IF($A140&gt;10000,VLOOKUP($A140,实战属性,13,FALSE),VLOOKUP($A140,总基本属性,7,FALSE))-
IF($B140&gt;10000,VLOOKUP($B140,实战属性,15,FALSE),VLOOKUP($B140,总基本属性,9,FALSE))*$L$13)*Q146)</f>
        <v>18374</v>
      </c>
      <c r="R147">
        <f>INT((IF($A140&gt;10000,VLOOKUP($A140,实战属性,14,FALSE),VLOOKUP($A140,总基本属性,8,FALSE))-
IF($B140&gt;10000,VLOOKUP($B140,实战属性,16,FALSE),VLOOKUP($B140,总基本属性,10,FALSE))*$L$13)*R146)</f>
        <v>20977</v>
      </c>
      <c r="S147">
        <f>S146+Q147+R147</f>
        <v>44296</v>
      </c>
      <c r="T147">
        <f>IF($B140&gt;10000,VLOOKUP($B140,实战属性,12,FALSE),VLOOKUP($B140,总基本属性,6,FALSE))+T157</f>
        <v>45402</v>
      </c>
      <c r="U147">
        <f>ROUND(T147/S147,2)</f>
        <v>1.02</v>
      </c>
    </row>
    <row r="148" spans="1:21" x14ac:dyDescent="0.15">
      <c r="E148" t="s">
        <v>195</v>
      </c>
      <c r="F148">
        <f>INT((IF($A140&gt;10000,VLOOKUP($A140,实战属性,13,FALSE),VLOOKUP($A140,总基本属性,7,FALSE))-
IF($B140&gt;10000,VLOOKUP($B140,实战属性,15,FALSE),VLOOKUP($B140,总基本属性,9,FALSE))*$L$13)*F147)</f>
        <v>18374</v>
      </c>
      <c r="G148">
        <f>INT((IF($A140&gt;10000,VLOOKUP($A140,实战属性,14,FALSE),VLOOKUP($A140,总基本属性,8,FALSE))-
IF($B140&gt;10000,VLOOKUP($B140,实战属性,16,FALSE),VLOOKUP($B140,总基本属性,10,FALSE))*$L$13)*G147)</f>
        <v>20977</v>
      </c>
      <c r="H148">
        <f>H147+F148+G148</f>
        <v>44296</v>
      </c>
      <c r="I148">
        <f>IF($B140&gt;10000,VLOOKUP($B140,实战属性,12,FALSE),VLOOKUP($B140,总基本属性,6,FALSE))+I157</f>
        <v>45402</v>
      </c>
      <c r="J148">
        <f>ROUND(I148/H148,2)</f>
        <v>1.02</v>
      </c>
    </row>
    <row r="151" spans="1:21" x14ac:dyDescent="0.15">
      <c r="A151" s="9" t="s">
        <v>5</v>
      </c>
      <c r="B151" s="9" t="s">
        <v>2</v>
      </c>
      <c r="C151" s="9" t="s">
        <v>178</v>
      </c>
      <c r="D151" s="9" t="s">
        <v>0</v>
      </c>
      <c r="G151" t="s">
        <v>445</v>
      </c>
      <c r="H151">
        <f>INT(I162/J162/C152)</f>
        <v>5091</v>
      </c>
      <c r="I151" t="s">
        <v>446</v>
      </c>
      <c r="J151">
        <f>ROUND(I157/H151,1)</f>
        <v>0.8</v>
      </c>
      <c r="L151" s="9" t="s">
        <v>5</v>
      </c>
      <c r="M151" s="9" t="s">
        <v>2</v>
      </c>
      <c r="N151" s="9" t="s">
        <v>178</v>
      </c>
      <c r="O151" s="9" t="s">
        <v>0</v>
      </c>
      <c r="R151" t="s">
        <v>445</v>
      </c>
      <c r="S151">
        <f>INT(T162/U162/N152)</f>
        <v>4638</v>
      </c>
      <c r="T151" t="s">
        <v>446</v>
      </c>
      <c r="U151">
        <f>ROUND(T157/S151,1)</f>
        <v>0.8</v>
      </c>
    </row>
    <row r="152" spans="1:21" x14ac:dyDescent="0.15">
      <c r="A152">
        <f>A124+10</f>
        <v>4050</v>
      </c>
      <c r="B152">
        <f>B124+1</f>
        <v>11105</v>
      </c>
      <c r="C152">
        <v>15</v>
      </c>
      <c r="D152">
        <f>MOD(A152,1000)</f>
        <v>50</v>
      </c>
      <c r="G152" t="s">
        <v>447</v>
      </c>
      <c r="H152">
        <v>4</v>
      </c>
      <c r="I152" t="s">
        <v>383</v>
      </c>
      <c r="J152">
        <f>VLOOKUP(D152,召唤物生存,10)</f>
        <v>12.73</v>
      </c>
      <c r="L152">
        <f>L124+10</f>
        <v>4050</v>
      </c>
      <c r="M152">
        <f>M124+1</f>
        <v>11105</v>
      </c>
      <c r="N152">
        <v>16</v>
      </c>
      <c r="O152">
        <f>MOD(L152,1000)</f>
        <v>50</v>
      </c>
      <c r="R152" t="s">
        <v>447</v>
      </c>
      <c r="S152">
        <v>4</v>
      </c>
      <c r="T152" t="s">
        <v>383</v>
      </c>
      <c r="U152">
        <f>VLOOKUP(O152,召唤物生存,10)</f>
        <v>12.73</v>
      </c>
    </row>
    <row r="153" spans="1:21" x14ac:dyDescent="0.15">
      <c r="A153" t="s">
        <v>156</v>
      </c>
      <c r="B153" t="s">
        <v>95</v>
      </c>
      <c r="C153" t="s">
        <v>177</v>
      </c>
      <c r="D153" t="s">
        <v>143</v>
      </c>
      <c r="E153" t="s">
        <v>182</v>
      </c>
      <c r="F153" t="s">
        <v>192</v>
      </c>
      <c r="G153" t="s">
        <v>193</v>
      </c>
      <c r="H153" t="s">
        <v>176</v>
      </c>
      <c r="I153" t="s">
        <v>205</v>
      </c>
      <c r="J153" t="s">
        <v>206</v>
      </c>
      <c r="L153" t="s">
        <v>156</v>
      </c>
      <c r="M153" t="s">
        <v>95</v>
      </c>
      <c r="N153" t="s">
        <v>177</v>
      </c>
      <c r="O153" t="s">
        <v>143</v>
      </c>
      <c r="P153" t="s">
        <v>182</v>
      </c>
      <c r="Q153" t="s">
        <v>192</v>
      </c>
      <c r="R153" t="s">
        <v>193</v>
      </c>
      <c r="S153" t="s">
        <v>176</v>
      </c>
      <c r="T153" t="s">
        <v>205</v>
      </c>
      <c r="U153" t="s">
        <v>206</v>
      </c>
    </row>
    <row r="154" spans="1:21" x14ac:dyDescent="0.15">
      <c r="A154">
        <v>42</v>
      </c>
      <c r="B154" t="s">
        <v>35</v>
      </c>
      <c r="C154">
        <v>1</v>
      </c>
      <c r="D154">
        <f>VLOOKUP(A154,技能参数,4,FALSE)</f>
        <v>1</v>
      </c>
      <c r="E154">
        <f>IFERROR(VLOOKUP(A154*1000+D152,学习等级编码,2),0)</f>
        <v>4205</v>
      </c>
      <c r="F154">
        <f>IFERROR(INT(VLOOKUP($E154,技能升级,9,FALSE)*$C154*I154*J154),0)</f>
        <v>0</v>
      </c>
      <c r="G154">
        <f>IFERROR(INT(VLOOKUP($E154,技能升级,10,FALSE)*$C154*I154*J154),0)</f>
        <v>0</v>
      </c>
      <c r="H154">
        <f>INT(VLOOKUP($E154,技能升级,11,FALSE)*$C154*I154*J154)</f>
        <v>0</v>
      </c>
      <c r="I154">
        <v>1</v>
      </c>
      <c r="J154">
        <v>1</v>
      </c>
      <c r="L154">
        <v>42</v>
      </c>
      <c r="M154" t="s">
        <v>35</v>
      </c>
      <c r="N154">
        <v>1</v>
      </c>
      <c r="O154">
        <f>VLOOKUP(L154,技能参数,4,FALSE)</f>
        <v>1</v>
      </c>
      <c r="P154">
        <f>IFERROR(VLOOKUP(L154*1000+O152,学习等级编码,2),0)</f>
        <v>4205</v>
      </c>
      <c r="Q154">
        <f>IFERROR(INT(VLOOKUP(P154,技能升级,9,FALSE)*N154*T154*U154),0)</f>
        <v>0</v>
      </c>
      <c r="R154">
        <f>IFERROR(INT(VLOOKUP(P154,技能升级,10,FALSE)*N154*T154*U154),0)</f>
        <v>0</v>
      </c>
      <c r="S154">
        <f>INT(VLOOKUP(P154,技能升级,11,FALSE)*N154*T154*U154)</f>
        <v>0</v>
      </c>
      <c r="T154">
        <v>1</v>
      </c>
      <c r="U154">
        <v>1</v>
      </c>
    </row>
    <row r="155" spans="1:21" x14ac:dyDescent="0.15">
      <c r="A155">
        <v>43</v>
      </c>
      <c r="B155" t="s">
        <v>36</v>
      </c>
      <c r="C155">
        <v>1</v>
      </c>
      <c r="D155">
        <f>VLOOKUP(A155,技能参数,4,FALSE)</f>
        <v>1</v>
      </c>
      <c r="E155">
        <f>IFERROR(VLOOKUP(A155*1000+D152,学习等级编码,2),0)</f>
        <v>4305</v>
      </c>
      <c r="F155">
        <f t="shared" ref="F155" si="23">IFERROR(INT(VLOOKUP($E155,技能升级,9,FALSE)*$C155*I155*J155),0)</f>
        <v>0</v>
      </c>
      <c r="G155">
        <f t="shared" ref="G155" si="24">IFERROR(INT(VLOOKUP($E155,技能升级,10,FALSE)*$C155*I155*J155),0)</f>
        <v>0</v>
      </c>
      <c r="H155">
        <f>INT(VLOOKUP($E155,技能升级,11,FALSE)*$C155*I155*J155)</f>
        <v>0</v>
      </c>
      <c r="I155">
        <v>1</v>
      </c>
      <c r="J155">
        <v>1</v>
      </c>
      <c r="L155">
        <v>43</v>
      </c>
      <c r="M155" t="s">
        <v>36</v>
      </c>
      <c r="N155">
        <v>1</v>
      </c>
      <c r="O155">
        <f>VLOOKUP(L155,技能参数,4,FALSE)</f>
        <v>1</v>
      </c>
      <c r="P155">
        <f>IFERROR(VLOOKUP(L155*1000+O152,学习等级编码,2),0)</f>
        <v>4305</v>
      </c>
      <c r="Q155">
        <f>IFERROR(INT(VLOOKUP(P155,技能升级,9,FALSE)*N155*T155*U155),0)</f>
        <v>0</v>
      </c>
      <c r="R155">
        <f>IFERROR(INT(VLOOKUP(P155,技能升级,10,FALSE)*N155*T155*U155),0)</f>
        <v>0</v>
      </c>
      <c r="S155">
        <f>INT(VLOOKUP(P155,技能升级,11,FALSE)*N155*T155*U155)</f>
        <v>0</v>
      </c>
      <c r="T155">
        <v>1</v>
      </c>
      <c r="U155">
        <v>1</v>
      </c>
    </row>
    <row r="156" spans="1:21" x14ac:dyDescent="0.15">
      <c r="A156">
        <v>44</v>
      </c>
      <c r="B156" t="s">
        <v>38</v>
      </c>
      <c r="C156">
        <v>1</v>
      </c>
      <c r="D156">
        <f>IFERROR(INT(VLOOKUP($E156,技能升级,13,FALSE)),0)</f>
        <v>5</v>
      </c>
      <c r="E156">
        <f>IFERROR(VLOOKUP(A156*1000+D152,学习等级编码,2),0)</f>
        <v>4405</v>
      </c>
      <c r="F156">
        <f>IFERROR(INT(VLOOKUP($E156,技能升级,9,FALSE)*$C156*I156*J156),0)</f>
        <v>0</v>
      </c>
      <c r="G156">
        <f>IFERROR(INT(VLOOKUP($E156,技能升级,10,FALSE)*$D156*I156*J156),0)</f>
        <v>8850</v>
      </c>
      <c r="H156">
        <f>INT(VLOOKUP($E156,技能升级,11,FALSE)*$D156*I156*J156)</f>
        <v>975</v>
      </c>
      <c r="I156">
        <v>1</v>
      </c>
      <c r="J156">
        <f>VLOOKUP(A152,$A$2:$I$21,8,FALSE)</f>
        <v>1</v>
      </c>
      <c r="L156">
        <v>44</v>
      </c>
      <c r="M156" t="s">
        <v>38</v>
      </c>
      <c r="N156">
        <v>0</v>
      </c>
      <c r="O156">
        <v>0</v>
      </c>
      <c r="P156">
        <f>IFERROR(VLOOKUP(L156*1000+O152,学习等级编码,2),0)</f>
        <v>4405</v>
      </c>
      <c r="Q156">
        <f>IFERROR(INT(VLOOKUP(P156,技能升级,9,FALSE)*N156*T156*U156),0)</f>
        <v>0</v>
      </c>
      <c r="R156">
        <f>IFERROR(INT(VLOOKUP(P156,技能升级,10,FALSE)*N156*T156*U156),0)</f>
        <v>0</v>
      </c>
      <c r="S156">
        <f>INT(VLOOKUP(P156,技能升级,11,FALSE)*N156*T156*U156)</f>
        <v>0</v>
      </c>
      <c r="T156">
        <v>1</v>
      </c>
      <c r="U156">
        <f>VLOOKUP(L152,$A$2:$I$21,8,FALSE)</f>
        <v>1</v>
      </c>
    </row>
    <row r="157" spans="1:21" x14ac:dyDescent="0.15">
      <c r="A157">
        <v>45</v>
      </c>
      <c r="B157" t="s">
        <v>37</v>
      </c>
      <c r="C157">
        <v>1</v>
      </c>
      <c r="D157">
        <f>VLOOKUP(A157,技能参数,4,FALSE)</f>
        <v>2</v>
      </c>
      <c r="E157">
        <f>IFERROR(VLOOKUP(A157*1000+D152,学习等级编码,2),0)</f>
        <v>4503</v>
      </c>
      <c r="F157">
        <f>IFERROR(INT(VLOOKUP($E157,技能升级,9,FALSE)*$C157*I157*J157),0)</f>
        <v>0</v>
      </c>
      <c r="G157">
        <f t="shared" ref="G157:G158" si="25">IFERROR(INT(VLOOKUP($E157,技能升级,10,FALSE)*$C157*I157*J157),0)</f>
        <v>0</v>
      </c>
      <c r="H157">
        <f>INT(VLOOKUP($E157,技能升级,11,FALSE)*$C157*I157*J157)</f>
        <v>0</v>
      </c>
      <c r="I157">
        <f>INT(VLOOKUP($E157,技能升级,13,FALSE)*$C157)</f>
        <v>3822</v>
      </c>
      <c r="J157">
        <v>1</v>
      </c>
      <c r="L157">
        <v>45</v>
      </c>
      <c r="M157" t="s">
        <v>37</v>
      </c>
      <c r="N157">
        <v>1</v>
      </c>
      <c r="O157">
        <f>VLOOKUP(L157,技能参数,4,FALSE)</f>
        <v>2</v>
      </c>
      <c r="P157">
        <f>IFERROR(VLOOKUP(L157*1000+O152,学习等级编码,2),0)</f>
        <v>4503</v>
      </c>
      <c r="Q157">
        <f>IFERROR(INT(VLOOKUP(P157,技能升级,9,FALSE)*N157*T157*U157),0)</f>
        <v>0</v>
      </c>
      <c r="R157">
        <f>IFERROR(INT(VLOOKUP(P157,技能升级,10,FALSE)*N157*T157*U157),0)</f>
        <v>0</v>
      </c>
      <c r="S157">
        <f>INT(VLOOKUP(P157,技能升级,11,FALSE)*N157*T157*U157)</f>
        <v>0</v>
      </c>
      <c r="T157">
        <f>INT(VLOOKUP($E157,技能升级,13,FALSE)*$C157)</f>
        <v>3822</v>
      </c>
      <c r="U157">
        <v>1</v>
      </c>
    </row>
    <row r="158" spans="1:21" x14ac:dyDescent="0.15">
      <c r="A158">
        <v>41</v>
      </c>
      <c r="B158" t="s">
        <v>361</v>
      </c>
      <c r="C158">
        <f>IF(INT((C152-C154*D154-C155*D155-C156*D156-C157*D157)/D158)&gt;0,INT((C152-C154*D154-C155*D155-C156*D156-C157*D157)/D158),0)</f>
        <v>5</v>
      </c>
      <c r="D158">
        <f>VLOOKUP(A158,技能参数,4,FALSE)</f>
        <v>1.2</v>
      </c>
      <c r="E158">
        <f>IFERROR(VLOOKUP(A158*1000+D152,学习等级编码,2),0)</f>
        <v>4108</v>
      </c>
      <c r="F158">
        <f>IFERROR(INT(VLOOKUP($E158,技能升级,9,FALSE)*$C158*I158*J158),0)</f>
        <v>0</v>
      </c>
      <c r="G158">
        <f t="shared" si="25"/>
        <v>6500</v>
      </c>
      <c r="H158">
        <f>INT(VLOOKUP($E158,技能升级,11,FALSE)*$C158*I158*J158)</f>
        <v>1095</v>
      </c>
      <c r="I158">
        <v>1</v>
      </c>
      <c r="J158">
        <f>VLOOKUP(A124,$A$2:$I$21,8,FALSE)</f>
        <v>1</v>
      </c>
      <c r="L158">
        <v>41</v>
      </c>
      <c r="M158" t="s">
        <v>361</v>
      </c>
      <c r="N158">
        <f>IF(INT((N152-N154*O154-N155*O155-N156*O156-N157*O157)/O158)&gt;0,INT((N152-N154*O154-N155*O155-N156*O156-N157*O157)/O158),0)</f>
        <v>10</v>
      </c>
      <c r="O158">
        <f>VLOOKUP(L158,技能参数,4,FALSE)</f>
        <v>1.2</v>
      </c>
      <c r="P158">
        <f>IFERROR(VLOOKUP(L158*1000+O152,学习等级编码,2),0)</f>
        <v>4108</v>
      </c>
      <c r="Q158">
        <f>IFERROR(INT(VLOOKUP(P158,技能升级,9,FALSE)*N158*T158*U158),0)</f>
        <v>0</v>
      </c>
      <c r="R158">
        <f>IFERROR(INT(VLOOKUP(P158,技能升级,10,FALSE)*N158*T158*U158),0)</f>
        <v>13000</v>
      </c>
      <c r="S158">
        <f>INT(VLOOKUP(P158,技能升级,11,FALSE)*N158*T158*U158)</f>
        <v>2190</v>
      </c>
      <c r="T158">
        <v>1</v>
      </c>
      <c r="U158">
        <f>VLOOKUP(A124,$A$2:$I$21,8,FALSE)</f>
        <v>1</v>
      </c>
    </row>
    <row r="159" spans="1:21" x14ac:dyDescent="0.15">
      <c r="A159">
        <f>VLOOKUP(E154,技能升级,13,FALSE)</f>
        <v>105</v>
      </c>
      <c r="B159" t="s">
        <v>375</v>
      </c>
      <c r="C159">
        <f>IF(C152&lt;J152,C152+C152-H152,IF(C152&gt;J152+H152,J152+J152,J152+C152-H152))</f>
        <v>23.73</v>
      </c>
      <c r="G159">
        <f>INT((VLOOKUP(A159,召唤物属性,7,FALSE)-
IF($B152&gt;10000,VLOOKUP($B152,实战属性,15,FALSE),VLOOKUP($B152,总基本属性,9,FALSE))*$L$13)*I159*J159)</f>
        <v>1070</v>
      </c>
      <c r="I159">
        <f>VLOOKUP($E154,技能升级,14,FALSE)</f>
        <v>2</v>
      </c>
      <c r="J159">
        <v>1</v>
      </c>
      <c r="L159">
        <f>VLOOKUP(P154,技能升级,13,FALSE)</f>
        <v>105</v>
      </c>
      <c r="M159" t="s">
        <v>375</v>
      </c>
      <c r="N159">
        <f>IF(N152&lt;U152,N152+N152-S152,IF(N152&gt;U152+S152,U152+U152,U152+N152-S152))</f>
        <v>24.73</v>
      </c>
      <c r="R159">
        <f>INT((VLOOKUP(L159,召唤物属性,7,FALSE)-
IF($B152&gt;10000,VLOOKUP($B152,实战属性,15,FALSE),VLOOKUP($B152,总基本属性,9,FALSE))*$L$13)*T159*U159)</f>
        <v>1070</v>
      </c>
      <c r="T159">
        <f>VLOOKUP($E154,技能升级,14,FALSE)</f>
        <v>2</v>
      </c>
      <c r="U159">
        <v>1</v>
      </c>
    </row>
    <row r="160" spans="1:21" x14ac:dyDescent="0.15">
      <c r="A160">
        <f>VLOOKUP(E155,技能升级,13,FALSE)</f>
        <v>205</v>
      </c>
      <c r="B160" t="s">
        <v>374</v>
      </c>
      <c r="C160">
        <f>IF(C152&lt;J152,C152+C152-H152,IF(C152&gt;J152+H152,J152+J152,J152+C152-H152))</f>
        <v>23.73</v>
      </c>
      <c r="F160">
        <f>INT((VLOOKUP(A160,召唤物属性,6,FALSE)-
IF($B152&gt;10000,VLOOKUP($B152,实战属性,15,FALSE),VLOOKUP($B152,总基本属性,9,FALSE))*$L$13)*I160*J160)</f>
        <v>1213</v>
      </c>
      <c r="I160">
        <f>VLOOKUP($E155,技能升级,14,FALSE)</f>
        <v>3</v>
      </c>
      <c r="J160">
        <f>VLOOKUP(A152,$A$2:$I$21,9,FALSE)</f>
        <v>0.93</v>
      </c>
      <c r="L160">
        <f>VLOOKUP(P155,技能升级,13,FALSE)</f>
        <v>205</v>
      </c>
      <c r="M160" t="s">
        <v>374</v>
      </c>
      <c r="N160">
        <f>IF(N152&lt;U152,N152+N152-S152,IF(N152&gt;U152+S152,U152+U152,U152+N152-S152))</f>
        <v>24.73</v>
      </c>
      <c r="Q160">
        <f>INT((VLOOKUP(L160,召唤物属性,6,FALSE)-
IF($B152&gt;10000,VLOOKUP($B152,实战属性,15,FALSE),VLOOKUP($B152,总基本属性,9,FALSE))*$L$13)*T160*U160)</f>
        <v>1213</v>
      </c>
      <c r="T160">
        <f>VLOOKUP($E155,技能升级,14,FALSE)</f>
        <v>3</v>
      </c>
      <c r="U160">
        <f>VLOOKUP(L152,$A$2:$I$21,9,FALSE)</f>
        <v>0.93</v>
      </c>
    </row>
    <row r="161" spans="1:21" x14ac:dyDescent="0.15">
      <c r="E161" t="s">
        <v>194</v>
      </c>
      <c r="F161">
        <f>SUM(F154:F158)/1000</f>
        <v>0</v>
      </c>
      <c r="G161">
        <f>SUM(G154:G158)/1000</f>
        <v>15.35</v>
      </c>
      <c r="H161">
        <f>SUM(H154:H157)</f>
        <v>975</v>
      </c>
      <c r="I161" t="s">
        <v>196</v>
      </c>
      <c r="J161" t="s">
        <v>197</v>
      </c>
      <c r="P161" t="s">
        <v>194</v>
      </c>
      <c r="Q161">
        <f>SUM(Q154:Q158)/1000</f>
        <v>0</v>
      </c>
      <c r="R161">
        <f>SUM(R154:R158)/1000</f>
        <v>13</v>
      </c>
      <c r="S161">
        <f>SUM(S154:S157)</f>
        <v>0</v>
      </c>
      <c r="T161" t="s">
        <v>196</v>
      </c>
      <c r="U161" t="s">
        <v>197</v>
      </c>
    </row>
    <row r="162" spans="1:21" x14ac:dyDescent="0.15">
      <c r="E162" t="s">
        <v>195</v>
      </c>
      <c r="F162">
        <f>INT((IF($A152&gt;10000,VLOOKUP($A152,实战属性,13,FALSE),VLOOKUP($A152,总基本属性,7,FALSE))-
IF($B152&gt;10000,VLOOKUP($B152,实战属性,15,FALSE),VLOOKUP($B152,总基本属性,9,FALSE))*$L$13)*F161)</f>
        <v>0</v>
      </c>
      <c r="G162">
        <f>INT((IF($A152&gt;10000,VLOOKUP($A152,实战属性,14,FALSE),VLOOKUP($A152,总基本属性,8,FALSE))-
IF($B152&gt;10000,VLOOKUP($B152,实战属性,16,FALSE),VLOOKUP($B152,总基本属性,10,FALSE))*$L$13)*G161)</f>
        <v>21029</v>
      </c>
      <c r="H162">
        <f>H161+F162+G162</f>
        <v>22004</v>
      </c>
      <c r="I162">
        <f>IF($B152&gt;10000,VLOOKUP($B152,实战属性,12,FALSE),VLOOKUP($B152,总基本属性,6,FALSE))</f>
        <v>78666</v>
      </c>
      <c r="J162">
        <f>ROUND(I162/H163,2)</f>
        <v>1.03</v>
      </c>
      <c r="P162" t="s">
        <v>195</v>
      </c>
      <c r="Q162">
        <f>INT((IF($A152&gt;10000,VLOOKUP($A152,实战属性,13,FALSE),VLOOKUP($A152,总基本属性,7,FALSE))-
IF($B152&gt;10000,VLOOKUP($B152,实战属性,15,FALSE),VLOOKUP($B152,总基本属性,9,FALSE))*$L$13)*Q161)</f>
        <v>0</v>
      </c>
      <c r="R162">
        <f>INT((IF($A152&gt;10000,VLOOKUP($A152,实战属性,14,FALSE),VLOOKUP($A152,总基本属性,8,FALSE))-
IF($B152&gt;10000,VLOOKUP($B152,实战属性,16,FALSE),VLOOKUP($B152,总基本属性,10,FALSE))*$L$13)*R161)</f>
        <v>17810</v>
      </c>
      <c r="S162">
        <f>S161+Q162+R162</f>
        <v>17810</v>
      </c>
      <c r="T162">
        <f>IF($B152&gt;10000,VLOOKUP($B152,实战属性,12,FALSE),VLOOKUP($B152,总基本属性,6,FALSE))</f>
        <v>78666</v>
      </c>
      <c r="U162">
        <f>ROUND(T162/S163,2)</f>
        <v>1.06</v>
      </c>
    </row>
    <row r="163" spans="1:21" x14ac:dyDescent="0.15">
      <c r="E163" t="s">
        <v>376</v>
      </c>
      <c r="F163">
        <f>INT(F160*C160)</f>
        <v>28784</v>
      </c>
      <c r="G163">
        <f>INT(G159*C159)</f>
        <v>25391</v>
      </c>
      <c r="H163">
        <f>F163+G163+H162</f>
        <v>76179</v>
      </c>
      <c r="P163" t="s">
        <v>376</v>
      </c>
      <c r="Q163">
        <f>INT(Q160*N160)</f>
        <v>29997</v>
      </c>
      <c r="R163">
        <f>INT(R159*N159)</f>
        <v>26461</v>
      </c>
      <c r="S163">
        <f>Q163+R163+S162</f>
        <v>74268</v>
      </c>
    </row>
    <row r="167" spans="1:21" x14ac:dyDescent="0.15">
      <c r="A167" s="8" t="s">
        <v>2</v>
      </c>
      <c r="B167" s="8" t="s">
        <v>5</v>
      </c>
      <c r="C167" s="8" t="s">
        <v>178</v>
      </c>
      <c r="D167" s="8" t="s">
        <v>0</v>
      </c>
      <c r="L167" s="8" t="s">
        <v>2</v>
      </c>
      <c r="M167" s="8" t="s">
        <v>5</v>
      </c>
      <c r="N167" s="8" t="s">
        <v>178</v>
      </c>
      <c r="O167" s="8" t="s">
        <v>0</v>
      </c>
    </row>
    <row r="168" spans="1:21" x14ac:dyDescent="0.15">
      <c r="A168">
        <f>A140+1</f>
        <v>11106</v>
      </c>
      <c r="B168">
        <f>B140+10</f>
        <v>4060</v>
      </c>
      <c r="C168">
        <v>20</v>
      </c>
      <c r="D168">
        <f>MOD(B168,1000)</f>
        <v>60</v>
      </c>
      <c r="L168">
        <f>L140+1</f>
        <v>11106</v>
      </c>
      <c r="M168">
        <f>M140+10</f>
        <v>4060</v>
      </c>
      <c r="N168">
        <v>15</v>
      </c>
      <c r="O168">
        <f>MOD(M168,1000)</f>
        <v>60</v>
      </c>
    </row>
    <row r="169" spans="1:21" x14ac:dyDescent="0.15">
      <c r="A169" t="s">
        <v>156</v>
      </c>
      <c r="B169" t="s">
        <v>95</v>
      </c>
      <c r="C169" t="s">
        <v>177</v>
      </c>
      <c r="D169" t="s">
        <v>143</v>
      </c>
      <c r="E169" t="s">
        <v>182</v>
      </c>
      <c r="F169" t="s">
        <v>192</v>
      </c>
      <c r="G169" t="s">
        <v>193</v>
      </c>
      <c r="H169" t="s">
        <v>176</v>
      </c>
      <c r="I169" t="s">
        <v>205</v>
      </c>
      <c r="J169" t="s">
        <v>206</v>
      </c>
      <c r="L169" t="s">
        <v>156</v>
      </c>
      <c r="M169" t="s">
        <v>95</v>
      </c>
      <c r="N169" t="s">
        <v>177</v>
      </c>
      <c r="O169" t="s">
        <v>143</v>
      </c>
      <c r="P169" t="s">
        <v>182</v>
      </c>
      <c r="Q169" t="s">
        <v>192</v>
      </c>
      <c r="R169" t="s">
        <v>193</v>
      </c>
      <c r="S169" t="s">
        <v>176</v>
      </c>
      <c r="T169" t="s">
        <v>205</v>
      </c>
      <c r="U169" t="s">
        <v>206</v>
      </c>
    </row>
    <row r="170" spans="1:21" x14ac:dyDescent="0.15">
      <c r="A170">
        <v>12</v>
      </c>
      <c r="B170" t="s">
        <v>9</v>
      </c>
      <c r="C170">
        <f>C168-C174</f>
        <v>15</v>
      </c>
      <c r="D170">
        <f>VLOOKUP(A170,技能参数,4,FALSE)</f>
        <v>0.6</v>
      </c>
      <c r="E170">
        <f>VLOOKUP(A170*1000+D168,学习等级编码,2)</f>
        <v>1206</v>
      </c>
      <c r="F170">
        <f>INT(VLOOKUP($E170,技能升级,9,FALSE)*$C170*I170*J170)</f>
        <v>0</v>
      </c>
      <c r="G170">
        <f>INT(VLOOKUP($E170,技能升级,10,FALSE)*$C170*I170*J170)</f>
        <v>18778</v>
      </c>
      <c r="H170">
        <f>INT(VLOOKUP($E170,技能升级,11,FALSE)*$C170*I170*J170)</f>
        <v>3852</v>
      </c>
      <c r="I170">
        <v>1</v>
      </c>
      <c r="J170">
        <f>VLOOKUP(A168,$A$2:$I$21,7,FALSE)</f>
        <v>1.0699999999999998</v>
      </c>
      <c r="L170">
        <v>12</v>
      </c>
      <c r="M170" t="s">
        <v>9</v>
      </c>
      <c r="N170">
        <f>N168</f>
        <v>15</v>
      </c>
      <c r="O170">
        <f>VLOOKUP(L170,技能参数,4,FALSE)</f>
        <v>0.6</v>
      </c>
      <c r="P170">
        <f>VLOOKUP(L170*1000+O168,学习等级编码,2)</f>
        <v>1206</v>
      </c>
      <c r="Q170">
        <f>INT(VLOOKUP(P170,技能升级,9,FALSE)*N170*T170*U170)</f>
        <v>0</v>
      </c>
      <c r="R170">
        <f>INT(VLOOKUP(P170,技能升级,10,FALSE)*N170*T170*U170)</f>
        <v>18778</v>
      </c>
      <c r="S170">
        <f>INT(VLOOKUP(P170,技能升级,11,FALSE)*N170*T170*U170)</f>
        <v>3852</v>
      </c>
      <c r="T170">
        <v>1</v>
      </c>
      <c r="U170">
        <f>VLOOKUP(L168,$A$2:$I$21,7,FALSE)</f>
        <v>1.0699999999999998</v>
      </c>
    </row>
    <row r="171" spans="1:21" x14ac:dyDescent="0.15">
      <c r="A171">
        <v>15</v>
      </c>
      <c r="B171" t="s">
        <v>12</v>
      </c>
      <c r="C171">
        <v>1</v>
      </c>
      <c r="D171">
        <f>VLOOKUP(A171,技能参数,4,FALSE)</f>
        <v>1.5</v>
      </c>
      <c r="E171">
        <f>VLOOKUP(A171*1000+D168,学习等级编码,2)</f>
        <v>1504</v>
      </c>
      <c r="F171">
        <f>INT(VLOOKUP($E171,技能升级,9,FALSE)*$C171*I171*J171)</f>
        <v>0</v>
      </c>
      <c r="G171">
        <f>INT(VLOOKUP($E171,技能升级,10,FALSE)*$C171*I171*J171)</f>
        <v>0</v>
      </c>
      <c r="H171">
        <f>INT(VLOOKUP($E171,技能升级,11,FALSE)*$C171*I171*J171)</f>
        <v>0</v>
      </c>
      <c r="I171">
        <v>1</v>
      </c>
      <c r="J171">
        <v>1</v>
      </c>
      <c r="L171">
        <v>15</v>
      </c>
      <c r="M171" t="s">
        <v>12</v>
      </c>
      <c r="N171">
        <v>1</v>
      </c>
      <c r="O171">
        <f>VLOOKUP(L171,技能参数,4,FALSE)</f>
        <v>1.5</v>
      </c>
      <c r="P171">
        <f>VLOOKUP(L171*1000+O168,学习等级编码,2)</f>
        <v>1504</v>
      </c>
      <c r="Q171">
        <f>INT(VLOOKUP(P171,技能升级,9,FALSE)*N171*T171*U171)</f>
        <v>0</v>
      </c>
      <c r="R171">
        <f>INT(VLOOKUP(P171,技能升级,10,FALSE)*N171*T171*U171)</f>
        <v>0</v>
      </c>
      <c r="S171">
        <f>INT(VLOOKUP(P171,技能升级,11,FALSE)*N171*T171*U171)</f>
        <v>0</v>
      </c>
      <c r="T171">
        <v>1</v>
      </c>
      <c r="U171">
        <v>1</v>
      </c>
    </row>
    <row r="172" spans="1:21" x14ac:dyDescent="0.15">
      <c r="A172">
        <v>11</v>
      </c>
      <c r="B172" t="s">
        <v>94</v>
      </c>
      <c r="C172">
        <f>INT((C168-D170-D171-C174)/D172)</f>
        <v>12</v>
      </c>
      <c r="D172">
        <f>VLOOKUP(A172,技能参数,4,FALSE)</f>
        <v>1</v>
      </c>
      <c r="E172">
        <f>VLOOKUP(A172*1000+D168,学习等级编码,2)</f>
        <v>1109</v>
      </c>
      <c r="F172">
        <f>INT(VLOOKUP($E172,技能升级,9,FALSE)*$C172*I172*J172)</f>
        <v>15022</v>
      </c>
      <c r="G172">
        <f>INT(VLOOKUP($E172,技能升级,10,FALSE)*$C172*I172*J172)</f>
        <v>0</v>
      </c>
      <c r="H172">
        <f>INT(VLOOKUP($E172,技能升级,11,FALSE)*$C172*I172*J172)</f>
        <v>3466</v>
      </c>
      <c r="I172">
        <v>1</v>
      </c>
      <c r="J172">
        <f>VLOOKUP(A168,$A$2:$I$21,7,FALSE)</f>
        <v>1.0699999999999998</v>
      </c>
      <c r="L172">
        <v>11</v>
      </c>
      <c r="M172" t="s">
        <v>94</v>
      </c>
      <c r="N172">
        <f>INT((N168-O170-O171)/O172)</f>
        <v>12</v>
      </c>
      <c r="O172">
        <f>VLOOKUP(L172,技能参数,4,FALSE)</f>
        <v>1</v>
      </c>
      <c r="P172">
        <f>VLOOKUP(L172*1000+O168,学习等级编码,2)</f>
        <v>1109</v>
      </c>
      <c r="Q172">
        <f>INT(VLOOKUP(P172,技能升级,9,FALSE)*N172*T172*U172)</f>
        <v>15022</v>
      </c>
      <c r="R172">
        <f>INT(VLOOKUP(P172,技能升级,10,FALSE)*N172*T172*U172)</f>
        <v>0</v>
      </c>
      <c r="S172">
        <f>INT(VLOOKUP(P172,技能升级,11,FALSE)*N172*T172*U172)</f>
        <v>3466</v>
      </c>
      <c r="T172">
        <v>1</v>
      </c>
      <c r="U172">
        <f>VLOOKUP(L168,$A$2:$I$21,7,FALSE)</f>
        <v>1.0699999999999998</v>
      </c>
    </row>
    <row r="173" spans="1:21" x14ac:dyDescent="0.15">
      <c r="A173">
        <v>14</v>
      </c>
      <c r="B173" t="s">
        <v>11</v>
      </c>
      <c r="C173">
        <v>1</v>
      </c>
      <c r="D173">
        <v>0</v>
      </c>
      <c r="E173">
        <f>VLOOKUP(A173*1000+D168,学习等级编码,2)</f>
        <v>1406</v>
      </c>
      <c r="F173">
        <f>INT(VLOOKUP($E173,技能升级,9,FALSE)*$C173*I173*J173)</f>
        <v>0</v>
      </c>
      <c r="G173">
        <f>INT(VLOOKUP($E173,技能升级,10,FALSE)*$C173*I173*J173)</f>
        <v>0</v>
      </c>
      <c r="H173">
        <f>INT(VLOOKUP($E173,技能升级,11,FALSE)*$C173*I173*J173)</f>
        <v>0</v>
      </c>
      <c r="I173">
        <v>1</v>
      </c>
      <c r="J173">
        <v>1</v>
      </c>
      <c r="L173">
        <v>14</v>
      </c>
      <c r="M173" t="s">
        <v>11</v>
      </c>
      <c r="N173">
        <v>1</v>
      </c>
      <c r="O173">
        <v>0</v>
      </c>
      <c r="P173">
        <f>VLOOKUP(L173*1000+O168,学习等级编码,2)</f>
        <v>1406</v>
      </c>
      <c r="Q173">
        <f>INT(VLOOKUP(P173,技能升级,9,FALSE)*N173*T173*U173)</f>
        <v>0</v>
      </c>
      <c r="R173">
        <f>INT(VLOOKUP(P173,技能升级,10,FALSE)*N173*T173*U173)</f>
        <v>0</v>
      </c>
      <c r="S173">
        <f>INT(VLOOKUP(P173,技能升级,11,FALSE)*N173*T173*U173)</f>
        <v>0</v>
      </c>
      <c r="T173">
        <v>1</v>
      </c>
      <c r="U173">
        <v>1</v>
      </c>
    </row>
    <row r="174" spans="1:21" x14ac:dyDescent="0.15">
      <c r="B174" t="s">
        <v>437</v>
      </c>
      <c r="C174">
        <f>D184</f>
        <v>5</v>
      </c>
      <c r="P174" t="s">
        <v>194</v>
      </c>
      <c r="Q174">
        <f>SUM(Q170:Q172)/1000</f>
        <v>15.022</v>
      </c>
      <c r="R174">
        <f>SUM(R170:R172)/1000</f>
        <v>18.777999999999999</v>
      </c>
      <c r="S174">
        <f>SUM(S170:S172)</f>
        <v>7318</v>
      </c>
      <c r="T174" t="s">
        <v>196</v>
      </c>
      <c r="U174" t="s">
        <v>197</v>
      </c>
    </row>
    <row r="175" spans="1:21" x14ac:dyDescent="0.15">
      <c r="E175" t="s">
        <v>194</v>
      </c>
      <c r="F175">
        <f>SUM(F170:F172)/1000</f>
        <v>15.022</v>
      </c>
      <c r="G175">
        <f>SUM(G170:G172)/1000</f>
        <v>18.777999999999999</v>
      </c>
      <c r="H175">
        <f>SUM(H170:H172)</f>
        <v>7318</v>
      </c>
      <c r="I175" t="s">
        <v>196</v>
      </c>
      <c r="J175" t="s">
        <v>197</v>
      </c>
      <c r="P175" t="s">
        <v>195</v>
      </c>
      <c r="Q175">
        <f>INT((IF($A168&gt;10000,VLOOKUP($A168,实战属性,13,FALSE),VLOOKUP($A168,总基本属性,7,FALSE))-
IF($B168&gt;10000,VLOOKUP($B168,实战属性,15,FALSE),VLOOKUP($B168,总基本属性,9,FALSE))*$L$13)*Q174)</f>
        <v>29428</v>
      </c>
      <c r="R175">
        <f>INT((IF($A168&gt;10000,VLOOKUP($A168,实战属性,14,FALSE),VLOOKUP($A168,总基本属性,8,FALSE))-
IF($B168&gt;10000,VLOOKUP($B168,实战属性,16,FALSE),VLOOKUP($B168,总基本属性,10,FALSE))*$L$13)*R174)</f>
        <v>30101</v>
      </c>
      <c r="S175">
        <f>S174+Q175+R175</f>
        <v>66847</v>
      </c>
      <c r="T175">
        <f>IF($B168&gt;10000,VLOOKUP($B168,实战属性,12,FALSE),VLOOKUP($B168,总基本属性,6,FALSE))+T185</f>
        <v>67776</v>
      </c>
      <c r="U175">
        <f>ROUND(T175/S175,2)</f>
        <v>1.01</v>
      </c>
    </row>
    <row r="176" spans="1:21" x14ac:dyDescent="0.15">
      <c r="E176" t="s">
        <v>195</v>
      </c>
      <c r="F176">
        <f>INT((IF($A168&gt;10000,VLOOKUP($A168,实战属性,13,FALSE),VLOOKUP($A168,总基本属性,7,FALSE))-
IF($B168&gt;10000,VLOOKUP($B168,实战属性,15,FALSE),VLOOKUP($B168,总基本属性,9,FALSE))*$L$13)*F175)</f>
        <v>29428</v>
      </c>
      <c r="G176">
        <f>INT((IF($A168&gt;10000,VLOOKUP($A168,实战属性,14,FALSE),VLOOKUP($A168,总基本属性,8,FALSE))-
IF($B168&gt;10000,VLOOKUP($B168,实战属性,16,FALSE),VLOOKUP($B168,总基本属性,10,FALSE))*$L$13)*G175)</f>
        <v>30101</v>
      </c>
      <c r="H176">
        <f>H175+F176+G176</f>
        <v>66847</v>
      </c>
      <c r="I176">
        <f>IF($B168&gt;10000,VLOOKUP($B168,实战属性,12,FALSE),VLOOKUP($B168,总基本属性,6,FALSE))+I185</f>
        <v>67776</v>
      </c>
      <c r="J176">
        <f>ROUND(I176/H176,2)</f>
        <v>1.01</v>
      </c>
    </row>
    <row r="179" spans="1:21" x14ac:dyDescent="0.15">
      <c r="A179" s="9" t="s">
        <v>5</v>
      </c>
      <c r="B179" s="9" t="s">
        <v>2</v>
      </c>
      <c r="C179" s="9" t="s">
        <v>178</v>
      </c>
      <c r="D179" s="9" t="s">
        <v>0</v>
      </c>
      <c r="G179" t="s">
        <v>445</v>
      </c>
      <c r="H179">
        <f>INT(I190/J190/C180)</f>
        <v>7497</v>
      </c>
      <c r="I179" t="s">
        <v>446</v>
      </c>
      <c r="J179">
        <f>ROUND(I185/H179,1)</f>
        <v>1.2</v>
      </c>
      <c r="L179" s="9" t="s">
        <v>5</v>
      </c>
      <c r="M179" s="9" t="s">
        <v>2</v>
      </c>
      <c r="N179" s="9" t="s">
        <v>178</v>
      </c>
      <c r="O179" s="9" t="s">
        <v>0</v>
      </c>
      <c r="R179" t="s">
        <v>445</v>
      </c>
      <c r="S179">
        <f>INT(T190/U190/N180)</f>
        <v>6486</v>
      </c>
      <c r="T179" t="s">
        <v>446</v>
      </c>
      <c r="U179">
        <f>ROUND(T185/S179,1)</f>
        <v>1.4</v>
      </c>
    </row>
    <row r="180" spans="1:21" x14ac:dyDescent="0.15">
      <c r="A180">
        <f>A152+10</f>
        <v>4060</v>
      </c>
      <c r="B180">
        <f>B152+1</f>
        <v>11106</v>
      </c>
      <c r="C180">
        <v>15</v>
      </c>
      <c r="D180">
        <f>MOD(A180,1000)</f>
        <v>60</v>
      </c>
      <c r="G180" t="s">
        <v>447</v>
      </c>
      <c r="H180">
        <v>5</v>
      </c>
      <c r="I180" t="s">
        <v>383</v>
      </c>
      <c r="J180">
        <f>VLOOKUP(D180,召唤物生存,10)</f>
        <v>14.25</v>
      </c>
      <c r="L180">
        <f>L152+10</f>
        <v>4060</v>
      </c>
      <c r="M180">
        <f>M152+1</f>
        <v>11106</v>
      </c>
      <c r="N180">
        <v>17</v>
      </c>
      <c r="O180">
        <f>MOD(L180,1000)</f>
        <v>60</v>
      </c>
      <c r="R180" t="s">
        <v>447</v>
      </c>
      <c r="S180">
        <v>5</v>
      </c>
      <c r="T180" t="s">
        <v>383</v>
      </c>
      <c r="U180">
        <f>VLOOKUP(O180,召唤物生存,10)</f>
        <v>14.25</v>
      </c>
    </row>
    <row r="181" spans="1:21" x14ac:dyDescent="0.15">
      <c r="A181" t="s">
        <v>156</v>
      </c>
      <c r="B181" t="s">
        <v>95</v>
      </c>
      <c r="C181" t="s">
        <v>177</v>
      </c>
      <c r="D181" t="s">
        <v>143</v>
      </c>
      <c r="E181" t="s">
        <v>182</v>
      </c>
      <c r="F181" t="s">
        <v>192</v>
      </c>
      <c r="G181" t="s">
        <v>193</v>
      </c>
      <c r="H181" t="s">
        <v>176</v>
      </c>
      <c r="I181" t="s">
        <v>205</v>
      </c>
      <c r="J181" t="s">
        <v>206</v>
      </c>
      <c r="L181" t="s">
        <v>156</v>
      </c>
      <c r="M181" t="s">
        <v>95</v>
      </c>
      <c r="N181" t="s">
        <v>177</v>
      </c>
      <c r="O181" t="s">
        <v>143</v>
      </c>
      <c r="P181" t="s">
        <v>182</v>
      </c>
      <c r="Q181" t="s">
        <v>192</v>
      </c>
      <c r="R181" t="s">
        <v>193</v>
      </c>
      <c r="S181" t="s">
        <v>176</v>
      </c>
      <c r="T181" t="s">
        <v>205</v>
      </c>
      <c r="U181" t="s">
        <v>206</v>
      </c>
    </row>
    <row r="182" spans="1:21" x14ac:dyDescent="0.15">
      <c r="A182">
        <v>42</v>
      </c>
      <c r="B182" t="s">
        <v>35</v>
      </c>
      <c r="C182">
        <v>1</v>
      </c>
      <c r="D182">
        <f>VLOOKUP(A182,技能参数,4,FALSE)</f>
        <v>1</v>
      </c>
      <c r="E182">
        <f>IFERROR(VLOOKUP(A182*1000+D180,学习等级编码,2),0)</f>
        <v>4206</v>
      </c>
      <c r="F182">
        <f>IFERROR(INT(VLOOKUP($E182,技能升级,9,FALSE)*$C182*I182*J182),0)</f>
        <v>0</v>
      </c>
      <c r="G182">
        <f>IFERROR(INT(VLOOKUP($E182,技能升级,10,FALSE)*$C182*I182*J182),0)</f>
        <v>0</v>
      </c>
      <c r="H182">
        <f>INT(VLOOKUP($E182,技能升级,11,FALSE)*$C182*I182*J182)</f>
        <v>0</v>
      </c>
      <c r="I182">
        <v>1</v>
      </c>
      <c r="J182">
        <v>1</v>
      </c>
      <c r="L182">
        <v>42</v>
      </c>
      <c r="M182" t="s">
        <v>35</v>
      </c>
      <c r="N182">
        <v>1</v>
      </c>
      <c r="O182">
        <f>VLOOKUP(L182,技能参数,4,FALSE)</f>
        <v>1</v>
      </c>
      <c r="P182">
        <f>IFERROR(VLOOKUP(L182*1000+O180,学习等级编码,2),0)</f>
        <v>4206</v>
      </c>
      <c r="Q182">
        <f>IFERROR(INT(VLOOKUP(P182,技能升级,9,FALSE)*N182*T182*U182),0)</f>
        <v>0</v>
      </c>
      <c r="R182">
        <f>IFERROR(INT(VLOOKUP(P182,技能升级,10,FALSE)*N182*T182*U182),0)</f>
        <v>0</v>
      </c>
      <c r="S182">
        <f>INT(VLOOKUP(P182,技能升级,11,FALSE)*N182*T182*U182)</f>
        <v>0</v>
      </c>
      <c r="T182">
        <v>1</v>
      </c>
      <c r="U182">
        <v>1</v>
      </c>
    </row>
    <row r="183" spans="1:21" x14ac:dyDescent="0.15">
      <c r="A183">
        <v>43</v>
      </c>
      <c r="B183" t="s">
        <v>36</v>
      </c>
      <c r="C183">
        <v>1</v>
      </c>
      <c r="D183">
        <f>VLOOKUP(A183,技能参数,4,FALSE)</f>
        <v>1</v>
      </c>
      <c r="E183">
        <f>IFERROR(VLOOKUP(A183*1000+D180,学习等级编码,2),0)</f>
        <v>4306</v>
      </c>
      <c r="F183">
        <f t="shared" ref="F183" si="26">IFERROR(INT(VLOOKUP($E183,技能升级,9,FALSE)*$C183*I183*J183),0)</f>
        <v>0</v>
      </c>
      <c r="G183">
        <f t="shared" ref="G183" si="27">IFERROR(INT(VLOOKUP($E183,技能升级,10,FALSE)*$C183*I183*J183),0)</f>
        <v>0</v>
      </c>
      <c r="H183">
        <f>INT(VLOOKUP($E183,技能升级,11,FALSE)*$C183*I183*J183)</f>
        <v>0</v>
      </c>
      <c r="I183">
        <v>1</v>
      </c>
      <c r="J183">
        <v>1</v>
      </c>
      <c r="L183">
        <v>43</v>
      </c>
      <c r="M183" t="s">
        <v>36</v>
      </c>
      <c r="N183">
        <v>1</v>
      </c>
      <c r="O183">
        <f>VLOOKUP(L183,技能参数,4,FALSE)</f>
        <v>1</v>
      </c>
      <c r="P183">
        <f>IFERROR(VLOOKUP(L183*1000+O180,学习等级编码,2),0)</f>
        <v>4306</v>
      </c>
      <c r="Q183">
        <f>IFERROR(INT(VLOOKUP(P183,技能升级,9,FALSE)*N183*T183*U183),0)</f>
        <v>0</v>
      </c>
      <c r="R183">
        <f>IFERROR(INT(VLOOKUP(P183,技能升级,10,FALSE)*N183*T183*U183),0)</f>
        <v>0</v>
      </c>
      <c r="S183">
        <f>INT(VLOOKUP(P183,技能升级,11,FALSE)*N183*T183*U183)</f>
        <v>0</v>
      </c>
      <c r="T183">
        <v>1</v>
      </c>
      <c r="U183">
        <v>1</v>
      </c>
    </row>
    <row r="184" spans="1:21" x14ac:dyDescent="0.15">
      <c r="A184">
        <v>44</v>
      </c>
      <c r="B184" t="s">
        <v>38</v>
      </c>
      <c r="C184">
        <v>1</v>
      </c>
      <c r="D184">
        <f>IFERROR(INT(VLOOKUP($E184,技能升级,13,FALSE)),0)</f>
        <v>5</v>
      </c>
      <c r="E184">
        <f>IFERROR(VLOOKUP(A184*1000+D180,学习等级编码,2),0)</f>
        <v>4406</v>
      </c>
      <c r="F184">
        <f>IFERROR(INT(VLOOKUP($E184,技能升级,9,FALSE)*$C184*I184*J184),0)</f>
        <v>0</v>
      </c>
      <c r="G184">
        <f>IFERROR(INT(VLOOKUP($E184,技能升级,10,FALSE)*$D184*I184*J184),0)</f>
        <v>9973</v>
      </c>
      <c r="H184">
        <f>INT(VLOOKUP($E184,技能升级,11,FALSE)*$D184*I184*J184)</f>
        <v>1498</v>
      </c>
      <c r="I184">
        <v>1</v>
      </c>
      <c r="J184">
        <f>VLOOKUP(A180,$A$2:$I$21,8,FALSE)</f>
        <v>1.0899999999999999</v>
      </c>
      <c r="L184">
        <v>44</v>
      </c>
      <c r="M184" t="s">
        <v>38</v>
      </c>
      <c r="N184">
        <v>0</v>
      </c>
      <c r="O184">
        <v>0</v>
      </c>
      <c r="P184">
        <f>IFERROR(VLOOKUP(L184*1000+O180,学习等级编码,2),0)</f>
        <v>4406</v>
      </c>
      <c r="Q184">
        <f>IFERROR(INT(VLOOKUP(P184,技能升级,9,FALSE)*N184*T184*U184),0)</f>
        <v>0</v>
      </c>
      <c r="R184">
        <f>IFERROR(INT(VLOOKUP(P184,技能升级,10,FALSE)*N184*T184*U184),0)</f>
        <v>0</v>
      </c>
      <c r="S184">
        <f>INT(VLOOKUP(P184,技能升级,11,FALSE)*N184*T184*U184)</f>
        <v>0</v>
      </c>
      <c r="T184">
        <v>1</v>
      </c>
      <c r="U184">
        <f>VLOOKUP(L180,$A$2:$I$21,8,FALSE)</f>
        <v>1.0899999999999999</v>
      </c>
    </row>
    <row r="185" spans="1:21" x14ac:dyDescent="0.15">
      <c r="A185">
        <v>45</v>
      </c>
      <c r="B185" t="s">
        <v>37</v>
      </c>
      <c r="C185">
        <v>1</v>
      </c>
      <c r="D185">
        <f>VLOOKUP(A185,技能参数,4,FALSE)</f>
        <v>2</v>
      </c>
      <c r="E185">
        <f>IFERROR(VLOOKUP(A185*1000+D180,学习等级编码,2),0)</f>
        <v>4504</v>
      </c>
      <c r="F185">
        <f>IFERROR(INT(VLOOKUP($E185,技能升级,9,FALSE)*$C185*I185*J185),0)</f>
        <v>0</v>
      </c>
      <c r="G185">
        <f t="shared" ref="G185:G186" si="28">IFERROR(INT(VLOOKUP($E185,技能升级,10,FALSE)*$C185*I185*J185),0)</f>
        <v>0</v>
      </c>
      <c r="H185">
        <f>INT(VLOOKUP($E185,技能升级,11,FALSE)*$C185*I185*J185)</f>
        <v>0</v>
      </c>
      <c r="I185">
        <f>INT(VLOOKUP($E185,技能升级,13,FALSE)*$C185)</f>
        <v>8916</v>
      </c>
      <c r="J185">
        <v>1</v>
      </c>
      <c r="L185">
        <v>45</v>
      </c>
      <c r="M185" t="s">
        <v>37</v>
      </c>
      <c r="N185">
        <v>1</v>
      </c>
      <c r="O185">
        <f>VLOOKUP(L185,技能参数,4,FALSE)</f>
        <v>2</v>
      </c>
      <c r="P185">
        <f>IFERROR(VLOOKUP(L185*1000+O180,学习等级编码,2),0)</f>
        <v>4504</v>
      </c>
      <c r="Q185">
        <f>IFERROR(INT(VLOOKUP(P185,技能升级,9,FALSE)*N185*T185*U185),0)</f>
        <v>0</v>
      </c>
      <c r="R185">
        <f>IFERROR(INT(VLOOKUP(P185,技能升级,10,FALSE)*N185*T185*U185),0)</f>
        <v>0</v>
      </c>
      <c r="S185">
        <f>INT(VLOOKUP(P185,技能升级,11,FALSE)*N185*T185*U185)</f>
        <v>0</v>
      </c>
      <c r="T185">
        <f>INT(VLOOKUP($E185,技能升级,13,FALSE)*$C185)</f>
        <v>8916</v>
      </c>
      <c r="U185">
        <v>1</v>
      </c>
    </row>
    <row r="186" spans="1:21" x14ac:dyDescent="0.15">
      <c r="A186">
        <v>41</v>
      </c>
      <c r="B186" t="s">
        <v>361</v>
      </c>
      <c r="C186">
        <f>IF(INT((C180-C182*D182-C183*D183-C184*D184-C185*D185)/D186)&gt;0,INT((C180-C182*D182-C183*D183-C184*D184-C185*D185)/D186),0)</f>
        <v>5</v>
      </c>
      <c r="D186">
        <f>VLOOKUP(A186,技能参数,4,FALSE)</f>
        <v>1.2</v>
      </c>
      <c r="E186">
        <f>IFERROR(VLOOKUP(A186*1000+D180,学习等级编码,2),0)</f>
        <v>4109</v>
      </c>
      <c r="F186">
        <f>IFERROR(INT(VLOOKUP($E186,技能升级,9,FALSE)*$C186*I186*J186),0)</f>
        <v>0</v>
      </c>
      <c r="G186">
        <f t="shared" si="28"/>
        <v>6700</v>
      </c>
      <c r="H186">
        <f>INT(VLOOKUP($E186,技能升级,11,FALSE)*$C186*I186*J186)</f>
        <v>1350</v>
      </c>
      <c r="I186">
        <v>1</v>
      </c>
      <c r="J186">
        <f>VLOOKUP(A152,$A$2:$I$21,8,FALSE)</f>
        <v>1</v>
      </c>
      <c r="L186">
        <v>41</v>
      </c>
      <c r="M186" t="s">
        <v>361</v>
      </c>
      <c r="N186">
        <f>IF(INT((N180-N182*O182-N183*O183-N184*O184-N185*O185)/O186)&gt;0,INT((N180-N182*O182-N183*O183-N184*O184-N185*O185)/O186),0)</f>
        <v>10</v>
      </c>
      <c r="O186">
        <f>VLOOKUP(L186,技能参数,4,FALSE)</f>
        <v>1.2</v>
      </c>
      <c r="P186">
        <f>IFERROR(VLOOKUP(L186*1000+O180,学习等级编码,2),0)</f>
        <v>4109</v>
      </c>
      <c r="Q186">
        <f>IFERROR(INT(VLOOKUP(P186,技能升级,9,FALSE)*N186*T186*U186),0)</f>
        <v>0</v>
      </c>
      <c r="R186">
        <f>IFERROR(INT(VLOOKUP(P186,技能升级,10,FALSE)*N186*T186*U186),0)</f>
        <v>13400</v>
      </c>
      <c r="S186">
        <f>INT(VLOOKUP(P186,技能升级,11,FALSE)*N186*T186*U186)</f>
        <v>2700</v>
      </c>
      <c r="T186">
        <v>1</v>
      </c>
      <c r="U186">
        <f>VLOOKUP(A152,$A$2:$I$21,8,FALSE)</f>
        <v>1</v>
      </c>
    </row>
    <row r="187" spans="1:21" x14ac:dyDescent="0.15">
      <c r="A187">
        <f>VLOOKUP(E182,技能升级,13,FALSE)</f>
        <v>106</v>
      </c>
      <c r="B187" t="s">
        <v>375</v>
      </c>
      <c r="C187">
        <f>IF(C180&lt;J180,C180+C180-H180,IF(C180&gt;J180+H180,J180+J180,J180+C180-H180))</f>
        <v>24.25</v>
      </c>
      <c r="G187">
        <f>INT((VLOOKUP(A187,召唤物属性,7,FALSE)-
IF($B180&gt;10000,VLOOKUP($B180,实战属性,15,FALSE),VLOOKUP($B180,总基本属性,9,FALSE))*$L$13)*I187*J187)</f>
        <v>1425</v>
      </c>
      <c r="I187">
        <f>VLOOKUP($E182,技能升级,14,FALSE)</f>
        <v>2</v>
      </c>
      <c r="J187">
        <v>1</v>
      </c>
      <c r="L187">
        <f>VLOOKUP(P182,技能升级,13,FALSE)</f>
        <v>106</v>
      </c>
      <c r="M187" t="s">
        <v>375</v>
      </c>
      <c r="N187">
        <f>IF(N180&lt;U180,N180+N180-S180,IF(N180&gt;U180+S180,U180+U180,U180+N180-S180))</f>
        <v>26.25</v>
      </c>
      <c r="R187">
        <f>INT((VLOOKUP(L187,召唤物属性,7,FALSE)-
IF($B180&gt;10000,VLOOKUP($B180,实战属性,15,FALSE),VLOOKUP($B180,总基本属性,9,FALSE))*$L$13)*T187*U187)</f>
        <v>1425</v>
      </c>
      <c r="T187">
        <f>VLOOKUP($E182,技能升级,14,FALSE)</f>
        <v>2</v>
      </c>
      <c r="U187">
        <v>1</v>
      </c>
    </row>
    <row r="188" spans="1:21" x14ac:dyDescent="0.15">
      <c r="A188">
        <f>VLOOKUP(E183,技能升级,13,FALSE)</f>
        <v>206</v>
      </c>
      <c r="B188" t="s">
        <v>374</v>
      </c>
      <c r="C188">
        <f>IF(C180&lt;J180,C180+C180-H180,IF(C180&gt;J180+H180,J180+J180,J180+C180-H180))</f>
        <v>24.25</v>
      </c>
      <c r="F188">
        <f>INT((VLOOKUP(A188,召唤物属性,6,FALSE)-
IF($B180&gt;10000,VLOOKUP($B180,实战属性,15,FALSE),VLOOKUP($B180,总基本属性,9,FALSE))*$L$13)*I188*J188)</f>
        <v>1708</v>
      </c>
      <c r="I188">
        <f>VLOOKUP($E183,技能升级,14,FALSE)</f>
        <v>3</v>
      </c>
      <c r="J188">
        <f>VLOOKUP(A180,$A$2:$I$21,9,FALSE)</f>
        <v>0.93</v>
      </c>
      <c r="L188">
        <f>VLOOKUP(P183,技能升级,13,FALSE)</f>
        <v>206</v>
      </c>
      <c r="M188" t="s">
        <v>374</v>
      </c>
      <c r="N188">
        <f>IF(N180&lt;U180,N180+N180-S180,IF(N180&gt;U180+S180,U180+U180,U180+N180-S180))</f>
        <v>26.25</v>
      </c>
      <c r="Q188">
        <f>INT((VLOOKUP(L188,召唤物属性,6,FALSE)-
IF($B180&gt;10000,VLOOKUP($B180,实战属性,15,FALSE),VLOOKUP($B180,总基本属性,9,FALSE))*$L$13)*T188*U188)</f>
        <v>1708</v>
      </c>
      <c r="T188">
        <f>VLOOKUP($E183,技能升级,14,FALSE)</f>
        <v>3</v>
      </c>
      <c r="U188">
        <f>VLOOKUP(L180,$A$2:$I$21,9,FALSE)</f>
        <v>0.93</v>
      </c>
    </row>
    <row r="189" spans="1:21" x14ac:dyDescent="0.15">
      <c r="E189" t="s">
        <v>194</v>
      </c>
      <c r="F189">
        <f>SUM(F182:F186)/1000</f>
        <v>0</v>
      </c>
      <c r="G189">
        <f>SUM(G182:G186)/1000</f>
        <v>16.672999999999998</v>
      </c>
      <c r="H189">
        <f>SUM(H182:H185)</f>
        <v>1498</v>
      </c>
      <c r="I189" t="s">
        <v>196</v>
      </c>
      <c r="J189" t="s">
        <v>197</v>
      </c>
      <c r="P189" t="s">
        <v>194</v>
      </c>
      <c r="Q189">
        <f>SUM(Q182:Q186)/1000</f>
        <v>0</v>
      </c>
      <c r="R189">
        <f>SUM(R182:R186)/1000</f>
        <v>13.4</v>
      </c>
      <c r="S189">
        <f>SUM(S182:S185)</f>
        <v>0</v>
      </c>
      <c r="T189" t="s">
        <v>196</v>
      </c>
      <c r="U189" t="s">
        <v>197</v>
      </c>
    </row>
    <row r="190" spans="1:21" x14ac:dyDescent="0.15">
      <c r="E190" t="s">
        <v>195</v>
      </c>
      <c r="F190">
        <f>INT((IF($A180&gt;10000,VLOOKUP($A180,实战属性,13,FALSE),VLOOKUP($A180,总基本属性,7,FALSE))-
IF($B180&gt;10000,VLOOKUP($B180,实战属性,15,FALSE),VLOOKUP($B180,总基本属性,9,FALSE))*$L$13)*F189)</f>
        <v>0</v>
      </c>
      <c r="G190">
        <f>INT((IF($A180&gt;10000,VLOOKUP($A180,实战属性,14,FALSE),VLOOKUP($A180,总基本属性,8,FALSE))-
IF($B180&gt;10000,VLOOKUP($B180,实战属性,16,FALSE),VLOOKUP($B180,总基本属性,10,FALSE))*$L$13)*G189)</f>
        <v>34704</v>
      </c>
      <c r="H190">
        <f>H189+F190+G190</f>
        <v>36202</v>
      </c>
      <c r="I190">
        <f>IF($B180&gt;10000,VLOOKUP($B180,实战属性,12,FALSE),VLOOKUP($B180,总基本属性,6,FALSE))</f>
        <v>112468</v>
      </c>
      <c r="J190">
        <f>ROUND(I190/H191,2)</f>
        <v>1</v>
      </c>
      <c r="P190" t="s">
        <v>195</v>
      </c>
      <c r="Q190">
        <f>INT((IF($A180&gt;10000,VLOOKUP($A180,实战属性,13,FALSE),VLOOKUP($A180,总基本属性,7,FALSE))-
IF($B180&gt;10000,VLOOKUP($B180,实战属性,15,FALSE),VLOOKUP($B180,总基本属性,9,FALSE))*$L$13)*Q189)</f>
        <v>0</v>
      </c>
      <c r="R190">
        <f>INT((IF($A180&gt;10000,VLOOKUP($A180,实战属性,14,FALSE),VLOOKUP($A180,总基本属性,8,FALSE))-
IF($B180&gt;10000,VLOOKUP($B180,实战属性,16,FALSE),VLOOKUP($B180,总基本属性,10,FALSE))*$L$13)*R189)</f>
        <v>27892</v>
      </c>
      <c r="S190">
        <f>S189+Q190+R190</f>
        <v>27892</v>
      </c>
      <c r="T190">
        <f>IF($B180&gt;10000,VLOOKUP($B180,实战属性,12,FALSE),VLOOKUP($B180,总基本属性,6,FALSE))</f>
        <v>112468</v>
      </c>
      <c r="U190">
        <f>ROUND(T190/S191,2)</f>
        <v>1.02</v>
      </c>
    </row>
    <row r="191" spans="1:21" x14ac:dyDescent="0.15">
      <c r="E191" t="s">
        <v>376</v>
      </c>
      <c r="F191">
        <f>INT(F188*C188)</f>
        <v>41419</v>
      </c>
      <c r="G191">
        <f>INT(G187*C187)</f>
        <v>34556</v>
      </c>
      <c r="H191">
        <f>F191+G191+H190</f>
        <v>112177</v>
      </c>
      <c r="P191" t="s">
        <v>376</v>
      </c>
      <c r="Q191">
        <f>INT(Q188*N188)</f>
        <v>44835</v>
      </c>
      <c r="R191">
        <f>INT(R187*N187)</f>
        <v>37406</v>
      </c>
      <c r="S191">
        <f>Q191+R191+S190</f>
        <v>110133</v>
      </c>
    </row>
    <row r="195" spans="1:21" x14ac:dyDescent="0.15">
      <c r="A195" s="8" t="s">
        <v>2</v>
      </c>
      <c r="B195" s="8" t="s">
        <v>5</v>
      </c>
      <c r="C195" s="8" t="s">
        <v>178</v>
      </c>
      <c r="D195" s="8" t="s">
        <v>0</v>
      </c>
      <c r="L195" s="8" t="s">
        <v>2</v>
      </c>
      <c r="M195" s="8" t="s">
        <v>5</v>
      </c>
      <c r="N195" s="8" t="s">
        <v>178</v>
      </c>
      <c r="O195" s="8" t="s">
        <v>0</v>
      </c>
    </row>
    <row r="196" spans="1:21" x14ac:dyDescent="0.15">
      <c r="A196">
        <f>A168+1</f>
        <v>11107</v>
      </c>
      <c r="B196">
        <f>B168+10</f>
        <v>4070</v>
      </c>
      <c r="C196">
        <v>20</v>
      </c>
      <c r="D196">
        <f>MOD(B196,1000)</f>
        <v>70</v>
      </c>
      <c r="L196">
        <f>L168+1</f>
        <v>11107</v>
      </c>
      <c r="M196">
        <f>M168+10</f>
        <v>4070</v>
      </c>
      <c r="N196">
        <v>15</v>
      </c>
      <c r="O196">
        <f>MOD(M196,1000)</f>
        <v>70</v>
      </c>
    </row>
    <row r="197" spans="1:21" x14ac:dyDescent="0.15">
      <c r="A197" t="s">
        <v>156</v>
      </c>
      <c r="B197" t="s">
        <v>95</v>
      </c>
      <c r="C197" t="s">
        <v>177</v>
      </c>
      <c r="D197" t="s">
        <v>143</v>
      </c>
      <c r="E197" t="s">
        <v>182</v>
      </c>
      <c r="F197" t="s">
        <v>192</v>
      </c>
      <c r="G197" t="s">
        <v>193</v>
      </c>
      <c r="H197" t="s">
        <v>176</v>
      </c>
      <c r="I197" t="s">
        <v>205</v>
      </c>
      <c r="J197" t="s">
        <v>206</v>
      </c>
      <c r="L197" t="s">
        <v>156</v>
      </c>
      <c r="M197" t="s">
        <v>95</v>
      </c>
      <c r="N197" t="s">
        <v>177</v>
      </c>
      <c r="O197" t="s">
        <v>143</v>
      </c>
      <c r="P197" t="s">
        <v>182</v>
      </c>
      <c r="Q197" t="s">
        <v>192</v>
      </c>
      <c r="R197" t="s">
        <v>193</v>
      </c>
      <c r="S197" t="s">
        <v>176</v>
      </c>
      <c r="T197" t="s">
        <v>205</v>
      </c>
      <c r="U197" t="s">
        <v>206</v>
      </c>
    </row>
    <row r="198" spans="1:21" x14ac:dyDescent="0.15">
      <c r="A198">
        <v>12</v>
      </c>
      <c r="B198" t="s">
        <v>9</v>
      </c>
      <c r="C198">
        <f>C196-C202</f>
        <v>15</v>
      </c>
      <c r="D198">
        <f>VLOOKUP(A198,技能参数,4,FALSE)</f>
        <v>0.6</v>
      </c>
      <c r="E198">
        <f>VLOOKUP(A198*1000+D196,学习等级编码,2)</f>
        <v>1207</v>
      </c>
      <c r="F198">
        <f>INT(VLOOKUP($E198,技能升级,9,FALSE)*$C198*I198*J198)</f>
        <v>0</v>
      </c>
      <c r="G198">
        <f>INT(VLOOKUP($E198,技能升级,10,FALSE)*$C198*I198*J198)</f>
        <v>19710</v>
      </c>
      <c r="H198">
        <f>INT(VLOOKUP($E198,技能升级,11,FALSE)*$C198*I198*J198)</f>
        <v>5403</v>
      </c>
      <c r="I198">
        <v>1</v>
      </c>
      <c r="J198">
        <f>VLOOKUP(A196,$A$2:$I$21,7,FALSE)</f>
        <v>1.0950000000000002</v>
      </c>
      <c r="L198">
        <v>12</v>
      </c>
      <c r="M198" t="s">
        <v>9</v>
      </c>
      <c r="N198">
        <f>N196</f>
        <v>15</v>
      </c>
      <c r="O198">
        <f>VLOOKUP(L198,技能参数,4,FALSE)</f>
        <v>0.6</v>
      </c>
      <c r="P198">
        <f>VLOOKUP(L198*1000+O196,学习等级编码,2)</f>
        <v>1207</v>
      </c>
      <c r="Q198">
        <f>INT(VLOOKUP(P198,技能升级,9,FALSE)*N198*T198*U198)</f>
        <v>0</v>
      </c>
      <c r="R198">
        <f>INT(VLOOKUP(P198,技能升级,10,FALSE)*N198*T198*U198)</f>
        <v>19710</v>
      </c>
      <c r="S198">
        <f>INT(VLOOKUP(P198,技能升级,11,FALSE)*N198*T198*U198)</f>
        <v>5403</v>
      </c>
      <c r="T198">
        <v>1</v>
      </c>
      <c r="U198">
        <f>VLOOKUP(L196,$A$2:$I$21,7,FALSE)</f>
        <v>1.0950000000000002</v>
      </c>
    </row>
    <row r="199" spans="1:21" x14ac:dyDescent="0.15">
      <c r="A199">
        <v>15</v>
      </c>
      <c r="B199" t="s">
        <v>12</v>
      </c>
      <c r="C199">
        <v>1</v>
      </c>
      <c r="D199">
        <f>VLOOKUP(A199,技能参数,4,FALSE)</f>
        <v>1.5</v>
      </c>
      <c r="E199">
        <f>VLOOKUP(A199*1000+D196,学习等级编码,2)</f>
        <v>1505</v>
      </c>
      <c r="F199">
        <f>INT(VLOOKUP($E199,技能升级,9,FALSE)*$C199*I199*J199)</f>
        <v>0</v>
      </c>
      <c r="G199">
        <f>INT(VLOOKUP($E199,技能升级,10,FALSE)*$C199*I199*J199)</f>
        <v>0</v>
      </c>
      <c r="H199">
        <f>INT(VLOOKUP($E199,技能升级,11,FALSE)*$C199*I199*J199)</f>
        <v>0</v>
      </c>
      <c r="I199">
        <v>1</v>
      </c>
      <c r="J199">
        <v>1</v>
      </c>
      <c r="L199">
        <v>15</v>
      </c>
      <c r="M199" t="s">
        <v>12</v>
      </c>
      <c r="N199">
        <v>1</v>
      </c>
      <c r="O199">
        <f>VLOOKUP(L199,技能参数,4,FALSE)</f>
        <v>1.5</v>
      </c>
      <c r="P199">
        <f>VLOOKUP(L199*1000+O196,学习等级编码,2)</f>
        <v>1505</v>
      </c>
      <c r="Q199">
        <f>INT(VLOOKUP(P199,技能升级,9,FALSE)*N199*T199*U199)</f>
        <v>0</v>
      </c>
      <c r="R199">
        <f>INT(VLOOKUP(P199,技能升级,10,FALSE)*N199*T199*U199)</f>
        <v>0</v>
      </c>
      <c r="S199">
        <f>INT(VLOOKUP(P199,技能升级,11,FALSE)*N199*T199*U199)</f>
        <v>0</v>
      </c>
      <c r="T199">
        <v>1</v>
      </c>
      <c r="U199">
        <v>1</v>
      </c>
    </row>
    <row r="200" spans="1:21" x14ac:dyDescent="0.15">
      <c r="A200">
        <v>11</v>
      </c>
      <c r="B200" t="s">
        <v>94</v>
      </c>
      <c r="C200">
        <f>INT((C196-D198-D199-C202)/D200)</f>
        <v>12</v>
      </c>
      <c r="D200">
        <f>VLOOKUP(A200,技能参数,4,FALSE)</f>
        <v>1</v>
      </c>
      <c r="E200">
        <f>VLOOKUP(A200*1000+D196,学习等级编码,2)</f>
        <v>1111</v>
      </c>
      <c r="F200">
        <f>INT(VLOOKUP($E200,技能升级,9,FALSE)*$C200*I200*J200)</f>
        <v>15899</v>
      </c>
      <c r="G200">
        <f>INT(VLOOKUP($E200,技能升级,10,FALSE)*$C200*I200*J200)</f>
        <v>0</v>
      </c>
      <c r="H200">
        <f>INT(VLOOKUP($E200,技能升级,11,FALSE)*$C200*I200*J200)</f>
        <v>5334</v>
      </c>
      <c r="I200">
        <v>1</v>
      </c>
      <c r="J200">
        <f>VLOOKUP(A196,$A$2:$I$21,7,FALSE)</f>
        <v>1.0950000000000002</v>
      </c>
      <c r="L200">
        <v>11</v>
      </c>
      <c r="M200" t="s">
        <v>94</v>
      </c>
      <c r="N200">
        <f>INT((N196-O198-O199)/O200)</f>
        <v>12</v>
      </c>
      <c r="O200">
        <f>VLOOKUP(L200,技能参数,4,FALSE)</f>
        <v>1</v>
      </c>
      <c r="P200">
        <f>VLOOKUP(L200*1000+O196,学习等级编码,2)</f>
        <v>1111</v>
      </c>
      <c r="Q200">
        <f>INT(VLOOKUP(P200,技能升级,9,FALSE)*N200*T200*U200)</f>
        <v>15899</v>
      </c>
      <c r="R200">
        <f>INT(VLOOKUP(P200,技能升级,10,FALSE)*N200*T200*U200)</f>
        <v>0</v>
      </c>
      <c r="S200">
        <f>INT(VLOOKUP(P200,技能升级,11,FALSE)*N200*T200*U200)</f>
        <v>5334</v>
      </c>
      <c r="T200">
        <v>1</v>
      </c>
      <c r="U200">
        <f>VLOOKUP(L196,$A$2:$I$21,7,FALSE)</f>
        <v>1.0950000000000002</v>
      </c>
    </row>
    <row r="201" spans="1:21" x14ac:dyDescent="0.15">
      <c r="A201">
        <v>14</v>
      </c>
      <c r="B201" t="s">
        <v>11</v>
      </c>
      <c r="C201">
        <v>1</v>
      </c>
      <c r="D201">
        <v>0</v>
      </c>
      <c r="E201">
        <f>VLOOKUP(A201*1000+D196,学习等级编码,2)</f>
        <v>1407</v>
      </c>
      <c r="F201">
        <f>INT(VLOOKUP($E201,技能升级,9,FALSE)*$C201*I201*J201)</f>
        <v>0</v>
      </c>
      <c r="G201">
        <f>INT(VLOOKUP($E201,技能升级,10,FALSE)*$C201*I201*J201)</f>
        <v>0</v>
      </c>
      <c r="H201">
        <f>INT(VLOOKUP($E201,技能升级,11,FALSE)*$C201*I201*J201)</f>
        <v>0</v>
      </c>
      <c r="I201">
        <v>1</v>
      </c>
      <c r="J201">
        <v>1</v>
      </c>
      <c r="L201">
        <v>14</v>
      </c>
      <c r="M201" t="s">
        <v>11</v>
      </c>
      <c r="N201">
        <v>1</v>
      </c>
      <c r="O201">
        <v>0</v>
      </c>
      <c r="P201">
        <f>VLOOKUP(L201*1000+O196,学习等级编码,2)</f>
        <v>1407</v>
      </c>
      <c r="Q201">
        <f>INT(VLOOKUP(P201,技能升级,9,FALSE)*N201*T201*U201)</f>
        <v>0</v>
      </c>
      <c r="R201">
        <f>INT(VLOOKUP(P201,技能升级,10,FALSE)*N201*T201*U201)</f>
        <v>0</v>
      </c>
      <c r="S201">
        <f>INT(VLOOKUP(P201,技能升级,11,FALSE)*N201*T201*U201)</f>
        <v>0</v>
      </c>
      <c r="T201">
        <v>1</v>
      </c>
      <c r="U201">
        <v>1</v>
      </c>
    </row>
    <row r="202" spans="1:21" x14ac:dyDescent="0.15">
      <c r="B202" t="s">
        <v>437</v>
      </c>
      <c r="C202">
        <f>D212</f>
        <v>5</v>
      </c>
      <c r="P202" t="s">
        <v>194</v>
      </c>
      <c r="Q202">
        <f>SUM(Q198:Q200)/1000</f>
        <v>15.898999999999999</v>
      </c>
      <c r="R202">
        <f>SUM(R198:R200)/1000</f>
        <v>19.71</v>
      </c>
      <c r="S202">
        <f>SUM(S198:S200)</f>
        <v>10737</v>
      </c>
      <c r="T202" t="s">
        <v>196</v>
      </c>
      <c r="U202" t="s">
        <v>197</v>
      </c>
    </row>
    <row r="203" spans="1:21" x14ac:dyDescent="0.15">
      <c r="E203" t="s">
        <v>194</v>
      </c>
      <c r="F203">
        <f>SUM(F198:F200)/1000</f>
        <v>15.898999999999999</v>
      </c>
      <c r="G203">
        <f>SUM(G198:G200)/1000</f>
        <v>19.71</v>
      </c>
      <c r="H203">
        <f>SUM(H198:H200)</f>
        <v>10737</v>
      </c>
      <c r="I203" t="s">
        <v>196</v>
      </c>
      <c r="J203" t="s">
        <v>197</v>
      </c>
      <c r="P203" t="s">
        <v>195</v>
      </c>
      <c r="Q203">
        <f>INT((IF($A196&gt;10000,VLOOKUP($A196,实战属性,13,FALSE),VLOOKUP($A196,总基本属性,7,FALSE))-
IF($B196&gt;10000,VLOOKUP($B196,实战属性,15,FALSE),VLOOKUP($B196,总基本属性,9,FALSE))*$L$13)*Q202)</f>
        <v>41742</v>
      </c>
      <c r="R203">
        <f>INT((IF($A196&gt;10000,VLOOKUP($A196,实战属性,14,FALSE),VLOOKUP($A196,总基本属性,8,FALSE))-
IF($B196&gt;10000,VLOOKUP($B196,实战属性,16,FALSE),VLOOKUP($B196,总基本属性,10,FALSE))*$L$13)*R202)</f>
        <v>37498</v>
      </c>
      <c r="S203">
        <f>S202+Q203+R203</f>
        <v>89977</v>
      </c>
      <c r="T203">
        <f>IF($B196&gt;10000,VLOOKUP($B196,实战属性,12,FALSE),VLOOKUP($B196,总基本属性,6,FALSE))+T213</f>
        <v>91482</v>
      </c>
      <c r="U203">
        <f>ROUND(T203/S203,2)</f>
        <v>1.02</v>
      </c>
    </row>
    <row r="204" spans="1:21" x14ac:dyDescent="0.15">
      <c r="E204" t="s">
        <v>195</v>
      </c>
      <c r="F204">
        <f>INT((IF($A196&gt;10000,VLOOKUP($A196,实战属性,13,FALSE),VLOOKUP($A196,总基本属性,7,FALSE))-
IF($B196&gt;10000,VLOOKUP($B196,实战属性,15,FALSE),VLOOKUP($B196,总基本属性,9,FALSE))*$L$13)*F203)</f>
        <v>41742</v>
      </c>
      <c r="G204">
        <f>INT((IF($A196&gt;10000,VLOOKUP($A196,实战属性,14,FALSE),VLOOKUP($A196,总基本属性,8,FALSE))-
IF($B196&gt;10000,VLOOKUP($B196,实战属性,16,FALSE),VLOOKUP($B196,总基本属性,10,FALSE))*$L$13)*G203)</f>
        <v>37498</v>
      </c>
      <c r="H204">
        <f>H203+F204+G204</f>
        <v>89977</v>
      </c>
      <c r="I204">
        <f>IF($B196&gt;10000,VLOOKUP($B196,实战属性,12,FALSE),VLOOKUP($B196,总基本属性,6,FALSE))+I213</f>
        <v>91482</v>
      </c>
      <c r="J204">
        <f>ROUND(I204/H204,2)</f>
        <v>1.02</v>
      </c>
    </row>
    <row r="207" spans="1:21" x14ac:dyDescent="0.15">
      <c r="A207" s="9" t="s">
        <v>5</v>
      </c>
      <c r="B207" s="9" t="s">
        <v>2</v>
      </c>
      <c r="C207" s="9" t="s">
        <v>178</v>
      </c>
      <c r="D207" s="9" t="s">
        <v>0</v>
      </c>
      <c r="G207" t="s">
        <v>445</v>
      </c>
      <c r="H207">
        <f>INT(I218/J218/C208)</f>
        <v>10553</v>
      </c>
      <c r="I207" t="s">
        <v>446</v>
      </c>
      <c r="J207">
        <f>ROUND(I213/H207,1)</f>
        <v>1.2</v>
      </c>
      <c r="L207" s="9" t="s">
        <v>5</v>
      </c>
      <c r="M207" s="9" t="s">
        <v>2</v>
      </c>
      <c r="N207" s="9" t="s">
        <v>178</v>
      </c>
      <c r="O207" s="9" t="s">
        <v>0</v>
      </c>
      <c r="R207" t="s">
        <v>445</v>
      </c>
      <c r="S207">
        <f>INT(T218/U218/N208)</f>
        <v>9607</v>
      </c>
      <c r="T207" t="s">
        <v>446</v>
      </c>
      <c r="U207">
        <f>ROUND(T213/S207,1)</f>
        <v>1.3</v>
      </c>
    </row>
    <row r="208" spans="1:21" x14ac:dyDescent="0.15">
      <c r="A208">
        <f>A180+10</f>
        <v>4070</v>
      </c>
      <c r="B208">
        <f>B180+1</f>
        <v>11107</v>
      </c>
      <c r="C208">
        <v>14</v>
      </c>
      <c r="D208">
        <f>MOD(A208,1000)</f>
        <v>70</v>
      </c>
      <c r="G208" t="s">
        <v>447</v>
      </c>
      <c r="H208">
        <v>5</v>
      </c>
      <c r="I208" t="s">
        <v>383</v>
      </c>
      <c r="J208">
        <f>VLOOKUP(D208,召唤物生存,10)</f>
        <v>14.89</v>
      </c>
      <c r="L208">
        <f>L180+10</f>
        <v>4070</v>
      </c>
      <c r="M208">
        <f>M180+1</f>
        <v>11107</v>
      </c>
      <c r="N208">
        <v>16</v>
      </c>
      <c r="O208">
        <f>MOD(L208,1000)</f>
        <v>70</v>
      </c>
      <c r="R208" t="s">
        <v>447</v>
      </c>
      <c r="S208">
        <v>5</v>
      </c>
      <c r="T208" t="s">
        <v>383</v>
      </c>
      <c r="U208">
        <f>VLOOKUP(O208,召唤物生存,10)</f>
        <v>14.89</v>
      </c>
    </row>
    <row r="209" spans="1:21" x14ac:dyDescent="0.15">
      <c r="A209" t="s">
        <v>156</v>
      </c>
      <c r="B209" t="s">
        <v>95</v>
      </c>
      <c r="C209" t="s">
        <v>177</v>
      </c>
      <c r="D209" t="s">
        <v>143</v>
      </c>
      <c r="E209" t="s">
        <v>182</v>
      </c>
      <c r="F209" t="s">
        <v>192</v>
      </c>
      <c r="G209" t="s">
        <v>193</v>
      </c>
      <c r="H209" t="s">
        <v>176</v>
      </c>
      <c r="I209" t="s">
        <v>205</v>
      </c>
      <c r="J209" t="s">
        <v>206</v>
      </c>
      <c r="L209" t="s">
        <v>156</v>
      </c>
      <c r="M209" t="s">
        <v>95</v>
      </c>
      <c r="N209" t="s">
        <v>177</v>
      </c>
      <c r="O209" t="s">
        <v>143</v>
      </c>
      <c r="P209" t="s">
        <v>182</v>
      </c>
      <c r="Q209" t="s">
        <v>192</v>
      </c>
      <c r="R209" t="s">
        <v>193</v>
      </c>
      <c r="S209" t="s">
        <v>176</v>
      </c>
      <c r="T209" t="s">
        <v>205</v>
      </c>
      <c r="U209" t="s">
        <v>206</v>
      </c>
    </row>
    <row r="210" spans="1:21" x14ac:dyDescent="0.15">
      <c r="A210">
        <v>42</v>
      </c>
      <c r="B210" t="s">
        <v>35</v>
      </c>
      <c r="C210">
        <v>1</v>
      </c>
      <c r="D210">
        <f>VLOOKUP(A210,技能参数,4,FALSE)</f>
        <v>1</v>
      </c>
      <c r="E210">
        <f>IFERROR(VLOOKUP(A210*1000+D208,学习等级编码,2),0)</f>
        <v>4207</v>
      </c>
      <c r="F210">
        <f>IFERROR(INT(VLOOKUP($E210,技能升级,9,FALSE)*$C210*I210*J210),0)</f>
        <v>0</v>
      </c>
      <c r="G210">
        <f>IFERROR(INT(VLOOKUP($E210,技能升级,10,FALSE)*$C210*I210*J210),0)</f>
        <v>0</v>
      </c>
      <c r="H210">
        <f>INT(VLOOKUP($E210,技能升级,11,FALSE)*$C210*I210*J210)</f>
        <v>0</v>
      </c>
      <c r="I210">
        <v>1</v>
      </c>
      <c r="J210">
        <v>1</v>
      </c>
      <c r="L210">
        <v>42</v>
      </c>
      <c r="M210" t="s">
        <v>35</v>
      </c>
      <c r="N210">
        <v>1</v>
      </c>
      <c r="O210">
        <f>VLOOKUP(L210,技能参数,4,FALSE)</f>
        <v>1</v>
      </c>
      <c r="P210">
        <f>IFERROR(VLOOKUP(L210*1000+O208,学习等级编码,2),0)</f>
        <v>4207</v>
      </c>
      <c r="Q210">
        <f>IFERROR(INT(VLOOKUP(P210,技能升级,9,FALSE)*N210*T210*U210),0)</f>
        <v>0</v>
      </c>
      <c r="R210">
        <f>IFERROR(INT(VLOOKUP(P210,技能升级,10,FALSE)*N210*T210*U210),0)</f>
        <v>0</v>
      </c>
      <c r="S210">
        <f>INT(VLOOKUP(P210,技能升级,11,FALSE)*N210*T210*U210)</f>
        <v>0</v>
      </c>
      <c r="T210">
        <v>1</v>
      </c>
      <c r="U210">
        <v>1</v>
      </c>
    </row>
    <row r="211" spans="1:21" x14ac:dyDescent="0.15">
      <c r="A211">
        <v>43</v>
      </c>
      <c r="B211" t="s">
        <v>36</v>
      </c>
      <c r="C211">
        <v>1</v>
      </c>
      <c r="D211">
        <f>VLOOKUP(A211,技能参数,4,FALSE)</f>
        <v>1</v>
      </c>
      <c r="E211">
        <f>IFERROR(VLOOKUP(A211*1000+D208,学习等级编码,2),0)</f>
        <v>4307</v>
      </c>
      <c r="F211">
        <f t="shared" ref="F211" si="29">IFERROR(INT(VLOOKUP($E211,技能升级,9,FALSE)*$C211*I211*J211),0)</f>
        <v>0</v>
      </c>
      <c r="G211">
        <f t="shared" ref="G211" si="30">IFERROR(INT(VLOOKUP($E211,技能升级,10,FALSE)*$C211*I211*J211),0)</f>
        <v>0</v>
      </c>
      <c r="H211">
        <f>INT(VLOOKUP($E211,技能升级,11,FALSE)*$C211*I211*J211)</f>
        <v>0</v>
      </c>
      <c r="I211">
        <v>1</v>
      </c>
      <c r="J211">
        <v>1</v>
      </c>
      <c r="L211">
        <v>43</v>
      </c>
      <c r="M211" t="s">
        <v>36</v>
      </c>
      <c r="N211">
        <v>1</v>
      </c>
      <c r="O211">
        <f>VLOOKUP(L211,技能参数,4,FALSE)</f>
        <v>1</v>
      </c>
      <c r="P211">
        <f>IFERROR(VLOOKUP(L211*1000+O208,学习等级编码,2),0)</f>
        <v>4307</v>
      </c>
      <c r="Q211">
        <f>IFERROR(INT(VLOOKUP(P211,技能升级,9,FALSE)*N211*T211*U211),0)</f>
        <v>0</v>
      </c>
      <c r="R211">
        <f>IFERROR(INT(VLOOKUP(P211,技能升级,10,FALSE)*N211*T211*U211),0)</f>
        <v>0</v>
      </c>
      <c r="S211">
        <f>INT(VLOOKUP(P211,技能升级,11,FALSE)*N211*T211*U211)</f>
        <v>0</v>
      </c>
      <c r="T211">
        <v>1</v>
      </c>
      <c r="U211">
        <v>1</v>
      </c>
    </row>
    <row r="212" spans="1:21" x14ac:dyDescent="0.15">
      <c r="A212">
        <v>44</v>
      </c>
      <c r="B212" t="s">
        <v>38</v>
      </c>
      <c r="C212">
        <v>1</v>
      </c>
      <c r="D212">
        <f>IFERROR(INT(VLOOKUP($E212,技能升级,13,FALSE)),0)</f>
        <v>5</v>
      </c>
      <c r="E212">
        <f>IFERROR(VLOOKUP(A212*1000+D208,学习等级编码,2),0)</f>
        <v>4407</v>
      </c>
      <c r="F212">
        <f>IFERROR(INT(VLOOKUP($E212,技能升级,9,FALSE)*$C212*I212*J212),0)</f>
        <v>0</v>
      </c>
      <c r="G212">
        <f>IFERROR(INT(VLOOKUP($E212,技能升级,10,FALSE)*$D212*I212*J212),0)</f>
        <v>10640</v>
      </c>
      <c r="H212">
        <f>INT(VLOOKUP($E212,技能升级,11,FALSE)*$D212*I212*J212)</f>
        <v>2072</v>
      </c>
      <c r="I212">
        <v>1</v>
      </c>
      <c r="J212">
        <f>VLOOKUP(A208,$A$2:$I$21,8,FALSE)</f>
        <v>1.1200000000000001</v>
      </c>
      <c r="L212">
        <v>44</v>
      </c>
      <c r="M212" t="s">
        <v>38</v>
      </c>
      <c r="N212">
        <v>0</v>
      </c>
      <c r="O212">
        <v>0</v>
      </c>
      <c r="P212">
        <f>IFERROR(VLOOKUP(L212*1000+O208,学习等级编码,2),0)</f>
        <v>4407</v>
      </c>
      <c r="Q212">
        <f>IFERROR(INT(VLOOKUP(P212,技能升级,9,FALSE)*N212*T212*U212),0)</f>
        <v>0</v>
      </c>
      <c r="R212">
        <f>IFERROR(INT(VLOOKUP(P212,技能升级,10,FALSE)*N212*T212*U212),0)</f>
        <v>0</v>
      </c>
      <c r="S212">
        <f>INT(VLOOKUP(P212,技能升级,11,FALSE)*N212*T212*U212)</f>
        <v>0</v>
      </c>
      <c r="T212">
        <v>1</v>
      </c>
      <c r="U212">
        <f>VLOOKUP(L208,$A$2:$I$21,8,FALSE)</f>
        <v>1.1200000000000001</v>
      </c>
    </row>
    <row r="213" spans="1:21" x14ac:dyDescent="0.15">
      <c r="A213">
        <v>45</v>
      </c>
      <c r="B213" t="s">
        <v>37</v>
      </c>
      <c r="C213">
        <v>1</v>
      </c>
      <c r="D213">
        <f>VLOOKUP(A213,技能参数,4,FALSE)</f>
        <v>2</v>
      </c>
      <c r="E213">
        <f>IFERROR(VLOOKUP(A213*1000+D208,学习等级编码,2),0)</f>
        <v>4505</v>
      </c>
      <c r="F213">
        <f>IFERROR(INT(VLOOKUP($E213,技能升级,9,FALSE)*$C213*I213*J213),0)</f>
        <v>0</v>
      </c>
      <c r="G213">
        <f t="shared" ref="G213:G214" si="31">IFERROR(INT(VLOOKUP($E213,技能升级,10,FALSE)*$C213*I213*J213),0)</f>
        <v>0</v>
      </c>
      <c r="H213">
        <f>INT(VLOOKUP($E213,技能升级,11,FALSE)*$C213*I213*J213)</f>
        <v>0</v>
      </c>
      <c r="I213">
        <f>INT(VLOOKUP($E213,技能升级,13,FALSE)*$C213)</f>
        <v>12372</v>
      </c>
      <c r="J213">
        <v>1</v>
      </c>
      <c r="L213">
        <v>45</v>
      </c>
      <c r="M213" t="s">
        <v>37</v>
      </c>
      <c r="N213">
        <v>1</v>
      </c>
      <c r="O213">
        <f>VLOOKUP(L213,技能参数,4,FALSE)</f>
        <v>2</v>
      </c>
      <c r="P213">
        <f>IFERROR(VLOOKUP(L213*1000+O208,学习等级编码,2),0)</f>
        <v>4505</v>
      </c>
      <c r="Q213">
        <f>IFERROR(INT(VLOOKUP(P213,技能升级,9,FALSE)*N213*T213*U213),0)</f>
        <v>0</v>
      </c>
      <c r="R213">
        <f>IFERROR(INT(VLOOKUP(P213,技能升级,10,FALSE)*N213*T213*U213),0)</f>
        <v>0</v>
      </c>
      <c r="S213">
        <f>INT(VLOOKUP(P213,技能升级,11,FALSE)*N213*T213*U213)</f>
        <v>0</v>
      </c>
      <c r="T213">
        <f>INT(VLOOKUP($E213,技能升级,13,FALSE)*$C213)</f>
        <v>12372</v>
      </c>
      <c r="U213">
        <v>1</v>
      </c>
    </row>
    <row r="214" spans="1:21" x14ac:dyDescent="0.15">
      <c r="A214">
        <v>41</v>
      </c>
      <c r="B214" t="s">
        <v>361</v>
      </c>
      <c r="C214">
        <f>IF(INT((C208-C210*D210-C211*D211-C212*D212-C213*D213)/D214)&gt;0,INT((C208-C210*D210-C211*D211-C212*D212-C213*D213)/D214),0)</f>
        <v>4</v>
      </c>
      <c r="D214">
        <f>VLOOKUP(A214,技能参数,4,FALSE)</f>
        <v>1.2</v>
      </c>
      <c r="E214">
        <f>IFERROR(VLOOKUP(A214*1000+D208,学习等级编码,2),0)</f>
        <v>4111</v>
      </c>
      <c r="F214">
        <f>IFERROR(INT(VLOOKUP($E214,技能升级,9,FALSE)*$C214*I214*J214),0)</f>
        <v>0</v>
      </c>
      <c r="G214">
        <f t="shared" si="31"/>
        <v>6234</v>
      </c>
      <c r="H214">
        <f>INT(VLOOKUP($E214,技能升级,11,FALSE)*$C214*I214*J214)</f>
        <v>1770</v>
      </c>
      <c r="I214">
        <v>1</v>
      </c>
      <c r="J214">
        <f>VLOOKUP(A180,$A$2:$I$21,8,FALSE)</f>
        <v>1.0899999999999999</v>
      </c>
      <c r="L214">
        <v>41</v>
      </c>
      <c r="M214" t="s">
        <v>361</v>
      </c>
      <c r="N214">
        <f>IF(INT((N208-N210*O210-N211*O211-N212*O212-N213*O213)/O214)&gt;0,INT((N208-N210*O210-N211*O211-N212*O212-N213*O213)/O214),0)</f>
        <v>10</v>
      </c>
      <c r="O214">
        <f>VLOOKUP(L214,技能参数,4,FALSE)</f>
        <v>1.2</v>
      </c>
      <c r="P214">
        <f>IFERROR(VLOOKUP(L214*1000+O208,学习等级编码,2),0)</f>
        <v>4111</v>
      </c>
      <c r="Q214">
        <f>IFERROR(INT(VLOOKUP(P214,技能升级,9,FALSE)*N214*T214*U214),0)</f>
        <v>0</v>
      </c>
      <c r="R214">
        <f>IFERROR(INT(VLOOKUP(P214,技能升级,10,FALSE)*N214*T214*U214),0)</f>
        <v>15587</v>
      </c>
      <c r="S214">
        <f>INT(VLOOKUP(P214,技能升级,11,FALSE)*N214*T214*U214)</f>
        <v>4425</v>
      </c>
      <c r="T214">
        <v>1</v>
      </c>
      <c r="U214">
        <f>VLOOKUP(A180,$A$2:$I$21,8,FALSE)</f>
        <v>1.0899999999999999</v>
      </c>
    </row>
    <row r="215" spans="1:21" x14ac:dyDescent="0.15">
      <c r="A215">
        <f>VLOOKUP(E210,技能升级,13,FALSE)</f>
        <v>107</v>
      </c>
      <c r="B215" t="s">
        <v>375</v>
      </c>
      <c r="C215">
        <f>IF(C208&lt;J208,C208+C208-H208,IF(C208&gt;J208+H208,J208+J208,J208+C208-H208))</f>
        <v>23</v>
      </c>
      <c r="G215">
        <f>INT((VLOOKUP(A215,召唤物属性,7,FALSE)-
IF($B208&gt;10000,VLOOKUP($B208,实战属性,15,FALSE),VLOOKUP($B208,总基本属性,9,FALSE))*$L$13)*I215*J215)</f>
        <v>1899</v>
      </c>
      <c r="I215">
        <f>VLOOKUP($E210,技能升级,14,FALSE)</f>
        <v>2</v>
      </c>
      <c r="J215">
        <v>1</v>
      </c>
      <c r="L215">
        <f>VLOOKUP(P210,技能升级,13,FALSE)</f>
        <v>107</v>
      </c>
      <c r="M215" t="s">
        <v>375</v>
      </c>
      <c r="N215">
        <f>IF(N208&lt;U208,N208+N208-S208,IF(N208&gt;U208+S208,U208+U208,U208+N208-S208))</f>
        <v>25.89</v>
      </c>
      <c r="R215">
        <f>INT((VLOOKUP(L215,召唤物属性,7,FALSE)-
IF($B208&gt;10000,VLOOKUP($B208,实战属性,15,FALSE),VLOOKUP($B208,总基本属性,9,FALSE))*$L$13)*T215*U215)</f>
        <v>1899</v>
      </c>
      <c r="T215">
        <f>VLOOKUP($E210,技能升级,14,FALSE)</f>
        <v>2</v>
      </c>
      <c r="U215">
        <v>1</v>
      </c>
    </row>
    <row r="216" spans="1:21" x14ac:dyDescent="0.15">
      <c r="A216">
        <f>VLOOKUP(E211,技能升级,13,FALSE)</f>
        <v>207</v>
      </c>
      <c r="B216" t="s">
        <v>374</v>
      </c>
      <c r="C216">
        <f>IF(C208&lt;J208,C208+C208-H208,IF(C208&gt;J208+H208,J208+J208,J208+C208-H208))</f>
        <v>23</v>
      </c>
      <c r="F216">
        <f>INT((VLOOKUP(A216,召唤物属性,6,FALSE)-
IF($B208&gt;10000,VLOOKUP($B208,实战属性,15,FALSE),VLOOKUP($B208,总基本属性,9,FALSE))*$L$13)*I216*J216)</f>
        <v>2370</v>
      </c>
      <c r="I216">
        <f>VLOOKUP($E211,技能升级,14,FALSE)</f>
        <v>3</v>
      </c>
      <c r="J216">
        <f>VLOOKUP(A208,$A$2:$I$21,9,FALSE)</f>
        <v>0.93</v>
      </c>
      <c r="L216">
        <f>VLOOKUP(P211,技能升级,13,FALSE)</f>
        <v>207</v>
      </c>
      <c r="M216" t="s">
        <v>374</v>
      </c>
      <c r="N216">
        <f>IF(N208&lt;U208,N208+N208-S208,IF(N208&gt;U208+S208,U208+U208,U208+N208-S208))</f>
        <v>25.89</v>
      </c>
      <c r="Q216">
        <f>INT((VLOOKUP(L216,召唤物属性,6,FALSE)-
IF($B208&gt;10000,VLOOKUP($B208,实战属性,15,FALSE),VLOOKUP($B208,总基本属性,9,FALSE))*$L$13)*T216*U216)</f>
        <v>2370</v>
      </c>
      <c r="T216">
        <f>VLOOKUP($E211,技能升级,14,FALSE)</f>
        <v>3</v>
      </c>
      <c r="U216">
        <f>VLOOKUP(L208,$A$2:$I$21,9,FALSE)</f>
        <v>0.93</v>
      </c>
    </row>
    <row r="217" spans="1:21" x14ac:dyDescent="0.15">
      <c r="E217" t="s">
        <v>194</v>
      </c>
      <c r="F217">
        <f>SUM(F210:F214)/1000</f>
        <v>0</v>
      </c>
      <c r="G217">
        <f>SUM(G210:G214)/1000</f>
        <v>16.873999999999999</v>
      </c>
      <c r="H217">
        <f>SUM(H210:H213)</f>
        <v>2072</v>
      </c>
      <c r="I217" t="s">
        <v>196</v>
      </c>
      <c r="J217" t="s">
        <v>197</v>
      </c>
      <c r="P217" t="s">
        <v>194</v>
      </c>
      <c r="Q217">
        <f>SUM(Q210:Q214)/1000</f>
        <v>0</v>
      </c>
      <c r="R217">
        <f>SUM(R210:R214)/1000</f>
        <v>15.587</v>
      </c>
      <c r="S217">
        <f>SUM(S210:S213)</f>
        <v>0</v>
      </c>
      <c r="T217" t="s">
        <v>196</v>
      </c>
      <c r="U217" t="s">
        <v>197</v>
      </c>
    </row>
    <row r="218" spans="1:21" x14ac:dyDescent="0.15">
      <c r="E218" t="s">
        <v>195</v>
      </c>
      <c r="F218">
        <f>INT((IF($A208&gt;10000,VLOOKUP($A208,实战属性,13,FALSE),VLOOKUP($A208,总基本属性,7,FALSE))-
IF($B208&gt;10000,VLOOKUP($B208,实战属性,15,FALSE),VLOOKUP($B208,总基本属性,9,FALSE))*$L$13)*F217)</f>
        <v>0</v>
      </c>
      <c r="G218">
        <f>INT((IF($A208&gt;10000,VLOOKUP($A208,实战属性,14,FALSE),VLOOKUP($A208,总基本属性,8,FALSE))-
IF($B208&gt;10000,VLOOKUP($B208,实战属性,16,FALSE),VLOOKUP($B208,总基本属性,10,FALSE))*$L$13)*G217)</f>
        <v>46943</v>
      </c>
      <c r="H218">
        <f>H217+F218+G218</f>
        <v>49015</v>
      </c>
      <c r="I218">
        <f>IF($B208&gt;10000,VLOOKUP($B208,实战属性,12,FALSE),VLOOKUP($B208,总基本属性,6,FALSE))</f>
        <v>152179</v>
      </c>
      <c r="J218">
        <f>ROUND(I218/H219,2)</f>
        <v>1.03</v>
      </c>
      <c r="P218" t="s">
        <v>195</v>
      </c>
      <c r="Q218">
        <f>INT((IF($A208&gt;10000,VLOOKUP($A208,实战属性,13,FALSE),VLOOKUP($A208,总基本属性,7,FALSE))-
IF($B208&gt;10000,VLOOKUP($B208,实战属性,15,FALSE),VLOOKUP($B208,总基本属性,9,FALSE))*$L$13)*Q217)</f>
        <v>0</v>
      </c>
      <c r="R218">
        <f>INT((IF($A208&gt;10000,VLOOKUP($A208,实战属性,14,FALSE),VLOOKUP($A208,总基本属性,8,FALSE))-
IF($B208&gt;10000,VLOOKUP($B208,实战属性,16,FALSE),VLOOKUP($B208,总基本属性,10,FALSE))*$L$13)*R217)</f>
        <v>43363</v>
      </c>
      <c r="S218">
        <f>S217+Q218+R218</f>
        <v>43363</v>
      </c>
      <c r="T218">
        <f>IF($B208&gt;10000,VLOOKUP($B208,实战属性,12,FALSE),VLOOKUP($B208,总基本属性,6,FALSE))</f>
        <v>152179</v>
      </c>
      <c r="U218">
        <f>ROUND(T218/S219,2)</f>
        <v>0.99</v>
      </c>
    </row>
    <row r="219" spans="1:21" x14ac:dyDescent="0.15">
      <c r="E219" t="s">
        <v>376</v>
      </c>
      <c r="F219">
        <f>INT(F216*C216)</f>
        <v>54510</v>
      </c>
      <c r="G219">
        <f>INT(G215*C215)</f>
        <v>43677</v>
      </c>
      <c r="H219">
        <f>F219+G219+H218</f>
        <v>147202</v>
      </c>
      <c r="P219" t="s">
        <v>376</v>
      </c>
      <c r="Q219">
        <f>INT(Q216*N216)</f>
        <v>61359</v>
      </c>
      <c r="R219">
        <f>INT(R215*N215)</f>
        <v>49165</v>
      </c>
      <c r="S219">
        <f>Q219+R219+S218</f>
        <v>153887</v>
      </c>
    </row>
    <row r="223" spans="1:21" x14ac:dyDescent="0.15">
      <c r="A223" s="8" t="s">
        <v>2</v>
      </c>
      <c r="B223" s="8" t="s">
        <v>5</v>
      </c>
      <c r="C223" s="8" t="s">
        <v>178</v>
      </c>
      <c r="D223" s="8" t="s">
        <v>0</v>
      </c>
      <c r="L223" s="8" t="s">
        <v>2</v>
      </c>
      <c r="M223" s="8" t="s">
        <v>5</v>
      </c>
      <c r="N223" s="8" t="s">
        <v>178</v>
      </c>
      <c r="O223" s="8" t="s">
        <v>0</v>
      </c>
    </row>
    <row r="224" spans="1:21" x14ac:dyDescent="0.15">
      <c r="A224">
        <f>A196+1</f>
        <v>11108</v>
      </c>
      <c r="B224">
        <f>B196+10</f>
        <v>4080</v>
      </c>
      <c r="C224">
        <v>20</v>
      </c>
      <c r="D224">
        <f>MOD(B224,1000)</f>
        <v>80</v>
      </c>
      <c r="L224">
        <f>L196+1</f>
        <v>11108</v>
      </c>
      <c r="M224">
        <f>M196+10</f>
        <v>4080</v>
      </c>
      <c r="N224">
        <v>15</v>
      </c>
      <c r="O224">
        <f>MOD(M224,1000)</f>
        <v>80</v>
      </c>
    </row>
    <row r="225" spans="1:21" x14ac:dyDescent="0.15">
      <c r="A225" t="s">
        <v>156</v>
      </c>
      <c r="B225" t="s">
        <v>95</v>
      </c>
      <c r="C225" t="s">
        <v>177</v>
      </c>
      <c r="D225" t="s">
        <v>143</v>
      </c>
      <c r="E225" t="s">
        <v>182</v>
      </c>
      <c r="F225" t="s">
        <v>192</v>
      </c>
      <c r="G225" t="s">
        <v>193</v>
      </c>
      <c r="H225" t="s">
        <v>176</v>
      </c>
      <c r="I225" t="s">
        <v>205</v>
      </c>
      <c r="J225" t="s">
        <v>206</v>
      </c>
      <c r="L225" t="s">
        <v>156</v>
      </c>
      <c r="M225" t="s">
        <v>95</v>
      </c>
      <c r="N225" t="s">
        <v>177</v>
      </c>
      <c r="O225" t="s">
        <v>143</v>
      </c>
      <c r="P225" t="s">
        <v>182</v>
      </c>
      <c r="Q225" t="s">
        <v>192</v>
      </c>
      <c r="R225" t="s">
        <v>193</v>
      </c>
      <c r="S225" t="s">
        <v>176</v>
      </c>
      <c r="T225" t="s">
        <v>205</v>
      </c>
      <c r="U225" t="s">
        <v>206</v>
      </c>
    </row>
    <row r="226" spans="1:21" x14ac:dyDescent="0.15">
      <c r="A226">
        <v>12</v>
      </c>
      <c r="B226" t="s">
        <v>9</v>
      </c>
      <c r="C226">
        <f>C224-C230</f>
        <v>15</v>
      </c>
      <c r="D226">
        <f>VLOOKUP(A226,技能参数,4,FALSE)</f>
        <v>0.6</v>
      </c>
      <c r="E226">
        <f>VLOOKUP(A226*1000+D224,学习等级编码,2)</f>
        <v>1208</v>
      </c>
      <c r="F226">
        <f>INT(VLOOKUP($E226,技能升级,9,FALSE)*$C226*I226*J226)</f>
        <v>0</v>
      </c>
      <c r="G226">
        <f>INT(VLOOKUP($E226,技能升级,10,FALSE)*$C226*I226*J226)</f>
        <v>20756</v>
      </c>
      <c r="H226">
        <f>INT(VLOOKUP($E226,技能升级,11,FALSE)*$C226*I226*J226)</f>
        <v>7306</v>
      </c>
      <c r="I226">
        <v>1</v>
      </c>
      <c r="J226">
        <f>VLOOKUP(A224,$A$2:$I$21,7,FALSE)</f>
        <v>1.125</v>
      </c>
      <c r="L226">
        <v>12</v>
      </c>
      <c r="M226" t="s">
        <v>9</v>
      </c>
      <c r="N226">
        <f>N224</f>
        <v>15</v>
      </c>
      <c r="O226">
        <f>VLOOKUP(L226,技能参数,4,FALSE)</f>
        <v>0.6</v>
      </c>
      <c r="P226">
        <f>VLOOKUP(L226*1000+O224,学习等级编码,2)</f>
        <v>1208</v>
      </c>
      <c r="Q226">
        <f>INT(VLOOKUP(P226,技能升级,9,FALSE)*N226*T226*U226)</f>
        <v>0</v>
      </c>
      <c r="R226">
        <f>INT(VLOOKUP(P226,技能升级,10,FALSE)*N226*T226*U226)</f>
        <v>20756</v>
      </c>
      <c r="S226">
        <f>INT(VLOOKUP(P226,技能升级,11,FALSE)*N226*T226*U226)</f>
        <v>7306</v>
      </c>
      <c r="T226">
        <v>1</v>
      </c>
      <c r="U226">
        <f>VLOOKUP(L224,$A$2:$I$21,7,FALSE)</f>
        <v>1.125</v>
      </c>
    </row>
    <row r="227" spans="1:21" x14ac:dyDescent="0.15">
      <c r="A227">
        <v>15</v>
      </c>
      <c r="B227" t="s">
        <v>12</v>
      </c>
      <c r="C227">
        <v>1</v>
      </c>
      <c r="D227">
        <f>VLOOKUP(A227,技能参数,4,FALSE)</f>
        <v>1.5</v>
      </c>
      <c r="E227">
        <f>VLOOKUP(A227*1000+D224,学习等级编码,2)</f>
        <v>1505</v>
      </c>
      <c r="F227">
        <f>INT(VLOOKUP($E227,技能升级,9,FALSE)*$C227*I227*J227)</f>
        <v>0</v>
      </c>
      <c r="G227">
        <f>INT(VLOOKUP($E227,技能升级,10,FALSE)*$C227*I227*J227)</f>
        <v>0</v>
      </c>
      <c r="H227">
        <f>INT(VLOOKUP($E227,技能升级,11,FALSE)*$C227*I227*J227)</f>
        <v>0</v>
      </c>
      <c r="I227">
        <v>1</v>
      </c>
      <c r="J227">
        <v>1</v>
      </c>
      <c r="L227">
        <v>15</v>
      </c>
      <c r="M227" t="s">
        <v>12</v>
      </c>
      <c r="N227">
        <v>1</v>
      </c>
      <c r="O227">
        <f>VLOOKUP(L227,技能参数,4,FALSE)</f>
        <v>1.5</v>
      </c>
      <c r="P227">
        <f>VLOOKUP(L227*1000+O224,学习等级编码,2)</f>
        <v>1505</v>
      </c>
      <c r="Q227">
        <f>INT(VLOOKUP(P227,技能升级,9,FALSE)*N227*T227*U227)</f>
        <v>0</v>
      </c>
      <c r="R227">
        <f>INT(VLOOKUP(P227,技能升级,10,FALSE)*N227*T227*U227)</f>
        <v>0</v>
      </c>
      <c r="S227">
        <f>INT(VLOOKUP(P227,技能升级,11,FALSE)*N227*T227*U227)</f>
        <v>0</v>
      </c>
      <c r="T227">
        <v>1</v>
      </c>
      <c r="U227">
        <v>1</v>
      </c>
    </row>
    <row r="228" spans="1:21" x14ac:dyDescent="0.15">
      <c r="A228">
        <v>11</v>
      </c>
      <c r="B228" t="s">
        <v>94</v>
      </c>
      <c r="C228">
        <f>INT((C224-D226-D227-C230)/D228)</f>
        <v>12</v>
      </c>
      <c r="D228">
        <f>VLOOKUP(A228,技能参数,4,FALSE)</f>
        <v>1</v>
      </c>
      <c r="E228">
        <f>VLOOKUP(A228*1000+D224,学习等级编码,2)</f>
        <v>1112</v>
      </c>
      <c r="F228">
        <f>INT(VLOOKUP($E228,技能升级,9,FALSE)*$C228*I228*J228)</f>
        <v>16740</v>
      </c>
      <c r="G228">
        <f>INT(VLOOKUP($E228,技能升级,10,FALSE)*$C228*I228*J228)</f>
        <v>0</v>
      </c>
      <c r="H228">
        <f>INT(VLOOKUP($E228,技能升级,11,FALSE)*$C228*I228*J228)</f>
        <v>6574</v>
      </c>
      <c r="I228">
        <v>1</v>
      </c>
      <c r="J228">
        <f>VLOOKUP(A224,$A$2:$I$21,7,FALSE)</f>
        <v>1.125</v>
      </c>
      <c r="L228">
        <v>11</v>
      </c>
      <c r="M228" t="s">
        <v>94</v>
      </c>
      <c r="N228">
        <f>INT((N224-O226-O227)/O228)</f>
        <v>12</v>
      </c>
      <c r="O228">
        <f>VLOOKUP(L228,技能参数,4,FALSE)</f>
        <v>1</v>
      </c>
      <c r="P228">
        <f>VLOOKUP(L228*1000+O224,学习等级编码,2)</f>
        <v>1112</v>
      </c>
      <c r="Q228">
        <f>INT(VLOOKUP(P228,技能升级,9,FALSE)*N228*T228*U228)</f>
        <v>16740</v>
      </c>
      <c r="R228">
        <f>INT(VLOOKUP(P228,技能升级,10,FALSE)*N228*T228*U228)</f>
        <v>0</v>
      </c>
      <c r="S228">
        <f>INT(VLOOKUP(P228,技能升级,11,FALSE)*N228*T228*U228)</f>
        <v>6574</v>
      </c>
      <c r="T228">
        <v>1</v>
      </c>
      <c r="U228">
        <f>VLOOKUP(L224,$A$2:$I$21,7,FALSE)</f>
        <v>1.125</v>
      </c>
    </row>
    <row r="229" spans="1:21" x14ac:dyDescent="0.15">
      <c r="A229">
        <v>14</v>
      </c>
      <c r="B229" t="s">
        <v>11</v>
      </c>
      <c r="C229">
        <v>1</v>
      </c>
      <c r="D229">
        <v>0</v>
      </c>
      <c r="E229">
        <f>VLOOKUP(A229*1000+D224,学习等级编码,2)</f>
        <v>1408</v>
      </c>
      <c r="F229">
        <f>INT(VLOOKUP($E229,技能升级,9,FALSE)*$C229*I229*J229)</f>
        <v>0</v>
      </c>
      <c r="G229">
        <f>INT(VLOOKUP($E229,技能升级,10,FALSE)*$C229*I229*J229)</f>
        <v>0</v>
      </c>
      <c r="H229">
        <f>INT(VLOOKUP($E229,技能升级,11,FALSE)*$C229*I229*J229)</f>
        <v>0</v>
      </c>
      <c r="I229">
        <v>1</v>
      </c>
      <c r="J229">
        <v>1</v>
      </c>
      <c r="L229">
        <v>14</v>
      </c>
      <c r="M229" t="s">
        <v>11</v>
      </c>
      <c r="N229">
        <v>1</v>
      </c>
      <c r="O229">
        <v>0</v>
      </c>
      <c r="P229">
        <f>VLOOKUP(L229*1000+O224,学习等级编码,2)</f>
        <v>1408</v>
      </c>
      <c r="Q229">
        <f>INT(VLOOKUP(P229,技能升级,9,FALSE)*N229*T229*U229)</f>
        <v>0</v>
      </c>
      <c r="R229">
        <f>INT(VLOOKUP(P229,技能升级,10,FALSE)*N229*T229*U229)</f>
        <v>0</v>
      </c>
      <c r="S229">
        <f>INT(VLOOKUP(P229,技能升级,11,FALSE)*N229*T229*U229)</f>
        <v>0</v>
      </c>
      <c r="T229">
        <v>1</v>
      </c>
      <c r="U229">
        <v>1</v>
      </c>
    </row>
    <row r="230" spans="1:21" x14ac:dyDescent="0.15">
      <c r="B230" t="s">
        <v>437</v>
      </c>
      <c r="C230">
        <f>D240</f>
        <v>5</v>
      </c>
      <c r="P230" t="s">
        <v>194</v>
      </c>
      <c r="Q230">
        <f>SUM(Q226:Q228)/1000</f>
        <v>16.739999999999998</v>
      </c>
      <c r="R230">
        <f>SUM(R226:R228)/1000</f>
        <v>20.756</v>
      </c>
      <c r="S230">
        <f>SUM(S226:S228)</f>
        <v>13880</v>
      </c>
      <c r="T230" t="s">
        <v>196</v>
      </c>
      <c r="U230" t="s">
        <v>197</v>
      </c>
    </row>
    <row r="231" spans="1:21" x14ac:dyDescent="0.15">
      <c r="E231" t="s">
        <v>194</v>
      </c>
      <c r="F231">
        <f>SUM(F226:F228)/1000</f>
        <v>16.739999999999998</v>
      </c>
      <c r="G231">
        <f>SUM(G226:G228)/1000</f>
        <v>20.756</v>
      </c>
      <c r="H231">
        <f>SUM(H226:H228)</f>
        <v>13880</v>
      </c>
      <c r="I231" t="s">
        <v>196</v>
      </c>
      <c r="J231" t="s">
        <v>197</v>
      </c>
      <c r="P231" t="s">
        <v>195</v>
      </c>
      <c r="Q231">
        <f>INT((IF($A224&gt;10000,VLOOKUP($A224,实战属性,13,FALSE),VLOOKUP($A224,总基本属性,7,FALSE))-
IF($B224&gt;10000,VLOOKUP($B224,实战属性,15,FALSE),VLOOKUP($B224,总基本属性,9,FALSE))*$L$13)*Q230)</f>
        <v>56246</v>
      </c>
      <c r="R231">
        <f>INT((IF($A224&gt;10000,VLOOKUP($A224,实战属性,14,FALSE),VLOOKUP($A224,总基本属性,8,FALSE))-
IF($B224&gt;10000,VLOOKUP($B224,实战属性,16,FALSE),VLOOKUP($B224,总基本属性,10,FALSE))*$L$13)*R230)</f>
        <v>46680</v>
      </c>
      <c r="S231">
        <f>S230+Q231+R231</f>
        <v>116806</v>
      </c>
      <c r="T231">
        <f>IF($B224&gt;10000,VLOOKUP($B224,实战属性,12,FALSE),VLOOKUP($B224,总基本属性,6,FALSE))+T241</f>
        <v>114702</v>
      </c>
      <c r="U231">
        <f>ROUND(T231/S231,2)</f>
        <v>0.98</v>
      </c>
    </row>
    <row r="232" spans="1:21" x14ac:dyDescent="0.15">
      <c r="E232" t="s">
        <v>195</v>
      </c>
      <c r="F232">
        <f>INT((IF($A224&gt;10000,VLOOKUP($A224,实战属性,13,FALSE),VLOOKUP($A224,总基本属性,7,FALSE))-
IF($B224&gt;10000,VLOOKUP($B224,实战属性,15,FALSE),VLOOKUP($B224,总基本属性,9,FALSE))*$L$13)*F231)</f>
        <v>56246</v>
      </c>
      <c r="G232">
        <f>INT((IF($A224&gt;10000,VLOOKUP($A224,实战属性,14,FALSE),VLOOKUP($A224,总基本属性,8,FALSE))-
IF($B224&gt;10000,VLOOKUP($B224,实战属性,16,FALSE),VLOOKUP($B224,总基本属性,10,FALSE))*$L$13)*G231)</f>
        <v>46680</v>
      </c>
      <c r="H232">
        <f>H231+F232+G232</f>
        <v>116806</v>
      </c>
      <c r="I232">
        <f>IF($B224&gt;10000,VLOOKUP($B224,实战属性,12,FALSE),VLOOKUP($B224,总基本属性,6,FALSE))+I241</f>
        <v>114702</v>
      </c>
      <c r="J232">
        <f>ROUND(I232/H232,2)</f>
        <v>0.98</v>
      </c>
    </row>
    <row r="235" spans="1:21" x14ac:dyDescent="0.15">
      <c r="A235" s="9" t="s">
        <v>5</v>
      </c>
      <c r="B235" s="9" t="s">
        <v>2</v>
      </c>
      <c r="C235" s="9" t="s">
        <v>178</v>
      </c>
      <c r="D235" s="9" t="s">
        <v>0</v>
      </c>
      <c r="G235" t="s">
        <v>445</v>
      </c>
      <c r="H235">
        <f>INT(I246/J246/C236)</f>
        <v>13747</v>
      </c>
      <c r="I235" t="s">
        <v>446</v>
      </c>
      <c r="J235">
        <f>ROUND(I241/H235,1)</f>
        <v>0.9</v>
      </c>
      <c r="L235" s="9" t="s">
        <v>5</v>
      </c>
      <c r="M235" s="9" t="s">
        <v>2</v>
      </c>
      <c r="N235" s="9" t="s">
        <v>178</v>
      </c>
      <c r="O235" s="9" t="s">
        <v>0</v>
      </c>
      <c r="R235" t="s">
        <v>445</v>
      </c>
      <c r="S235">
        <f>INT(T246/U246/N236)</f>
        <v>12149</v>
      </c>
      <c r="T235" t="s">
        <v>446</v>
      </c>
      <c r="U235">
        <f>ROUND(T241/S235,1)</f>
        <v>1</v>
      </c>
    </row>
    <row r="236" spans="1:21" x14ac:dyDescent="0.15">
      <c r="A236">
        <f>A208+10</f>
        <v>4080</v>
      </c>
      <c r="B236">
        <f>B208+1</f>
        <v>11108</v>
      </c>
      <c r="C236">
        <v>14</v>
      </c>
      <c r="D236">
        <f>MOD(A236,1000)</f>
        <v>80</v>
      </c>
      <c r="G236" t="s">
        <v>447</v>
      </c>
      <c r="H236">
        <v>4</v>
      </c>
      <c r="I236" t="s">
        <v>383</v>
      </c>
      <c r="J236">
        <f>VLOOKUP(D236,召唤物生存,10)</f>
        <v>13.87</v>
      </c>
      <c r="L236">
        <f>L208+10</f>
        <v>4080</v>
      </c>
      <c r="M236">
        <f>M208+1</f>
        <v>11108</v>
      </c>
      <c r="N236">
        <v>16</v>
      </c>
      <c r="O236">
        <f>MOD(L236,1000)</f>
        <v>80</v>
      </c>
      <c r="R236" t="s">
        <v>447</v>
      </c>
      <c r="S236">
        <v>4</v>
      </c>
      <c r="T236" t="s">
        <v>383</v>
      </c>
      <c r="U236">
        <f>VLOOKUP(O236,召唤物生存,10)</f>
        <v>13.87</v>
      </c>
    </row>
    <row r="237" spans="1:21" x14ac:dyDescent="0.15">
      <c r="A237" t="s">
        <v>156</v>
      </c>
      <c r="B237" t="s">
        <v>95</v>
      </c>
      <c r="C237" t="s">
        <v>177</v>
      </c>
      <c r="D237" t="s">
        <v>143</v>
      </c>
      <c r="E237" t="s">
        <v>182</v>
      </c>
      <c r="F237" t="s">
        <v>192</v>
      </c>
      <c r="G237" t="s">
        <v>193</v>
      </c>
      <c r="H237" t="s">
        <v>176</v>
      </c>
      <c r="I237" t="s">
        <v>205</v>
      </c>
      <c r="J237" t="s">
        <v>206</v>
      </c>
      <c r="L237" t="s">
        <v>156</v>
      </c>
      <c r="M237" t="s">
        <v>95</v>
      </c>
      <c r="N237" t="s">
        <v>177</v>
      </c>
      <c r="O237" t="s">
        <v>143</v>
      </c>
      <c r="P237" t="s">
        <v>182</v>
      </c>
      <c r="Q237" t="s">
        <v>192</v>
      </c>
      <c r="R237" t="s">
        <v>193</v>
      </c>
      <c r="S237" t="s">
        <v>176</v>
      </c>
      <c r="T237" t="s">
        <v>205</v>
      </c>
      <c r="U237" t="s">
        <v>206</v>
      </c>
    </row>
    <row r="238" spans="1:21" x14ac:dyDescent="0.15">
      <c r="A238">
        <v>42</v>
      </c>
      <c r="B238" t="s">
        <v>35</v>
      </c>
      <c r="C238">
        <v>1</v>
      </c>
      <c r="D238">
        <f>VLOOKUP(A238,技能参数,4,FALSE)</f>
        <v>1</v>
      </c>
      <c r="E238">
        <f>IFERROR(VLOOKUP(A238*1000+D236,学习等级编码,2),0)</f>
        <v>4208</v>
      </c>
      <c r="F238">
        <f>IFERROR(INT(VLOOKUP($E238,技能升级,9,FALSE)*$C238*I238*J238),0)</f>
        <v>0</v>
      </c>
      <c r="G238">
        <f>IFERROR(INT(VLOOKUP($E238,技能升级,10,FALSE)*$C238*I238*J238),0)</f>
        <v>0</v>
      </c>
      <c r="H238">
        <f>INT(VLOOKUP($E238,技能升级,11,FALSE)*$C238*I238*J238)</f>
        <v>0</v>
      </c>
      <c r="I238">
        <v>1</v>
      </c>
      <c r="J238">
        <v>1</v>
      </c>
      <c r="L238">
        <v>42</v>
      </c>
      <c r="M238" t="s">
        <v>35</v>
      </c>
      <c r="N238">
        <v>1</v>
      </c>
      <c r="O238">
        <f>VLOOKUP(L238,技能参数,4,FALSE)</f>
        <v>1</v>
      </c>
      <c r="P238">
        <f>IFERROR(VLOOKUP(L238*1000+O236,学习等级编码,2),0)</f>
        <v>4208</v>
      </c>
      <c r="Q238">
        <f>IFERROR(INT(VLOOKUP(P238,技能升级,9,FALSE)*N238*T238*U238),0)</f>
        <v>0</v>
      </c>
      <c r="R238">
        <f>IFERROR(INT(VLOOKUP(P238,技能升级,10,FALSE)*N238*T238*U238),0)</f>
        <v>0</v>
      </c>
      <c r="S238">
        <f>INT(VLOOKUP(P238,技能升级,11,FALSE)*N238*T238*U238)</f>
        <v>0</v>
      </c>
      <c r="T238">
        <v>1</v>
      </c>
      <c r="U238">
        <v>1</v>
      </c>
    </row>
    <row r="239" spans="1:21" x14ac:dyDescent="0.15">
      <c r="A239">
        <v>43</v>
      </c>
      <c r="B239" t="s">
        <v>36</v>
      </c>
      <c r="C239">
        <v>1</v>
      </c>
      <c r="D239">
        <f>VLOOKUP(A239,技能参数,4,FALSE)</f>
        <v>1</v>
      </c>
      <c r="E239">
        <f>IFERROR(VLOOKUP(A239*1000+D236,学习等级编码,2),0)</f>
        <v>4308</v>
      </c>
      <c r="F239">
        <f t="shared" ref="F239" si="32">IFERROR(INT(VLOOKUP($E239,技能升级,9,FALSE)*$C239*I239*J239),0)</f>
        <v>0</v>
      </c>
      <c r="G239">
        <f t="shared" ref="G239" si="33">IFERROR(INT(VLOOKUP($E239,技能升级,10,FALSE)*$C239*I239*J239),0)</f>
        <v>0</v>
      </c>
      <c r="H239">
        <f>INT(VLOOKUP($E239,技能升级,11,FALSE)*$C239*I239*J239)</f>
        <v>0</v>
      </c>
      <c r="I239">
        <v>1</v>
      </c>
      <c r="J239">
        <v>1</v>
      </c>
      <c r="L239">
        <v>43</v>
      </c>
      <c r="M239" t="s">
        <v>36</v>
      </c>
      <c r="N239">
        <v>1</v>
      </c>
      <c r="O239">
        <f>VLOOKUP(L239,技能参数,4,FALSE)</f>
        <v>1</v>
      </c>
      <c r="P239">
        <f>IFERROR(VLOOKUP(L239*1000+O236,学习等级编码,2),0)</f>
        <v>4308</v>
      </c>
      <c r="Q239">
        <f>IFERROR(INT(VLOOKUP(P239,技能升级,9,FALSE)*N239*T239*U239),0)</f>
        <v>0</v>
      </c>
      <c r="R239">
        <f>IFERROR(INT(VLOOKUP(P239,技能升级,10,FALSE)*N239*T239*U239),0)</f>
        <v>0</v>
      </c>
      <c r="S239">
        <f>INT(VLOOKUP(P239,技能升级,11,FALSE)*N239*T239*U239)</f>
        <v>0</v>
      </c>
      <c r="T239">
        <v>1</v>
      </c>
      <c r="U239">
        <v>1</v>
      </c>
    </row>
    <row r="240" spans="1:21" x14ac:dyDescent="0.15">
      <c r="A240">
        <v>44</v>
      </c>
      <c r="B240" t="s">
        <v>38</v>
      </c>
      <c r="C240">
        <v>1</v>
      </c>
      <c r="D240">
        <f>IFERROR(INT(VLOOKUP($E240,技能升级,13,FALSE)),0)</f>
        <v>5</v>
      </c>
      <c r="E240">
        <f>IFERROR(VLOOKUP(A240*1000+D236,学习等级编码,2),0)</f>
        <v>4408</v>
      </c>
      <c r="F240">
        <f>IFERROR(INT(VLOOKUP($E240,技能升级,9,FALSE)*$C240*I240*J240),0)</f>
        <v>0</v>
      </c>
      <c r="G240">
        <f>IFERROR(INT(VLOOKUP($E240,技能升级,10,FALSE)*$D240*I240*J240),0)</f>
        <v>11426</v>
      </c>
      <c r="H240">
        <f>INT(VLOOKUP($E240,技能升级,11,FALSE)*$D240*I240*J240)</f>
        <v>2784</v>
      </c>
      <c r="I240">
        <v>1</v>
      </c>
      <c r="J240">
        <f>VLOOKUP(A236,$A$2:$I$21,8,FALSE)</f>
        <v>1.1600000000000001</v>
      </c>
      <c r="L240">
        <v>44</v>
      </c>
      <c r="M240" t="s">
        <v>38</v>
      </c>
      <c r="N240">
        <v>0</v>
      </c>
      <c r="O240">
        <v>0</v>
      </c>
      <c r="P240">
        <f>IFERROR(VLOOKUP(L240*1000+O236,学习等级编码,2),0)</f>
        <v>4408</v>
      </c>
      <c r="Q240">
        <f>IFERROR(INT(VLOOKUP(P240,技能升级,9,FALSE)*N240*T240*U240),0)</f>
        <v>0</v>
      </c>
      <c r="R240">
        <f>IFERROR(INT(VLOOKUP(P240,技能升级,10,FALSE)*N240*T240*U240),0)</f>
        <v>0</v>
      </c>
      <c r="S240">
        <f>INT(VLOOKUP(P240,技能升级,11,FALSE)*N240*T240*U240)</f>
        <v>0</v>
      </c>
      <c r="T240">
        <v>1</v>
      </c>
      <c r="U240">
        <f>VLOOKUP(L236,$A$2:$I$21,8,FALSE)</f>
        <v>1.1600000000000001</v>
      </c>
    </row>
    <row r="241" spans="1:21" x14ac:dyDescent="0.15">
      <c r="A241">
        <v>45</v>
      </c>
      <c r="B241" t="s">
        <v>37</v>
      </c>
      <c r="C241">
        <v>1</v>
      </c>
      <c r="D241">
        <f>VLOOKUP(A241,技能参数,4,FALSE)</f>
        <v>2</v>
      </c>
      <c r="E241">
        <f>IFERROR(VLOOKUP(A241*1000+D236,学习等级编码,2),0)</f>
        <v>4505</v>
      </c>
      <c r="F241">
        <f>IFERROR(INT(VLOOKUP($E241,技能升级,9,FALSE)*$C241*I241*J241),0)</f>
        <v>0</v>
      </c>
      <c r="G241">
        <f t="shared" ref="G241:G242" si="34">IFERROR(INT(VLOOKUP($E241,技能升级,10,FALSE)*$C241*I241*J241),0)</f>
        <v>0</v>
      </c>
      <c r="H241">
        <f>INT(VLOOKUP($E241,技能升级,11,FALSE)*$C241*I241*J241)</f>
        <v>0</v>
      </c>
      <c r="I241">
        <f>INT(VLOOKUP($E241,技能升级,13,FALSE)*$C241)</f>
        <v>12372</v>
      </c>
      <c r="J241">
        <v>1</v>
      </c>
      <c r="L241">
        <v>45</v>
      </c>
      <c r="M241" t="s">
        <v>37</v>
      </c>
      <c r="N241">
        <v>1</v>
      </c>
      <c r="O241">
        <f>VLOOKUP(L241,技能参数,4,FALSE)</f>
        <v>2</v>
      </c>
      <c r="P241">
        <f>IFERROR(VLOOKUP(L241*1000+O236,学习等级编码,2),0)</f>
        <v>4505</v>
      </c>
      <c r="Q241">
        <f>IFERROR(INT(VLOOKUP(P241,技能升级,9,FALSE)*N241*T241*U241),0)</f>
        <v>0</v>
      </c>
      <c r="R241">
        <f>IFERROR(INT(VLOOKUP(P241,技能升级,10,FALSE)*N241*T241*U241),0)</f>
        <v>0</v>
      </c>
      <c r="S241">
        <f>INT(VLOOKUP(P241,技能升级,11,FALSE)*N241*T241*U241)</f>
        <v>0</v>
      </c>
      <c r="T241">
        <f>INT(VLOOKUP($E241,技能升级,13,FALSE)*$C241)</f>
        <v>12372</v>
      </c>
      <c r="U241">
        <v>1</v>
      </c>
    </row>
    <row r="242" spans="1:21" x14ac:dyDescent="0.15">
      <c r="A242">
        <v>41</v>
      </c>
      <c r="B242" t="s">
        <v>361</v>
      </c>
      <c r="C242">
        <f>IF(INT((C236-C238*D238-C239*D239-C240*D240-C241*D241)/D242)&gt;0,INT((C236-C238*D238-C239*D239-C240*D240-C241*D241)/D242),0)</f>
        <v>4</v>
      </c>
      <c r="D242">
        <f>VLOOKUP(A242,技能参数,4,FALSE)</f>
        <v>1.2</v>
      </c>
      <c r="E242">
        <f>IFERROR(VLOOKUP(A242*1000+D236,学习等级编码,2),0)</f>
        <v>4112</v>
      </c>
      <c r="F242">
        <f>IFERROR(INT(VLOOKUP($E242,技能升级,9,FALSE)*$C242*I242*J242),0)</f>
        <v>0</v>
      </c>
      <c r="G242">
        <f t="shared" si="34"/>
        <v>6585</v>
      </c>
      <c r="H242">
        <f>INT(VLOOKUP($E242,技能升级,11,FALSE)*$C242*I242*J242)</f>
        <v>2181</v>
      </c>
      <c r="I242">
        <v>1</v>
      </c>
      <c r="J242">
        <f>VLOOKUP(A208,$A$2:$I$21,8,FALSE)</f>
        <v>1.1200000000000001</v>
      </c>
      <c r="L242">
        <v>41</v>
      </c>
      <c r="M242" t="s">
        <v>361</v>
      </c>
      <c r="N242">
        <f>IF(INT((N236-N238*O238-N239*O239-N240*O240-N241*O241)/O242)&gt;0,INT((N236-N238*O238-N239*O239-N240*O240-N241*O241)/O242),0)</f>
        <v>10</v>
      </c>
      <c r="O242">
        <f>VLOOKUP(L242,技能参数,4,FALSE)</f>
        <v>1.2</v>
      </c>
      <c r="P242">
        <f>IFERROR(VLOOKUP(L242*1000+O236,学习等级编码,2),0)</f>
        <v>4112</v>
      </c>
      <c r="Q242">
        <f>IFERROR(INT(VLOOKUP(P242,技能升级,9,FALSE)*N242*T242*U242),0)</f>
        <v>0</v>
      </c>
      <c r="R242">
        <f>IFERROR(INT(VLOOKUP(P242,技能升级,10,FALSE)*N242*T242*U242),0)</f>
        <v>16464</v>
      </c>
      <c r="S242">
        <f>INT(VLOOKUP(P242,技能升级,11,FALSE)*N242*T242*U242)</f>
        <v>5454</v>
      </c>
      <c r="T242">
        <v>1</v>
      </c>
      <c r="U242">
        <f>VLOOKUP(A208,$A$2:$I$21,8,FALSE)</f>
        <v>1.1200000000000001</v>
      </c>
    </row>
    <row r="243" spans="1:21" x14ac:dyDescent="0.15">
      <c r="A243">
        <f>VLOOKUP(E238,技能升级,13,FALSE)</f>
        <v>108</v>
      </c>
      <c r="B243" t="s">
        <v>375</v>
      </c>
      <c r="C243">
        <f>IF(C236&lt;J236,C236+C236-H236,IF(C236&gt;J236+H236,J236+J236,J236+C236-H236))</f>
        <v>23.869999999999997</v>
      </c>
      <c r="G243">
        <f>INT((VLOOKUP(A243,召唤物属性,7,FALSE)-
IF($B236&gt;10000,VLOOKUP($B236,实战属性,15,FALSE),VLOOKUP($B236,总基本属性,9,FALSE))*$L$13)*I243*J243)</f>
        <v>2254</v>
      </c>
      <c r="I243">
        <f>VLOOKUP($E238,技能升级,14,FALSE)</f>
        <v>2</v>
      </c>
      <c r="J243">
        <v>1</v>
      </c>
      <c r="L243">
        <f>VLOOKUP(P238,技能升级,13,FALSE)</f>
        <v>108</v>
      </c>
      <c r="M243" t="s">
        <v>375</v>
      </c>
      <c r="N243">
        <f>IF(N236&lt;U236,N236+N236-S236,IF(N236&gt;U236+S236,U236+U236,U236+N236-S236))</f>
        <v>25.869999999999997</v>
      </c>
      <c r="R243">
        <f>INT((VLOOKUP(L243,召唤物属性,7,FALSE)-
IF($B236&gt;10000,VLOOKUP($B236,实战属性,15,FALSE),VLOOKUP($B236,总基本属性,9,FALSE))*$L$13)*T243*U243)</f>
        <v>2254</v>
      </c>
      <c r="T243">
        <f>VLOOKUP($E238,技能升级,14,FALSE)</f>
        <v>2</v>
      </c>
      <c r="U243">
        <v>1</v>
      </c>
    </row>
    <row r="244" spans="1:21" x14ac:dyDescent="0.15">
      <c r="A244">
        <f>VLOOKUP(E239,技能升级,13,FALSE)</f>
        <v>208</v>
      </c>
      <c r="B244" t="s">
        <v>374</v>
      </c>
      <c r="C244">
        <f>IF(C236&lt;J236,C236+C236-H236,IF(C236&gt;J236+H236,J236+J236,J236+C236-H236))</f>
        <v>23.869999999999997</v>
      </c>
      <c r="F244">
        <f>INT((VLOOKUP(A244,召唤物属性,6,FALSE)-
IF($B236&gt;10000,VLOOKUP($B236,实战属性,15,FALSE),VLOOKUP($B236,总基本属性,9,FALSE))*$L$13)*I244*J244)</f>
        <v>3076</v>
      </c>
      <c r="I244">
        <f>VLOOKUP($E239,技能升级,14,FALSE)</f>
        <v>4</v>
      </c>
      <c r="J244">
        <f>VLOOKUP(A236,$A$2:$I$21,9,FALSE)</f>
        <v>0.93</v>
      </c>
      <c r="L244">
        <f>VLOOKUP(P239,技能升级,13,FALSE)</f>
        <v>208</v>
      </c>
      <c r="M244" t="s">
        <v>374</v>
      </c>
      <c r="N244">
        <f>IF(N236&lt;U236,N236+N236-S236,IF(N236&gt;U236+S236,U236+U236,U236+N236-S236))</f>
        <v>25.869999999999997</v>
      </c>
      <c r="Q244">
        <f>INT((VLOOKUP(L244,召唤物属性,6,FALSE)-
IF($B236&gt;10000,VLOOKUP($B236,实战属性,15,FALSE),VLOOKUP($B236,总基本属性,9,FALSE))*$L$13)*T244*U244)</f>
        <v>3076</v>
      </c>
      <c r="T244">
        <f>VLOOKUP($E239,技能升级,14,FALSE)</f>
        <v>4</v>
      </c>
      <c r="U244">
        <f>VLOOKUP(L236,$A$2:$I$21,9,FALSE)</f>
        <v>0.93</v>
      </c>
    </row>
    <row r="245" spans="1:21" x14ac:dyDescent="0.15">
      <c r="E245" t="s">
        <v>194</v>
      </c>
      <c r="F245">
        <f>SUM(F238:F242)/1000</f>
        <v>0</v>
      </c>
      <c r="G245">
        <f>SUM(G238:G242)/1000</f>
        <v>18.010999999999999</v>
      </c>
      <c r="H245">
        <f>SUM(H238:H241)</f>
        <v>2784</v>
      </c>
      <c r="I245" t="s">
        <v>196</v>
      </c>
      <c r="J245" t="s">
        <v>197</v>
      </c>
      <c r="P245" t="s">
        <v>194</v>
      </c>
      <c r="Q245">
        <f>SUM(Q238:Q242)/1000</f>
        <v>0</v>
      </c>
      <c r="R245">
        <f>SUM(R238:R242)/1000</f>
        <v>16.463999999999999</v>
      </c>
      <c r="S245">
        <f>SUM(S238:S241)</f>
        <v>0</v>
      </c>
      <c r="T245" t="s">
        <v>196</v>
      </c>
      <c r="U245" t="s">
        <v>197</v>
      </c>
    </row>
    <row r="246" spans="1:21" x14ac:dyDescent="0.15">
      <c r="E246" t="s">
        <v>195</v>
      </c>
      <c r="F246">
        <f>INT((IF($A236&gt;10000,VLOOKUP($A236,实战属性,13,FALSE),VLOOKUP($A236,总基本属性,7,FALSE))-
IF($B236&gt;10000,VLOOKUP($B236,实战属性,15,FALSE),VLOOKUP($B236,总基本属性,9,FALSE))*$L$13)*F245)</f>
        <v>0</v>
      </c>
      <c r="G246">
        <f>INT((IF($A236&gt;10000,VLOOKUP($A236,实战属性,14,FALSE),VLOOKUP($A236,总基本属性,8,FALSE))-
IF($B236&gt;10000,VLOOKUP($B236,实战属性,16,FALSE),VLOOKUP($B236,总基本属性,10,FALSE))*$L$13)*G245)</f>
        <v>61615</v>
      </c>
      <c r="H246">
        <f>H245+F246+G246</f>
        <v>64399</v>
      </c>
      <c r="I246">
        <f>IF($B236&gt;10000,VLOOKUP($B236,实战属性,12,FALSE),VLOOKUP($B236,总基本属性,6,FALSE))</f>
        <v>194386</v>
      </c>
      <c r="J246">
        <f>ROUND(I246/H247,2)</f>
        <v>1.01</v>
      </c>
      <c r="P246" t="s">
        <v>195</v>
      </c>
      <c r="Q246">
        <f>INT((IF($A236&gt;10000,VLOOKUP($A236,实战属性,13,FALSE),VLOOKUP($A236,总基本属性,7,FALSE))-
IF($B236&gt;10000,VLOOKUP($B236,实战属性,15,FALSE),VLOOKUP($B236,总基本属性,9,FALSE))*$L$13)*Q245)</f>
        <v>0</v>
      </c>
      <c r="R246">
        <f>INT((IF($A236&gt;10000,VLOOKUP($A236,实战属性,14,FALSE),VLOOKUP($A236,总基本属性,8,FALSE))-
IF($B236&gt;10000,VLOOKUP($B236,实战属性,16,FALSE),VLOOKUP($B236,总基本属性,10,FALSE))*$L$13)*R245)</f>
        <v>56323</v>
      </c>
      <c r="S246">
        <f>S245+Q246+R246</f>
        <v>56323</v>
      </c>
      <c r="T246">
        <f>IF($B236&gt;10000,VLOOKUP($B236,实战属性,12,FALSE),VLOOKUP($B236,总基本属性,6,FALSE))</f>
        <v>194386</v>
      </c>
      <c r="U246">
        <f>ROUND(T246/S247,2)</f>
        <v>1</v>
      </c>
    </row>
    <row r="247" spans="1:21" x14ac:dyDescent="0.15">
      <c r="E247" t="s">
        <v>376</v>
      </c>
      <c r="F247">
        <f>INT(F244*C244)</f>
        <v>73424</v>
      </c>
      <c r="G247">
        <f>INT(G243*C243)</f>
        <v>53802</v>
      </c>
      <c r="H247">
        <f>F247+G247+H246</f>
        <v>191625</v>
      </c>
      <c r="P247" t="s">
        <v>376</v>
      </c>
      <c r="Q247">
        <f>INT(Q244*N244)</f>
        <v>79576</v>
      </c>
      <c r="R247">
        <f>INT(R243*N243)</f>
        <v>58310</v>
      </c>
      <c r="S247">
        <f>Q247+R247+S246</f>
        <v>194209</v>
      </c>
    </row>
    <row r="251" spans="1:21" x14ac:dyDescent="0.15">
      <c r="A251" s="8" t="s">
        <v>2</v>
      </c>
      <c r="B251" s="8" t="s">
        <v>5</v>
      </c>
      <c r="C251" s="8" t="s">
        <v>178</v>
      </c>
      <c r="D251" s="8" t="s">
        <v>0</v>
      </c>
      <c r="L251" s="8" t="s">
        <v>2</v>
      </c>
      <c r="M251" s="8" t="s">
        <v>5</v>
      </c>
      <c r="N251" s="8" t="s">
        <v>178</v>
      </c>
      <c r="O251" s="8" t="s">
        <v>0</v>
      </c>
    </row>
    <row r="252" spans="1:21" x14ac:dyDescent="0.15">
      <c r="A252">
        <f>A224+1</f>
        <v>11109</v>
      </c>
      <c r="B252">
        <f>B224+10</f>
        <v>4090</v>
      </c>
      <c r="C252">
        <v>21</v>
      </c>
      <c r="D252">
        <f>MOD(B252,1000)</f>
        <v>90</v>
      </c>
      <c r="L252">
        <f>L224+1</f>
        <v>11109</v>
      </c>
      <c r="M252">
        <f>M224+10</f>
        <v>4090</v>
      </c>
      <c r="N252">
        <v>15</v>
      </c>
      <c r="O252">
        <f>MOD(M252,1000)</f>
        <v>90</v>
      </c>
    </row>
    <row r="253" spans="1:21" x14ac:dyDescent="0.15">
      <c r="A253" t="s">
        <v>156</v>
      </c>
      <c r="B253" t="s">
        <v>95</v>
      </c>
      <c r="C253" t="s">
        <v>177</v>
      </c>
      <c r="D253" t="s">
        <v>143</v>
      </c>
      <c r="E253" t="s">
        <v>182</v>
      </c>
      <c r="F253" t="s">
        <v>192</v>
      </c>
      <c r="G253" t="s">
        <v>193</v>
      </c>
      <c r="H253" t="s">
        <v>176</v>
      </c>
      <c r="I253" t="s">
        <v>205</v>
      </c>
      <c r="J253" t="s">
        <v>206</v>
      </c>
      <c r="L253" t="s">
        <v>156</v>
      </c>
      <c r="M253" t="s">
        <v>95</v>
      </c>
      <c r="N253" t="s">
        <v>177</v>
      </c>
      <c r="O253" t="s">
        <v>143</v>
      </c>
      <c r="P253" t="s">
        <v>182</v>
      </c>
      <c r="Q253" t="s">
        <v>192</v>
      </c>
      <c r="R253" t="s">
        <v>193</v>
      </c>
      <c r="S253" t="s">
        <v>176</v>
      </c>
      <c r="T253" t="s">
        <v>205</v>
      </c>
      <c r="U253" t="s">
        <v>206</v>
      </c>
    </row>
    <row r="254" spans="1:21" x14ac:dyDescent="0.15">
      <c r="A254">
        <v>12</v>
      </c>
      <c r="B254" t="s">
        <v>9</v>
      </c>
      <c r="C254">
        <f>C252-C258</f>
        <v>15</v>
      </c>
      <c r="D254">
        <f>VLOOKUP(A254,技能参数,4,FALSE)</f>
        <v>0.6</v>
      </c>
      <c r="E254">
        <f>VLOOKUP(A254*1000+D252,学习等级编码,2)</f>
        <v>1209</v>
      </c>
      <c r="F254">
        <f>INT(VLOOKUP($E254,技能升级,9,FALSE)*$C254*I254*J254)</f>
        <v>0</v>
      </c>
      <c r="G254">
        <f>INT(VLOOKUP($E254,技能升级,10,FALSE)*$C254*I254*J254)</f>
        <v>22098</v>
      </c>
      <c r="H254">
        <f>INT(VLOOKUP($E254,技能升级,11,FALSE)*$C254*I254*J254)</f>
        <v>9604</v>
      </c>
      <c r="I254">
        <v>1</v>
      </c>
      <c r="J254">
        <f>VLOOKUP(A252,$A$2:$I$21,7,FALSE)</f>
        <v>1.1599999999999999</v>
      </c>
      <c r="L254">
        <v>12</v>
      </c>
      <c r="M254" t="s">
        <v>9</v>
      </c>
      <c r="N254">
        <f>N252</f>
        <v>15</v>
      </c>
      <c r="O254">
        <f>VLOOKUP(L254,技能参数,4,FALSE)</f>
        <v>0.6</v>
      </c>
      <c r="P254">
        <f>VLOOKUP(L254*1000+O252,学习等级编码,2)</f>
        <v>1209</v>
      </c>
      <c r="Q254">
        <f>INT(VLOOKUP(P254,技能升级,9,FALSE)*N254*T254*U254)</f>
        <v>0</v>
      </c>
      <c r="R254">
        <f>INT(VLOOKUP(P254,技能升级,10,FALSE)*N254*T254*U254)</f>
        <v>22098</v>
      </c>
      <c r="S254">
        <f>INT(VLOOKUP(P254,技能升级,11,FALSE)*N254*T254*U254)</f>
        <v>9604</v>
      </c>
      <c r="T254">
        <v>1</v>
      </c>
      <c r="U254">
        <f>VLOOKUP(L252,$A$2:$I$21,7,FALSE)</f>
        <v>1.1599999999999999</v>
      </c>
    </row>
    <row r="255" spans="1:21" x14ac:dyDescent="0.15">
      <c r="A255">
        <v>15</v>
      </c>
      <c r="B255" t="s">
        <v>12</v>
      </c>
      <c r="C255">
        <v>1</v>
      </c>
      <c r="D255">
        <f>VLOOKUP(A255,技能参数,4,FALSE)</f>
        <v>1.5</v>
      </c>
      <c r="E255">
        <f>VLOOKUP(A255*1000+D252,学习等级编码,2)</f>
        <v>1506</v>
      </c>
      <c r="F255">
        <f>INT(VLOOKUP($E255,技能升级,9,FALSE)*$C255*I255*J255)</f>
        <v>0</v>
      </c>
      <c r="G255">
        <f>INT(VLOOKUP($E255,技能升级,10,FALSE)*$C255*I255*J255)</f>
        <v>0</v>
      </c>
      <c r="H255">
        <f>INT(VLOOKUP($E255,技能升级,11,FALSE)*$C255*I255*J255)</f>
        <v>0</v>
      </c>
      <c r="I255">
        <v>1</v>
      </c>
      <c r="J255">
        <v>1</v>
      </c>
      <c r="L255">
        <v>15</v>
      </c>
      <c r="M255" t="s">
        <v>12</v>
      </c>
      <c r="N255">
        <v>1</v>
      </c>
      <c r="O255">
        <f>VLOOKUP(L255,技能参数,4,FALSE)</f>
        <v>1.5</v>
      </c>
      <c r="P255">
        <f>VLOOKUP(L255*1000+O252,学习等级编码,2)</f>
        <v>1506</v>
      </c>
      <c r="Q255">
        <f>INT(VLOOKUP(P255,技能升级,9,FALSE)*N255*T255*U255)</f>
        <v>0</v>
      </c>
      <c r="R255">
        <f>INT(VLOOKUP(P255,技能升级,10,FALSE)*N255*T255*U255)</f>
        <v>0</v>
      </c>
      <c r="S255">
        <f>INT(VLOOKUP(P255,技能升级,11,FALSE)*N255*T255*U255)</f>
        <v>0</v>
      </c>
      <c r="T255">
        <v>1</v>
      </c>
      <c r="U255">
        <v>1</v>
      </c>
    </row>
    <row r="256" spans="1:21" x14ac:dyDescent="0.15">
      <c r="A256">
        <v>11</v>
      </c>
      <c r="B256" t="s">
        <v>94</v>
      </c>
      <c r="C256">
        <f>INT((C252-D254-D255-C258)/D256)</f>
        <v>12</v>
      </c>
      <c r="D256">
        <f>VLOOKUP(A256,技能参数,4,FALSE)</f>
        <v>1</v>
      </c>
      <c r="E256">
        <f>VLOOKUP(A256*1000+D252,学习等级编码,2)</f>
        <v>1114</v>
      </c>
      <c r="F256">
        <f>INT(VLOOKUP($E256,技能升级,9,FALSE)*$C256*I256*J256)</f>
        <v>17817</v>
      </c>
      <c r="G256">
        <f>INT(VLOOKUP($E256,技能升级,10,FALSE)*$C256*I256*J256)</f>
        <v>0</v>
      </c>
      <c r="H256">
        <f>INT(VLOOKUP($E256,技能升级,11,FALSE)*$C256*I256*J256)</f>
        <v>9284</v>
      </c>
      <c r="I256">
        <v>1</v>
      </c>
      <c r="J256">
        <f>VLOOKUP(A252,$A$2:$I$21,7,FALSE)</f>
        <v>1.1599999999999999</v>
      </c>
      <c r="L256">
        <v>11</v>
      </c>
      <c r="M256" t="s">
        <v>94</v>
      </c>
      <c r="N256">
        <f>INT((N252-O254-O255)/O256)</f>
        <v>12</v>
      </c>
      <c r="O256">
        <f>VLOOKUP(L256,技能参数,4,FALSE)</f>
        <v>1</v>
      </c>
      <c r="P256">
        <f>VLOOKUP(L256*1000+O252,学习等级编码,2)</f>
        <v>1114</v>
      </c>
      <c r="Q256">
        <f>INT(VLOOKUP(P256,技能升级,9,FALSE)*N256*T256*U256)</f>
        <v>17817</v>
      </c>
      <c r="R256">
        <f>INT(VLOOKUP(P256,技能升级,10,FALSE)*N256*T256*U256)</f>
        <v>0</v>
      </c>
      <c r="S256">
        <f>INT(VLOOKUP(P256,技能升级,11,FALSE)*N256*T256*U256)</f>
        <v>9284</v>
      </c>
      <c r="T256">
        <v>1</v>
      </c>
      <c r="U256">
        <f>VLOOKUP(L252,$A$2:$I$21,7,FALSE)</f>
        <v>1.1599999999999999</v>
      </c>
    </row>
    <row r="257" spans="1:21" x14ac:dyDescent="0.15">
      <c r="A257">
        <v>14</v>
      </c>
      <c r="B257" t="s">
        <v>11</v>
      </c>
      <c r="C257">
        <v>1</v>
      </c>
      <c r="D257">
        <v>0</v>
      </c>
      <c r="E257">
        <f>VLOOKUP(A257*1000+D252,学习等级编码,2)</f>
        <v>1409</v>
      </c>
      <c r="F257">
        <f>INT(VLOOKUP($E257,技能升级,9,FALSE)*$C257*I257*J257)</f>
        <v>0</v>
      </c>
      <c r="G257">
        <f>INT(VLOOKUP($E257,技能升级,10,FALSE)*$C257*I257*J257)</f>
        <v>0</v>
      </c>
      <c r="H257">
        <f>INT(VLOOKUP($E257,技能升级,11,FALSE)*$C257*I257*J257)</f>
        <v>0</v>
      </c>
      <c r="I257">
        <v>1</v>
      </c>
      <c r="J257">
        <v>1</v>
      </c>
      <c r="L257">
        <v>14</v>
      </c>
      <c r="M257" t="s">
        <v>11</v>
      </c>
      <c r="N257">
        <v>1</v>
      </c>
      <c r="O257">
        <v>0</v>
      </c>
      <c r="P257">
        <f>VLOOKUP(L257*1000+O252,学习等级编码,2)</f>
        <v>1409</v>
      </c>
      <c r="Q257">
        <f>INT(VLOOKUP(P257,技能升级,9,FALSE)*N257*T257*U257)</f>
        <v>0</v>
      </c>
      <c r="R257">
        <f>INT(VLOOKUP(P257,技能升级,10,FALSE)*N257*T257*U257)</f>
        <v>0</v>
      </c>
      <c r="S257">
        <f>INT(VLOOKUP(P257,技能升级,11,FALSE)*N257*T257*U257)</f>
        <v>0</v>
      </c>
      <c r="T257">
        <v>1</v>
      </c>
      <c r="U257">
        <v>1</v>
      </c>
    </row>
    <row r="258" spans="1:21" x14ac:dyDescent="0.15">
      <c r="B258" t="s">
        <v>437</v>
      </c>
      <c r="C258">
        <f>D268</f>
        <v>6</v>
      </c>
      <c r="P258" t="s">
        <v>194</v>
      </c>
      <c r="Q258">
        <f>SUM(Q254:Q256)/1000</f>
        <v>17.817</v>
      </c>
      <c r="R258">
        <f>SUM(R254:R256)/1000</f>
        <v>22.097999999999999</v>
      </c>
      <c r="S258">
        <f>SUM(S254:S256)</f>
        <v>18888</v>
      </c>
      <c r="T258" t="s">
        <v>196</v>
      </c>
      <c r="U258" t="s">
        <v>197</v>
      </c>
    </row>
    <row r="259" spans="1:21" x14ac:dyDescent="0.15">
      <c r="E259" t="s">
        <v>194</v>
      </c>
      <c r="F259">
        <f>SUM(F254:F256)/1000</f>
        <v>17.817</v>
      </c>
      <c r="G259">
        <f>SUM(G254:G256)/1000</f>
        <v>22.097999999999999</v>
      </c>
      <c r="H259">
        <f>SUM(H254:H256)</f>
        <v>18888</v>
      </c>
      <c r="I259" t="s">
        <v>196</v>
      </c>
      <c r="J259" t="s">
        <v>197</v>
      </c>
      <c r="P259" t="s">
        <v>195</v>
      </c>
      <c r="Q259">
        <f>INT((IF($A252&gt;10000,VLOOKUP($A252,实战属性,13,FALSE),VLOOKUP($A252,总基本属性,7,FALSE))-
IF($B252&gt;10000,VLOOKUP($B252,实战属性,15,FALSE),VLOOKUP($B252,总基本属性,9,FALSE))*$L$13)*Q258)</f>
        <v>75250</v>
      </c>
      <c r="R259">
        <f>INT((IF($A252&gt;10000,VLOOKUP($A252,实战属性,14,FALSE),VLOOKUP($A252,总基本属性,8,FALSE))-
IF($B252&gt;10000,VLOOKUP($B252,实战属性,16,FALSE),VLOOKUP($B252,总基本属性,10,FALSE))*$L$13)*R258)</f>
        <v>58990</v>
      </c>
      <c r="S259">
        <f>S258+Q259+R259</f>
        <v>153128</v>
      </c>
      <c r="T259">
        <f>IF($B252&gt;10000,VLOOKUP($B252,实战属性,12,FALSE),VLOOKUP($B252,总基本属性,6,FALSE))+T269</f>
        <v>149676</v>
      </c>
      <c r="U259">
        <f>ROUND(T259/S259,2)</f>
        <v>0.98</v>
      </c>
    </row>
    <row r="260" spans="1:21" x14ac:dyDescent="0.15">
      <c r="E260" t="s">
        <v>195</v>
      </c>
      <c r="F260">
        <f>INT((IF($A252&gt;10000,VLOOKUP($A252,实战属性,13,FALSE),VLOOKUP($A252,总基本属性,7,FALSE))-
IF($B252&gt;10000,VLOOKUP($B252,实战属性,15,FALSE),VLOOKUP($B252,总基本属性,9,FALSE))*$L$13)*F259)</f>
        <v>75250</v>
      </c>
      <c r="G260">
        <f>INT((IF($A252&gt;10000,VLOOKUP($A252,实战属性,14,FALSE),VLOOKUP($A252,总基本属性,8,FALSE))-
IF($B252&gt;10000,VLOOKUP($B252,实战属性,16,FALSE),VLOOKUP($B252,总基本属性,10,FALSE))*$L$13)*G259)</f>
        <v>58990</v>
      </c>
      <c r="H260">
        <f>H259+F260+G260</f>
        <v>153128</v>
      </c>
      <c r="I260">
        <f>IF($B252&gt;10000,VLOOKUP($B252,实战属性,12,FALSE),VLOOKUP($B252,总基本属性,6,FALSE))+I269</f>
        <v>149676</v>
      </c>
      <c r="J260">
        <f>ROUND(I260/H260,2)</f>
        <v>0.98</v>
      </c>
    </row>
    <row r="263" spans="1:21" x14ac:dyDescent="0.15">
      <c r="A263" s="9" t="s">
        <v>5</v>
      </c>
      <c r="B263" s="9" t="s">
        <v>2</v>
      </c>
      <c r="C263" s="9" t="s">
        <v>178</v>
      </c>
      <c r="D263" s="9" t="s">
        <v>0</v>
      </c>
      <c r="G263" t="s">
        <v>445</v>
      </c>
      <c r="H263">
        <f>INT(I274/J274/C264)</f>
        <v>17616</v>
      </c>
      <c r="I263" t="s">
        <v>446</v>
      </c>
      <c r="J263">
        <f>ROUND(I269/H263,1)</f>
        <v>1.2</v>
      </c>
      <c r="L263" s="9" t="s">
        <v>5</v>
      </c>
      <c r="M263" s="9" t="s">
        <v>2</v>
      </c>
      <c r="N263" s="9" t="s">
        <v>178</v>
      </c>
      <c r="O263" s="9" t="s">
        <v>0</v>
      </c>
      <c r="R263" t="s">
        <v>445</v>
      </c>
      <c r="S263">
        <f>INT(T274/U274/N264)</f>
        <v>15077</v>
      </c>
      <c r="T263" t="s">
        <v>446</v>
      </c>
      <c r="U263">
        <f>ROUND(T269/S263,1)</f>
        <v>1.4</v>
      </c>
    </row>
    <row r="264" spans="1:21" x14ac:dyDescent="0.15">
      <c r="A264">
        <f>A236+10</f>
        <v>4090</v>
      </c>
      <c r="B264">
        <f>B236+1</f>
        <v>11109</v>
      </c>
      <c r="C264">
        <v>15</v>
      </c>
      <c r="D264">
        <f>MOD(A264,1000)</f>
        <v>90</v>
      </c>
      <c r="G264" t="s">
        <v>447</v>
      </c>
      <c r="H264">
        <v>5</v>
      </c>
      <c r="I264" t="s">
        <v>383</v>
      </c>
      <c r="J264">
        <f>VLOOKUP(D264,召唤物生存,10)</f>
        <v>14.93</v>
      </c>
      <c r="L264">
        <f>L236+10</f>
        <v>4090</v>
      </c>
      <c r="M264">
        <f>M236+1</f>
        <v>11109</v>
      </c>
      <c r="N264">
        <v>17</v>
      </c>
      <c r="O264">
        <f>MOD(L264,1000)</f>
        <v>90</v>
      </c>
      <c r="R264" t="s">
        <v>447</v>
      </c>
      <c r="S264">
        <v>5</v>
      </c>
      <c r="T264" t="s">
        <v>383</v>
      </c>
      <c r="U264">
        <f>VLOOKUP(O264,召唤物生存,10)</f>
        <v>14.93</v>
      </c>
    </row>
    <row r="265" spans="1:21" x14ac:dyDescent="0.15">
      <c r="A265" t="s">
        <v>156</v>
      </c>
      <c r="B265" t="s">
        <v>95</v>
      </c>
      <c r="C265" t="s">
        <v>177</v>
      </c>
      <c r="D265" t="s">
        <v>143</v>
      </c>
      <c r="E265" t="s">
        <v>182</v>
      </c>
      <c r="F265" t="s">
        <v>192</v>
      </c>
      <c r="G265" t="s">
        <v>193</v>
      </c>
      <c r="H265" t="s">
        <v>176</v>
      </c>
      <c r="I265" t="s">
        <v>205</v>
      </c>
      <c r="J265" t="s">
        <v>206</v>
      </c>
      <c r="L265" t="s">
        <v>156</v>
      </c>
      <c r="M265" t="s">
        <v>95</v>
      </c>
      <c r="N265" t="s">
        <v>177</v>
      </c>
      <c r="O265" t="s">
        <v>143</v>
      </c>
      <c r="P265" t="s">
        <v>182</v>
      </c>
      <c r="Q265" t="s">
        <v>192</v>
      </c>
      <c r="R265" t="s">
        <v>193</v>
      </c>
      <c r="S265" t="s">
        <v>176</v>
      </c>
      <c r="T265" t="s">
        <v>205</v>
      </c>
      <c r="U265" t="s">
        <v>206</v>
      </c>
    </row>
    <row r="266" spans="1:21" x14ac:dyDescent="0.15">
      <c r="A266">
        <v>42</v>
      </c>
      <c r="B266" t="s">
        <v>35</v>
      </c>
      <c r="C266">
        <v>1</v>
      </c>
      <c r="D266">
        <f>VLOOKUP(A266,技能参数,4,FALSE)</f>
        <v>1</v>
      </c>
      <c r="E266">
        <f>IFERROR(VLOOKUP(A266*1000+D264,学习等级编码,2),0)</f>
        <v>4209</v>
      </c>
      <c r="F266">
        <f>IFERROR(INT(VLOOKUP($E266,技能升级,9,FALSE)*$C266*I266*J266),0)</f>
        <v>0</v>
      </c>
      <c r="G266">
        <f>IFERROR(INT(VLOOKUP($E266,技能升级,10,FALSE)*$C266*I266*J266),0)</f>
        <v>0</v>
      </c>
      <c r="H266">
        <f>INT(VLOOKUP($E266,技能升级,11,FALSE)*$C266*I266*J266)</f>
        <v>0</v>
      </c>
      <c r="I266">
        <v>1</v>
      </c>
      <c r="J266">
        <v>1</v>
      </c>
      <c r="L266">
        <v>42</v>
      </c>
      <c r="M266" t="s">
        <v>35</v>
      </c>
      <c r="N266">
        <v>1</v>
      </c>
      <c r="O266">
        <f>VLOOKUP(L266,技能参数,4,FALSE)</f>
        <v>1</v>
      </c>
      <c r="P266">
        <f>IFERROR(VLOOKUP(L266*1000+O264,学习等级编码,2),0)</f>
        <v>4209</v>
      </c>
      <c r="Q266">
        <f>IFERROR(INT(VLOOKUP(P266,技能升级,9,FALSE)*N266*T266*U266),0)</f>
        <v>0</v>
      </c>
      <c r="R266">
        <f>IFERROR(INT(VLOOKUP(P266,技能升级,10,FALSE)*N266*T266*U266),0)</f>
        <v>0</v>
      </c>
      <c r="S266">
        <f>INT(VLOOKUP(P266,技能升级,11,FALSE)*N266*T266*U266)</f>
        <v>0</v>
      </c>
      <c r="T266">
        <v>1</v>
      </c>
      <c r="U266">
        <v>1</v>
      </c>
    </row>
    <row r="267" spans="1:21" x14ac:dyDescent="0.15">
      <c r="A267">
        <v>43</v>
      </c>
      <c r="B267" t="s">
        <v>36</v>
      </c>
      <c r="C267">
        <v>1</v>
      </c>
      <c r="D267">
        <f>VLOOKUP(A267,技能参数,4,FALSE)</f>
        <v>1</v>
      </c>
      <c r="E267">
        <f>IFERROR(VLOOKUP(A267*1000+D264,学习等级编码,2),0)</f>
        <v>4309</v>
      </c>
      <c r="F267">
        <f t="shared" ref="F267" si="35">IFERROR(INT(VLOOKUP($E267,技能升级,9,FALSE)*$C267*I267*J267),0)</f>
        <v>0</v>
      </c>
      <c r="G267">
        <f t="shared" ref="G267" si="36">IFERROR(INT(VLOOKUP($E267,技能升级,10,FALSE)*$C267*I267*J267),0)</f>
        <v>0</v>
      </c>
      <c r="H267">
        <f>INT(VLOOKUP($E267,技能升级,11,FALSE)*$C267*I267*J267)</f>
        <v>0</v>
      </c>
      <c r="I267">
        <v>1</v>
      </c>
      <c r="J267">
        <v>1</v>
      </c>
      <c r="L267">
        <v>43</v>
      </c>
      <c r="M267" t="s">
        <v>36</v>
      </c>
      <c r="N267">
        <v>1</v>
      </c>
      <c r="O267">
        <f>VLOOKUP(L267,技能参数,4,FALSE)</f>
        <v>1</v>
      </c>
      <c r="P267">
        <f>IFERROR(VLOOKUP(L267*1000+O264,学习等级编码,2),0)</f>
        <v>4309</v>
      </c>
      <c r="Q267">
        <f>IFERROR(INT(VLOOKUP(P267,技能升级,9,FALSE)*N267*T267*U267),0)</f>
        <v>0</v>
      </c>
      <c r="R267">
        <f>IFERROR(INT(VLOOKUP(P267,技能升级,10,FALSE)*N267*T267*U267),0)</f>
        <v>0</v>
      </c>
      <c r="S267">
        <f>INT(VLOOKUP(P267,技能升级,11,FALSE)*N267*T267*U267)</f>
        <v>0</v>
      </c>
      <c r="T267">
        <v>1</v>
      </c>
      <c r="U267">
        <v>1</v>
      </c>
    </row>
    <row r="268" spans="1:21" x14ac:dyDescent="0.15">
      <c r="A268">
        <v>44</v>
      </c>
      <c r="B268" t="s">
        <v>38</v>
      </c>
      <c r="C268">
        <v>1</v>
      </c>
      <c r="D268">
        <f>IFERROR(INT(VLOOKUP($E268,技能升级,13,FALSE)),0)</f>
        <v>6</v>
      </c>
      <c r="E268">
        <f>IFERROR(VLOOKUP(A268*1000+D264,学习等级编码,2),0)</f>
        <v>4409</v>
      </c>
      <c r="F268">
        <f>IFERROR(INT(VLOOKUP($E268,技能升级,9,FALSE)*$C268*I268*J268),0)</f>
        <v>0</v>
      </c>
      <c r="G268">
        <f>IFERROR(INT(VLOOKUP($E268,技能升级,10,FALSE)*$D268*I268*J268),0)</f>
        <v>14616</v>
      </c>
      <c r="H268">
        <f>INT(VLOOKUP($E268,技能升级,11,FALSE)*$D268*I268*J268)</f>
        <v>4356</v>
      </c>
      <c r="I268">
        <v>1</v>
      </c>
      <c r="J268">
        <f>VLOOKUP(A264,$A$2:$I$21,8,FALSE)</f>
        <v>1.2</v>
      </c>
      <c r="L268">
        <v>44</v>
      </c>
      <c r="M268" t="s">
        <v>38</v>
      </c>
      <c r="N268">
        <v>0</v>
      </c>
      <c r="O268">
        <v>0</v>
      </c>
      <c r="P268">
        <f>IFERROR(VLOOKUP(L268*1000+O264,学习等级编码,2),0)</f>
        <v>4409</v>
      </c>
      <c r="Q268">
        <f>IFERROR(INT(VLOOKUP(P268,技能升级,9,FALSE)*N268*T268*U268),0)</f>
        <v>0</v>
      </c>
      <c r="R268">
        <f>IFERROR(INT(VLOOKUP(P268,技能升级,10,FALSE)*N268*T268*U268),0)</f>
        <v>0</v>
      </c>
      <c r="S268">
        <f>INT(VLOOKUP(P268,技能升级,11,FALSE)*N268*T268*U268)</f>
        <v>0</v>
      </c>
      <c r="T268">
        <v>1</v>
      </c>
      <c r="U268">
        <f>VLOOKUP(L264,$A$2:$I$21,8,FALSE)</f>
        <v>1.2</v>
      </c>
    </row>
    <row r="269" spans="1:21" x14ac:dyDescent="0.15">
      <c r="A269">
        <v>45</v>
      </c>
      <c r="B269" t="s">
        <v>37</v>
      </c>
      <c r="C269">
        <v>1</v>
      </c>
      <c r="D269">
        <f>VLOOKUP(A269,技能参数,4,FALSE)</f>
        <v>2</v>
      </c>
      <c r="E269">
        <f>IFERROR(VLOOKUP(A269*1000+D264,学习等级编码,2),0)</f>
        <v>4506</v>
      </c>
      <c r="F269">
        <f>IFERROR(INT(VLOOKUP($E269,技能升级,9,FALSE)*$C269*I269*J269),0)</f>
        <v>0</v>
      </c>
      <c r="G269">
        <f t="shared" ref="G269:G270" si="37">IFERROR(INT(VLOOKUP($E269,技能升级,10,FALSE)*$C269*I269*J269),0)</f>
        <v>0</v>
      </c>
      <c r="H269">
        <f>INT(VLOOKUP($E269,技能升级,11,FALSE)*$C269*I269*J269)</f>
        <v>0</v>
      </c>
      <c r="I269">
        <f>INT(VLOOKUP($E269,技能升级,13,FALSE)*$C269)</f>
        <v>21066</v>
      </c>
      <c r="J269">
        <v>1</v>
      </c>
      <c r="L269">
        <v>45</v>
      </c>
      <c r="M269" t="s">
        <v>37</v>
      </c>
      <c r="N269">
        <v>1</v>
      </c>
      <c r="O269">
        <f>VLOOKUP(L269,技能参数,4,FALSE)</f>
        <v>2</v>
      </c>
      <c r="P269">
        <f>IFERROR(VLOOKUP(L269*1000+O264,学习等级编码,2),0)</f>
        <v>4506</v>
      </c>
      <c r="Q269">
        <f>IFERROR(INT(VLOOKUP(P269,技能升级,9,FALSE)*N269*T269*U269),0)</f>
        <v>0</v>
      </c>
      <c r="R269">
        <f>IFERROR(INT(VLOOKUP(P269,技能升级,10,FALSE)*N269*T269*U269),0)</f>
        <v>0</v>
      </c>
      <c r="S269">
        <f>INT(VLOOKUP(P269,技能升级,11,FALSE)*N269*T269*U269)</f>
        <v>0</v>
      </c>
      <c r="T269">
        <f>INT(VLOOKUP($E269,技能升级,13,FALSE)*$C269)</f>
        <v>21066</v>
      </c>
      <c r="U269">
        <v>1</v>
      </c>
    </row>
    <row r="270" spans="1:21" x14ac:dyDescent="0.15">
      <c r="A270">
        <v>41</v>
      </c>
      <c r="B270" t="s">
        <v>361</v>
      </c>
      <c r="C270">
        <f>IF(INT((C264-C266*D266-C267*D267-C268*D268-C269*D269)/D270)&gt;0,INT((C264-C266*D266-C267*D267-C268*D268-C269*D269)/D270),0)</f>
        <v>4</v>
      </c>
      <c r="D270">
        <f>VLOOKUP(A270,技能参数,4,FALSE)</f>
        <v>1.2</v>
      </c>
      <c r="E270">
        <f>IFERROR(VLOOKUP(A270*1000+D264,学习等级编码,2),0)</f>
        <v>4114</v>
      </c>
      <c r="F270">
        <f>IFERROR(INT(VLOOKUP($E270,技能升级,9,FALSE)*$C270*I270*J270),0)</f>
        <v>0</v>
      </c>
      <c r="G270">
        <f t="shared" si="37"/>
        <v>7238</v>
      </c>
      <c r="H270">
        <f>INT(VLOOKUP($E270,技能升级,11,FALSE)*$C270*I270*J270)</f>
        <v>3094</v>
      </c>
      <c r="I270">
        <v>1</v>
      </c>
      <c r="J270">
        <f>VLOOKUP(A236,$A$2:$I$21,8,FALSE)</f>
        <v>1.1600000000000001</v>
      </c>
      <c r="L270">
        <v>41</v>
      </c>
      <c r="M270" t="s">
        <v>361</v>
      </c>
      <c r="N270">
        <f>IF(INT((N264-N266*O266-N267*O267-N268*O268-N269*O269)/O270)&gt;0,INT((N264-N266*O266-N267*O267-N268*O268-N269*O269)/O270),0)</f>
        <v>10</v>
      </c>
      <c r="O270">
        <f>VLOOKUP(L270,技能参数,4,FALSE)</f>
        <v>1.2</v>
      </c>
      <c r="P270">
        <f>IFERROR(VLOOKUP(L270*1000+O264,学习等级编码,2),0)</f>
        <v>4114</v>
      </c>
      <c r="Q270">
        <f>IFERROR(INT(VLOOKUP(P270,技能升级,9,FALSE)*N270*T270*U270),0)</f>
        <v>0</v>
      </c>
      <c r="R270">
        <f>IFERROR(INT(VLOOKUP(P270,技能升级,10,FALSE)*N270*T270*U270),0)</f>
        <v>18096</v>
      </c>
      <c r="S270">
        <f>INT(VLOOKUP(P270,技能升级,11,FALSE)*N270*T270*U270)</f>
        <v>7737</v>
      </c>
      <c r="T270">
        <v>1</v>
      </c>
      <c r="U270">
        <f>VLOOKUP(A236,$A$2:$I$21,8,FALSE)</f>
        <v>1.1600000000000001</v>
      </c>
    </row>
    <row r="271" spans="1:21" x14ac:dyDescent="0.15">
      <c r="A271">
        <f>VLOOKUP(E266,技能升级,13,FALSE)</f>
        <v>109</v>
      </c>
      <c r="B271" t="s">
        <v>375</v>
      </c>
      <c r="C271">
        <f>IF(C264&lt;J264,C264+C264-H264,IF(C264&gt;J264+H264,J264+J264,J264+C264-H264))</f>
        <v>24.93</v>
      </c>
      <c r="G271">
        <f>INT((VLOOKUP(A271,召唤物属性,7,FALSE)-
IF($B264&gt;10000,VLOOKUP($B264,实战属性,15,FALSE),VLOOKUP($B264,总基本属性,9,FALSE))*$L$13)*I271*J271)</f>
        <v>2715</v>
      </c>
      <c r="I271">
        <f>VLOOKUP($E266,技能升级,14,FALSE)</f>
        <v>2</v>
      </c>
      <c r="J271">
        <v>1</v>
      </c>
      <c r="L271">
        <f>VLOOKUP(P266,技能升级,13,FALSE)</f>
        <v>109</v>
      </c>
      <c r="M271" t="s">
        <v>375</v>
      </c>
      <c r="N271">
        <f>IF(N264&lt;U264,N264+N264-S264,IF(N264&gt;U264+S264,U264+U264,U264+N264-S264))</f>
        <v>26.93</v>
      </c>
      <c r="R271">
        <f>INT((VLOOKUP(L271,召唤物属性,7,FALSE)-
IF($B264&gt;10000,VLOOKUP($B264,实战属性,15,FALSE),VLOOKUP($B264,总基本属性,9,FALSE))*$L$13)*T271*U271)</f>
        <v>2715</v>
      </c>
      <c r="T271">
        <f>VLOOKUP($E266,技能升级,14,FALSE)</f>
        <v>2</v>
      </c>
      <c r="U271">
        <v>1</v>
      </c>
    </row>
    <row r="272" spans="1:21" x14ac:dyDescent="0.15">
      <c r="A272">
        <f>VLOOKUP(E267,技能升级,13,FALSE)</f>
        <v>209</v>
      </c>
      <c r="B272" t="s">
        <v>374</v>
      </c>
      <c r="C272">
        <f>IF(C264&lt;J264,C264+C264-H264,IF(C264&gt;J264+H264,J264+J264,J264+C264-H264))</f>
        <v>24.93</v>
      </c>
      <c r="F272">
        <f>INT((VLOOKUP(A272,召唤物属性,6,FALSE)-
IF($B264&gt;10000,VLOOKUP($B264,实战属性,15,FALSE),VLOOKUP($B264,总基本属性,9,FALSE))*$L$13)*I272*J272)</f>
        <v>3933</v>
      </c>
      <c r="I272">
        <f>VLOOKUP($E267,技能升级,14,FALSE)</f>
        <v>4</v>
      </c>
      <c r="J272">
        <f>VLOOKUP(A264,$A$2:$I$21,9,FALSE)</f>
        <v>0.93</v>
      </c>
      <c r="L272">
        <f>VLOOKUP(P267,技能升级,13,FALSE)</f>
        <v>209</v>
      </c>
      <c r="M272" t="s">
        <v>374</v>
      </c>
      <c r="N272">
        <f>IF(N264&lt;U264,N264+N264-S264,IF(N264&gt;U264+S264,U264+U264,U264+N264-S264))</f>
        <v>26.93</v>
      </c>
      <c r="Q272">
        <f>INT((VLOOKUP(L272,召唤物属性,6,FALSE)-
IF($B264&gt;10000,VLOOKUP($B264,实战属性,15,FALSE),VLOOKUP($B264,总基本属性,9,FALSE))*$L$13)*T272*U272)</f>
        <v>3933</v>
      </c>
      <c r="T272">
        <f>VLOOKUP($E267,技能升级,14,FALSE)</f>
        <v>4</v>
      </c>
      <c r="U272">
        <f>VLOOKUP(L264,$A$2:$I$21,9,FALSE)</f>
        <v>0.93</v>
      </c>
    </row>
    <row r="273" spans="1:21" x14ac:dyDescent="0.15">
      <c r="E273" t="s">
        <v>194</v>
      </c>
      <c r="F273">
        <f>SUM(F266:F270)/1000</f>
        <v>0</v>
      </c>
      <c r="G273">
        <f>SUM(G266:G270)/1000</f>
        <v>21.853999999999999</v>
      </c>
      <c r="H273">
        <f>SUM(H266:H269)</f>
        <v>4356</v>
      </c>
      <c r="I273" t="s">
        <v>196</v>
      </c>
      <c r="J273" t="s">
        <v>197</v>
      </c>
      <c r="P273" t="s">
        <v>194</v>
      </c>
      <c r="Q273">
        <f>SUM(Q266:Q270)/1000</f>
        <v>0</v>
      </c>
      <c r="R273">
        <f>SUM(R266:R270)/1000</f>
        <v>18.096</v>
      </c>
      <c r="S273">
        <f>SUM(S266:S269)</f>
        <v>0</v>
      </c>
      <c r="T273" t="s">
        <v>196</v>
      </c>
      <c r="U273" t="s">
        <v>197</v>
      </c>
    </row>
    <row r="274" spans="1:21" x14ac:dyDescent="0.15">
      <c r="E274" t="s">
        <v>195</v>
      </c>
      <c r="F274">
        <f>INT((IF($A264&gt;10000,VLOOKUP($A264,实战属性,13,FALSE),VLOOKUP($A264,总基本属性,7,FALSE))-
IF($B264&gt;10000,VLOOKUP($B264,实战属性,15,FALSE),VLOOKUP($B264,总基本属性,9,FALSE))*$L$13)*F273)</f>
        <v>0</v>
      </c>
      <c r="G274">
        <f>INT((IF($A264&gt;10000,VLOOKUP($A264,实战属性,14,FALSE),VLOOKUP($A264,总基本属性,8,FALSE))-
IF($B264&gt;10000,VLOOKUP($B264,实战属性,16,FALSE),VLOOKUP($B264,总基本属性,10,FALSE))*$L$13)*G273)</f>
        <v>93666</v>
      </c>
      <c r="H274">
        <f>H273+F274+G274</f>
        <v>98022</v>
      </c>
      <c r="I274">
        <f>IF($B264&gt;10000,VLOOKUP($B264,实战属性,12,FALSE),VLOOKUP($B264,总基本属性,6,FALSE))</f>
        <v>256315</v>
      </c>
      <c r="J274">
        <f>ROUND(I274/H275,2)</f>
        <v>0.97</v>
      </c>
      <c r="P274" t="s">
        <v>195</v>
      </c>
      <c r="Q274">
        <f>INT((IF($A264&gt;10000,VLOOKUP($A264,实战属性,13,FALSE),VLOOKUP($A264,总基本属性,7,FALSE))-
IF($B264&gt;10000,VLOOKUP($B264,实战属性,15,FALSE),VLOOKUP($B264,总基本属性,9,FALSE))*$L$13)*Q273)</f>
        <v>0</v>
      </c>
      <c r="R274">
        <f>INT((IF($A264&gt;10000,VLOOKUP($A264,实战属性,14,FALSE),VLOOKUP($A264,总基本属性,8,FALSE))-
IF($B264&gt;10000,VLOOKUP($B264,实战属性,16,FALSE),VLOOKUP($B264,总基本属性,10,FALSE))*$L$13)*R273)</f>
        <v>77559</v>
      </c>
      <c r="S274">
        <f>S273+Q274+R274</f>
        <v>77559</v>
      </c>
      <c r="T274">
        <f>IF($B264&gt;10000,VLOOKUP($B264,实战属性,12,FALSE),VLOOKUP($B264,总基本属性,6,FALSE))</f>
        <v>256315</v>
      </c>
      <c r="U274">
        <f>ROUND(T274/S275,2)</f>
        <v>1</v>
      </c>
    </row>
    <row r="275" spans="1:21" x14ac:dyDescent="0.15">
      <c r="E275" t="s">
        <v>376</v>
      </c>
      <c r="F275">
        <f>INT(F272*C272)</f>
        <v>98049</v>
      </c>
      <c r="G275">
        <f>INT(G271*C271)</f>
        <v>67684</v>
      </c>
      <c r="H275">
        <f>F275+G275+H274</f>
        <v>263755</v>
      </c>
      <c r="P275" t="s">
        <v>376</v>
      </c>
      <c r="Q275">
        <f>INT(Q272*N272)</f>
        <v>105915</v>
      </c>
      <c r="R275">
        <f>INT(R271*N271)</f>
        <v>73114</v>
      </c>
      <c r="S275">
        <f>Q275+R275+S274</f>
        <v>256588</v>
      </c>
    </row>
    <row r="279" spans="1:21" x14ac:dyDescent="0.15">
      <c r="A279" s="8" t="s">
        <v>2</v>
      </c>
      <c r="B279" s="8" t="s">
        <v>5</v>
      </c>
      <c r="C279" s="8" t="s">
        <v>178</v>
      </c>
      <c r="D279" s="8" t="s">
        <v>0</v>
      </c>
      <c r="L279" s="8" t="s">
        <v>2</v>
      </c>
      <c r="M279" s="8" t="s">
        <v>5</v>
      </c>
      <c r="N279" s="8" t="s">
        <v>178</v>
      </c>
      <c r="O279" s="8" t="s">
        <v>0</v>
      </c>
    </row>
    <row r="280" spans="1:21" x14ac:dyDescent="0.15">
      <c r="A280">
        <f>A252+1</f>
        <v>11110</v>
      </c>
      <c r="B280">
        <f>B252+10</f>
        <v>4100</v>
      </c>
      <c r="C280">
        <v>21</v>
      </c>
      <c r="D280">
        <f>MOD(B280,1000)</f>
        <v>100</v>
      </c>
      <c r="L280">
        <f>L252+1</f>
        <v>11110</v>
      </c>
      <c r="M280">
        <f>M252+10</f>
        <v>4100</v>
      </c>
      <c r="N280">
        <v>15</v>
      </c>
      <c r="O280">
        <f>MOD(M280,1000)</f>
        <v>100</v>
      </c>
    </row>
    <row r="281" spans="1:21" x14ac:dyDescent="0.15">
      <c r="A281" t="s">
        <v>156</v>
      </c>
      <c r="B281" t="s">
        <v>95</v>
      </c>
      <c r="C281" t="s">
        <v>177</v>
      </c>
      <c r="D281" t="s">
        <v>143</v>
      </c>
      <c r="E281" t="s">
        <v>182</v>
      </c>
      <c r="F281" t="s">
        <v>192</v>
      </c>
      <c r="G281" t="s">
        <v>193</v>
      </c>
      <c r="H281" t="s">
        <v>176</v>
      </c>
      <c r="I281" t="s">
        <v>205</v>
      </c>
      <c r="J281" t="s">
        <v>206</v>
      </c>
      <c r="L281" t="s">
        <v>156</v>
      </c>
      <c r="M281" t="s">
        <v>95</v>
      </c>
      <c r="N281" t="s">
        <v>177</v>
      </c>
      <c r="O281" t="s">
        <v>143</v>
      </c>
      <c r="P281" t="s">
        <v>182</v>
      </c>
      <c r="Q281" t="s">
        <v>192</v>
      </c>
      <c r="R281" t="s">
        <v>193</v>
      </c>
      <c r="S281" t="s">
        <v>176</v>
      </c>
      <c r="T281" t="s">
        <v>205</v>
      </c>
      <c r="U281" t="s">
        <v>206</v>
      </c>
    </row>
    <row r="282" spans="1:21" x14ac:dyDescent="0.15">
      <c r="A282">
        <v>12</v>
      </c>
      <c r="B282" t="s">
        <v>9</v>
      </c>
      <c r="C282">
        <f>C280-C286</f>
        <v>15</v>
      </c>
      <c r="D282">
        <f>VLOOKUP(A282,技能参数,4,FALSE)</f>
        <v>0.6</v>
      </c>
      <c r="E282">
        <f>VLOOKUP(A282*1000+D280,学习等级编码,2)</f>
        <v>1210</v>
      </c>
      <c r="F282">
        <f>INT(VLOOKUP($E282,技能升级,9,FALSE)*$C282*I282*J282)</f>
        <v>0</v>
      </c>
      <c r="G282">
        <f>INT(VLOOKUP($E282,技能升级,10,FALSE)*$C282*I282*J282)</f>
        <v>23302</v>
      </c>
      <c r="H282">
        <f>INT(VLOOKUP($E282,技能升级,11,FALSE)*$C282*I282*J282)</f>
        <v>12296</v>
      </c>
      <c r="I282">
        <v>1</v>
      </c>
      <c r="J282">
        <f>VLOOKUP(A280,$A$2:$I$21,7,FALSE)</f>
        <v>1.1949999999999998</v>
      </c>
      <c r="L282">
        <v>12</v>
      </c>
      <c r="M282" t="s">
        <v>9</v>
      </c>
      <c r="N282">
        <f>N280</f>
        <v>15</v>
      </c>
      <c r="O282">
        <f>VLOOKUP(L282,技能参数,4,FALSE)</f>
        <v>0.6</v>
      </c>
      <c r="P282">
        <f>VLOOKUP(L282*1000+O280,学习等级编码,2)</f>
        <v>1210</v>
      </c>
      <c r="Q282">
        <f>INT(VLOOKUP(P282,技能升级,9,FALSE)*N282*T282*U282)</f>
        <v>0</v>
      </c>
      <c r="R282">
        <f>INT(VLOOKUP(P282,技能升级,10,FALSE)*N282*T282*U282)</f>
        <v>23302</v>
      </c>
      <c r="S282">
        <f>INT(VLOOKUP(P282,技能升级,11,FALSE)*N282*T282*U282)</f>
        <v>12296</v>
      </c>
      <c r="T282">
        <v>1</v>
      </c>
      <c r="U282">
        <f>VLOOKUP(L280,$A$2:$I$21,7,FALSE)</f>
        <v>1.1949999999999998</v>
      </c>
    </row>
    <row r="283" spans="1:21" x14ac:dyDescent="0.15">
      <c r="A283">
        <v>15</v>
      </c>
      <c r="B283" t="s">
        <v>12</v>
      </c>
      <c r="C283">
        <v>1</v>
      </c>
      <c r="D283">
        <f>VLOOKUP(A283,技能参数,4,FALSE)</f>
        <v>1.5</v>
      </c>
      <c r="E283">
        <f>VLOOKUP(A283*1000+D280,学习等级编码,2)</f>
        <v>1507</v>
      </c>
      <c r="F283">
        <f>INT(VLOOKUP($E283,技能升级,9,FALSE)*$C283*I283*J283)</f>
        <v>0</v>
      </c>
      <c r="G283">
        <f>INT(VLOOKUP($E283,技能升级,10,FALSE)*$C283*I283*J283)</f>
        <v>0</v>
      </c>
      <c r="H283">
        <f>INT(VLOOKUP($E283,技能升级,11,FALSE)*$C283*I283*J283)</f>
        <v>0</v>
      </c>
      <c r="I283">
        <v>1</v>
      </c>
      <c r="J283">
        <v>1</v>
      </c>
      <c r="L283">
        <v>15</v>
      </c>
      <c r="M283" t="s">
        <v>12</v>
      </c>
      <c r="N283">
        <v>1</v>
      </c>
      <c r="O283">
        <f>VLOOKUP(L283,技能参数,4,FALSE)</f>
        <v>1.5</v>
      </c>
      <c r="P283">
        <f>VLOOKUP(L283*1000+O280,学习等级编码,2)</f>
        <v>1507</v>
      </c>
      <c r="Q283">
        <f>INT(VLOOKUP(P283,技能升级,9,FALSE)*N283*T283*U283)</f>
        <v>0</v>
      </c>
      <c r="R283">
        <f>INT(VLOOKUP(P283,技能升级,10,FALSE)*N283*T283*U283)</f>
        <v>0</v>
      </c>
      <c r="S283">
        <f>INT(VLOOKUP(P283,技能升级,11,FALSE)*N283*T283*U283)</f>
        <v>0</v>
      </c>
      <c r="T283">
        <v>1</v>
      </c>
      <c r="U283">
        <v>1</v>
      </c>
    </row>
    <row r="284" spans="1:21" x14ac:dyDescent="0.15">
      <c r="A284">
        <v>11</v>
      </c>
      <c r="B284" t="s">
        <v>94</v>
      </c>
      <c r="C284">
        <f>INT((C280-D282-D283-C286)/D284)</f>
        <v>12</v>
      </c>
      <c r="D284">
        <f>VLOOKUP(A284,技能参数,4,FALSE)</f>
        <v>1</v>
      </c>
      <c r="E284">
        <f>VLOOKUP(A284*1000+D280,学习等级编码,2)</f>
        <v>1115</v>
      </c>
      <c r="F284">
        <f>INT(VLOOKUP($E284,技能升级,9,FALSE)*$C284*I284*J284)</f>
        <v>18642</v>
      </c>
      <c r="G284">
        <f>INT(VLOOKUP($E284,技能升级,10,FALSE)*$C284*I284*J284)</f>
        <v>0</v>
      </c>
      <c r="H284">
        <f>INT(VLOOKUP($E284,技能升级,11,FALSE)*$C284*I284*J284)</f>
        <v>11027</v>
      </c>
      <c r="I284">
        <v>1</v>
      </c>
      <c r="J284">
        <f>VLOOKUP(A280,$A$2:$I$21,7,FALSE)</f>
        <v>1.1949999999999998</v>
      </c>
      <c r="L284">
        <v>11</v>
      </c>
      <c r="M284" t="s">
        <v>94</v>
      </c>
      <c r="N284">
        <f>INT((N280-O282-O283)/O284)</f>
        <v>12</v>
      </c>
      <c r="O284">
        <f>VLOOKUP(L284,技能参数,4,FALSE)</f>
        <v>1</v>
      </c>
      <c r="P284">
        <f>VLOOKUP(L284*1000+O280,学习等级编码,2)</f>
        <v>1115</v>
      </c>
      <c r="Q284">
        <f>INT(VLOOKUP(P284,技能升级,9,FALSE)*N284*T284*U284)</f>
        <v>18642</v>
      </c>
      <c r="R284">
        <f>INT(VLOOKUP(P284,技能升级,10,FALSE)*N284*T284*U284)</f>
        <v>0</v>
      </c>
      <c r="S284">
        <f>INT(VLOOKUP(P284,技能升级,11,FALSE)*N284*T284*U284)</f>
        <v>11027</v>
      </c>
      <c r="T284">
        <v>1</v>
      </c>
      <c r="U284">
        <f>VLOOKUP(L280,$A$2:$I$21,7,FALSE)</f>
        <v>1.1949999999999998</v>
      </c>
    </row>
    <row r="285" spans="1:21" x14ac:dyDescent="0.15">
      <c r="A285">
        <v>14</v>
      </c>
      <c r="B285" t="s">
        <v>11</v>
      </c>
      <c r="C285">
        <v>1</v>
      </c>
      <c r="D285">
        <v>0</v>
      </c>
      <c r="E285">
        <f>VLOOKUP(A285*1000+D280,学习等级编码,2)</f>
        <v>1410</v>
      </c>
      <c r="F285">
        <f>INT(VLOOKUP($E285,技能升级,9,FALSE)*$C285*I285*J285)</f>
        <v>0</v>
      </c>
      <c r="G285">
        <f>INT(VLOOKUP($E285,技能升级,10,FALSE)*$C285*I285*J285)</f>
        <v>0</v>
      </c>
      <c r="H285">
        <f>INT(VLOOKUP($E285,技能升级,11,FALSE)*$C285*I285*J285)</f>
        <v>0</v>
      </c>
      <c r="I285">
        <v>1</v>
      </c>
      <c r="J285">
        <v>1</v>
      </c>
      <c r="L285">
        <v>14</v>
      </c>
      <c r="M285" t="s">
        <v>11</v>
      </c>
      <c r="N285">
        <v>1</v>
      </c>
      <c r="O285">
        <v>0</v>
      </c>
      <c r="P285">
        <f>VLOOKUP(L285*1000+O280,学习等级编码,2)</f>
        <v>1410</v>
      </c>
      <c r="Q285">
        <f>INT(VLOOKUP(P285,技能升级,9,FALSE)*N285*T285*U285)</f>
        <v>0</v>
      </c>
      <c r="R285">
        <f>INT(VLOOKUP(P285,技能升级,10,FALSE)*N285*T285*U285)</f>
        <v>0</v>
      </c>
      <c r="S285">
        <f>INT(VLOOKUP(P285,技能升级,11,FALSE)*N285*T285*U285)</f>
        <v>0</v>
      </c>
      <c r="T285">
        <v>1</v>
      </c>
      <c r="U285">
        <v>1</v>
      </c>
    </row>
    <row r="286" spans="1:21" x14ac:dyDescent="0.15">
      <c r="B286" t="s">
        <v>437</v>
      </c>
      <c r="C286">
        <f>D296</f>
        <v>6</v>
      </c>
      <c r="P286" t="s">
        <v>194</v>
      </c>
      <c r="Q286">
        <f>SUM(Q282:Q284)/1000</f>
        <v>18.641999999999999</v>
      </c>
      <c r="R286">
        <f>SUM(R282:R284)/1000</f>
        <v>23.302</v>
      </c>
      <c r="S286">
        <f>SUM(S282:S284)</f>
        <v>23323</v>
      </c>
      <c r="T286" t="s">
        <v>196</v>
      </c>
      <c r="U286" t="s">
        <v>197</v>
      </c>
    </row>
    <row r="287" spans="1:21" x14ac:dyDescent="0.15">
      <c r="E287" t="s">
        <v>194</v>
      </c>
      <c r="F287">
        <f>SUM(F282:F284)/1000</f>
        <v>18.641999999999999</v>
      </c>
      <c r="G287">
        <f>SUM(G282:G284)/1000</f>
        <v>23.302</v>
      </c>
      <c r="H287">
        <f>SUM(H282:H284)</f>
        <v>23323</v>
      </c>
      <c r="I287" t="s">
        <v>196</v>
      </c>
      <c r="J287" t="s">
        <v>197</v>
      </c>
      <c r="P287" t="s">
        <v>195</v>
      </c>
      <c r="Q287">
        <f>INT((IF($A280&gt;10000,VLOOKUP($A280,实战属性,13,FALSE),VLOOKUP($A280,总基本属性,7,FALSE))-
IF($B280&gt;10000,VLOOKUP($B280,实战属性,15,FALSE),VLOOKUP($B280,总基本属性,9,FALSE))*$L$13)*Q286)</f>
        <v>96714</v>
      </c>
      <c r="R287">
        <f>INT((IF($A280&gt;10000,VLOOKUP($A280,实战属性,14,FALSE),VLOOKUP($A280,总基本属性,8,FALSE))-
IF($B280&gt;10000,VLOOKUP($B280,实战属性,16,FALSE),VLOOKUP($B280,总基本属性,10,FALSE))*$L$13)*R286)</f>
        <v>76360</v>
      </c>
      <c r="S287">
        <f>S286+Q287+R287</f>
        <v>196397</v>
      </c>
      <c r="T287">
        <f>IF($B280&gt;10000,VLOOKUP($B280,实战属性,12,FALSE),VLOOKUP($B280,总基本属性,6,FALSE))+T297</f>
        <v>190032</v>
      </c>
      <c r="U287">
        <f>ROUND(T287/S287,2)</f>
        <v>0.97</v>
      </c>
    </row>
    <row r="288" spans="1:21" x14ac:dyDescent="0.15">
      <c r="E288" t="s">
        <v>195</v>
      </c>
      <c r="F288">
        <f>INT((IF($A280&gt;10000,VLOOKUP($A280,实战属性,13,FALSE),VLOOKUP($A280,总基本属性,7,FALSE))-
IF($B280&gt;10000,VLOOKUP($B280,实战属性,15,FALSE),VLOOKUP($B280,总基本属性,9,FALSE))*$L$13)*F287)</f>
        <v>96714</v>
      </c>
      <c r="G288">
        <f>INT((IF($A280&gt;10000,VLOOKUP($A280,实战属性,14,FALSE),VLOOKUP($A280,总基本属性,8,FALSE))-
IF($B280&gt;10000,VLOOKUP($B280,实战属性,16,FALSE),VLOOKUP($B280,总基本属性,10,FALSE))*$L$13)*G287)</f>
        <v>76360</v>
      </c>
      <c r="H288">
        <f>H287+F288+G288</f>
        <v>196397</v>
      </c>
      <c r="I288">
        <f>IF($B280&gt;10000,VLOOKUP($B280,实战属性,12,FALSE),VLOOKUP($B280,总基本属性,6,FALSE))+I297</f>
        <v>190032</v>
      </c>
      <c r="J288">
        <f>ROUND(I288/H288,2)</f>
        <v>0.97</v>
      </c>
    </row>
    <row r="291" spans="1:21" x14ac:dyDescent="0.15">
      <c r="A291" s="9" t="s">
        <v>5</v>
      </c>
      <c r="B291" s="9" t="s">
        <v>2</v>
      </c>
      <c r="C291" s="9" t="s">
        <v>178</v>
      </c>
      <c r="D291" s="9" t="s">
        <v>0</v>
      </c>
      <c r="G291" t="s">
        <v>445</v>
      </c>
      <c r="H291">
        <f>INT(I302/J302/C292)</f>
        <v>22210</v>
      </c>
      <c r="I291" t="s">
        <v>446</v>
      </c>
      <c r="J291">
        <f>ROUND(I297/H291,1)</f>
        <v>1.4</v>
      </c>
      <c r="L291" s="9" t="s">
        <v>5</v>
      </c>
      <c r="M291" s="9" t="s">
        <v>2</v>
      </c>
      <c r="N291" s="9" t="s">
        <v>178</v>
      </c>
      <c r="O291" s="9" t="s">
        <v>0</v>
      </c>
      <c r="R291" t="s">
        <v>445</v>
      </c>
      <c r="S291">
        <f>INT(T302/U302/N292)</f>
        <v>19279</v>
      </c>
      <c r="T291" t="s">
        <v>446</v>
      </c>
      <c r="U291">
        <f>ROUND(T297/S291,1)</f>
        <v>1.7</v>
      </c>
    </row>
    <row r="292" spans="1:21" x14ac:dyDescent="0.15">
      <c r="A292">
        <f>A264+10</f>
        <v>4100</v>
      </c>
      <c r="B292">
        <f>B264+1</f>
        <v>11110</v>
      </c>
      <c r="C292">
        <v>15</v>
      </c>
      <c r="D292">
        <f>MOD(A292,1000)</f>
        <v>100</v>
      </c>
      <c r="G292" t="s">
        <v>447</v>
      </c>
      <c r="H292">
        <v>5</v>
      </c>
      <c r="I292" t="s">
        <v>383</v>
      </c>
      <c r="J292">
        <f>VLOOKUP(D292,召唤物生存,10)</f>
        <v>15.71</v>
      </c>
      <c r="L292">
        <f>L264+10</f>
        <v>4100</v>
      </c>
      <c r="M292">
        <f>M264+1</f>
        <v>11110</v>
      </c>
      <c r="N292">
        <v>18</v>
      </c>
      <c r="O292">
        <f>MOD(L292,1000)</f>
        <v>100</v>
      </c>
      <c r="R292" t="s">
        <v>447</v>
      </c>
      <c r="S292">
        <v>5</v>
      </c>
      <c r="T292" t="s">
        <v>383</v>
      </c>
      <c r="U292">
        <f>VLOOKUP(O292,召唤物生存,10)</f>
        <v>15.71</v>
      </c>
    </row>
    <row r="293" spans="1:21" x14ac:dyDescent="0.15">
      <c r="A293" t="s">
        <v>156</v>
      </c>
      <c r="B293" t="s">
        <v>95</v>
      </c>
      <c r="C293" t="s">
        <v>177</v>
      </c>
      <c r="D293" t="s">
        <v>143</v>
      </c>
      <c r="E293" t="s">
        <v>182</v>
      </c>
      <c r="F293" t="s">
        <v>192</v>
      </c>
      <c r="G293" t="s">
        <v>193</v>
      </c>
      <c r="H293" t="s">
        <v>176</v>
      </c>
      <c r="I293" t="s">
        <v>205</v>
      </c>
      <c r="J293" t="s">
        <v>206</v>
      </c>
      <c r="L293" t="s">
        <v>156</v>
      </c>
      <c r="M293" t="s">
        <v>95</v>
      </c>
      <c r="N293" t="s">
        <v>177</v>
      </c>
      <c r="O293" t="s">
        <v>143</v>
      </c>
      <c r="P293" t="s">
        <v>182</v>
      </c>
      <c r="Q293" t="s">
        <v>192</v>
      </c>
      <c r="R293" t="s">
        <v>193</v>
      </c>
      <c r="S293" t="s">
        <v>176</v>
      </c>
      <c r="T293" t="s">
        <v>205</v>
      </c>
      <c r="U293" t="s">
        <v>206</v>
      </c>
    </row>
    <row r="294" spans="1:21" x14ac:dyDescent="0.15">
      <c r="A294">
        <v>42</v>
      </c>
      <c r="B294" t="s">
        <v>35</v>
      </c>
      <c r="C294">
        <v>1</v>
      </c>
      <c r="D294">
        <f>VLOOKUP(A294,技能参数,4,FALSE)</f>
        <v>1</v>
      </c>
      <c r="E294">
        <f>IFERROR(VLOOKUP(A294*1000+D292,学习等级编码,2),0)</f>
        <v>4210</v>
      </c>
      <c r="F294">
        <f>IFERROR(INT(VLOOKUP($E294,技能升级,9,FALSE)*$C294*I294*J294),0)</f>
        <v>0</v>
      </c>
      <c r="G294">
        <f>IFERROR(INT(VLOOKUP($E294,技能升级,10,FALSE)*$C294*I294*J294),0)</f>
        <v>0</v>
      </c>
      <c r="H294">
        <f>INT(VLOOKUP($E294,技能升级,11,FALSE)*$C294*I294*J294)</f>
        <v>0</v>
      </c>
      <c r="I294">
        <v>1</v>
      </c>
      <c r="J294">
        <v>1</v>
      </c>
      <c r="L294">
        <v>42</v>
      </c>
      <c r="M294" t="s">
        <v>35</v>
      </c>
      <c r="N294">
        <v>1</v>
      </c>
      <c r="O294">
        <f>VLOOKUP(L294,技能参数,4,FALSE)</f>
        <v>1</v>
      </c>
      <c r="P294">
        <f>IFERROR(VLOOKUP(L294*1000+O292,学习等级编码,2),0)</f>
        <v>4210</v>
      </c>
      <c r="Q294">
        <f>IFERROR(INT(VLOOKUP(P294,技能升级,9,FALSE)*N294*T294*U294),0)</f>
        <v>0</v>
      </c>
      <c r="R294">
        <f>IFERROR(INT(VLOOKUP(P294,技能升级,10,FALSE)*N294*T294*U294),0)</f>
        <v>0</v>
      </c>
      <c r="S294">
        <f>INT(VLOOKUP(P294,技能升级,11,FALSE)*N294*T294*U294)</f>
        <v>0</v>
      </c>
      <c r="T294">
        <v>1</v>
      </c>
      <c r="U294">
        <v>1</v>
      </c>
    </row>
    <row r="295" spans="1:21" x14ac:dyDescent="0.15">
      <c r="A295">
        <v>43</v>
      </c>
      <c r="B295" t="s">
        <v>36</v>
      </c>
      <c r="C295">
        <v>1</v>
      </c>
      <c r="D295">
        <f>VLOOKUP(A295,技能参数,4,FALSE)</f>
        <v>1</v>
      </c>
      <c r="E295">
        <f>IFERROR(VLOOKUP(A295*1000+D292,学习等级编码,2),0)</f>
        <v>4310</v>
      </c>
      <c r="F295">
        <f t="shared" ref="F295" si="38">IFERROR(INT(VLOOKUP($E295,技能升级,9,FALSE)*$C295*I295*J295),0)</f>
        <v>0</v>
      </c>
      <c r="G295">
        <f t="shared" ref="G295" si="39">IFERROR(INT(VLOOKUP($E295,技能升级,10,FALSE)*$C295*I295*J295),0)</f>
        <v>0</v>
      </c>
      <c r="H295">
        <f>INT(VLOOKUP($E295,技能升级,11,FALSE)*$C295*I295*J295)</f>
        <v>0</v>
      </c>
      <c r="I295">
        <v>1</v>
      </c>
      <c r="J295">
        <v>1</v>
      </c>
      <c r="L295">
        <v>43</v>
      </c>
      <c r="M295" t="s">
        <v>36</v>
      </c>
      <c r="N295">
        <v>1</v>
      </c>
      <c r="O295">
        <f>VLOOKUP(L295,技能参数,4,FALSE)</f>
        <v>1</v>
      </c>
      <c r="P295">
        <f>IFERROR(VLOOKUP(L295*1000+O292,学习等级编码,2),0)</f>
        <v>4310</v>
      </c>
      <c r="Q295">
        <f>IFERROR(INT(VLOOKUP(P295,技能升级,9,FALSE)*N295*T295*U295),0)</f>
        <v>0</v>
      </c>
      <c r="R295">
        <f>IFERROR(INT(VLOOKUP(P295,技能升级,10,FALSE)*N295*T295*U295),0)</f>
        <v>0</v>
      </c>
      <c r="S295">
        <f>INT(VLOOKUP(P295,技能升级,11,FALSE)*N295*T295*U295)</f>
        <v>0</v>
      </c>
      <c r="T295">
        <v>1</v>
      </c>
      <c r="U295">
        <v>1</v>
      </c>
    </row>
    <row r="296" spans="1:21" x14ac:dyDescent="0.15">
      <c r="A296">
        <v>44</v>
      </c>
      <c r="B296" t="s">
        <v>38</v>
      </c>
      <c r="C296">
        <v>1</v>
      </c>
      <c r="D296">
        <f>IFERROR(INT(VLOOKUP($E296,技能升级,13,FALSE)),0)</f>
        <v>6</v>
      </c>
      <c r="E296">
        <f>IFERROR(VLOOKUP(A296*1000+D292,学习等级编码,2),0)</f>
        <v>4410</v>
      </c>
      <c r="F296">
        <f>IFERROR(INT(VLOOKUP($E296,技能升级,9,FALSE)*$C296*I296*J296),0)</f>
        <v>0</v>
      </c>
      <c r="G296">
        <f>IFERROR(INT(VLOOKUP($E296,技能升级,10,FALSE)*$D296*I296*J296),0)</f>
        <v>15750</v>
      </c>
      <c r="H296">
        <f>INT(VLOOKUP($E296,技能升级,11,FALSE)*$D296*I296*J296)</f>
        <v>5587</v>
      </c>
      <c r="I296">
        <v>1</v>
      </c>
      <c r="J296">
        <f>VLOOKUP(A292,$A$2:$I$21,8,FALSE)</f>
        <v>1.25</v>
      </c>
      <c r="L296">
        <v>44</v>
      </c>
      <c r="M296" t="s">
        <v>38</v>
      </c>
      <c r="N296">
        <v>0</v>
      </c>
      <c r="O296">
        <v>0</v>
      </c>
      <c r="P296">
        <f>IFERROR(VLOOKUP(L296*1000+O292,学习等级编码,2),0)</f>
        <v>4410</v>
      </c>
      <c r="Q296">
        <f>IFERROR(INT(VLOOKUP(P296,技能升级,9,FALSE)*N296*T296*U296),0)</f>
        <v>0</v>
      </c>
      <c r="R296">
        <f>IFERROR(INT(VLOOKUP(P296,技能升级,10,FALSE)*N296*T296*U296),0)</f>
        <v>0</v>
      </c>
      <c r="S296">
        <f>INT(VLOOKUP(P296,技能升级,11,FALSE)*N296*T296*U296)</f>
        <v>0</v>
      </c>
      <c r="T296">
        <v>1</v>
      </c>
      <c r="U296">
        <f>VLOOKUP(L292,$A$2:$I$21,8,FALSE)</f>
        <v>1.25</v>
      </c>
    </row>
    <row r="297" spans="1:21" x14ac:dyDescent="0.15">
      <c r="A297">
        <v>45</v>
      </c>
      <c r="B297" t="s">
        <v>37</v>
      </c>
      <c r="C297">
        <v>1</v>
      </c>
      <c r="D297">
        <f>VLOOKUP(A297,技能参数,4,FALSE)</f>
        <v>2</v>
      </c>
      <c r="E297">
        <f>IFERROR(VLOOKUP(A297*1000+D292,学习等级编码,2),0)</f>
        <v>4507</v>
      </c>
      <c r="F297">
        <f>IFERROR(INT(VLOOKUP($E297,技能升级,9,FALSE)*$C297*I297*J297),0)</f>
        <v>0</v>
      </c>
      <c r="G297">
        <f t="shared" ref="G297:G298" si="40">IFERROR(INT(VLOOKUP($E297,技能升级,10,FALSE)*$C297*I297*J297),0)</f>
        <v>0</v>
      </c>
      <c r="H297">
        <f>INT(VLOOKUP($E297,技能升级,11,FALSE)*$C297*I297*J297)</f>
        <v>0</v>
      </c>
      <c r="I297">
        <f>INT(VLOOKUP($E297,技能升级,13,FALSE)*$C297)</f>
        <v>32172</v>
      </c>
      <c r="J297">
        <v>1</v>
      </c>
      <c r="L297">
        <v>45</v>
      </c>
      <c r="M297" t="s">
        <v>37</v>
      </c>
      <c r="N297">
        <v>1</v>
      </c>
      <c r="O297">
        <f>VLOOKUP(L297,技能参数,4,FALSE)</f>
        <v>2</v>
      </c>
      <c r="P297">
        <f>IFERROR(VLOOKUP(L297*1000+O292,学习等级编码,2),0)</f>
        <v>4507</v>
      </c>
      <c r="Q297">
        <f>IFERROR(INT(VLOOKUP(P297,技能升级,9,FALSE)*N297*T297*U297),0)</f>
        <v>0</v>
      </c>
      <c r="R297">
        <f>IFERROR(INT(VLOOKUP(P297,技能升级,10,FALSE)*N297*T297*U297),0)</f>
        <v>0</v>
      </c>
      <c r="S297">
        <f>INT(VLOOKUP(P297,技能升级,11,FALSE)*N297*T297*U297)</f>
        <v>0</v>
      </c>
      <c r="T297">
        <f>INT(VLOOKUP($E297,技能升级,13,FALSE)*$C297)</f>
        <v>32172</v>
      </c>
      <c r="U297">
        <v>1</v>
      </c>
    </row>
    <row r="298" spans="1:21" x14ac:dyDescent="0.15">
      <c r="A298">
        <v>41</v>
      </c>
      <c r="B298" t="s">
        <v>361</v>
      </c>
      <c r="C298">
        <f>IF(INT((C292-C294*D294-C295*D295-C296*D296-C297*D297)/D298)&gt;0,INT((C292-C294*D294-C295*D295-C296*D296-C297*D297)/D298),0)</f>
        <v>4</v>
      </c>
      <c r="D298">
        <f>VLOOKUP(A298,技能参数,4,FALSE)</f>
        <v>1.2</v>
      </c>
      <c r="E298">
        <f>IFERROR(VLOOKUP(A298*1000+D292,学习等级编码,2),0)</f>
        <v>4115</v>
      </c>
      <c r="F298">
        <f>IFERROR(INT(VLOOKUP($E298,技能升级,9,FALSE)*$C298*I298*J298),0)</f>
        <v>0</v>
      </c>
      <c r="G298">
        <f t="shared" si="40"/>
        <v>7680</v>
      </c>
      <c r="H298">
        <f>INT(VLOOKUP($E298,技能升级,11,FALSE)*$C298*I298*J298)</f>
        <v>3691</v>
      </c>
      <c r="I298">
        <v>1</v>
      </c>
      <c r="J298">
        <f>VLOOKUP(A264,$A$2:$I$21,8,FALSE)</f>
        <v>1.2</v>
      </c>
      <c r="L298">
        <v>41</v>
      </c>
      <c r="M298" t="s">
        <v>361</v>
      </c>
      <c r="N298">
        <f>IF(INT((N292-N294*O294-N295*O295-N296*O296-N297*O297)/O298)&gt;0,INT((N292-N294*O294-N295*O295-N296*O296-N297*O297)/O298),0)</f>
        <v>11</v>
      </c>
      <c r="O298">
        <f>VLOOKUP(L298,技能参数,4,FALSE)</f>
        <v>1.2</v>
      </c>
      <c r="P298">
        <f>IFERROR(VLOOKUP(L298*1000+O292,学习等级编码,2),0)</f>
        <v>4115</v>
      </c>
      <c r="Q298">
        <f>IFERROR(INT(VLOOKUP(P298,技能升级,9,FALSE)*N298*T298*U298),0)</f>
        <v>0</v>
      </c>
      <c r="R298">
        <f>IFERROR(INT(VLOOKUP(P298,技能升级,10,FALSE)*N298*T298*U298),0)</f>
        <v>21120</v>
      </c>
      <c r="S298">
        <f>INT(VLOOKUP(P298,技能升级,11,FALSE)*N298*T298*U298)</f>
        <v>10150</v>
      </c>
      <c r="T298">
        <v>1</v>
      </c>
      <c r="U298">
        <f>VLOOKUP(A264,$A$2:$I$21,8,FALSE)</f>
        <v>1.2</v>
      </c>
    </row>
    <row r="299" spans="1:21" x14ac:dyDescent="0.15">
      <c r="A299">
        <f>VLOOKUP(E294,技能升级,13,FALSE)</f>
        <v>110</v>
      </c>
      <c r="B299" t="s">
        <v>375</v>
      </c>
      <c r="C299">
        <f>IF(C292&lt;J292,C292+C292-H292,IF(C292&gt;J292+H292,J292+J292,J292+C292-H292))</f>
        <v>25</v>
      </c>
      <c r="G299">
        <f>INT((VLOOKUP(A299,召唤物属性,7,FALSE)-
IF($B292&gt;10000,VLOOKUP($B292,实战属性,15,FALSE),VLOOKUP($B292,总基本属性,9,FALSE))*$L$13)*I299*J299)</f>
        <v>3186</v>
      </c>
      <c r="I299">
        <f>VLOOKUP($E294,技能升级,14,FALSE)</f>
        <v>2</v>
      </c>
      <c r="J299">
        <v>1</v>
      </c>
      <c r="L299">
        <f>VLOOKUP(P294,技能升级,13,FALSE)</f>
        <v>110</v>
      </c>
      <c r="M299" t="s">
        <v>375</v>
      </c>
      <c r="N299">
        <f>IF(N292&lt;U292,N292+N292-S292,IF(N292&gt;U292+S292,U292+U292,U292+N292-S292))</f>
        <v>28.71</v>
      </c>
      <c r="R299">
        <f>INT((VLOOKUP(L299,召唤物属性,7,FALSE)-
IF($B292&gt;10000,VLOOKUP($B292,实战属性,15,FALSE),VLOOKUP($B292,总基本属性,9,FALSE))*$L$13)*T299*U299)</f>
        <v>3186</v>
      </c>
      <c r="T299">
        <f>VLOOKUP($E294,技能升级,14,FALSE)</f>
        <v>2</v>
      </c>
      <c r="U299">
        <v>1</v>
      </c>
    </row>
    <row r="300" spans="1:21" x14ac:dyDescent="0.15">
      <c r="A300">
        <f>VLOOKUP(E295,技能升级,13,FALSE)</f>
        <v>210</v>
      </c>
      <c r="B300" t="s">
        <v>374</v>
      </c>
      <c r="C300">
        <f>IF(C292&lt;J292,C292+C292-H292,IF(C292&gt;J292+H292,J292+J292,J292+C292-H292))</f>
        <v>25</v>
      </c>
      <c r="F300">
        <f>INT((VLOOKUP(A300,召唤物属性,6,FALSE)-
IF($B292&gt;10000,VLOOKUP($B292,实战属性,15,FALSE),VLOOKUP($B292,总基本属性,9,FALSE))*$L$13)*I300*J300)</f>
        <v>4809</v>
      </c>
      <c r="I300">
        <f>VLOOKUP($E295,技能升级,14,FALSE)</f>
        <v>4</v>
      </c>
      <c r="J300">
        <f>VLOOKUP(A292,$A$2:$I$21,9,FALSE)</f>
        <v>0.93</v>
      </c>
      <c r="L300">
        <f>VLOOKUP(P295,技能升级,13,FALSE)</f>
        <v>210</v>
      </c>
      <c r="M300" t="s">
        <v>374</v>
      </c>
      <c r="N300">
        <f>IF(N292&lt;U292,N292+N292-S292,IF(N292&gt;U292+S292,U292+U292,U292+N292-S292))</f>
        <v>28.71</v>
      </c>
      <c r="Q300">
        <f>INT((VLOOKUP(L300,召唤物属性,6,FALSE)-
IF($B292&gt;10000,VLOOKUP($B292,实战属性,15,FALSE),VLOOKUP($B292,总基本属性,9,FALSE))*$L$13)*T300*U300)</f>
        <v>4809</v>
      </c>
      <c r="T300">
        <f>VLOOKUP($E295,技能升级,14,FALSE)</f>
        <v>4</v>
      </c>
      <c r="U300">
        <f>VLOOKUP(L292,$A$2:$I$21,9,FALSE)</f>
        <v>0.93</v>
      </c>
    </row>
    <row r="301" spans="1:21" x14ac:dyDescent="0.15">
      <c r="E301" t="s">
        <v>194</v>
      </c>
      <c r="F301">
        <f>SUM(F294:F298)/1000</f>
        <v>0</v>
      </c>
      <c r="G301">
        <f>SUM(G294:G298)/1000</f>
        <v>23.43</v>
      </c>
      <c r="H301">
        <f>SUM(H294:H297)</f>
        <v>5587</v>
      </c>
      <c r="I301" t="s">
        <v>196</v>
      </c>
      <c r="J301" t="s">
        <v>197</v>
      </c>
      <c r="P301" t="s">
        <v>194</v>
      </c>
      <c r="Q301">
        <f>SUM(Q294:Q298)/1000</f>
        <v>0</v>
      </c>
      <c r="R301">
        <f>SUM(R294:R298)/1000</f>
        <v>21.12</v>
      </c>
      <c r="S301">
        <f>SUM(S294:S297)</f>
        <v>0</v>
      </c>
      <c r="T301" t="s">
        <v>196</v>
      </c>
      <c r="U301" t="s">
        <v>197</v>
      </c>
    </row>
    <row r="302" spans="1:21" x14ac:dyDescent="0.15">
      <c r="E302" t="s">
        <v>195</v>
      </c>
      <c r="F302">
        <f>INT((IF($A292&gt;10000,VLOOKUP($A292,实战属性,13,FALSE),VLOOKUP($A292,总基本属性,7,FALSE))-
IF($B292&gt;10000,VLOOKUP($B292,实战属性,15,FALSE),VLOOKUP($B292,总基本属性,9,FALSE))*$L$13)*F301)</f>
        <v>0</v>
      </c>
      <c r="G302">
        <f>INT((IF($A292&gt;10000,VLOOKUP($A292,实战属性,14,FALSE),VLOOKUP($A292,总基本属性,8,FALSE))-
IF($B292&gt;10000,VLOOKUP($B292,实战属性,16,FALSE),VLOOKUP($B292,总基本属性,10,FALSE))*$L$13)*G301)</f>
        <v>128853</v>
      </c>
      <c r="H302">
        <f>H301+F302+G302</f>
        <v>134440</v>
      </c>
      <c r="I302">
        <f>IF($B292&gt;10000,VLOOKUP($B292,实战属性,12,FALSE),VLOOKUP($B292,总基本属性,6,FALSE))</f>
        <v>333153</v>
      </c>
      <c r="J302">
        <f>ROUND(I302/H303,2)</f>
        <v>1</v>
      </c>
      <c r="P302" t="s">
        <v>195</v>
      </c>
      <c r="Q302">
        <f>INT((IF($A292&gt;10000,VLOOKUP($A292,实战属性,13,FALSE),VLOOKUP($A292,总基本属性,7,FALSE))-
IF($B292&gt;10000,VLOOKUP($B292,实战属性,15,FALSE),VLOOKUP($B292,总基本属性,9,FALSE))*$L$13)*Q301)</f>
        <v>0</v>
      </c>
      <c r="R302">
        <f>INT((IF($A292&gt;10000,VLOOKUP($A292,实战属性,14,FALSE),VLOOKUP($A292,总基本属性,8,FALSE))-
IF($B292&gt;10000,VLOOKUP($B292,实战属性,16,FALSE),VLOOKUP($B292,总基本属性,10,FALSE))*$L$13)*R301)</f>
        <v>116149</v>
      </c>
      <c r="S302">
        <f>S301+Q302+R302</f>
        <v>116149</v>
      </c>
      <c r="T302">
        <f>IF($B292&gt;10000,VLOOKUP($B292,实战属性,12,FALSE),VLOOKUP($B292,总基本属性,6,FALSE))</f>
        <v>333153</v>
      </c>
      <c r="U302">
        <f>ROUND(T302/S303,2)</f>
        <v>0.96</v>
      </c>
    </row>
    <row r="303" spans="1:21" x14ac:dyDescent="0.15">
      <c r="E303" t="s">
        <v>376</v>
      </c>
      <c r="F303">
        <f>INT(F300*C300)</f>
        <v>120225</v>
      </c>
      <c r="G303">
        <f>INT(G299*C299)</f>
        <v>79650</v>
      </c>
      <c r="H303">
        <f>F303+G303+H302</f>
        <v>334315</v>
      </c>
      <c r="P303" t="s">
        <v>376</v>
      </c>
      <c r="Q303">
        <f>INT(Q300*N300)</f>
        <v>138066</v>
      </c>
      <c r="R303">
        <f>INT(R299*N299)</f>
        <v>91470</v>
      </c>
      <c r="S303">
        <f>Q303+R303+S302</f>
        <v>345685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Normal="100" workbookViewId="0">
      <selection activeCell="C56" sqref="C56"/>
    </sheetView>
  </sheetViews>
  <sheetFormatPr defaultRowHeight="13.5" x14ac:dyDescent="0.15"/>
  <cols>
    <col min="3" max="3" width="81.75" style="2" customWidth="1"/>
    <col min="4" max="4" width="17.375" style="2" customWidth="1"/>
    <col min="5" max="5" width="19.375" bestFit="1" customWidth="1"/>
    <col min="6" max="6" width="17.625" customWidth="1"/>
    <col min="7" max="7" width="13" bestFit="1" customWidth="1"/>
    <col min="8" max="9" width="10.25" bestFit="1" customWidth="1"/>
  </cols>
  <sheetData>
    <row r="1" spans="1:6" x14ac:dyDescent="0.15">
      <c r="B1" t="s">
        <v>1</v>
      </c>
      <c r="C1" s="2" t="s">
        <v>54</v>
      </c>
    </row>
    <row r="2" spans="1:6" x14ac:dyDescent="0.15">
      <c r="A2">
        <v>1</v>
      </c>
      <c r="B2" t="s">
        <v>2</v>
      </c>
      <c r="C2" s="2" t="s">
        <v>208</v>
      </c>
    </row>
    <row r="3" spans="1:6" x14ac:dyDescent="0.15">
      <c r="A3">
        <v>2</v>
      </c>
      <c r="B3" t="s">
        <v>3</v>
      </c>
      <c r="C3" s="2" t="s">
        <v>27</v>
      </c>
    </row>
    <row r="4" spans="1:6" x14ac:dyDescent="0.15">
      <c r="A4">
        <v>3</v>
      </c>
      <c r="B4" t="s">
        <v>4</v>
      </c>
      <c r="C4" s="2" t="s">
        <v>209</v>
      </c>
    </row>
    <row r="5" spans="1:6" x14ac:dyDescent="0.15">
      <c r="A5">
        <v>4</v>
      </c>
      <c r="B5" t="s">
        <v>5</v>
      </c>
      <c r="C5" s="2" t="s">
        <v>7</v>
      </c>
    </row>
    <row r="6" spans="1:6" x14ac:dyDescent="0.15">
      <c r="A6">
        <v>5</v>
      </c>
      <c r="B6" t="s">
        <v>6</v>
      </c>
      <c r="C6" s="2" t="s">
        <v>210</v>
      </c>
    </row>
    <row r="11" spans="1:6" x14ac:dyDescent="0.15">
      <c r="A11" t="s">
        <v>8</v>
      </c>
      <c r="B11" t="s">
        <v>13</v>
      </c>
      <c r="C11" s="2" t="s">
        <v>14</v>
      </c>
      <c r="D11" s="2" t="s">
        <v>56</v>
      </c>
      <c r="E11" t="s">
        <v>55</v>
      </c>
      <c r="F11" t="s">
        <v>67</v>
      </c>
    </row>
    <row r="12" spans="1:6" x14ac:dyDescent="0.15">
      <c r="A12">
        <v>1</v>
      </c>
      <c r="B12" t="s">
        <v>9</v>
      </c>
      <c r="C12" s="2" t="s">
        <v>15</v>
      </c>
      <c r="D12" s="2" t="s">
        <v>64</v>
      </c>
      <c r="F12" t="s">
        <v>73</v>
      </c>
    </row>
    <row r="13" spans="1:6" ht="27" x14ac:dyDescent="0.15">
      <c r="A13">
        <v>2</v>
      </c>
      <c r="B13" t="s">
        <v>10</v>
      </c>
      <c r="C13" s="2" t="s">
        <v>216</v>
      </c>
      <c r="D13" s="2" t="s">
        <v>63</v>
      </c>
      <c r="E13" t="s">
        <v>59</v>
      </c>
      <c r="F13" t="s">
        <v>74</v>
      </c>
    </row>
    <row r="14" spans="1:6" x14ac:dyDescent="0.15">
      <c r="A14">
        <v>3</v>
      </c>
      <c r="B14" t="s">
        <v>11</v>
      </c>
      <c r="C14" s="2" t="s">
        <v>207</v>
      </c>
      <c r="D14" s="2" t="s">
        <v>217</v>
      </c>
    </row>
    <row r="15" spans="1:6" x14ac:dyDescent="0.15">
      <c r="A15">
        <v>4</v>
      </c>
      <c r="B15" t="s">
        <v>12</v>
      </c>
      <c r="C15" s="2" t="s">
        <v>16</v>
      </c>
      <c r="D15" s="2" t="s">
        <v>63</v>
      </c>
      <c r="E15" t="s">
        <v>68</v>
      </c>
      <c r="F15" t="s">
        <v>135</v>
      </c>
    </row>
    <row r="16" spans="1:6" ht="40.5" x14ac:dyDescent="0.15">
      <c r="B16" t="s">
        <v>17</v>
      </c>
      <c r="C16" s="2" t="s">
        <v>47</v>
      </c>
    </row>
    <row r="21" spans="1:5" x14ac:dyDescent="0.15">
      <c r="A21" t="s">
        <v>18</v>
      </c>
      <c r="B21" t="s">
        <v>13</v>
      </c>
      <c r="C21" s="2" t="s">
        <v>14</v>
      </c>
      <c r="D21" s="2" t="s">
        <v>56</v>
      </c>
      <c r="E21" t="s">
        <v>55</v>
      </c>
    </row>
    <row r="22" spans="1:5" x14ac:dyDescent="0.15">
      <c r="A22">
        <v>1</v>
      </c>
      <c r="B22" t="s">
        <v>22</v>
      </c>
      <c r="C22" s="2" t="s">
        <v>31</v>
      </c>
      <c r="D22" s="2" t="s">
        <v>63</v>
      </c>
      <c r="E22" t="s">
        <v>60</v>
      </c>
    </row>
    <row r="23" spans="1:5" x14ac:dyDescent="0.15">
      <c r="A23">
        <v>2</v>
      </c>
      <c r="B23" t="s">
        <v>24</v>
      </c>
      <c r="C23" s="2" t="s">
        <v>30</v>
      </c>
      <c r="D23" s="2" t="s">
        <v>63</v>
      </c>
      <c r="E23" t="s">
        <v>61</v>
      </c>
    </row>
    <row r="24" spans="1:5" x14ac:dyDescent="0.15">
      <c r="A24">
        <v>3</v>
      </c>
      <c r="B24" t="s">
        <v>25</v>
      </c>
      <c r="C24" s="2" t="s">
        <v>254</v>
      </c>
      <c r="D24" s="2" t="s">
        <v>62</v>
      </c>
    </row>
    <row r="25" spans="1:5" x14ac:dyDescent="0.15">
      <c r="A25">
        <v>4</v>
      </c>
      <c r="B25" t="s">
        <v>23</v>
      </c>
      <c r="C25" s="2" t="s">
        <v>32</v>
      </c>
      <c r="D25" s="2" t="s">
        <v>63</v>
      </c>
      <c r="E25" t="s">
        <v>68</v>
      </c>
    </row>
    <row r="26" spans="1:5" ht="27" x14ac:dyDescent="0.15">
      <c r="B26" t="s">
        <v>17</v>
      </c>
      <c r="C26" s="2" t="s">
        <v>48</v>
      </c>
    </row>
    <row r="31" spans="1:5" x14ac:dyDescent="0.15">
      <c r="A31" t="s">
        <v>19</v>
      </c>
      <c r="B31" t="s">
        <v>13</v>
      </c>
      <c r="C31" s="2" t="s">
        <v>14</v>
      </c>
      <c r="D31" s="2" t="s">
        <v>56</v>
      </c>
      <c r="E31" t="s">
        <v>55</v>
      </c>
    </row>
    <row r="32" spans="1:5" ht="27" x14ac:dyDescent="0.15">
      <c r="A32">
        <v>1</v>
      </c>
      <c r="B32" t="s">
        <v>26</v>
      </c>
      <c r="C32" s="2" t="s">
        <v>49</v>
      </c>
      <c r="D32" s="2" t="s">
        <v>63</v>
      </c>
      <c r="E32" t="s">
        <v>71</v>
      </c>
    </row>
    <row r="33" spans="1:5" ht="27" x14ac:dyDescent="0.15">
      <c r="A33">
        <v>2</v>
      </c>
      <c r="B33" t="s">
        <v>29</v>
      </c>
      <c r="C33" s="2" t="s">
        <v>41</v>
      </c>
      <c r="D33" s="2" t="s">
        <v>62</v>
      </c>
    </row>
    <row r="34" spans="1:5" x14ac:dyDescent="0.15">
      <c r="A34">
        <v>3</v>
      </c>
      <c r="B34" t="s">
        <v>34</v>
      </c>
      <c r="C34" s="2" t="s">
        <v>33</v>
      </c>
      <c r="D34" s="2" t="s">
        <v>63</v>
      </c>
      <c r="E34" t="s">
        <v>69</v>
      </c>
    </row>
    <row r="35" spans="1:5" ht="27" x14ac:dyDescent="0.15">
      <c r="A35">
        <v>4</v>
      </c>
      <c r="B35" t="s">
        <v>28</v>
      </c>
      <c r="C35" s="2" t="s">
        <v>42</v>
      </c>
      <c r="D35" s="2" t="s">
        <v>63</v>
      </c>
      <c r="E35" t="s">
        <v>70</v>
      </c>
    </row>
    <row r="36" spans="1:5" ht="54" x14ac:dyDescent="0.15">
      <c r="B36" t="s">
        <v>17</v>
      </c>
      <c r="C36" s="2" t="s">
        <v>50</v>
      </c>
    </row>
    <row r="41" spans="1:5" x14ac:dyDescent="0.15">
      <c r="A41" t="s">
        <v>20</v>
      </c>
      <c r="B41" t="s">
        <v>13</v>
      </c>
      <c r="C41" s="2" t="s">
        <v>14</v>
      </c>
      <c r="D41" s="2" t="s">
        <v>56</v>
      </c>
      <c r="E41" t="s">
        <v>55</v>
      </c>
    </row>
    <row r="42" spans="1:5" x14ac:dyDescent="0.15">
      <c r="A42">
        <v>1</v>
      </c>
      <c r="B42" t="s">
        <v>35</v>
      </c>
      <c r="C42" s="2" t="s">
        <v>359</v>
      </c>
      <c r="D42" s="2" t="s">
        <v>63</v>
      </c>
      <c r="E42" t="s">
        <v>371</v>
      </c>
    </row>
    <row r="43" spans="1:5" x14ac:dyDescent="0.15">
      <c r="A43">
        <v>2</v>
      </c>
      <c r="B43" t="s">
        <v>36</v>
      </c>
      <c r="C43" s="2" t="s">
        <v>358</v>
      </c>
      <c r="D43" s="2" t="s">
        <v>63</v>
      </c>
      <c r="E43" t="s">
        <v>371</v>
      </c>
    </row>
    <row r="44" spans="1:5" ht="27" x14ac:dyDescent="0.15">
      <c r="A44">
        <v>3</v>
      </c>
      <c r="B44" t="s">
        <v>38</v>
      </c>
      <c r="C44" s="2" t="s">
        <v>360</v>
      </c>
      <c r="D44" s="2" t="s">
        <v>64</v>
      </c>
      <c r="E44" t="s">
        <v>371</v>
      </c>
    </row>
    <row r="45" spans="1:5" x14ac:dyDescent="0.15">
      <c r="A45">
        <v>4</v>
      </c>
      <c r="B45" t="s">
        <v>37</v>
      </c>
      <c r="C45" s="2" t="s">
        <v>253</v>
      </c>
      <c r="D45" s="2" t="s">
        <v>63</v>
      </c>
      <c r="E45" t="s">
        <v>68</v>
      </c>
    </row>
    <row r="46" spans="1:5" x14ac:dyDescent="0.15">
      <c r="B46" t="s">
        <v>17</v>
      </c>
      <c r="C46" s="2" t="s">
        <v>51</v>
      </c>
    </row>
    <row r="51" spans="1:5" x14ac:dyDescent="0.15">
      <c r="A51" t="s">
        <v>21</v>
      </c>
      <c r="B51" t="s">
        <v>13</v>
      </c>
      <c r="C51" s="2" t="s">
        <v>14</v>
      </c>
      <c r="D51" s="2" t="s">
        <v>56</v>
      </c>
      <c r="E51" t="s">
        <v>55</v>
      </c>
    </row>
    <row r="52" spans="1:5" x14ac:dyDescent="0.15">
      <c r="A52">
        <v>1</v>
      </c>
      <c r="B52" t="s">
        <v>44</v>
      </c>
      <c r="C52" s="2" t="s">
        <v>45</v>
      </c>
      <c r="D52" s="2" t="s">
        <v>63</v>
      </c>
      <c r="E52" t="s">
        <v>61</v>
      </c>
    </row>
    <row r="53" spans="1:5" x14ac:dyDescent="0.15">
      <c r="A53">
        <v>2</v>
      </c>
      <c r="B53" t="s">
        <v>39</v>
      </c>
      <c r="C53" s="2" t="s">
        <v>43</v>
      </c>
      <c r="D53" s="2" t="s">
        <v>62</v>
      </c>
    </row>
    <row r="54" spans="1:5" x14ac:dyDescent="0.15">
      <c r="A54">
        <v>3</v>
      </c>
      <c r="B54" t="s">
        <v>40</v>
      </c>
      <c r="C54" s="2" t="s">
        <v>269</v>
      </c>
      <c r="D54" s="2" t="s">
        <v>63</v>
      </c>
      <c r="E54" t="s">
        <v>72</v>
      </c>
    </row>
    <row r="55" spans="1:5" ht="40.5" x14ac:dyDescent="0.15">
      <c r="A55">
        <v>4</v>
      </c>
      <c r="B55" t="s">
        <v>46</v>
      </c>
      <c r="C55" s="2" t="s">
        <v>52</v>
      </c>
      <c r="D55" s="2" t="s">
        <v>62</v>
      </c>
    </row>
    <row r="56" spans="1:5" ht="27" x14ac:dyDescent="0.15">
      <c r="B56" t="s">
        <v>17</v>
      </c>
      <c r="C56" s="2" t="s">
        <v>53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3"/>
  <sheetViews>
    <sheetView topLeftCell="A7" workbookViewId="0">
      <selection activeCell="N99" sqref="N99"/>
    </sheetView>
  </sheetViews>
  <sheetFormatPr defaultRowHeight="13.5" x14ac:dyDescent="0.15"/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449</v>
      </c>
      <c r="H1" t="s">
        <v>435</v>
      </c>
      <c r="I1" t="s">
        <v>436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5010</v>
      </c>
      <c r="B2">
        <v>4010</v>
      </c>
      <c r="C2">
        <f t="shared" ref="C2:C2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2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0.2</v>
      </c>
      <c r="E2">
        <f t="shared" ref="E2:E2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2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f t="shared" ref="G2:G5" si="4">C2*1.5+D2*2+1-C2-D2</f>
        <v>1.2</v>
      </c>
      <c r="H2">
        <v>1</v>
      </c>
      <c r="I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 t="shared" ref="A3:B18" si="5">A2+10</f>
        <v>5020</v>
      </c>
      <c r="B3">
        <f>B2+10</f>
        <v>4020</v>
      </c>
      <c r="C3">
        <f t="shared" si="0"/>
        <v>0</v>
      </c>
      <c r="D3">
        <f t="shared" si="1"/>
        <v>0.22</v>
      </c>
      <c r="E3">
        <f t="shared" si="2"/>
        <v>0</v>
      </c>
      <c r="F3">
        <f t="shared" si="3"/>
        <v>0</v>
      </c>
      <c r="G3">
        <f t="shared" si="4"/>
        <v>1.22</v>
      </c>
      <c r="H3">
        <v>1</v>
      </c>
      <c r="I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 t="shared" si="5"/>
        <v>5030</v>
      </c>
      <c r="B4">
        <f t="shared" si="5"/>
        <v>4030</v>
      </c>
      <c r="C4">
        <f t="shared" si="0"/>
        <v>0</v>
      </c>
      <c r="D4">
        <f t="shared" si="1"/>
        <v>0.25</v>
      </c>
      <c r="E4">
        <f t="shared" si="2"/>
        <v>0</v>
      </c>
      <c r="F4">
        <f t="shared" si="3"/>
        <v>0</v>
      </c>
      <c r="G4">
        <f t="shared" si="4"/>
        <v>1.25</v>
      </c>
      <c r="H4">
        <v>1</v>
      </c>
      <c r="I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si="5"/>
        <v>5040</v>
      </c>
      <c r="B5">
        <f t="shared" si="5"/>
        <v>4040</v>
      </c>
      <c r="C5">
        <f t="shared" si="0"/>
        <v>0</v>
      </c>
      <c r="D5">
        <f t="shared" si="1"/>
        <v>0.28999999999999998</v>
      </c>
      <c r="E5">
        <f t="shared" si="2"/>
        <v>0</v>
      </c>
      <c r="F5">
        <f t="shared" si="3"/>
        <v>0</v>
      </c>
      <c r="G5">
        <f t="shared" si="4"/>
        <v>1.29</v>
      </c>
      <c r="H5">
        <v>1</v>
      </c>
      <c r="I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5"/>
        <v>5050</v>
      </c>
      <c r="B6">
        <f t="shared" si="5"/>
        <v>4050</v>
      </c>
      <c r="C6">
        <f t="shared" si="0"/>
        <v>0.01</v>
      </c>
      <c r="D6">
        <f t="shared" si="1"/>
        <v>0.32</v>
      </c>
      <c r="E6">
        <f t="shared" si="2"/>
        <v>0</v>
      </c>
      <c r="F6">
        <f t="shared" si="3"/>
        <v>0</v>
      </c>
      <c r="G6">
        <f>C6*1.5+D6*2+1-C6-D6</f>
        <v>1.325</v>
      </c>
      <c r="H6">
        <v>1</v>
      </c>
      <c r="I6">
        <v>1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5"/>
        <v>5060</v>
      </c>
      <c r="B7">
        <f t="shared" si="5"/>
        <v>4060</v>
      </c>
      <c r="C7">
        <f t="shared" si="0"/>
        <v>0.01</v>
      </c>
      <c r="D7">
        <f t="shared" si="1"/>
        <v>0.36</v>
      </c>
      <c r="E7">
        <f t="shared" si="2"/>
        <v>0</v>
      </c>
      <c r="F7">
        <f t="shared" si="3"/>
        <v>0</v>
      </c>
      <c r="G7">
        <f t="shared" ref="G7:G10" si="6">C7*1.5+D7*2+1-C7-D7</f>
        <v>1.3649999999999998</v>
      </c>
      <c r="H7">
        <v>1</v>
      </c>
      <c r="I7">
        <v>1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5"/>
        <v>5070</v>
      </c>
      <c r="B8">
        <f t="shared" si="5"/>
        <v>4070</v>
      </c>
      <c r="C8">
        <f t="shared" si="0"/>
        <v>0.01</v>
      </c>
      <c r="D8">
        <f t="shared" si="1"/>
        <v>0.4</v>
      </c>
      <c r="E8">
        <f t="shared" si="2"/>
        <v>0</v>
      </c>
      <c r="F8">
        <f t="shared" si="3"/>
        <v>0</v>
      </c>
      <c r="G8">
        <f t="shared" si="6"/>
        <v>1.4049999999999998</v>
      </c>
      <c r="H8">
        <v>1</v>
      </c>
      <c r="I8">
        <v>1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5"/>
        <v>5080</v>
      </c>
      <c r="B9">
        <f t="shared" si="5"/>
        <v>4080</v>
      </c>
      <c r="C9">
        <f t="shared" si="0"/>
        <v>0.01</v>
      </c>
      <c r="D9">
        <f t="shared" si="1"/>
        <v>0.43</v>
      </c>
      <c r="E9">
        <f t="shared" si="2"/>
        <v>0</v>
      </c>
      <c r="F9">
        <f t="shared" si="3"/>
        <v>0</v>
      </c>
      <c r="G9">
        <f t="shared" si="6"/>
        <v>1.4350000000000001</v>
      </c>
      <c r="H9">
        <v>1</v>
      </c>
      <c r="I9">
        <v>1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5"/>
        <v>5090</v>
      </c>
      <c r="B10">
        <f t="shared" si="5"/>
        <v>4090</v>
      </c>
      <c r="C10">
        <f t="shared" si="0"/>
        <v>0.02</v>
      </c>
      <c r="D10">
        <f t="shared" si="1"/>
        <v>0.47</v>
      </c>
      <c r="E10">
        <f t="shared" si="2"/>
        <v>0</v>
      </c>
      <c r="F10">
        <f t="shared" si="3"/>
        <v>0</v>
      </c>
      <c r="G10">
        <f t="shared" si="6"/>
        <v>1.48</v>
      </c>
      <c r="H10">
        <v>1</v>
      </c>
      <c r="I10">
        <v>1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5"/>
        <v>5100</v>
      </c>
      <c r="B11">
        <f t="shared" si="5"/>
        <v>4100</v>
      </c>
      <c r="C11">
        <f t="shared" si="0"/>
        <v>0.02</v>
      </c>
      <c r="D11">
        <f t="shared" si="1"/>
        <v>0.51</v>
      </c>
      <c r="E11">
        <f t="shared" si="2"/>
        <v>0</v>
      </c>
      <c r="F11">
        <f t="shared" si="3"/>
        <v>0</v>
      </c>
      <c r="G11">
        <f>C11*1.5+D11*2+1-C11-D11</f>
        <v>1.5199999999999998</v>
      </c>
      <c r="H11">
        <v>1</v>
      </c>
      <c r="I11">
        <v>1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A12">
        <v>4010</v>
      </c>
      <c r="B12">
        <v>5010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v>1</v>
      </c>
      <c r="H12">
        <v>1</v>
      </c>
      <c r="I12">
        <v>1</v>
      </c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A13">
        <f>A12+10</f>
        <v>4020</v>
      </c>
      <c r="B13">
        <f t="shared" si="5"/>
        <v>5020</v>
      </c>
      <c r="C13">
        <f t="shared" si="0"/>
        <v>0</v>
      </c>
      <c r="D13">
        <f t="shared" si="1"/>
        <v>0</v>
      </c>
      <c r="E13">
        <f t="shared" si="2"/>
        <v>0.01</v>
      </c>
      <c r="F13">
        <f t="shared" si="3"/>
        <v>0</v>
      </c>
      <c r="G13">
        <v>1</v>
      </c>
      <c r="H13">
        <v>1</v>
      </c>
      <c r="I13">
        <v>1</v>
      </c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4" spans="1:24" x14ac:dyDescent="0.15">
      <c r="A14">
        <f t="shared" ref="A14:B21" si="7">A13+10</f>
        <v>4030</v>
      </c>
      <c r="B14">
        <f t="shared" si="5"/>
        <v>5030</v>
      </c>
      <c r="C14">
        <f t="shared" si="0"/>
        <v>0</v>
      </c>
      <c r="D14">
        <f t="shared" si="1"/>
        <v>0</v>
      </c>
      <c r="E14">
        <f t="shared" si="2"/>
        <v>0.02</v>
      </c>
      <c r="F14">
        <f t="shared" si="3"/>
        <v>0</v>
      </c>
      <c r="G14">
        <v>1</v>
      </c>
      <c r="H14">
        <v>1</v>
      </c>
      <c r="I14">
        <v>1</v>
      </c>
    </row>
    <row r="15" spans="1:24" x14ac:dyDescent="0.15">
      <c r="A15">
        <f t="shared" si="7"/>
        <v>4040</v>
      </c>
      <c r="B15">
        <f t="shared" si="5"/>
        <v>5040</v>
      </c>
      <c r="C15">
        <f t="shared" si="0"/>
        <v>0</v>
      </c>
      <c r="D15">
        <f t="shared" si="1"/>
        <v>0.01</v>
      </c>
      <c r="E15">
        <f t="shared" si="2"/>
        <v>0.04</v>
      </c>
      <c r="F15">
        <f t="shared" si="3"/>
        <v>0</v>
      </c>
      <c r="G15">
        <v>1</v>
      </c>
      <c r="H15">
        <v>1</v>
      </c>
      <c r="I15">
        <v>1</v>
      </c>
    </row>
    <row r="16" spans="1:24" x14ac:dyDescent="0.15">
      <c r="A16">
        <f t="shared" si="7"/>
        <v>4050</v>
      </c>
      <c r="B16">
        <f t="shared" si="5"/>
        <v>5050</v>
      </c>
      <c r="C16">
        <f t="shared" si="0"/>
        <v>0</v>
      </c>
      <c r="D16">
        <f t="shared" si="1"/>
        <v>0.01</v>
      </c>
      <c r="E16">
        <f t="shared" si="2"/>
        <v>0.06</v>
      </c>
      <c r="F16">
        <f t="shared" si="3"/>
        <v>0.1</v>
      </c>
      <c r="G16">
        <v>1</v>
      </c>
      <c r="H16">
        <f t="shared" ref="H16:H18" si="8">F16*0.5+1-F16</f>
        <v>0.95000000000000007</v>
      </c>
      <c r="I16">
        <v>1</v>
      </c>
    </row>
    <row r="17" spans="1:21" x14ac:dyDescent="0.15">
      <c r="A17">
        <f t="shared" si="7"/>
        <v>4060</v>
      </c>
      <c r="B17">
        <f t="shared" si="5"/>
        <v>5060</v>
      </c>
      <c r="C17">
        <f t="shared" si="0"/>
        <v>0</v>
      </c>
      <c r="D17">
        <f t="shared" si="1"/>
        <v>0.01</v>
      </c>
      <c r="E17">
        <f t="shared" si="2"/>
        <v>0.08</v>
      </c>
      <c r="F17">
        <f t="shared" si="3"/>
        <v>0.13</v>
      </c>
      <c r="G17">
        <v>1</v>
      </c>
      <c r="H17">
        <f t="shared" si="8"/>
        <v>0.93499999999999994</v>
      </c>
      <c r="I17">
        <f t="shared" ref="I17:I19" si="9">E17*0.3+1-E17</f>
        <v>0.94400000000000006</v>
      </c>
    </row>
    <row r="18" spans="1:21" x14ac:dyDescent="0.15">
      <c r="A18">
        <f t="shared" si="7"/>
        <v>4070</v>
      </c>
      <c r="B18">
        <f t="shared" si="5"/>
        <v>5070</v>
      </c>
      <c r="C18">
        <f t="shared" si="0"/>
        <v>0</v>
      </c>
      <c r="D18">
        <f t="shared" si="1"/>
        <v>0.02</v>
      </c>
      <c r="E18">
        <f t="shared" si="2"/>
        <v>0.11</v>
      </c>
      <c r="F18">
        <f t="shared" si="3"/>
        <v>0.17</v>
      </c>
      <c r="G18">
        <v>1</v>
      </c>
      <c r="H18">
        <f t="shared" si="8"/>
        <v>0.91499999999999992</v>
      </c>
      <c r="I18">
        <f t="shared" si="9"/>
        <v>0.92299999999999993</v>
      </c>
    </row>
    <row r="19" spans="1:21" x14ac:dyDescent="0.15">
      <c r="A19">
        <f t="shared" si="7"/>
        <v>4080</v>
      </c>
      <c r="B19">
        <f t="shared" si="7"/>
        <v>5080</v>
      </c>
      <c r="C19">
        <f t="shared" si="0"/>
        <v>0</v>
      </c>
      <c r="D19">
        <f t="shared" si="1"/>
        <v>0.02</v>
      </c>
      <c r="E19">
        <f t="shared" si="2"/>
        <v>0.14000000000000001</v>
      </c>
      <c r="F19">
        <f t="shared" si="3"/>
        <v>0.22</v>
      </c>
      <c r="G19">
        <v>1</v>
      </c>
      <c r="H19">
        <f>F19*0.5+1-F19</f>
        <v>0.89000000000000012</v>
      </c>
      <c r="I19">
        <f t="shared" si="9"/>
        <v>0.90200000000000002</v>
      </c>
    </row>
    <row r="20" spans="1:21" x14ac:dyDescent="0.15">
      <c r="A20">
        <f t="shared" si="7"/>
        <v>4090</v>
      </c>
      <c r="B20">
        <f t="shared" si="7"/>
        <v>5090</v>
      </c>
      <c r="C20">
        <f t="shared" si="0"/>
        <v>0</v>
      </c>
      <c r="D20">
        <f t="shared" si="1"/>
        <v>0.03</v>
      </c>
      <c r="E20">
        <f t="shared" si="2"/>
        <v>0.17</v>
      </c>
      <c r="F20">
        <f t="shared" si="3"/>
        <v>0.28000000000000003</v>
      </c>
      <c r="G20">
        <v>1</v>
      </c>
      <c r="H20">
        <f t="shared" ref="H20:H21" si="10">F20*0.5+1-F20</f>
        <v>0.8600000000000001</v>
      </c>
      <c r="I20">
        <f>E20*0.3+1-E20</f>
        <v>0.88099999999999989</v>
      </c>
    </row>
    <row r="21" spans="1:21" x14ac:dyDescent="0.15">
      <c r="A21">
        <f t="shared" si="7"/>
        <v>4100</v>
      </c>
      <c r="B21">
        <f t="shared" si="7"/>
        <v>5100</v>
      </c>
      <c r="C21">
        <f t="shared" si="0"/>
        <v>0</v>
      </c>
      <c r="D21">
        <f t="shared" si="1"/>
        <v>0.04</v>
      </c>
      <c r="E21">
        <f t="shared" si="2"/>
        <v>0.21</v>
      </c>
      <c r="F21">
        <f t="shared" si="3"/>
        <v>0.35</v>
      </c>
      <c r="G21">
        <v>1</v>
      </c>
      <c r="H21">
        <f t="shared" si="10"/>
        <v>0.82500000000000007</v>
      </c>
      <c r="I21">
        <f t="shared" ref="I21" si="11">E21*0.3+1-E21</f>
        <v>0.85299999999999998</v>
      </c>
    </row>
    <row r="27" spans="1:21" x14ac:dyDescent="0.15">
      <c r="A27" s="8" t="s">
        <v>6</v>
      </c>
      <c r="B27" s="8" t="s">
        <v>444</v>
      </c>
      <c r="C27" s="8" t="s">
        <v>178</v>
      </c>
      <c r="D27" s="8" t="s">
        <v>0</v>
      </c>
      <c r="L27" s="8" t="s">
        <v>6</v>
      </c>
      <c r="M27" s="8" t="s">
        <v>444</v>
      </c>
      <c r="N27" s="8" t="s">
        <v>178</v>
      </c>
      <c r="O27" s="8" t="s">
        <v>0</v>
      </c>
    </row>
    <row r="28" spans="1:21" x14ac:dyDescent="0.15">
      <c r="A28">
        <v>5010</v>
      </c>
      <c r="B28">
        <v>4010</v>
      </c>
      <c r="C28">
        <v>13</v>
      </c>
      <c r="D28">
        <f>MOD(A28,1000)</f>
        <v>10</v>
      </c>
      <c r="L28">
        <v>5010</v>
      </c>
      <c r="M28">
        <v>4010</v>
      </c>
      <c r="N28">
        <v>9</v>
      </c>
      <c r="O28">
        <f>MOD(L28,1000)</f>
        <v>10</v>
      </c>
    </row>
    <row r="29" spans="1:21" x14ac:dyDescent="0.15">
      <c r="A29" t="s">
        <v>156</v>
      </c>
      <c r="B29" t="s">
        <v>95</v>
      </c>
      <c r="C29" t="s">
        <v>142</v>
      </c>
      <c r="D29" t="s">
        <v>143</v>
      </c>
      <c r="E29" t="s">
        <v>182</v>
      </c>
      <c r="F29" t="s">
        <v>192</v>
      </c>
      <c r="G29" t="s">
        <v>193</v>
      </c>
      <c r="H29" t="s">
        <v>176</v>
      </c>
      <c r="I29" t="s">
        <v>205</v>
      </c>
      <c r="J29" t="s">
        <v>206</v>
      </c>
      <c r="L29" t="s">
        <v>156</v>
      </c>
      <c r="M29" t="s">
        <v>95</v>
      </c>
      <c r="N29" t="s">
        <v>142</v>
      </c>
      <c r="O29" t="s">
        <v>143</v>
      </c>
      <c r="P29" t="s">
        <v>182</v>
      </c>
      <c r="Q29" t="s">
        <v>192</v>
      </c>
      <c r="R29" t="s">
        <v>193</v>
      </c>
      <c r="S29" t="s">
        <v>176</v>
      </c>
      <c r="T29" t="s">
        <v>205</v>
      </c>
      <c r="U29" t="s">
        <v>206</v>
      </c>
    </row>
    <row r="30" spans="1:21" x14ac:dyDescent="0.15">
      <c r="A30">
        <v>52</v>
      </c>
      <c r="B30" t="s">
        <v>44</v>
      </c>
      <c r="C30">
        <v>0</v>
      </c>
      <c r="D30">
        <f>VLOOKUP(A30,技能参数,4,FALSE)</f>
        <v>1.5</v>
      </c>
      <c r="E30">
        <f>VLOOKUP(A30*1000+D28,学习等级编码,2)</f>
        <v>5201</v>
      </c>
      <c r="F30">
        <f>INT(VLOOKUP(E30,技能升级,9,FALSE)*C30*I30*J30)</f>
        <v>0</v>
      </c>
      <c r="G30">
        <f>INT(VLOOKUP(E30,技能升级,10,FALSE)*C30*I30*J30)</f>
        <v>0</v>
      </c>
      <c r="H30">
        <f>INT(VLOOKUP(E30,技能升级,11,FALSE)*C30*I30*J30)</f>
        <v>0</v>
      </c>
      <c r="I30">
        <v>1</v>
      </c>
      <c r="J30">
        <v>1</v>
      </c>
      <c r="L30">
        <v>52</v>
      </c>
      <c r="M30" t="s">
        <v>44</v>
      </c>
      <c r="N30">
        <v>0</v>
      </c>
      <c r="O30">
        <f>VLOOKUP(L30,技能参数,4,FALSE)</f>
        <v>1.5</v>
      </c>
      <c r="P30">
        <f>VLOOKUP(L30*1000+O28,学习等级编码,2)</f>
        <v>5201</v>
      </c>
      <c r="Q30">
        <f>INT(VLOOKUP(P30,技能升级,9,FALSE)*N30*T30*U30)</f>
        <v>0</v>
      </c>
      <c r="R30">
        <f>INT(VLOOKUP(P30,技能升级,10,FALSE)*N30*T30*U30)</f>
        <v>0</v>
      </c>
      <c r="S30">
        <f>INT(VLOOKUP(P30,技能升级,11,FALSE)*N30*T30*U30)</f>
        <v>0</v>
      </c>
      <c r="T30">
        <v>1</v>
      </c>
      <c r="U30">
        <v>1</v>
      </c>
    </row>
    <row r="31" spans="1:21" x14ac:dyDescent="0.15">
      <c r="A31">
        <v>54</v>
      </c>
      <c r="B31" t="s">
        <v>40</v>
      </c>
      <c r="C31">
        <v>0</v>
      </c>
      <c r="D31">
        <f>VLOOKUP(A31,技能参数,4,FALSE)</f>
        <v>1.2</v>
      </c>
      <c r="E31">
        <f>VLOOKUP(A31*1000+D28,学习等级编码,2)</f>
        <v>5401</v>
      </c>
      <c r="F31">
        <f>INT(VLOOKUP(E31,技能升级,9,FALSE)*C31*I31*J31)</f>
        <v>0</v>
      </c>
      <c r="G31">
        <f>INT(VLOOKUP(E31,技能升级,10,FALSE)*C31*I31*J31)</f>
        <v>0</v>
      </c>
      <c r="H31">
        <f>INT(VLOOKUP(E31,技能升级,11,FALSE)*C31*I31*J31)</f>
        <v>0</v>
      </c>
      <c r="I31">
        <v>1</v>
      </c>
      <c r="J31">
        <v>1</v>
      </c>
      <c r="L31">
        <v>54</v>
      </c>
      <c r="M31" t="s">
        <v>40</v>
      </c>
      <c r="N31">
        <v>0</v>
      </c>
      <c r="O31">
        <f>VLOOKUP(L31,技能参数,4,FALSE)</f>
        <v>1.2</v>
      </c>
      <c r="P31">
        <f>VLOOKUP(L31*1000+O28,学习等级编码,2)</f>
        <v>5401</v>
      </c>
      <c r="Q31">
        <f>INT(VLOOKUP(P31,技能升级,9,FALSE)*N31*T31*U31)</f>
        <v>0</v>
      </c>
      <c r="R31">
        <f>INT(VLOOKUP(P31,技能升级,10,FALSE)*N31*T31*U31)</f>
        <v>0</v>
      </c>
      <c r="S31">
        <f>INT(VLOOKUP(P31,技能升级,11,FALSE)*N31*T31*U31)</f>
        <v>0</v>
      </c>
      <c r="T31">
        <v>1</v>
      </c>
      <c r="U31">
        <v>1</v>
      </c>
    </row>
    <row r="32" spans="1:21" x14ac:dyDescent="0.15">
      <c r="A32">
        <v>51</v>
      </c>
      <c r="B32" t="s">
        <v>203</v>
      </c>
      <c r="C32">
        <v>2</v>
      </c>
      <c r="D32">
        <f>VLOOKUP(A32,技能参数,4,FALSE)</f>
        <v>0.9</v>
      </c>
      <c r="E32">
        <f>VLOOKUP(A32*1000+D28,学习等级编码,2)</f>
        <v>5102</v>
      </c>
      <c r="F32">
        <f>INT(VLOOKUP(E32,技能升级,9,FALSE)*C32*I32*J32)</f>
        <v>2540</v>
      </c>
      <c r="G32">
        <f>INT(VLOOKUP(E32,技能升级,10,FALSE)*C32*I32*J32)</f>
        <v>0</v>
      </c>
      <c r="H32">
        <f>INT(VLOOKUP(E32,技能升级,11,FALSE)*C32*I32*J32)</f>
        <v>46</v>
      </c>
      <c r="I32">
        <v>1</v>
      </c>
      <c r="J32">
        <v>1</v>
      </c>
      <c r="L32">
        <v>51</v>
      </c>
      <c r="M32" t="s">
        <v>203</v>
      </c>
      <c r="N32">
        <v>2</v>
      </c>
      <c r="O32">
        <f>VLOOKUP(L32,技能参数,4,FALSE)</f>
        <v>0.9</v>
      </c>
      <c r="P32">
        <f>VLOOKUP(L32*1000+O28,学习等级编码,2)</f>
        <v>5102</v>
      </c>
      <c r="Q32">
        <f>INT(VLOOKUP(P32,技能升级,9,FALSE)*N32*T32*U32)</f>
        <v>2540</v>
      </c>
      <c r="R32">
        <f>INT(VLOOKUP(P32,技能升级,10,FALSE)*N32*T32*U32)</f>
        <v>0</v>
      </c>
      <c r="S32">
        <f>INT(VLOOKUP(P32,技能升级,11,FALSE)*N32*T32*U32)</f>
        <v>46</v>
      </c>
      <c r="T32">
        <v>1</v>
      </c>
      <c r="U32">
        <v>1</v>
      </c>
    </row>
    <row r="33" spans="1:21" x14ac:dyDescent="0.15">
      <c r="A33">
        <v>51</v>
      </c>
      <c r="B33" t="s">
        <v>204</v>
      </c>
      <c r="C33">
        <f>INT((C28-C30*D30-C31*D31-D32*C32-C35)/D33*3)</f>
        <v>24</v>
      </c>
      <c r="D33">
        <f>VLOOKUP(A33,技能参数,4,FALSE)</f>
        <v>0.9</v>
      </c>
      <c r="E33">
        <f>VLOOKUP(A33*1000+D28,学习等级编码,2)</f>
        <v>5102</v>
      </c>
      <c r="F33">
        <f>INT(VLOOKUP(E33,技能升级,9,FALSE)*C33*I33*J33)</f>
        <v>14630</v>
      </c>
      <c r="G33">
        <f>INT(VLOOKUP(E33,技能升级,10,FALSE)*C33*I33*J33)</f>
        <v>0</v>
      </c>
      <c r="H33">
        <f>INT(VLOOKUP(E33,技能升级,11,FALSE)*C33*I33*J33)</f>
        <v>264</v>
      </c>
      <c r="I33">
        <f>F34/1000</f>
        <v>0.4</v>
      </c>
      <c r="J33">
        <f>VLOOKUP(A28,$A$2:$I$21,7,FALSE)</f>
        <v>1.2</v>
      </c>
      <c r="L33">
        <v>51</v>
      </c>
      <c r="M33" t="s">
        <v>204</v>
      </c>
      <c r="N33">
        <f>INT((N28-N30*O30-N31*O31-O32*N32-N35)/O33*3)</f>
        <v>24</v>
      </c>
      <c r="O33">
        <f>VLOOKUP(L33,技能参数,4,FALSE)</f>
        <v>0.9</v>
      </c>
      <c r="P33">
        <f>VLOOKUP(L33*1000+O28,学习等级编码,2)</f>
        <v>5102</v>
      </c>
      <c r="Q33">
        <f>INT(VLOOKUP(P33,技能升级,9,FALSE)*N33*T33*U33)</f>
        <v>14630</v>
      </c>
      <c r="R33">
        <f>INT(VLOOKUP(P33,技能升级,10,FALSE)*N33*T33*U33)</f>
        <v>0</v>
      </c>
      <c r="S33">
        <f>INT(VLOOKUP(P33,技能升级,11,FALSE)*N33*T33*U33)</f>
        <v>264</v>
      </c>
      <c r="T33">
        <f>Q34/1000</f>
        <v>0.4</v>
      </c>
      <c r="U33">
        <f>VLOOKUP(L28,$A$2:$I$21,7,FALSE)</f>
        <v>1.2</v>
      </c>
    </row>
    <row r="34" spans="1:21" x14ac:dyDescent="0.15">
      <c r="A34">
        <v>55</v>
      </c>
      <c r="B34" t="s">
        <v>46</v>
      </c>
      <c r="C34">
        <v>1</v>
      </c>
      <c r="D34">
        <v>0</v>
      </c>
      <c r="E34">
        <f>VLOOKUP(A34*1000+D28,学习等级编码,2)</f>
        <v>5501</v>
      </c>
      <c r="F34">
        <f>INT(VLOOKUP($E34,技能升级,14,FALSE)*$C34*I34)</f>
        <v>400</v>
      </c>
      <c r="G34">
        <f>INT(VLOOKUP($E34,技能升级,10,FALSE)*$C34*I34)</f>
        <v>0</v>
      </c>
      <c r="H34">
        <f>INT(VLOOKUP($E34,技能升级,11,FALSE)*$C34*I34*J34)</f>
        <v>0</v>
      </c>
      <c r="I34">
        <v>1</v>
      </c>
      <c r="J34">
        <v>1</v>
      </c>
      <c r="L34">
        <v>55</v>
      </c>
      <c r="M34" t="s">
        <v>46</v>
      </c>
      <c r="N34">
        <v>1</v>
      </c>
      <c r="O34">
        <v>0</v>
      </c>
      <c r="P34">
        <f>VLOOKUP(L34*1000+O28,学习等级编码,2)</f>
        <v>5501</v>
      </c>
      <c r="Q34">
        <f>INT(VLOOKUP($E34,技能升级,14,FALSE)*$C34*T34)</f>
        <v>400</v>
      </c>
      <c r="R34">
        <f>INT(VLOOKUP($E34,技能升级,10,FALSE)*$C34*T34)</f>
        <v>0</v>
      </c>
      <c r="S34">
        <f>INT(VLOOKUP($E34,技能升级,11,FALSE)*$C34*T34*U34)</f>
        <v>0</v>
      </c>
      <c r="T34">
        <v>1</v>
      </c>
      <c r="U34">
        <v>1</v>
      </c>
    </row>
    <row r="35" spans="1:21" x14ac:dyDescent="0.15">
      <c r="B35" t="s">
        <v>443</v>
      </c>
      <c r="C35">
        <f>D45</f>
        <v>4</v>
      </c>
      <c r="M35" t="s">
        <v>38</v>
      </c>
      <c r="N35">
        <f>O45</f>
        <v>0</v>
      </c>
    </row>
    <row r="36" spans="1:21" x14ac:dyDescent="0.15">
      <c r="E36" t="s">
        <v>194</v>
      </c>
      <c r="F36">
        <f>SUM(F30:F33)/1000</f>
        <v>17.170000000000002</v>
      </c>
      <c r="G36">
        <f>SUM(G30:G33)/1000</f>
        <v>0</v>
      </c>
      <c r="H36">
        <f>SUM(H30:H33)</f>
        <v>310</v>
      </c>
      <c r="I36" t="s">
        <v>196</v>
      </c>
      <c r="J36" t="s">
        <v>197</v>
      </c>
      <c r="P36" t="s">
        <v>194</v>
      </c>
      <c r="Q36">
        <f>SUM(Q30:Q33)/1000</f>
        <v>17.170000000000002</v>
      </c>
      <c r="R36">
        <f>SUM(R30:R33)/1000</f>
        <v>0</v>
      </c>
      <c r="S36">
        <f>SUM(S30:S33)</f>
        <v>310</v>
      </c>
      <c r="T36" t="s">
        <v>196</v>
      </c>
      <c r="U36" t="s">
        <v>197</v>
      </c>
    </row>
    <row r="37" spans="1:21" x14ac:dyDescent="0.15">
      <c r="E37" t="s">
        <v>195</v>
      </c>
      <c r="F37">
        <f>INT((IF($A28&gt;10000,VLOOKUP($A28,实战属性,13,FALSE),VLOOKUP($A28,总基本属性,7,FALSE))-
IF($B28&gt;10000,VLOOKUP($B28,实战属性,15,FALSE),VLOOKUP($B28,总基本属性,9,FALSE))*$L$13)*F36)</f>
        <v>3021</v>
      </c>
      <c r="G37">
        <f>INT((IF($A28&gt;10000,VLOOKUP($A28,实战属性,14,FALSE),VLOOKUP($A28,总基本属性,8,FALSE))-
IF($B28&gt;10000,VLOOKUP($B28,实战属性,16,FALSE),VLOOKUP($B28,总基本属性,10,FALSE))*$L$13)*G36)</f>
        <v>0</v>
      </c>
      <c r="H37">
        <f>H36+F37+G37</f>
        <v>3331</v>
      </c>
      <c r="I37">
        <f>IF($B28&gt;10000,VLOOKUP($B28,实战属性,12,FALSE),VLOOKUP($B28,总基本属性,6,FALSE))+I46</f>
        <v>3300</v>
      </c>
      <c r="J37">
        <f>ROUND(I37/H37,2)</f>
        <v>0.99</v>
      </c>
      <c r="P37" t="s">
        <v>195</v>
      </c>
      <c r="Q37">
        <f>INT((IF($A28&gt;10000,VLOOKUP($A28,实战属性,13,FALSE),VLOOKUP($A28,总基本属性,7,FALSE))-
IF($B28&gt;10000,VLOOKUP($B28,实战属性,15,FALSE),VLOOKUP($B28,总基本属性,9,FALSE))*$L$13)*Q36)</f>
        <v>3021</v>
      </c>
      <c r="R37">
        <f>INT((IF($A28&gt;10000,VLOOKUP($A28,实战属性,14,FALSE),VLOOKUP($A28,总基本属性,8,FALSE))-
IF($B28&gt;10000,VLOOKUP($B28,实战属性,16,FALSE),VLOOKUP($B28,总基本属性,10,FALSE))*$L$13)*R36)</f>
        <v>0</v>
      </c>
      <c r="S37">
        <f>S36+Q37+R37</f>
        <v>3331</v>
      </c>
      <c r="T37">
        <f>IF($B28&gt;10000,VLOOKUP($B28,实战属性,12,FALSE),VLOOKUP($B28,总基本属性,6,FALSE))+T46</f>
        <v>3300</v>
      </c>
      <c r="U37">
        <f>ROUND(T37/S37,2)</f>
        <v>0.99</v>
      </c>
    </row>
    <row r="40" spans="1:21" x14ac:dyDescent="0.15">
      <c r="A40" s="9" t="s">
        <v>5</v>
      </c>
      <c r="B40" s="9" t="s">
        <v>448</v>
      </c>
      <c r="C40" s="9" t="s">
        <v>178</v>
      </c>
      <c r="D40" s="9" t="s">
        <v>0</v>
      </c>
      <c r="G40" t="s">
        <v>445</v>
      </c>
      <c r="H40">
        <f>INT(I51/J51/C41)</f>
        <v>401</v>
      </c>
      <c r="I40" t="s">
        <v>446</v>
      </c>
      <c r="J40">
        <f>ROUND(I46/H40,1)</f>
        <v>1.7</v>
      </c>
      <c r="L40" s="9" t="s">
        <v>5</v>
      </c>
      <c r="M40" s="9" t="s">
        <v>448</v>
      </c>
      <c r="N40" s="9" t="s">
        <v>178</v>
      </c>
      <c r="O40" s="9" t="s">
        <v>0</v>
      </c>
      <c r="R40" t="s">
        <v>445</v>
      </c>
      <c r="S40">
        <f>INT(T51/U51/N41)</f>
        <v>344</v>
      </c>
      <c r="T40" t="s">
        <v>446</v>
      </c>
      <c r="U40">
        <f>ROUND(T46/S40,1)</f>
        <v>2</v>
      </c>
    </row>
    <row r="41" spans="1:21" x14ac:dyDescent="0.15">
      <c r="A41">
        <v>4010</v>
      </c>
      <c r="B41">
        <v>5010</v>
      </c>
      <c r="C41">
        <v>7</v>
      </c>
      <c r="D41">
        <f>MOD(A41,1000)</f>
        <v>10</v>
      </c>
      <c r="I41" t="s">
        <v>383</v>
      </c>
      <c r="J41">
        <f>VLOOKUP(D41,召唤物生存,13)</f>
        <v>6.35</v>
      </c>
      <c r="L41">
        <f>A41</f>
        <v>4010</v>
      </c>
      <c r="M41">
        <f>B41</f>
        <v>5010</v>
      </c>
      <c r="N41">
        <v>8</v>
      </c>
      <c r="O41">
        <f>MOD(L41,1000)</f>
        <v>10</v>
      </c>
      <c r="T41" t="s">
        <v>383</v>
      </c>
      <c r="U41">
        <f>VLOOKUP(O41,召唤物生存,13)</f>
        <v>6.35</v>
      </c>
    </row>
    <row r="42" spans="1:21" x14ac:dyDescent="0.15">
      <c r="A42" t="s">
        <v>156</v>
      </c>
      <c r="B42" t="s">
        <v>95</v>
      </c>
      <c r="C42" t="s">
        <v>177</v>
      </c>
      <c r="D42" t="s">
        <v>143</v>
      </c>
      <c r="E42" t="s">
        <v>182</v>
      </c>
      <c r="F42" t="s">
        <v>192</v>
      </c>
      <c r="G42" t="s">
        <v>193</v>
      </c>
      <c r="H42" t="s">
        <v>176</v>
      </c>
      <c r="I42" t="s">
        <v>205</v>
      </c>
      <c r="J42" t="s">
        <v>206</v>
      </c>
      <c r="L42" t="s">
        <v>156</v>
      </c>
      <c r="M42" t="s">
        <v>95</v>
      </c>
      <c r="N42" t="s">
        <v>177</v>
      </c>
      <c r="O42" t="s">
        <v>143</v>
      </c>
      <c r="P42" t="s">
        <v>182</v>
      </c>
      <c r="Q42" t="s">
        <v>192</v>
      </c>
      <c r="R42" t="s">
        <v>193</v>
      </c>
      <c r="S42" t="s">
        <v>176</v>
      </c>
      <c r="T42" t="s">
        <v>205</v>
      </c>
      <c r="U42" t="s">
        <v>206</v>
      </c>
    </row>
    <row r="43" spans="1:21" x14ac:dyDescent="0.15">
      <c r="A43">
        <v>42</v>
      </c>
      <c r="B43" t="s">
        <v>35</v>
      </c>
      <c r="C43">
        <v>1</v>
      </c>
      <c r="D43">
        <f>VLOOKUP(A43,技能参数,4,FALSE)</f>
        <v>1</v>
      </c>
      <c r="E43">
        <f>IFERROR(VLOOKUP(A43*1000+D41,学习等级编码,2),0)</f>
        <v>4201</v>
      </c>
      <c r="F43">
        <f>IFERROR(INT(VLOOKUP($E43,技能升级,9,FALSE)*$C43*I43*J43),0)</f>
        <v>0</v>
      </c>
      <c r="G43">
        <f>IFERROR(INT(VLOOKUP($E43,技能升级,10,FALSE)*$C43*I43*J43),0)</f>
        <v>0</v>
      </c>
      <c r="H43">
        <f>INT(VLOOKUP($E43,技能升级,11,FALSE)*$C43*I43*J43)</f>
        <v>0</v>
      </c>
      <c r="I43">
        <v>1</v>
      </c>
      <c r="J43">
        <v>1</v>
      </c>
      <c r="L43">
        <v>42</v>
      </c>
      <c r="M43" t="s">
        <v>35</v>
      </c>
      <c r="N43">
        <v>1</v>
      </c>
      <c r="O43">
        <f>VLOOKUP(L43,技能参数,4,FALSE)</f>
        <v>1</v>
      </c>
      <c r="P43">
        <f>IFERROR(VLOOKUP(L43*1000+O41,学习等级编码,2),0)</f>
        <v>4201</v>
      </c>
      <c r="Q43">
        <f>IFERROR(INT(VLOOKUP(P43,技能升级,9,FALSE)*N43*T43*U43),0)</f>
        <v>0</v>
      </c>
      <c r="R43">
        <f>IFERROR(INT(VLOOKUP(P43,技能升级,10,FALSE)*N43*T43*U43),0)</f>
        <v>0</v>
      </c>
      <c r="S43">
        <f>INT(VLOOKUP(P43,技能升级,11,FALSE)*N43*T43*U43)</f>
        <v>0</v>
      </c>
      <c r="T43">
        <v>1</v>
      </c>
      <c r="U43">
        <v>1</v>
      </c>
    </row>
    <row r="44" spans="1:21" x14ac:dyDescent="0.15">
      <c r="A44">
        <v>43</v>
      </c>
      <c r="B44" t="s">
        <v>36</v>
      </c>
      <c r="C44">
        <v>1</v>
      </c>
      <c r="D44">
        <f>VLOOKUP(A44,技能参数,4,FALSE)</f>
        <v>1</v>
      </c>
      <c r="E44">
        <f>IFERROR(VLOOKUP(A44*1000+D41,学习等级编码,2),0)</f>
        <v>4301</v>
      </c>
      <c r="F44">
        <f t="shared" ref="F44" si="12">IFERROR(INT(VLOOKUP($E44,技能升级,9,FALSE)*$C44*I44*J44),0)</f>
        <v>0</v>
      </c>
      <c r="G44">
        <f t="shared" ref="G44" si="13">IFERROR(INT(VLOOKUP($E44,技能升级,10,FALSE)*$C44*I44*J44),0)</f>
        <v>0</v>
      </c>
      <c r="H44">
        <f>INT(VLOOKUP($E44,技能升级,11,FALSE)*$C44*I44*J44)</f>
        <v>0</v>
      </c>
      <c r="I44">
        <v>1</v>
      </c>
      <c r="J44">
        <v>1</v>
      </c>
      <c r="L44">
        <v>43</v>
      </c>
      <c r="M44" t="s">
        <v>36</v>
      </c>
      <c r="N44">
        <v>1</v>
      </c>
      <c r="O44">
        <f>VLOOKUP(L44,技能参数,4,FALSE)</f>
        <v>1</v>
      </c>
      <c r="P44">
        <f>IFERROR(VLOOKUP(L44*1000+O41,学习等级编码,2),0)</f>
        <v>4301</v>
      </c>
      <c r="Q44">
        <f>IFERROR(INT(VLOOKUP(P44,技能升级,9,FALSE)*N44*T44*U44),0)</f>
        <v>0</v>
      </c>
      <c r="R44">
        <f>IFERROR(INT(VLOOKUP(P44,技能升级,10,FALSE)*N44*T44*U44),0)</f>
        <v>0</v>
      </c>
      <c r="S44">
        <f>INT(VLOOKUP(P44,技能升级,11,FALSE)*N44*T44*U44)</f>
        <v>0</v>
      </c>
      <c r="T44">
        <v>1</v>
      </c>
      <c r="U44">
        <v>1</v>
      </c>
    </row>
    <row r="45" spans="1:21" x14ac:dyDescent="0.15">
      <c r="A45">
        <v>44</v>
      </c>
      <c r="B45" t="s">
        <v>38</v>
      </c>
      <c r="C45">
        <v>1</v>
      </c>
      <c r="D45">
        <f>IFERROR(INT(VLOOKUP($E45,技能升级,13,FALSE)),0)</f>
        <v>4</v>
      </c>
      <c r="E45">
        <f>IFERROR(VLOOKUP(A45*1000+D41,学习等级编码,2),0)</f>
        <v>4401</v>
      </c>
      <c r="F45">
        <f>IFERROR(INT(VLOOKUP($E45,技能升级,9,FALSE)*$C45*I45*J45),0)</f>
        <v>0</v>
      </c>
      <c r="G45">
        <f>IFERROR(INT(VLOOKUP($E45,技能升级,10,FALSE)*$D45*I45*J45),0)</f>
        <v>6000</v>
      </c>
      <c r="H45">
        <f>INT(VLOOKUP($E45,技能升级,11,FALSE)*$D45*I45*J45)</f>
        <v>100</v>
      </c>
      <c r="I45">
        <v>1</v>
      </c>
      <c r="J45">
        <f>VLOOKUP(A41,$A$2:$I$21,8,FALSE)</f>
        <v>1</v>
      </c>
      <c r="L45">
        <v>44</v>
      </c>
      <c r="M45" t="s">
        <v>38</v>
      </c>
      <c r="N45">
        <v>0</v>
      </c>
      <c r="O45">
        <v>0</v>
      </c>
      <c r="P45">
        <f>IFERROR(VLOOKUP(L45*1000+O41,学习等级编码,2),0)</f>
        <v>4401</v>
      </c>
      <c r="Q45">
        <f>IFERROR(INT(VLOOKUP(P45,技能升级,9,FALSE)*N45*T45*U45),0)</f>
        <v>0</v>
      </c>
      <c r="R45">
        <f>IFERROR(INT(VLOOKUP(P45,技能升级,10,FALSE)*N45*T45*U45),0)</f>
        <v>0</v>
      </c>
      <c r="S45">
        <f>INT(VLOOKUP(P45,技能升级,11,FALSE)*N45*T45*U45)</f>
        <v>0</v>
      </c>
      <c r="T45">
        <v>1</v>
      </c>
      <c r="U45">
        <f>VLOOKUP(L41,$A$2:$I$21,8,FALSE)</f>
        <v>1</v>
      </c>
    </row>
    <row r="46" spans="1:21" x14ac:dyDescent="0.15">
      <c r="A46">
        <v>45</v>
      </c>
      <c r="B46" t="s">
        <v>37</v>
      </c>
      <c r="C46">
        <v>1</v>
      </c>
      <c r="D46">
        <f>VLOOKUP(A46,技能参数,4,FALSE)</f>
        <v>2</v>
      </c>
      <c r="E46">
        <f>IFERROR(VLOOKUP(A46*1000+D41,学习等级编码,2),0)</f>
        <v>4501</v>
      </c>
      <c r="F46">
        <f>IFERROR(INT(VLOOKUP($E46,技能升级,9,FALSE)*$C46*I46*J46),0)</f>
        <v>0</v>
      </c>
      <c r="G46">
        <f t="shared" ref="G46:G47" si="14">IFERROR(INT(VLOOKUP($E46,技能升级,10,FALSE)*$C46*I46*J46),0)</f>
        <v>0</v>
      </c>
      <c r="H46">
        <f>INT(VLOOKUP($E46,技能升级,11,FALSE)*$C46*I46*J46)</f>
        <v>0</v>
      </c>
      <c r="I46">
        <f>INT(VLOOKUP($E46,技能升级,13,FALSE)*$C46)</f>
        <v>690</v>
      </c>
      <c r="J46">
        <v>1</v>
      </c>
      <c r="L46">
        <v>45</v>
      </c>
      <c r="M46" t="s">
        <v>37</v>
      </c>
      <c r="N46">
        <v>1</v>
      </c>
      <c r="O46">
        <f>VLOOKUP(L46,技能参数,4,FALSE)</f>
        <v>2</v>
      </c>
      <c r="P46">
        <f>IFERROR(VLOOKUP(L46*1000+O41,学习等级编码,2),0)</f>
        <v>4501</v>
      </c>
      <c r="Q46">
        <f>IFERROR(INT(VLOOKUP(P46,技能升级,9,FALSE)*N46*T46*U46),0)</f>
        <v>0</v>
      </c>
      <c r="R46">
        <f>IFERROR(INT(VLOOKUP(P46,技能升级,10,FALSE)*N46*T46*U46),0)</f>
        <v>0</v>
      </c>
      <c r="S46">
        <f>INT(VLOOKUP(P46,技能升级,11,FALSE)*N46*T46*U46)</f>
        <v>0</v>
      </c>
      <c r="T46">
        <f>INT(VLOOKUP($E46,技能升级,13,FALSE)*$C46)</f>
        <v>690</v>
      </c>
      <c r="U46">
        <v>1</v>
      </c>
    </row>
    <row r="47" spans="1:21" x14ac:dyDescent="0.15">
      <c r="A47">
        <v>41</v>
      </c>
      <c r="B47" t="s">
        <v>361</v>
      </c>
      <c r="C47">
        <f>IF(INT((C41-C43*D43-C44*D44-C45*D45-C46*D46)/D47)&gt;0,INT((C41-C43*D43-C44*D44-C45*D45-C46*D46)/D47),0)</f>
        <v>0</v>
      </c>
      <c r="D47">
        <f>VLOOKUP(A47,技能参数,4,FALSE)</f>
        <v>1.2</v>
      </c>
      <c r="E47">
        <f>IFERROR(VLOOKUP(A47*1000+D41,学习等级编码,2),0)</f>
        <v>4102</v>
      </c>
      <c r="F47">
        <f>IFERROR(INT(VLOOKUP($E47,技能升级,9,FALSE)*$C47*I47*J47),0)</f>
        <v>0</v>
      </c>
      <c r="G47">
        <f t="shared" si="14"/>
        <v>0</v>
      </c>
      <c r="H47">
        <f>INT(VLOOKUP($E47,技能升级,11,FALSE)*$C47*I47*J47)</f>
        <v>0</v>
      </c>
      <c r="I47">
        <v>1</v>
      </c>
      <c r="J47">
        <f>VLOOKUP(A41,$A$2:$I$21,8,FALSE)</f>
        <v>1</v>
      </c>
      <c r="L47">
        <v>41</v>
      </c>
      <c r="M47" t="s">
        <v>361</v>
      </c>
      <c r="N47">
        <f>IF(INT((N41-N43*O43-N44*O44-N45*O45-N46*O46)/O47)&gt;0,INT((N41-N43*O43-N44*O44-N45*O45-N46*O46)/O47),0)</f>
        <v>3</v>
      </c>
      <c r="O47">
        <f>VLOOKUP(L47,技能参数,4,FALSE)</f>
        <v>1.2</v>
      </c>
      <c r="P47">
        <f>IFERROR(VLOOKUP(L47*1000+O41,学习等级编码,2),0)</f>
        <v>4102</v>
      </c>
      <c r="Q47">
        <f>IFERROR(INT(VLOOKUP(P47,技能升级,9,FALSE)*N47*T47*U47),0)</f>
        <v>0</v>
      </c>
      <c r="R47">
        <f>IFERROR(INT(VLOOKUP(P47,技能升级,10,FALSE)*N47*T47*U47),0)</f>
        <v>3120</v>
      </c>
      <c r="S47">
        <f>INT(VLOOKUP(P47,技能升级,11,FALSE)*N47*T47*U47)</f>
        <v>69</v>
      </c>
      <c r="T47">
        <v>1</v>
      </c>
      <c r="U47">
        <f>VLOOKUP(A41,$A$2:$I$21,8,FALSE)</f>
        <v>1</v>
      </c>
    </row>
    <row r="48" spans="1:21" x14ac:dyDescent="0.15">
      <c r="A48">
        <f>VLOOKUP(E43,技能升级,13,FALSE)</f>
        <v>101</v>
      </c>
      <c r="B48" t="s">
        <v>375</v>
      </c>
      <c r="C48">
        <f>C41+C41-3.5</f>
        <v>10.5</v>
      </c>
      <c r="G48">
        <f>INT((VLOOKUP(A48,召唤物属性,7,FALSE)-
IF($B41&gt;10000,VLOOKUP($B41,实战属性,15,FALSE),VLOOKUP($B41,总基本属性,9,FALSE))*$L$13)*I48*J48)</f>
        <v>96</v>
      </c>
      <c r="I48">
        <f>VLOOKUP($E43,技能升级,14,FALSE)</f>
        <v>1</v>
      </c>
      <c r="J48">
        <v>1</v>
      </c>
      <c r="L48">
        <f>VLOOKUP(P43,技能升级,13,FALSE)</f>
        <v>101</v>
      </c>
      <c r="M48" t="s">
        <v>375</v>
      </c>
      <c r="N48">
        <f>N41+N41-3.5</f>
        <v>12.5</v>
      </c>
      <c r="R48">
        <f>INT((VLOOKUP(L48,召唤物属性,7,FALSE)-
IF($B41&gt;10000,VLOOKUP($B41,实战属性,15,FALSE),VLOOKUP($B41,总基本属性,9,FALSE))*$L$13)*T48*U48)</f>
        <v>96</v>
      </c>
      <c r="T48">
        <f>VLOOKUP($E43,技能升级,14,FALSE)</f>
        <v>1</v>
      </c>
      <c r="U48">
        <v>1</v>
      </c>
    </row>
    <row r="49" spans="1:21" x14ac:dyDescent="0.15">
      <c r="A49">
        <f>VLOOKUP(E44,技能升级,13,FALSE)</f>
        <v>201</v>
      </c>
      <c r="B49" t="s">
        <v>374</v>
      </c>
      <c r="C49">
        <f>C41+C41-3.5</f>
        <v>10.5</v>
      </c>
      <c r="F49">
        <f>INT((VLOOKUP(A49,召唤物属性,6,FALSE)-
IF($B41&gt;10000,VLOOKUP($B41,实战属性,15,FALSE),VLOOKUP($B41,总基本属性,9,FALSE))*$L$13)*I49*J49)</f>
        <v>93</v>
      </c>
      <c r="I49">
        <f>VLOOKUP($E44,技能升级,14,FALSE)</f>
        <v>2</v>
      </c>
      <c r="J49">
        <f>VLOOKUP(A41,$A$2:$I$21,9,FALSE)</f>
        <v>1</v>
      </c>
      <c r="L49">
        <f>VLOOKUP(P44,技能升级,13,FALSE)</f>
        <v>201</v>
      </c>
      <c r="M49" t="s">
        <v>374</v>
      </c>
      <c r="N49">
        <f>N41+N41-3.5</f>
        <v>12.5</v>
      </c>
      <c r="Q49">
        <f>INT((VLOOKUP(L49,召唤物属性,6,FALSE)-
IF($B41&gt;10000,VLOOKUP($B41,实战属性,15,FALSE),VLOOKUP($B41,总基本属性,9,FALSE))*$L$13)*T49*U49)</f>
        <v>93</v>
      </c>
      <c r="T49">
        <f>VLOOKUP($E44,技能升级,14,FALSE)</f>
        <v>2</v>
      </c>
      <c r="U49">
        <f>VLOOKUP(L41,$A$2:$I$21,9,FALSE)</f>
        <v>1</v>
      </c>
    </row>
    <row r="50" spans="1:21" x14ac:dyDescent="0.15">
      <c r="E50" t="s">
        <v>194</v>
      </c>
      <c r="F50">
        <f>SUM(F43:F47)/1000</f>
        <v>0</v>
      </c>
      <c r="G50">
        <f>SUM(G43:G47)/1000</f>
        <v>6</v>
      </c>
      <c r="H50">
        <f>SUM(H43:H46)</f>
        <v>100</v>
      </c>
      <c r="I50" t="s">
        <v>196</v>
      </c>
      <c r="J50" t="s">
        <v>197</v>
      </c>
      <c r="P50" t="s">
        <v>194</v>
      </c>
      <c r="Q50">
        <f>SUM(Q43:Q47)/1000</f>
        <v>0</v>
      </c>
      <c r="R50">
        <f>SUM(R43:R47)/1000</f>
        <v>3.12</v>
      </c>
      <c r="S50">
        <f>SUM(S43:S46)</f>
        <v>0</v>
      </c>
      <c r="T50" t="s">
        <v>196</v>
      </c>
      <c r="U50" t="s">
        <v>197</v>
      </c>
    </row>
    <row r="51" spans="1:21" x14ac:dyDescent="0.15">
      <c r="E51" t="s">
        <v>195</v>
      </c>
      <c r="F51">
        <f>INT((IF($A41&gt;10000,VLOOKUP($A41,实战属性,13,FALSE),VLOOKUP($A41,总基本属性,7,FALSE))-
IF($B41&gt;10000,VLOOKUP($B41,实战属性,15,FALSE),VLOOKUP($B41,总基本属性,9,FALSE))*$L$13)*F50)</f>
        <v>0</v>
      </c>
      <c r="G51">
        <f>INT((IF($A41&gt;10000,VLOOKUP($A41,实战属性,14,FALSE),VLOOKUP($A41,总基本属性,8,FALSE))-
IF($B41&gt;10000,VLOOKUP($B41,实战属性,16,FALSE),VLOOKUP($B41,总基本属性,10,FALSE))*$L$13)*G50)</f>
        <v>735</v>
      </c>
      <c r="H51">
        <f>H50+F51+G51</f>
        <v>835</v>
      </c>
      <c r="I51">
        <f>IF($B41&gt;10000,VLOOKUP($B41,实战属性,12,FALSE),VLOOKUP($B41,总基本属性,6,FALSE))</f>
        <v>2784</v>
      </c>
      <c r="J51">
        <f>ROUND(I51/H52,2)</f>
        <v>0.99</v>
      </c>
      <c r="P51" t="s">
        <v>195</v>
      </c>
      <c r="Q51">
        <f>INT((IF($A41&gt;10000,VLOOKUP($A41,实战属性,13,FALSE),VLOOKUP($A41,总基本属性,7,FALSE))-
IF($B41&gt;10000,VLOOKUP($B41,实战属性,15,FALSE),VLOOKUP($B41,总基本属性,9,FALSE))*$L$13)*Q50)</f>
        <v>0</v>
      </c>
      <c r="R51">
        <f>INT((IF($A41&gt;10000,VLOOKUP($A41,实战属性,14,FALSE),VLOOKUP($A41,总基本属性,8,FALSE))-
IF($B41&gt;10000,VLOOKUP($B41,实战属性,16,FALSE),VLOOKUP($B41,总基本属性,10,FALSE))*$L$13)*R50)</f>
        <v>382</v>
      </c>
      <c r="S51">
        <f>S50+Q51+R51</f>
        <v>382</v>
      </c>
      <c r="T51">
        <f>IF($B41&gt;10000,VLOOKUP($B41,实战属性,12,FALSE),VLOOKUP($B41,总基本属性,6,FALSE))</f>
        <v>2784</v>
      </c>
      <c r="U51">
        <f>ROUND(T51/S52,2)</f>
        <v>1.01</v>
      </c>
    </row>
    <row r="52" spans="1:21" x14ac:dyDescent="0.15">
      <c r="E52" t="s">
        <v>376</v>
      </c>
      <c r="F52">
        <f>INT(F49*C49)</f>
        <v>976</v>
      </c>
      <c r="G52">
        <f>INT(G48*C48)</f>
        <v>1008</v>
      </c>
      <c r="H52">
        <f>F52+G52+H51</f>
        <v>2819</v>
      </c>
      <c r="P52" t="s">
        <v>376</v>
      </c>
      <c r="Q52">
        <f>INT(Q49*N49)</f>
        <v>1162</v>
      </c>
      <c r="R52">
        <f>INT(R48*N48)</f>
        <v>1200</v>
      </c>
      <c r="S52">
        <f>Q52+R52+S51</f>
        <v>2744</v>
      </c>
    </row>
    <row r="56" spans="1:21" x14ac:dyDescent="0.15">
      <c r="A56" s="8" t="s">
        <v>6</v>
      </c>
      <c r="B56" s="8" t="s">
        <v>444</v>
      </c>
      <c r="C56" s="8" t="s">
        <v>178</v>
      </c>
      <c r="D56" s="8" t="s">
        <v>0</v>
      </c>
      <c r="L56" s="8" t="s">
        <v>6</v>
      </c>
      <c r="M56" s="8" t="s">
        <v>444</v>
      </c>
      <c r="N56" s="8" t="s">
        <v>178</v>
      </c>
      <c r="O56" s="8" t="s">
        <v>0</v>
      </c>
    </row>
    <row r="57" spans="1:21" x14ac:dyDescent="0.15">
      <c r="A57">
        <f>A28+10</f>
        <v>5020</v>
      </c>
      <c r="B57">
        <f>B28+10</f>
        <v>4020</v>
      </c>
      <c r="C57">
        <v>13</v>
      </c>
      <c r="D57">
        <f>MOD(A57,1000)</f>
        <v>20</v>
      </c>
      <c r="L57">
        <f>A57</f>
        <v>5020</v>
      </c>
      <c r="M57">
        <f>B57</f>
        <v>4020</v>
      </c>
      <c r="N57">
        <v>9</v>
      </c>
      <c r="O57">
        <f>MOD(L57,1000)</f>
        <v>20</v>
      </c>
    </row>
    <row r="58" spans="1:21" x14ac:dyDescent="0.15">
      <c r="A58" t="s">
        <v>156</v>
      </c>
      <c r="B58" t="s">
        <v>95</v>
      </c>
      <c r="C58" t="s">
        <v>142</v>
      </c>
      <c r="D58" t="s">
        <v>143</v>
      </c>
      <c r="E58" t="s">
        <v>182</v>
      </c>
      <c r="F58" t="s">
        <v>192</v>
      </c>
      <c r="G58" t="s">
        <v>193</v>
      </c>
      <c r="H58" t="s">
        <v>176</v>
      </c>
      <c r="I58" t="s">
        <v>205</v>
      </c>
      <c r="J58" t="s">
        <v>206</v>
      </c>
      <c r="L58" t="s">
        <v>156</v>
      </c>
      <c r="M58" t="s">
        <v>95</v>
      </c>
      <c r="N58" t="s">
        <v>142</v>
      </c>
      <c r="O58" t="s">
        <v>143</v>
      </c>
      <c r="P58" t="s">
        <v>182</v>
      </c>
      <c r="Q58" t="s">
        <v>192</v>
      </c>
      <c r="R58" t="s">
        <v>193</v>
      </c>
      <c r="S58" t="s">
        <v>176</v>
      </c>
      <c r="T58" t="s">
        <v>205</v>
      </c>
      <c r="U58" t="s">
        <v>206</v>
      </c>
    </row>
    <row r="59" spans="1:21" x14ac:dyDescent="0.15">
      <c r="A59">
        <v>52</v>
      </c>
      <c r="B59" t="s">
        <v>44</v>
      </c>
      <c r="C59">
        <v>0</v>
      </c>
      <c r="D59">
        <f>VLOOKUP(A59,技能参数,4,FALSE)</f>
        <v>1.5</v>
      </c>
      <c r="E59">
        <f>VLOOKUP(A59*1000+D57,学习等级编码,2)</f>
        <v>5202</v>
      </c>
      <c r="F59">
        <f>INT(VLOOKUP(E59,技能升级,9,FALSE)*C59*I59*J59)</f>
        <v>0</v>
      </c>
      <c r="G59">
        <f>INT(VLOOKUP(E59,技能升级,10,FALSE)*C59*I59*J59)</f>
        <v>0</v>
      </c>
      <c r="H59">
        <f>INT(VLOOKUP(E59,技能升级,11,FALSE)*C59*I59*J59)</f>
        <v>0</v>
      </c>
      <c r="I59">
        <v>1</v>
      </c>
      <c r="J59">
        <v>1</v>
      </c>
      <c r="L59">
        <v>52</v>
      </c>
      <c r="M59" t="s">
        <v>44</v>
      </c>
      <c r="N59">
        <v>0</v>
      </c>
      <c r="O59">
        <f>VLOOKUP(L59,技能参数,4,FALSE)</f>
        <v>1.5</v>
      </c>
      <c r="P59">
        <f>VLOOKUP(L59*1000+O57,学习等级编码,2)</f>
        <v>5202</v>
      </c>
      <c r="Q59">
        <f>INT(VLOOKUP(P59,技能升级,9,FALSE)*N59*T59*U59)</f>
        <v>0</v>
      </c>
      <c r="R59">
        <f>INT(VLOOKUP(P59,技能升级,10,FALSE)*N59*T59*U59)</f>
        <v>0</v>
      </c>
      <c r="S59">
        <f>INT(VLOOKUP(P59,技能升级,11,FALSE)*N59*T59*U59)</f>
        <v>0</v>
      </c>
      <c r="T59">
        <v>1</v>
      </c>
      <c r="U59">
        <v>1</v>
      </c>
    </row>
    <row r="60" spans="1:21" x14ac:dyDescent="0.15">
      <c r="A60">
        <v>54</v>
      </c>
      <c r="B60" t="s">
        <v>40</v>
      </c>
      <c r="C60">
        <v>0</v>
      </c>
      <c r="D60">
        <f>VLOOKUP(A60,技能参数,4,FALSE)</f>
        <v>1.2</v>
      </c>
      <c r="E60">
        <f>VLOOKUP(A60*1000+D57,学习等级编码,2)</f>
        <v>5402</v>
      </c>
      <c r="F60">
        <f>INT(VLOOKUP(E60,技能升级,9,FALSE)*C60*I60*J60)</f>
        <v>0</v>
      </c>
      <c r="G60">
        <f>INT(VLOOKUP(E60,技能升级,10,FALSE)*C60*I60*J60)</f>
        <v>0</v>
      </c>
      <c r="H60">
        <f>INT(VLOOKUP(E60,技能升级,11,FALSE)*C60*I60*J60)</f>
        <v>0</v>
      </c>
      <c r="I60">
        <v>1</v>
      </c>
      <c r="J60">
        <v>1</v>
      </c>
      <c r="L60">
        <v>54</v>
      </c>
      <c r="M60" t="s">
        <v>40</v>
      </c>
      <c r="N60">
        <v>0</v>
      </c>
      <c r="O60">
        <f>VLOOKUP(L60,技能参数,4,FALSE)</f>
        <v>1.2</v>
      </c>
      <c r="P60">
        <f>VLOOKUP(L60*1000+O57,学习等级编码,2)</f>
        <v>5402</v>
      </c>
      <c r="Q60">
        <f>INT(VLOOKUP(P60,技能升级,9,FALSE)*N60*T60*U60)</f>
        <v>0</v>
      </c>
      <c r="R60">
        <f>INT(VLOOKUP(P60,技能升级,10,FALSE)*N60*T60*U60)</f>
        <v>0</v>
      </c>
      <c r="S60">
        <f>INT(VLOOKUP(P60,技能升级,11,FALSE)*N60*T60*U60)</f>
        <v>0</v>
      </c>
      <c r="T60">
        <v>1</v>
      </c>
      <c r="U60">
        <v>1</v>
      </c>
    </row>
    <row r="61" spans="1:21" x14ac:dyDescent="0.15">
      <c r="A61">
        <v>51</v>
      </c>
      <c r="B61" t="s">
        <v>203</v>
      </c>
      <c r="C61">
        <v>2</v>
      </c>
      <c r="D61">
        <f>VLOOKUP(A61,技能参数,4,FALSE)</f>
        <v>0.9</v>
      </c>
      <c r="E61">
        <f>VLOOKUP(A61*1000+D57,学习等级编码,2)</f>
        <v>5103</v>
      </c>
      <c r="F61">
        <f>INT(VLOOKUP(E61,技能升级,9,FALSE)*C61*I61*J61)</f>
        <v>2580</v>
      </c>
      <c r="G61">
        <f>INT(VLOOKUP(E61,技能升级,10,FALSE)*C61*I61*J61)</f>
        <v>0</v>
      </c>
      <c r="H61">
        <f>INT(VLOOKUP(E61,技能升级,11,FALSE)*C61*I61*J61)</f>
        <v>74</v>
      </c>
      <c r="I61">
        <v>1</v>
      </c>
      <c r="J61">
        <v>1</v>
      </c>
      <c r="L61">
        <v>51</v>
      </c>
      <c r="M61" t="s">
        <v>203</v>
      </c>
      <c r="N61">
        <v>2</v>
      </c>
      <c r="O61">
        <f>VLOOKUP(L61,技能参数,4,FALSE)</f>
        <v>0.9</v>
      </c>
      <c r="P61">
        <f>VLOOKUP(L61*1000+O57,学习等级编码,2)</f>
        <v>5103</v>
      </c>
      <c r="Q61">
        <f>INT(VLOOKUP(P61,技能升级,9,FALSE)*N61*T61*U61)</f>
        <v>2580</v>
      </c>
      <c r="R61">
        <f>INT(VLOOKUP(P61,技能升级,10,FALSE)*N61*T61*U61)</f>
        <v>0</v>
      </c>
      <c r="S61">
        <f>INT(VLOOKUP(P61,技能升级,11,FALSE)*N61*T61*U61)</f>
        <v>74</v>
      </c>
      <c r="T61">
        <v>1</v>
      </c>
      <c r="U61">
        <v>1</v>
      </c>
    </row>
    <row r="62" spans="1:21" x14ac:dyDescent="0.15">
      <c r="A62">
        <v>51</v>
      </c>
      <c r="B62" t="s">
        <v>204</v>
      </c>
      <c r="C62">
        <f>INT((C57-C59*D59-C60*D60-D61*C61-C64)/D62*3)</f>
        <v>24</v>
      </c>
      <c r="D62">
        <f>VLOOKUP(A62,技能参数,4,FALSE)</f>
        <v>0.9</v>
      </c>
      <c r="E62">
        <f>VLOOKUP(A62*1000+D57,学习等级编码,2)</f>
        <v>5103</v>
      </c>
      <c r="F62">
        <f>INT(VLOOKUP(E62,技能升级,9,FALSE)*C62*I62*J62)</f>
        <v>15108</v>
      </c>
      <c r="G62">
        <f>INT(VLOOKUP(E62,技能升级,10,FALSE)*C62*I62*J62)</f>
        <v>0</v>
      </c>
      <c r="H62">
        <f>INT(VLOOKUP(E62,技能升级,11,FALSE)*C62*I62*J62)</f>
        <v>433</v>
      </c>
      <c r="I62">
        <f>F63/1000</f>
        <v>0.4</v>
      </c>
      <c r="J62">
        <f>VLOOKUP(A57,$A$2:$I$21,7,FALSE)</f>
        <v>1.22</v>
      </c>
      <c r="L62">
        <v>51</v>
      </c>
      <c r="M62" t="s">
        <v>204</v>
      </c>
      <c r="N62">
        <f>INT((N57-N59*O59-N60*O60-O61*N61-N64)/O62*3)</f>
        <v>24</v>
      </c>
      <c r="O62">
        <f>VLOOKUP(L62,技能参数,4,FALSE)</f>
        <v>0.9</v>
      </c>
      <c r="P62">
        <f>VLOOKUP(L62*1000+O57,学习等级编码,2)</f>
        <v>5103</v>
      </c>
      <c r="Q62">
        <f>INT(VLOOKUP(P62,技能升级,9,FALSE)*N62*T62*U62)</f>
        <v>15108</v>
      </c>
      <c r="R62">
        <f>INT(VLOOKUP(P62,技能升级,10,FALSE)*N62*T62*U62)</f>
        <v>0</v>
      </c>
      <c r="S62">
        <f>INT(VLOOKUP(P62,技能升级,11,FALSE)*N62*T62*U62)</f>
        <v>433</v>
      </c>
      <c r="T62">
        <f>Q63/1000</f>
        <v>0.4</v>
      </c>
      <c r="U62">
        <f>VLOOKUP(L57,$A$2:$I$21,7,FALSE)</f>
        <v>1.22</v>
      </c>
    </row>
    <row r="63" spans="1:21" x14ac:dyDescent="0.15">
      <c r="A63">
        <v>55</v>
      </c>
      <c r="B63" t="s">
        <v>46</v>
      </c>
      <c r="C63">
        <v>1</v>
      </c>
      <c r="D63">
        <v>0</v>
      </c>
      <c r="E63">
        <f>VLOOKUP(A63*1000+D57,学习等级编码,2)</f>
        <v>5501</v>
      </c>
      <c r="F63">
        <f>INT(VLOOKUP($E63,技能升级,14,FALSE)*$C63*I63)</f>
        <v>400</v>
      </c>
      <c r="G63">
        <f>INT(VLOOKUP($E63,技能升级,10,FALSE)*$C63*I63)</f>
        <v>0</v>
      </c>
      <c r="H63">
        <f>INT(VLOOKUP($E63,技能升级,11,FALSE)*$C63*I63*J63)</f>
        <v>0</v>
      </c>
      <c r="I63">
        <v>1</v>
      </c>
      <c r="J63">
        <v>1</v>
      </c>
      <c r="L63">
        <v>55</v>
      </c>
      <c r="M63" t="s">
        <v>46</v>
      </c>
      <c r="N63">
        <v>1</v>
      </c>
      <c r="O63">
        <v>0</v>
      </c>
      <c r="P63">
        <f>VLOOKUP(L63*1000+O57,学习等级编码,2)</f>
        <v>5501</v>
      </c>
      <c r="Q63">
        <f>INT(VLOOKUP($E63,技能升级,14,FALSE)*$C63*T63)</f>
        <v>400</v>
      </c>
      <c r="R63">
        <f>INT(VLOOKUP($E63,技能升级,10,FALSE)*$C63*T63)</f>
        <v>0</v>
      </c>
      <c r="S63">
        <f>INT(VLOOKUP($E63,技能升级,11,FALSE)*$C63*T63*U63)</f>
        <v>0</v>
      </c>
      <c r="T63">
        <v>1</v>
      </c>
      <c r="U63">
        <v>1</v>
      </c>
    </row>
    <row r="64" spans="1:21" x14ac:dyDescent="0.15">
      <c r="B64" t="s">
        <v>38</v>
      </c>
      <c r="C64">
        <f>D74</f>
        <v>4</v>
      </c>
      <c r="M64" t="s">
        <v>38</v>
      </c>
      <c r="N64">
        <f>O74</f>
        <v>0</v>
      </c>
    </row>
    <row r="65" spans="1:21" x14ac:dyDescent="0.15">
      <c r="E65" t="s">
        <v>194</v>
      </c>
      <c r="F65">
        <f>SUM(F59:F62)/1000</f>
        <v>17.687999999999999</v>
      </c>
      <c r="G65">
        <f>SUM(G59:G62)/1000</f>
        <v>0</v>
      </c>
      <c r="H65">
        <f>SUM(H59:H62)</f>
        <v>507</v>
      </c>
      <c r="I65" t="s">
        <v>196</v>
      </c>
      <c r="J65" t="s">
        <v>197</v>
      </c>
      <c r="P65" t="s">
        <v>194</v>
      </c>
      <c r="Q65">
        <f>SUM(Q59:Q62)/1000</f>
        <v>17.687999999999999</v>
      </c>
      <c r="R65">
        <f>SUM(R59:R62)/1000</f>
        <v>0</v>
      </c>
      <c r="S65">
        <f>SUM(S59:S62)</f>
        <v>507</v>
      </c>
      <c r="T65" t="s">
        <v>196</v>
      </c>
      <c r="U65" t="s">
        <v>197</v>
      </c>
    </row>
    <row r="66" spans="1:21" x14ac:dyDescent="0.15">
      <c r="E66" t="s">
        <v>195</v>
      </c>
      <c r="F66">
        <f>INT((IF($A57&gt;10000,VLOOKUP($A57,实战属性,13,FALSE),VLOOKUP($A57,总基本属性,7,FALSE))-
IF($B57&gt;10000,VLOOKUP($B57,实战属性,15,FALSE),VLOOKUP($B57,总基本属性,9,FALSE))*$L$13)*F65)</f>
        <v>7933</v>
      </c>
      <c r="G66">
        <f>INT((IF($A57&gt;10000,VLOOKUP($A57,实战属性,14,FALSE),VLOOKUP($A57,总基本属性,8,FALSE))-
IF($B57&gt;10000,VLOOKUP($B57,实战属性,16,FALSE),VLOOKUP($B57,总基本属性,10,FALSE))*$L$13)*G65)</f>
        <v>0</v>
      </c>
      <c r="H66">
        <f>H65+F66+G66</f>
        <v>8440</v>
      </c>
      <c r="I66">
        <f>IF($B57&gt;10000,VLOOKUP($B57,实战属性,12,FALSE),VLOOKUP($B57,总基本属性,6,FALSE))+I75</f>
        <v>8520</v>
      </c>
      <c r="J66">
        <f>ROUND(I66/H66,2)</f>
        <v>1.01</v>
      </c>
      <c r="P66" t="s">
        <v>195</v>
      </c>
      <c r="Q66">
        <f>INT((IF($A57&gt;10000,VLOOKUP($A57,实战属性,13,FALSE),VLOOKUP($A57,总基本属性,7,FALSE))-
IF($B57&gt;10000,VLOOKUP($B57,实战属性,15,FALSE),VLOOKUP($B57,总基本属性,9,FALSE))*$L$13)*Q65)</f>
        <v>7933</v>
      </c>
      <c r="R66">
        <f>INT((IF($A57&gt;10000,VLOOKUP($A57,实战属性,14,FALSE),VLOOKUP($A57,总基本属性,8,FALSE))-
IF($B57&gt;10000,VLOOKUP($B57,实战属性,16,FALSE),VLOOKUP($B57,总基本属性,10,FALSE))*$L$13)*R65)</f>
        <v>0</v>
      </c>
      <c r="S66">
        <f>S65+Q66+R66</f>
        <v>8440</v>
      </c>
      <c r="T66">
        <f>IF($B57&gt;10000,VLOOKUP($B57,实战属性,12,FALSE),VLOOKUP($B57,总基本属性,6,FALSE))+T75</f>
        <v>8520</v>
      </c>
      <c r="U66">
        <f>ROUND(T66/S66,2)</f>
        <v>1.01</v>
      </c>
    </row>
    <row r="69" spans="1:21" x14ac:dyDescent="0.15">
      <c r="A69" s="9" t="s">
        <v>5</v>
      </c>
      <c r="B69" s="9" t="s">
        <v>448</v>
      </c>
      <c r="C69" s="9" t="s">
        <v>178</v>
      </c>
      <c r="D69" s="9" t="s">
        <v>0</v>
      </c>
      <c r="G69" t="s">
        <v>445</v>
      </c>
      <c r="H69">
        <f>INT(I80/J80/C70)</f>
        <v>1136</v>
      </c>
      <c r="I69" t="s">
        <v>446</v>
      </c>
      <c r="J69">
        <f>ROUND(I75/H69,1)</f>
        <v>0.6</v>
      </c>
      <c r="L69" s="9" t="s">
        <v>5</v>
      </c>
      <c r="M69" s="9" t="s">
        <v>448</v>
      </c>
      <c r="N69" s="9" t="s">
        <v>178</v>
      </c>
      <c r="O69" s="9" t="s">
        <v>0</v>
      </c>
      <c r="R69" t="s">
        <v>445</v>
      </c>
      <c r="S69">
        <f>INT(T80/U80/N70)</f>
        <v>994</v>
      </c>
      <c r="T69" t="s">
        <v>446</v>
      </c>
      <c r="U69">
        <f>ROUND(T75/S69,1)</f>
        <v>0.7</v>
      </c>
    </row>
    <row r="70" spans="1:21" x14ac:dyDescent="0.15">
      <c r="A70">
        <f>A41+10</f>
        <v>4020</v>
      </c>
      <c r="B70">
        <f>B41+10</f>
        <v>5020</v>
      </c>
      <c r="C70">
        <v>7</v>
      </c>
      <c r="D70">
        <f>MOD(A70,1000)</f>
        <v>20</v>
      </c>
      <c r="I70" t="s">
        <v>383</v>
      </c>
      <c r="J70">
        <f>VLOOKUP(D70,召唤物生存,13)</f>
        <v>5.47</v>
      </c>
      <c r="L70">
        <f>A70</f>
        <v>4020</v>
      </c>
      <c r="M70">
        <f>B70</f>
        <v>5020</v>
      </c>
      <c r="N70">
        <v>8</v>
      </c>
      <c r="O70">
        <f>MOD(L70,1000)</f>
        <v>20</v>
      </c>
      <c r="T70" t="s">
        <v>383</v>
      </c>
      <c r="U70">
        <f>VLOOKUP(O70,召唤物生存,13)</f>
        <v>5.47</v>
      </c>
    </row>
    <row r="71" spans="1:21" x14ac:dyDescent="0.15">
      <c r="A71" t="s">
        <v>156</v>
      </c>
      <c r="B71" t="s">
        <v>95</v>
      </c>
      <c r="C71" t="s">
        <v>177</v>
      </c>
      <c r="D71" t="s">
        <v>143</v>
      </c>
      <c r="E71" t="s">
        <v>182</v>
      </c>
      <c r="F71" t="s">
        <v>192</v>
      </c>
      <c r="G71" t="s">
        <v>193</v>
      </c>
      <c r="H71" t="s">
        <v>176</v>
      </c>
      <c r="I71" t="s">
        <v>205</v>
      </c>
      <c r="J71" t="s">
        <v>206</v>
      </c>
      <c r="L71" t="s">
        <v>156</v>
      </c>
      <c r="M71" t="s">
        <v>95</v>
      </c>
      <c r="N71" t="s">
        <v>177</v>
      </c>
      <c r="O71" t="s">
        <v>143</v>
      </c>
      <c r="P71" t="s">
        <v>182</v>
      </c>
      <c r="Q71" t="s">
        <v>192</v>
      </c>
      <c r="R71" t="s">
        <v>193</v>
      </c>
      <c r="S71" t="s">
        <v>176</v>
      </c>
      <c r="T71" t="s">
        <v>205</v>
      </c>
      <c r="U71" t="s">
        <v>206</v>
      </c>
    </row>
    <row r="72" spans="1:21" x14ac:dyDescent="0.15">
      <c r="A72">
        <v>42</v>
      </c>
      <c r="B72" t="s">
        <v>35</v>
      </c>
      <c r="C72">
        <v>1</v>
      </c>
      <c r="D72">
        <f>VLOOKUP(A72,技能参数,4,FALSE)</f>
        <v>1</v>
      </c>
      <c r="E72">
        <f>IFERROR(VLOOKUP(A72*1000+D70,学习等级编码,2),0)</f>
        <v>4202</v>
      </c>
      <c r="F72">
        <f>IFERROR(INT(VLOOKUP($E72,技能升级,9,FALSE)*$C72*I72*J72),0)</f>
        <v>0</v>
      </c>
      <c r="G72">
        <f>IFERROR(INT(VLOOKUP($E72,技能升级,10,FALSE)*$C72*I72*J72),0)</f>
        <v>0</v>
      </c>
      <c r="H72">
        <f>INT(VLOOKUP($E72,技能升级,11,FALSE)*$C72*I72*J72)</f>
        <v>0</v>
      </c>
      <c r="I72">
        <v>1</v>
      </c>
      <c r="J72">
        <v>1</v>
      </c>
      <c r="L72">
        <v>42</v>
      </c>
      <c r="M72" t="s">
        <v>35</v>
      </c>
      <c r="N72">
        <v>1</v>
      </c>
      <c r="O72">
        <f>VLOOKUP(L72,技能参数,4,FALSE)</f>
        <v>1</v>
      </c>
      <c r="P72">
        <f>IFERROR(VLOOKUP(L72*1000+O70,学习等级编码,2),0)</f>
        <v>4202</v>
      </c>
      <c r="Q72">
        <f>IFERROR(INT(VLOOKUP(P72,技能升级,9,FALSE)*N72*T72*U72),0)</f>
        <v>0</v>
      </c>
      <c r="R72">
        <f>IFERROR(INT(VLOOKUP(P72,技能升级,10,FALSE)*N72*T72*U72),0)</f>
        <v>0</v>
      </c>
      <c r="S72">
        <f>INT(VLOOKUP(P72,技能升级,11,FALSE)*N72*T72*U72)</f>
        <v>0</v>
      </c>
      <c r="T72">
        <v>1</v>
      </c>
      <c r="U72">
        <v>1</v>
      </c>
    </row>
    <row r="73" spans="1:21" x14ac:dyDescent="0.15">
      <c r="A73">
        <v>43</v>
      </c>
      <c r="B73" t="s">
        <v>36</v>
      </c>
      <c r="C73">
        <v>1</v>
      </c>
      <c r="D73">
        <f>VLOOKUP(A73,技能参数,4,FALSE)</f>
        <v>1</v>
      </c>
      <c r="E73">
        <f>IFERROR(VLOOKUP(A73*1000+D70,学习等级编码,2),0)</f>
        <v>4302</v>
      </c>
      <c r="F73">
        <f t="shared" ref="F73" si="15">IFERROR(INT(VLOOKUP($E73,技能升级,9,FALSE)*$C73*I73*J73),0)</f>
        <v>0</v>
      </c>
      <c r="G73">
        <f t="shared" ref="G73" si="16">IFERROR(INT(VLOOKUP($E73,技能升级,10,FALSE)*$C73*I73*J73),0)</f>
        <v>0</v>
      </c>
      <c r="H73">
        <f>INT(VLOOKUP($E73,技能升级,11,FALSE)*$C73*I73*J73)</f>
        <v>0</v>
      </c>
      <c r="I73">
        <v>1</v>
      </c>
      <c r="J73">
        <v>1</v>
      </c>
      <c r="L73">
        <v>43</v>
      </c>
      <c r="M73" t="s">
        <v>36</v>
      </c>
      <c r="N73">
        <v>1</v>
      </c>
      <c r="O73">
        <f>VLOOKUP(L73,技能参数,4,FALSE)</f>
        <v>1</v>
      </c>
      <c r="P73">
        <f>IFERROR(VLOOKUP(L73*1000+O70,学习等级编码,2),0)</f>
        <v>4302</v>
      </c>
      <c r="Q73">
        <f>IFERROR(INT(VLOOKUP(P73,技能升级,9,FALSE)*N73*T73*U73),0)</f>
        <v>0</v>
      </c>
      <c r="R73">
        <f>IFERROR(INT(VLOOKUP(P73,技能升级,10,FALSE)*N73*T73*U73),0)</f>
        <v>0</v>
      </c>
      <c r="S73">
        <f>INT(VLOOKUP(P73,技能升级,11,FALSE)*N73*T73*U73)</f>
        <v>0</v>
      </c>
      <c r="T73">
        <v>1</v>
      </c>
      <c r="U73">
        <v>1</v>
      </c>
    </row>
    <row r="74" spans="1:21" x14ac:dyDescent="0.15">
      <c r="A74">
        <v>44</v>
      </c>
      <c r="B74" t="s">
        <v>38</v>
      </c>
      <c r="C74">
        <v>1</v>
      </c>
      <c r="D74">
        <f>IFERROR(INT(VLOOKUP($E74,技能升级,13,FALSE)),0)</f>
        <v>4</v>
      </c>
      <c r="E74">
        <f>IFERROR(VLOOKUP(A74*1000+D70,学习等级编码,2),0)</f>
        <v>4402</v>
      </c>
      <c r="F74">
        <f>IFERROR(INT(VLOOKUP($E74,技能升级,9,FALSE)*$C74*I74*J74),0)</f>
        <v>0</v>
      </c>
      <c r="G74">
        <f>IFERROR(INT(VLOOKUP($E74,技能升级,10,FALSE)*$D74*I74*J74),0)</f>
        <v>6280</v>
      </c>
      <c r="H74">
        <f>INT(VLOOKUP($E74,技能升级,11,FALSE)*$D74*I74*J74)</f>
        <v>180</v>
      </c>
      <c r="I74">
        <v>1</v>
      </c>
      <c r="J74">
        <f>VLOOKUP(A70,$A$2:$I$21,8,FALSE)</f>
        <v>1</v>
      </c>
      <c r="L74">
        <v>44</v>
      </c>
      <c r="M74" t="s">
        <v>38</v>
      </c>
      <c r="N74">
        <v>0</v>
      </c>
      <c r="O74">
        <v>0</v>
      </c>
      <c r="P74">
        <f>IFERROR(VLOOKUP(L74*1000+O70,学习等级编码,2),0)</f>
        <v>4402</v>
      </c>
      <c r="Q74">
        <f>IFERROR(INT(VLOOKUP(P74,技能升级,9,FALSE)*N74*T74*U74),0)</f>
        <v>0</v>
      </c>
      <c r="R74">
        <f>IFERROR(INT(VLOOKUP(P74,技能升级,10,FALSE)*N74*T74*U74),0)</f>
        <v>0</v>
      </c>
      <c r="S74">
        <f>INT(VLOOKUP(P74,技能升级,11,FALSE)*N74*T74*U74)</f>
        <v>0</v>
      </c>
      <c r="T74">
        <v>1</v>
      </c>
      <c r="U74">
        <f>VLOOKUP(L70,$A$2:$I$21,8,FALSE)</f>
        <v>1</v>
      </c>
    </row>
    <row r="75" spans="1:21" x14ac:dyDescent="0.15">
      <c r="A75">
        <v>45</v>
      </c>
      <c r="B75" t="s">
        <v>37</v>
      </c>
      <c r="C75">
        <v>1</v>
      </c>
      <c r="D75">
        <f>VLOOKUP(A75,技能参数,4,FALSE)</f>
        <v>2</v>
      </c>
      <c r="E75">
        <f>IFERROR(VLOOKUP(A75*1000+D70,学习等级编码,2),0)</f>
        <v>4501</v>
      </c>
      <c r="F75">
        <f>IFERROR(INT(VLOOKUP($E75,技能升级,9,FALSE)*$C75*I75*J75),0)</f>
        <v>0</v>
      </c>
      <c r="G75">
        <f t="shared" ref="G75:G76" si="17">IFERROR(INT(VLOOKUP($E75,技能升级,10,FALSE)*$C75*I75*J75),0)</f>
        <v>0</v>
      </c>
      <c r="H75">
        <f>INT(VLOOKUP($E75,技能升级,11,FALSE)*$C75*I75*J75)</f>
        <v>0</v>
      </c>
      <c r="I75">
        <f>INT(VLOOKUP($E75,技能升级,13,FALSE)*$C75)</f>
        <v>690</v>
      </c>
      <c r="J75">
        <v>1</v>
      </c>
      <c r="L75">
        <v>45</v>
      </c>
      <c r="M75" t="s">
        <v>37</v>
      </c>
      <c r="N75">
        <v>1</v>
      </c>
      <c r="O75">
        <f>VLOOKUP(L75,技能参数,4,FALSE)</f>
        <v>2</v>
      </c>
      <c r="P75">
        <f>IFERROR(VLOOKUP(L75*1000+O70,学习等级编码,2),0)</f>
        <v>4501</v>
      </c>
      <c r="Q75">
        <f>IFERROR(INT(VLOOKUP(P75,技能升级,9,FALSE)*N75*T75*U75),0)</f>
        <v>0</v>
      </c>
      <c r="R75">
        <f>IFERROR(INT(VLOOKUP(P75,技能升级,10,FALSE)*N75*T75*U75),0)</f>
        <v>0</v>
      </c>
      <c r="S75">
        <f>INT(VLOOKUP(P75,技能升级,11,FALSE)*N75*T75*U75)</f>
        <v>0</v>
      </c>
      <c r="T75">
        <f>INT(VLOOKUP($E75,技能升级,13,FALSE)*$C75)</f>
        <v>690</v>
      </c>
      <c r="U75">
        <v>1</v>
      </c>
    </row>
    <row r="76" spans="1:21" x14ac:dyDescent="0.15">
      <c r="A76">
        <v>41</v>
      </c>
      <c r="B76" t="s">
        <v>361</v>
      </c>
      <c r="C76">
        <f>IF(INT((C70-C72*D72-C73*D73-C74*D74-C75*D75)/D76)&gt;0,INT((C70-C72*D72-C73*D73-C74*D74-C75*D75)/D76),0)</f>
        <v>0</v>
      </c>
      <c r="D76">
        <f>VLOOKUP(A76,技能参数,4,FALSE)</f>
        <v>1.2</v>
      </c>
      <c r="E76">
        <f>IFERROR(VLOOKUP(A76*1000+D70,学习等级编码,2),0)</f>
        <v>4103</v>
      </c>
      <c r="F76">
        <f>IFERROR(INT(VLOOKUP($E76,技能升级,9,FALSE)*$C76*I76*J76),0)</f>
        <v>0</v>
      </c>
      <c r="G76">
        <f t="shared" si="17"/>
        <v>0</v>
      </c>
      <c r="H76">
        <f>INT(VLOOKUP($E76,技能升级,11,FALSE)*$C76*I76*J76)</f>
        <v>0</v>
      </c>
      <c r="I76">
        <v>1</v>
      </c>
      <c r="J76">
        <f>VLOOKUP(A70,$A$2:$I$21,8,FALSE)</f>
        <v>1</v>
      </c>
      <c r="L76">
        <v>41</v>
      </c>
      <c r="M76" t="s">
        <v>361</v>
      </c>
      <c r="N76">
        <f>IF(INT((N70-N72*O72-N73*O73-N74*O74-N75*O75)/O76)&gt;0,INT((N70-N72*O72-N73*O73-N74*O74-N75*O75)/O76),0)</f>
        <v>3</v>
      </c>
      <c r="O76">
        <f>VLOOKUP(L76,技能参数,4,FALSE)</f>
        <v>1.2</v>
      </c>
      <c r="P76">
        <f>IFERROR(VLOOKUP(L76*1000+O70,学习等级编码,2),0)</f>
        <v>4103</v>
      </c>
      <c r="Q76">
        <f>IFERROR(INT(VLOOKUP(P76,技能升级,9,FALSE)*N76*T76*U76),0)</f>
        <v>0</v>
      </c>
      <c r="R76">
        <f>IFERROR(INT(VLOOKUP(P76,技能升级,10,FALSE)*N76*T76*U76),0)</f>
        <v>3270</v>
      </c>
      <c r="S76">
        <f>INT(VLOOKUP(P76,技能升级,11,FALSE)*N76*T76*U76)</f>
        <v>111</v>
      </c>
      <c r="T76">
        <v>1</v>
      </c>
      <c r="U76">
        <f>VLOOKUP(A70,$A$2:$I$21,8,FALSE)</f>
        <v>1</v>
      </c>
    </row>
    <row r="77" spans="1:21" x14ac:dyDescent="0.15">
      <c r="A77">
        <f>VLOOKUP(E72,技能升级,13,FALSE)</f>
        <v>102</v>
      </c>
      <c r="B77" t="s">
        <v>375</v>
      </c>
      <c r="C77">
        <f>C70+C70-3.5</f>
        <v>10.5</v>
      </c>
      <c r="G77">
        <f>INT((VLOOKUP(A77,召唤物属性,7,FALSE)-
IF($B70&gt;10000,VLOOKUP($B70,实战属性,15,FALSE),VLOOKUP($B70,总基本属性,9,FALSE))*$L$13)*I77*J77)</f>
        <v>223</v>
      </c>
      <c r="I77">
        <f>VLOOKUP($E72,技能升级,14,FALSE)</f>
        <v>1</v>
      </c>
      <c r="J77">
        <v>1</v>
      </c>
      <c r="L77">
        <f>VLOOKUP(P72,技能升级,13,FALSE)</f>
        <v>102</v>
      </c>
      <c r="M77" t="s">
        <v>375</v>
      </c>
      <c r="N77">
        <f>N70+N70-3.5</f>
        <v>12.5</v>
      </c>
      <c r="R77">
        <f>INT((VLOOKUP(L77,召唤物属性,7,FALSE)-
IF($B70&gt;10000,VLOOKUP($B70,实战属性,15,FALSE),VLOOKUP($B70,总基本属性,9,FALSE))*$L$13)*T77*U77)</f>
        <v>223</v>
      </c>
      <c r="T77">
        <f>VLOOKUP($E72,技能升级,14,FALSE)</f>
        <v>1</v>
      </c>
      <c r="U77">
        <v>1</v>
      </c>
    </row>
    <row r="78" spans="1:21" x14ac:dyDescent="0.15">
      <c r="A78">
        <f>VLOOKUP(E73,技能升级,13,FALSE)</f>
        <v>202</v>
      </c>
      <c r="B78" t="s">
        <v>374</v>
      </c>
      <c r="C78">
        <f>C70+C70-3.5</f>
        <v>10.5</v>
      </c>
      <c r="F78">
        <f>INT((VLOOKUP(A78,召唤物属性,6,FALSE)-
IF($B70&gt;10000,VLOOKUP($B70,实战属性,15,FALSE),VLOOKUP($B70,总基本属性,9,FALSE))*$L$13)*I78*J78)</f>
        <v>327</v>
      </c>
      <c r="I78">
        <f>VLOOKUP($E73,技能升级,14,FALSE)</f>
        <v>2</v>
      </c>
      <c r="J78">
        <f>VLOOKUP(A70,$A$2:$I$21,9,FALSE)</f>
        <v>1</v>
      </c>
      <c r="L78">
        <f>VLOOKUP(P73,技能升级,13,FALSE)</f>
        <v>202</v>
      </c>
      <c r="M78" t="s">
        <v>374</v>
      </c>
      <c r="N78">
        <f>N70+N70-3.5</f>
        <v>12.5</v>
      </c>
      <c r="Q78">
        <f>INT((VLOOKUP(L78,召唤物属性,6,FALSE)-
IF($B70&gt;10000,VLOOKUP($B70,实战属性,15,FALSE),VLOOKUP($B70,总基本属性,9,FALSE))*$L$13)*T78*U78)</f>
        <v>327</v>
      </c>
      <c r="T78">
        <f>VLOOKUP($E73,技能升级,14,FALSE)</f>
        <v>2</v>
      </c>
      <c r="U78">
        <f>VLOOKUP(L70,$A$2:$I$21,9,FALSE)</f>
        <v>1</v>
      </c>
    </row>
    <row r="79" spans="1:21" x14ac:dyDescent="0.15">
      <c r="E79" t="s">
        <v>194</v>
      </c>
      <c r="F79">
        <f>SUM(F72:F76)/1000</f>
        <v>0</v>
      </c>
      <c r="G79">
        <f>SUM(G72:G76)/1000</f>
        <v>6.28</v>
      </c>
      <c r="H79">
        <f>SUM(H72:H75)</f>
        <v>180</v>
      </c>
      <c r="I79" t="s">
        <v>196</v>
      </c>
      <c r="J79" t="s">
        <v>197</v>
      </c>
      <c r="P79" t="s">
        <v>194</v>
      </c>
      <c r="Q79">
        <f>SUM(Q72:Q76)/1000</f>
        <v>0</v>
      </c>
      <c r="R79">
        <f>SUM(R72:R76)/1000</f>
        <v>3.27</v>
      </c>
      <c r="S79">
        <f>SUM(S72:S75)</f>
        <v>0</v>
      </c>
      <c r="T79" t="s">
        <v>196</v>
      </c>
      <c r="U79" t="s">
        <v>197</v>
      </c>
    </row>
    <row r="80" spans="1:21" x14ac:dyDescent="0.15">
      <c r="E80" t="s">
        <v>195</v>
      </c>
      <c r="F80">
        <f>INT((IF($A70&gt;10000,VLOOKUP($A70,实战属性,13,FALSE),VLOOKUP($A70,总基本属性,7,FALSE))-
IF($B70&gt;10000,VLOOKUP($B70,实战属性,15,FALSE),VLOOKUP($B70,总基本属性,9,FALSE))*$L$13)*F79)</f>
        <v>0</v>
      </c>
      <c r="G80">
        <f>INT((IF($A70&gt;10000,VLOOKUP($A70,实战属性,14,FALSE),VLOOKUP($A70,总基本属性,8,FALSE))-
IF($B70&gt;10000,VLOOKUP($B70,实战属性,16,FALSE),VLOOKUP($B70,总基本属性,10,FALSE))*$L$13)*G79)</f>
        <v>2019</v>
      </c>
      <c r="H80">
        <f>H79+F80+G80</f>
        <v>2199</v>
      </c>
      <c r="I80">
        <f>IF($B70&gt;10000,VLOOKUP($B70,实战属性,12,FALSE),VLOOKUP($B70,总基本属性,6,FALSE))</f>
        <v>8352</v>
      </c>
      <c r="J80">
        <f>ROUND(I80/H81,2)</f>
        <v>1.05</v>
      </c>
      <c r="P80" t="s">
        <v>195</v>
      </c>
      <c r="Q80">
        <f>INT((IF($A70&gt;10000,VLOOKUP($A70,实战属性,13,FALSE),VLOOKUP($A70,总基本属性,7,FALSE))-
IF($B70&gt;10000,VLOOKUP($B70,实战属性,15,FALSE),VLOOKUP($B70,总基本属性,9,FALSE))*$L$13)*Q79)</f>
        <v>0</v>
      </c>
      <c r="R80">
        <f>INT((IF($A70&gt;10000,VLOOKUP($A70,实战属性,14,FALSE),VLOOKUP($A70,总基本属性,8,FALSE))-
IF($B70&gt;10000,VLOOKUP($B70,实战属性,16,FALSE),VLOOKUP($B70,总基本属性,10,FALSE))*$L$13)*R79)</f>
        <v>1051</v>
      </c>
      <c r="S80">
        <f>S79+Q80+R80</f>
        <v>1051</v>
      </c>
      <c r="T80">
        <f>IF($B70&gt;10000,VLOOKUP($B70,实战属性,12,FALSE),VLOOKUP($B70,总基本属性,6,FALSE))</f>
        <v>8352</v>
      </c>
      <c r="U80">
        <f>ROUND(T80/S81,2)</f>
        <v>1.05</v>
      </c>
    </row>
    <row r="81" spans="1:21" x14ac:dyDescent="0.15">
      <c r="E81" t="s">
        <v>376</v>
      </c>
      <c r="F81">
        <f>INT(F78*C78)</f>
        <v>3433</v>
      </c>
      <c r="G81">
        <f>INT(G77*C77)</f>
        <v>2341</v>
      </c>
      <c r="H81">
        <f>F81+G81+H80</f>
        <v>7973</v>
      </c>
      <c r="P81" t="s">
        <v>376</v>
      </c>
      <c r="Q81">
        <f>INT(Q78*N78)</f>
        <v>4087</v>
      </c>
      <c r="R81">
        <f>INT(R77*N77)</f>
        <v>2787</v>
      </c>
      <c r="S81">
        <f>Q81+R81+S80</f>
        <v>7925</v>
      </c>
    </row>
    <row r="85" spans="1:21" x14ac:dyDescent="0.15">
      <c r="A85" s="8" t="s">
        <v>6</v>
      </c>
      <c r="B85" s="8" t="s">
        <v>444</v>
      </c>
      <c r="C85" s="8" t="s">
        <v>178</v>
      </c>
      <c r="D85" s="8" t="s">
        <v>0</v>
      </c>
      <c r="L85" s="8" t="s">
        <v>6</v>
      </c>
      <c r="M85" s="8" t="s">
        <v>444</v>
      </c>
      <c r="N85" s="8" t="s">
        <v>178</v>
      </c>
      <c r="O85" s="8" t="s">
        <v>0</v>
      </c>
    </row>
    <row r="86" spans="1:21" x14ac:dyDescent="0.15">
      <c r="A86">
        <f>A57+10</f>
        <v>5030</v>
      </c>
      <c r="B86">
        <f>B57+10</f>
        <v>4030</v>
      </c>
      <c r="C86">
        <v>13</v>
      </c>
      <c r="D86">
        <f>MOD(A86,1000)</f>
        <v>30</v>
      </c>
      <c r="L86">
        <f>A86</f>
        <v>5030</v>
      </c>
      <c r="M86">
        <f>B86</f>
        <v>4030</v>
      </c>
      <c r="N86">
        <v>9</v>
      </c>
      <c r="O86">
        <f>MOD(L86,1000)</f>
        <v>30</v>
      </c>
    </row>
    <row r="87" spans="1:21" x14ac:dyDescent="0.15">
      <c r="A87" t="s">
        <v>156</v>
      </c>
      <c r="B87" t="s">
        <v>95</v>
      </c>
      <c r="C87" t="s">
        <v>142</v>
      </c>
      <c r="D87" t="s">
        <v>143</v>
      </c>
      <c r="E87" t="s">
        <v>182</v>
      </c>
      <c r="F87" t="s">
        <v>192</v>
      </c>
      <c r="G87" t="s">
        <v>193</v>
      </c>
      <c r="H87" t="s">
        <v>176</v>
      </c>
      <c r="I87" t="s">
        <v>205</v>
      </c>
      <c r="J87" t="s">
        <v>206</v>
      </c>
      <c r="L87" t="s">
        <v>156</v>
      </c>
      <c r="M87" t="s">
        <v>95</v>
      </c>
      <c r="N87" t="s">
        <v>142</v>
      </c>
      <c r="O87" t="s">
        <v>143</v>
      </c>
      <c r="P87" t="s">
        <v>182</v>
      </c>
      <c r="Q87" t="s">
        <v>192</v>
      </c>
      <c r="R87" t="s">
        <v>193</v>
      </c>
      <c r="S87" t="s">
        <v>176</v>
      </c>
      <c r="T87" t="s">
        <v>205</v>
      </c>
      <c r="U87" t="s">
        <v>206</v>
      </c>
    </row>
    <row r="88" spans="1:21" x14ac:dyDescent="0.15">
      <c r="A88">
        <v>52</v>
      </c>
      <c r="B88" t="s">
        <v>44</v>
      </c>
      <c r="C88">
        <v>0</v>
      </c>
      <c r="D88">
        <f>VLOOKUP(A88,技能参数,4,FALSE)</f>
        <v>1.5</v>
      </c>
      <c r="E88">
        <f>VLOOKUP(A88*1000+D86,学习等级编码,2)</f>
        <v>5203</v>
      </c>
      <c r="F88">
        <f>INT(VLOOKUP(E88,技能升级,9,FALSE)*C88*I88*J88)</f>
        <v>0</v>
      </c>
      <c r="G88">
        <f>INT(VLOOKUP(E88,技能升级,10,FALSE)*C88*I88*J88)</f>
        <v>0</v>
      </c>
      <c r="H88">
        <f>INT(VLOOKUP(E88,技能升级,11,FALSE)*C88*I88*J88)</f>
        <v>0</v>
      </c>
      <c r="I88">
        <v>1</v>
      </c>
      <c r="J88">
        <v>1</v>
      </c>
      <c r="L88">
        <v>52</v>
      </c>
      <c r="M88" t="s">
        <v>44</v>
      </c>
      <c r="N88">
        <v>0</v>
      </c>
      <c r="O88">
        <f>VLOOKUP(L88,技能参数,4,FALSE)</f>
        <v>1.5</v>
      </c>
      <c r="P88">
        <f>VLOOKUP(L88*1000+O86,学习等级编码,2)</f>
        <v>5203</v>
      </c>
      <c r="Q88">
        <f>INT(VLOOKUP(P88,技能升级,9,FALSE)*N88*T88*U88)</f>
        <v>0</v>
      </c>
      <c r="R88">
        <f>INT(VLOOKUP(P88,技能升级,10,FALSE)*N88*T88*U88)</f>
        <v>0</v>
      </c>
      <c r="S88">
        <f>INT(VLOOKUP(P88,技能升级,11,FALSE)*N88*T88*U88)</f>
        <v>0</v>
      </c>
      <c r="T88">
        <v>1</v>
      </c>
      <c r="U88">
        <v>1</v>
      </c>
    </row>
    <row r="89" spans="1:21" x14ac:dyDescent="0.15">
      <c r="A89">
        <v>54</v>
      </c>
      <c r="B89" t="s">
        <v>40</v>
      </c>
      <c r="C89">
        <v>0</v>
      </c>
      <c r="D89">
        <f>VLOOKUP(A89,技能参数,4,FALSE)</f>
        <v>1.2</v>
      </c>
      <c r="E89">
        <f>VLOOKUP(A89*1000+D86,学习等级编码,2)</f>
        <v>5403</v>
      </c>
      <c r="F89">
        <f>INT(VLOOKUP(E89,技能升级,9,FALSE)*C89*I89*J89)</f>
        <v>0</v>
      </c>
      <c r="G89">
        <f>INT(VLOOKUP(E89,技能升级,10,FALSE)*C89*I89*J89)</f>
        <v>0</v>
      </c>
      <c r="H89">
        <f>INT(VLOOKUP(E89,技能升级,11,FALSE)*C89*I89*J89)</f>
        <v>0</v>
      </c>
      <c r="I89">
        <v>1</v>
      </c>
      <c r="J89">
        <v>1</v>
      </c>
      <c r="L89">
        <v>54</v>
      </c>
      <c r="M89" t="s">
        <v>40</v>
      </c>
      <c r="N89">
        <v>0</v>
      </c>
      <c r="O89">
        <f>VLOOKUP(L89,技能参数,4,FALSE)</f>
        <v>1.2</v>
      </c>
      <c r="P89">
        <f>VLOOKUP(L89*1000+O86,学习等级编码,2)</f>
        <v>5403</v>
      </c>
      <c r="Q89">
        <f>INT(VLOOKUP(P89,技能升级,9,FALSE)*N89*T89*U89)</f>
        <v>0</v>
      </c>
      <c r="R89">
        <f>INT(VLOOKUP(P89,技能升级,10,FALSE)*N89*T89*U89)</f>
        <v>0</v>
      </c>
      <c r="S89">
        <f>INT(VLOOKUP(P89,技能升级,11,FALSE)*N89*T89*U89)</f>
        <v>0</v>
      </c>
      <c r="T89">
        <v>1</v>
      </c>
      <c r="U89">
        <v>1</v>
      </c>
    </row>
    <row r="90" spans="1:21" x14ac:dyDescent="0.15">
      <c r="A90">
        <v>51</v>
      </c>
      <c r="B90" t="s">
        <v>203</v>
      </c>
      <c r="C90">
        <v>2</v>
      </c>
      <c r="D90">
        <f>VLOOKUP(A90,技能参数,4,FALSE)</f>
        <v>0.9</v>
      </c>
      <c r="E90">
        <f>VLOOKUP(A90*1000+D86,学习等级编码,2)</f>
        <v>5105</v>
      </c>
      <c r="F90">
        <f>INT(VLOOKUP(E90,技能升级,9,FALSE)*C90*I90*J90)</f>
        <v>2680</v>
      </c>
      <c r="G90">
        <f>INT(VLOOKUP(E90,技能升级,10,FALSE)*C90*I90*J90)</f>
        <v>0</v>
      </c>
      <c r="H90">
        <f>INT(VLOOKUP(E90,技能升级,11,FALSE)*C90*I90*J90)</f>
        <v>176</v>
      </c>
      <c r="I90">
        <v>1</v>
      </c>
      <c r="J90">
        <v>1</v>
      </c>
      <c r="L90">
        <v>51</v>
      </c>
      <c r="M90" t="s">
        <v>203</v>
      </c>
      <c r="N90">
        <v>2</v>
      </c>
      <c r="O90">
        <f>VLOOKUP(L90,技能参数,4,FALSE)</f>
        <v>0.9</v>
      </c>
      <c r="P90">
        <f>VLOOKUP(L90*1000+O86,学习等级编码,2)</f>
        <v>5105</v>
      </c>
      <c r="Q90">
        <f>INT(VLOOKUP(P90,技能升级,9,FALSE)*N90*T90*U90)</f>
        <v>2680</v>
      </c>
      <c r="R90">
        <f>INT(VLOOKUP(P90,技能升级,10,FALSE)*N90*T90*U90)</f>
        <v>0</v>
      </c>
      <c r="S90">
        <f>INT(VLOOKUP(P90,技能升级,11,FALSE)*N90*T90*U90)</f>
        <v>176</v>
      </c>
      <c r="T90">
        <v>1</v>
      </c>
      <c r="U90">
        <v>1</v>
      </c>
    </row>
    <row r="91" spans="1:21" x14ac:dyDescent="0.15">
      <c r="A91">
        <v>51</v>
      </c>
      <c r="B91" t="s">
        <v>204</v>
      </c>
      <c r="C91">
        <f>INT((C86-C88*D88-C89*D89-D90*C90-C93)/D91*3)</f>
        <v>24</v>
      </c>
      <c r="D91">
        <f>VLOOKUP(A91,技能参数,4,FALSE)</f>
        <v>0.9</v>
      </c>
      <c r="E91">
        <f>VLOOKUP(A91*1000+D86,学习等级编码,2)</f>
        <v>5105</v>
      </c>
      <c r="F91">
        <f>INT(VLOOKUP(E91,技能升级,9,FALSE)*C91*I91*J91)</f>
        <v>16884</v>
      </c>
      <c r="G91">
        <f>INT(VLOOKUP(E91,技能升级,10,FALSE)*C91*I91*J91)</f>
        <v>0</v>
      </c>
      <c r="H91">
        <f>INT(VLOOKUP(E91,技能升级,11,FALSE)*C91*I91*J91)</f>
        <v>1108</v>
      </c>
      <c r="I91">
        <f>F92/1000</f>
        <v>0.42</v>
      </c>
      <c r="J91">
        <f>VLOOKUP(A86,$A$2:$I$21,7,FALSE)</f>
        <v>1.25</v>
      </c>
      <c r="L91">
        <v>51</v>
      </c>
      <c r="M91" t="s">
        <v>204</v>
      </c>
      <c r="N91">
        <f>INT((N86-N88*O88-N89*O89-O90*N90-N93)/O91*3)</f>
        <v>24</v>
      </c>
      <c r="O91">
        <f>VLOOKUP(L91,技能参数,4,FALSE)</f>
        <v>0.9</v>
      </c>
      <c r="P91">
        <f>VLOOKUP(L91*1000+O86,学习等级编码,2)</f>
        <v>5105</v>
      </c>
      <c r="Q91">
        <f>INT(VLOOKUP(P91,技能升级,9,FALSE)*N91*T91*U91)</f>
        <v>16884</v>
      </c>
      <c r="R91">
        <f>INT(VLOOKUP(P91,技能升级,10,FALSE)*N91*T91*U91)</f>
        <v>0</v>
      </c>
      <c r="S91">
        <f>INT(VLOOKUP(P91,技能升级,11,FALSE)*N91*T91*U91)</f>
        <v>1108</v>
      </c>
      <c r="T91">
        <f>Q92/1000</f>
        <v>0.42</v>
      </c>
      <c r="U91">
        <f>VLOOKUP(L86,$A$2:$I$21,7,FALSE)</f>
        <v>1.25</v>
      </c>
    </row>
    <row r="92" spans="1:21" x14ac:dyDescent="0.15">
      <c r="A92">
        <v>55</v>
      </c>
      <c r="B92" t="s">
        <v>46</v>
      </c>
      <c r="C92">
        <v>1</v>
      </c>
      <c r="D92">
        <v>0</v>
      </c>
      <c r="E92">
        <f>VLOOKUP(A92*1000+D86,学习等级编码,2)</f>
        <v>5502</v>
      </c>
      <c r="F92">
        <f>INT(VLOOKUP($E92,技能升级,14,FALSE)*$C92*I92)</f>
        <v>420</v>
      </c>
      <c r="G92">
        <f>INT(VLOOKUP($E92,技能升级,10,FALSE)*$C92*I92)</f>
        <v>0</v>
      </c>
      <c r="H92">
        <f>INT(VLOOKUP($E92,技能升级,11,FALSE)*$C92*I92*J92)</f>
        <v>0</v>
      </c>
      <c r="I92">
        <v>1</v>
      </c>
      <c r="J92">
        <v>1</v>
      </c>
      <c r="L92">
        <v>55</v>
      </c>
      <c r="M92" t="s">
        <v>46</v>
      </c>
      <c r="N92">
        <v>1</v>
      </c>
      <c r="O92">
        <v>0</v>
      </c>
      <c r="P92">
        <f>VLOOKUP(L92*1000+O86,学习等级编码,2)</f>
        <v>5502</v>
      </c>
      <c r="Q92">
        <f>INT(VLOOKUP($E92,技能升级,14,FALSE)*$C92*T92)</f>
        <v>420</v>
      </c>
      <c r="R92">
        <f>INT(VLOOKUP($E92,技能升级,10,FALSE)*$C92*T92)</f>
        <v>0</v>
      </c>
      <c r="S92">
        <f>INT(VLOOKUP($E92,技能升级,11,FALSE)*$C92*T92*U92)</f>
        <v>0</v>
      </c>
      <c r="T92">
        <v>1</v>
      </c>
      <c r="U92">
        <v>1</v>
      </c>
    </row>
    <row r="93" spans="1:21" x14ac:dyDescent="0.15">
      <c r="B93" t="s">
        <v>38</v>
      </c>
      <c r="C93">
        <f>D103</f>
        <v>4</v>
      </c>
      <c r="M93" t="s">
        <v>38</v>
      </c>
      <c r="N93">
        <f>O103</f>
        <v>0</v>
      </c>
    </row>
    <row r="94" spans="1:21" x14ac:dyDescent="0.15">
      <c r="E94" t="s">
        <v>194</v>
      </c>
      <c r="F94">
        <f>SUM(F88:F91)/1000</f>
        <v>19.564</v>
      </c>
      <c r="G94">
        <f>SUM(G88:G91)/1000</f>
        <v>0</v>
      </c>
      <c r="H94">
        <f>SUM(H88:H91)</f>
        <v>1284</v>
      </c>
      <c r="I94" t="s">
        <v>196</v>
      </c>
      <c r="J94" t="s">
        <v>197</v>
      </c>
      <c r="P94" t="s">
        <v>194</v>
      </c>
      <c r="Q94">
        <f>SUM(Q88:Q91)/1000</f>
        <v>19.564</v>
      </c>
      <c r="R94">
        <f>SUM(R88:R91)/1000</f>
        <v>0</v>
      </c>
      <c r="S94">
        <f>SUM(S88:S91)</f>
        <v>1284</v>
      </c>
      <c r="T94" t="s">
        <v>196</v>
      </c>
      <c r="U94" t="s">
        <v>197</v>
      </c>
    </row>
    <row r="95" spans="1:21" x14ac:dyDescent="0.15">
      <c r="E95" t="s">
        <v>195</v>
      </c>
      <c r="F95">
        <f>INT((IF($A86&gt;10000,VLOOKUP($A86,实战属性,13,FALSE),VLOOKUP($A86,总基本属性,7,FALSE))-
IF($B86&gt;10000,VLOOKUP($B86,实战属性,15,FALSE),VLOOKUP($B86,总基本属性,9,FALSE))*$L$13)*F94)</f>
        <v>16032</v>
      </c>
      <c r="G95">
        <f>INT((IF($A86&gt;10000,VLOOKUP($A86,实战属性,14,FALSE),VLOOKUP($A86,总基本属性,8,FALSE))-
IF($B86&gt;10000,VLOOKUP($B86,实战属性,16,FALSE),VLOOKUP($B86,总基本属性,10,FALSE))*$L$13)*G94)</f>
        <v>0</v>
      </c>
      <c r="H95">
        <f>H94+F95+G95</f>
        <v>17316</v>
      </c>
      <c r="I95">
        <f>IF($B86&gt;10000,VLOOKUP($B86,实战属性,12,FALSE),VLOOKUP($B86,总基本属性,6,FALSE))+I104</f>
        <v>18276</v>
      </c>
      <c r="J95">
        <f>ROUND(I95/H95,2)</f>
        <v>1.06</v>
      </c>
      <c r="P95" t="s">
        <v>195</v>
      </c>
      <c r="Q95">
        <f>INT((IF($A86&gt;10000,VLOOKUP($A86,实战属性,13,FALSE),VLOOKUP($A86,总基本属性,7,FALSE))-
IF($B86&gt;10000,VLOOKUP($B86,实战属性,15,FALSE),VLOOKUP($B86,总基本属性,9,FALSE))*$L$13)*Q94)</f>
        <v>16032</v>
      </c>
      <c r="R95">
        <f>INT((IF($A86&gt;10000,VLOOKUP($A86,实战属性,14,FALSE),VLOOKUP($A86,总基本属性,8,FALSE))-
IF($B86&gt;10000,VLOOKUP($B86,实战属性,16,FALSE),VLOOKUP($B86,总基本属性,10,FALSE))*$L$13)*R94)</f>
        <v>0</v>
      </c>
      <c r="S95">
        <f>S94+Q95+R95</f>
        <v>17316</v>
      </c>
      <c r="T95">
        <f>IF($B86&gt;10000,VLOOKUP($B86,实战属性,12,FALSE),VLOOKUP($B86,总基本属性,6,FALSE))+T104</f>
        <v>18276</v>
      </c>
      <c r="U95">
        <f>ROUND(T95/S95,2)</f>
        <v>1.06</v>
      </c>
    </row>
    <row r="98" spans="1:21" x14ac:dyDescent="0.15">
      <c r="A98" s="9" t="s">
        <v>5</v>
      </c>
      <c r="B98" s="9" t="s">
        <v>448</v>
      </c>
      <c r="C98" s="9" t="s">
        <v>178</v>
      </c>
      <c r="D98" s="9" t="s">
        <v>0</v>
      </c>
      <c r="G98" t="s">
        <v>445</v>
      </c>
      <c r="H98">
        <f>INT(I109/J109/C99)</f>
        <v>2273</v>
      </c>
      <c r="I98" t="s">
        <v>446</v>
      </c>
      <c r="J98">
        <f>ROUND(I104/H98,1)</f>
        <v>1</v>
      </c>
      <c r="L98" s="9" t="s">
        <v>5</v>
      </c>
      <c r="M98" s="9" t="s">
        <v>448</v>
      </c>
      <c r="N98" s="9" t="s">
        <v>178</v>
      </c>
      <c r="O98" s="9" t="s">
        <v>0</v>
      </c>
      <c r="R98" t="s">
        <v>445</v>
      </c>
      <c r="S98">
        <f>INT(T109/U109/N99)</f>
        <v>1988</v>
      </c>
      <c r="T98" t="s">
        <v>446</v>
      </c>
      <c r="U98">
        <f>ROUND(T104/S98,1)</f>
        <v>1.1000000000000001</v>
      </c>
    </row>
    <row r="99" spans="1:21" x14ac:dyDescent="0.15">
      <c r="A99">
        <f>A70+10</f>
        <v>4030</v>
      </c>
      <c r="B99">
        <f>B70+10</f>
        <v>5030</v>
      </c>
      <c r="C99">
        <v>7</v>
      </c>
      <c r="D99">
        <f>MOD(A99,1000)</f>
        <v>30</v>
      </c>
      <c r="I99" t="s">
        <v>383</v>
      </c>
      <c r="J99">
        <f>VLOOKUP(D99,召唤物生存,13)</f>
        <v>5.68</v>
      </c>
      <c r="L99">
        <f>A99</f>
        <v>4030</v>
      </c>
      <c r="M99">
        <f>B99</f>
        <v>5030</v>
      </c>
      <c r="N99">
        <v>8</v>
      </c>
      <c r="O99">
        <f>MOD(L99,1000)</f>
        <v>30</v>
      </c>
      <c r="T99" t="s">
        <v>383</v>
      </c>
      <c r="U99">
        <f>VLOOKUP(O99,召唤物生存,13)</f>
        <v>5.68</v>
      </c>
    </row>
    <row r="100" spans="1:21" x14ac:dyDescent="0.15">
      <c r="A100" t="s">
        <v>156</v>
      </c>
      <c r="B100" t="s">
        <v>95</v>
      </c>
      <c r="C100" t="s">
        <v>177</v>
      </c>
      <c r="D100" t="s">
        <v>143</v>
      </c>
      <c r="E100" t="s">
        <v>182</v>
      </c>
      <c r="F100" t="s">
        <v>192</v>
      </c>
      <c r="G100" t="s">
        <v>193</v>
      </c>
      <c r="H100" t="s">
        <v>176</v>
      </c>
      <c r="I100" t="s">
        <v>205</v>
      </c>
      <c r="J100" t="s">
        <v>206</v>
      </c>
      <c r="L100" t="s">
        <v>156</v>
      </c>
      <c r="M100" t="s">
        <v>95</v>
      </c>
      <c r="N100" t="s">
        <v>177</v>
      </c>
      <c r="O100" t="s">
        <v>143</v>
      </c>
      <c r="P100" t="s">
        <v>182</v>
      </c>
      <c r="Q100" t="s">
        <v>192</v>
      </c>
      <c r="R100" t="s">
        <v>193</v>
      </c>
      <c r="S100" t="s">
        <v>176</v>
      </c>
      <c r="T100" t="s">
        <v>205</v>
      </c>
      <c r="U100" t="s">
        <v>206</v>
      </c>
    </row>
    <row r="101" spans="1:21" x14ac:dyDescent="0.15">
      <c r="A101">
        <v>42</v>
      </c>
      <c r="B101" t="s">
        <v>35</v>
      </c>
      <c r="C101">
        <v>1</v>
      </c>
      <c r="D101">
        <f>VLOOKUP(A101,技能参数,4,FALSE)</f>
        <v>1</v>
      </c>
      <c r="E101">
        <f>IFERROR(VLOOKUP(A101*1000+D99,学习等级编码,2),0)</f>
        <v>4203</v>
      </c>
      <c r="F101">
        <f>IFERROR(INT(VLOOKUP($E101,技能升级,9,FALSE)*$C101*I101*J101),0)</f>
        <v>0</v>
      </c>
      <c r="G101">
        <f>IFERROR(INT(VLOOKUP($E101,技能升级,10,FALSE)*$C101*I101*J101),0)</f>
        <v>0</v>
      </c>
      <c r="H101">
        <f>INT(VLOOKUP($E101,技能升级,11,FALSE)*$C101*I101*J101)</f>
        <v>0</v>
      </c>
      <c r="I101">
        <v>1</v>
      </c>
      <c r="J101">
        <v>1</v>
      </c>
      <c r="L101">
        <v>42</v>
      </c>
      <c r="M101" t="s">
        <v>35</v>
      </c>
      <c r="N101">
        <v>1</v>
      </c>
      <c r="O101">
        <f>VLOOKUP(L101,技能参数,4,FALSE)</f>
        <v>1</v>
      </c>
      <c r="P101">
        <f>IFERROR(VLOOKUP(L101*1000+O99,学习等级编码,2),0)</f>
        <v>4203</v>
      </c>
      <c r="Q101">
        <f>IFERROR(INT(VLOOKUP(P101,技能升级,9,FALSE)*N101*T101*U101),0)</f>
        <v>0</v>
      </c>
      <c r="R101">
        <f>IFERROR(INT(VLOOKUP(P101,技能升级,10,FALSE)*N101*T101*U101),0)</f>
        <v>0</v>
      </c>
      <c r="S101">
        <f>INT(VLOOKUP(P101,技能升级,11,FALSE)*N101*T101*U101)</f>
        <v>0</v>
      </c>
      <c r="T101">
        <v>1</v>
      </c>
      <c r="U101">
        <v>1</v>
      </c>
    </row>
    <row r="102" spans="1:21" x14ac:dyDescent="0.15">
      <c r="A102">
        <v>43</v>
      </c>
      <c r="B102" t="s">
        <v>36</v>
      </c>
      <c r="C102">
        <v>1</v>
      </c>
      <c r="D102">
        <f>VLOOKUP(A102,技能参数,4,FALSE)</f>
        <v>1</v>
      </c>
      <c r="E102">
        <f>IFERROR(VLOOKUP(A102*1000+D99,学习等级编码,2),0)</f>
        <v>4303</v>
      </c>
      <c r="F102">
        <f t="shared" ref="F102" si="18">IFERROR(INT(VLOOKUP($E102,技能升级,9,FALSE)*$C102*I102*J102),0)</f>
        <v>0</v>
      </c>
      <c r="G102">
        <f t="shared" ref="G102" si="19">IFERROR(INT(VLOOKUP($E102,技能升级,10,FALSE)*$C102*I102*J102),0)</f>
        <v>0</v>
      </c>
      <c r="H102">
        <f>INT(VLOOKUP($E102,技能升级,11,FALSE)*$C102*I102*J102)</f>
        <v>0</v>
      </c>
      <c r="I102">
        <v>1</v>
      </c>
      <c r="J102">
        <v>1</v>
      </c>
      <c r="L102">
        <v>43</v>
      </c>
      <c r="M102" t="s">
        <v>36</v>
      </c>
      <c r="N102">
        <v>1</v>
      </c>
      <c r="O102">
        <f>VLOOKUP(L102,技能参数,4,FALSE)</f>
        <v>1</v>
      </c>
      <c r="P102">
        <f>IFERROR(VLOOKUP(L102*1000+O99,学习等级编码,2),0)</f>
        <v>4303</v>
      </c>
      <c r="Q102">
        <f>IFERROR(INT(VLOOKUP(P102,技能升级,9,FALSE)*N102*T102*U102),0)</f>
        <v>0</v>
      </c>
      <c r="R102">
        <f>IFERROR(INT(VLOOKUP(P102,技能升级,10,FALSE)*N102*T102*U102),0)</f>
        <v>0</v>
      </c>
      <c r="S102">
        <f>INT(VLOOKUP(P102,技能升级,11,FALSE)*N102*T102*U102)</f>
        <v>0</v>
      </c>
      <c r="T102">
        <v>1</v>
      </c>
      <c r="U102">
        <v>1</v>
      </c>
    </row>
    <row r="103" spans="1:21" x14ac:dyDescent="0.15">
      <c r="A103">
        <v>44</v>
      </c>
      <c r="B103" t="s">
        <v>38</v>
      </c>
      <c r="C103">
        <v>1</v>
      </c>
      <c r="D103">
        <f>IFERROR(INT(VLOOKUP($E103,技能升级,13,FALSE)),0)</f>
        <v>4</v>
      </c>
      <c r="E103">
        <f>IFERROR(VLOOKUP(A103*1000+D99,学习等级编码,2),0)</f>
        <v>4403</v>
      </c>
      <c r="F103">
        <f>IFERROR(INT(VLOOKUP($E103,技能升级,9,FALSE)*$C103*I103*J103),0)</f>
        <v>0</v>
      </c>
      <c r="G103">
        <f>IFERROR(INT(VLOOKUP($E103,技能升级,10,FALSE)*$D103*I103*J103),0)</f>
        <v>6520</v>
      </c>
      <c r="H103">
        <f>INT(VLOOKUP($E103,技能升级,11,FALSE)*$D103*I103*J103)</f>
        <v>320</v>
      </c>
      <c r="I103">
        <v>1</v>
      </c>
      <c r="J103">
        <f>VLOOKUP(A99,$A$2:$I$21,8,FALSE)</f>
        <v>1</v>
      </c>
      <c r="L103">
        <v>44</v>
      </c>
      <c r="M103" t="s">
        <v>38</v>
      </c>
      <c r="N103">
        <v>0</v>
      </c>
      <c r="O103">
        <v>0</v>
      </c>
      <c r="P103">
        <f>IFERROR(VLOOKUP(L103*1000+O99,学习等级编码,2),0)</f>
        <v>4403</v>
      </c>
      <c r="Q103">
        <f>IFERROR(INT(VLOOKUP(P103,技能升级,9,FALSE)*N103*T103*U103),0)</f>
        <v>0</v>
      </c>
      <c r="R103">
        <f>IFERROR(INT(VLOOKUP(P103,技能升级,10,FALSE)*N103*T103*U103),0)</f>
        <v>0</v>
      </c>
      <c r="S103">
        <f>INT(VLOOKUP(P103,技能升级,11,FALSE)*N103*T103*U103)</f>
        <v>0</v>
      </c>
      <c r="T103">
        <v>1</v>
      </c>
      <c r="U103">
        <f>VLOOKUP(L99,$A$2:$I$21,8,FALSE)</f>
        <v>1</v>
      </c>
    </row>
    <row r="104" spans="1:21" x14ac:dyDescent="0.15">
      <c r="A104">
        <v>45</v>
      </c>
      <c r="B104" t="s">
        <v>37</v>
      </c>
      <c r="C104">
        <v>1</v>
      </c>
      <c r="D104">
        <f>VLOOKUP(A104,技能参数,4,FALSE)</f>
        <v>2</v>
      </c>
      <c r="E104">
        <f>IFERROR(VLOOKUP(A104*1000+D99,学习等级编码,2),0)</f>
        <v>4502</v>
      </c>
      <c r="F104">
        <f>IFERROR(INT(VLOOKUP($E104,技能升级,9,FALSE)*$C104*I104*J104),0)</f>
        <v>0</v>
      </c>
      <c r="G104">
        <f t="shared" ref="G104:G105" si="20">IFERROR(INT(VLOOKUP($E104,技能升级,10,FALSE)*$C104*I104*J104),0)</f>
        <v>0</v>
      </c>
      <c r="H104">
        <f>INT(VLOOKUP($E104,技能升级,11,FALSE)*$C104*I104*J104)</f>
        <v>0</v>
      </c>
      <c r="I104">
        <f>INT(VLOOKUP($E104,技能升级,13,FALSE)*$C104)</f>
        <v>2166</v>
      </c>
      <c r="J104">
        <v>1</v>
      </c>
      <c r="L104">
        <v>45</v>
      </c>
      <c r="M104" t="s">
        <v>37</v>
      </c>
      <c r="N104">
        <v>1</v>
      </c>
      <c r="O104">
        <f>VLOOKUP(L104,技能参数,4,FALSE)</f>
        <v>2</v>
      </c>
      <c r="P104">
        <f>IFERROR(VLOOKUP(L104*1000+O99,学习等级编码,2),0)</f>
        <v>4502</v>
      </c>
      <c r="Q104">
        <f>IFERROR(INT(VLOOKUP(P104,技能升级,9,FALSE)*N104*T104*U104),0)</f>
        <v>0</v>
      </c>
      <c r="R104">
        <f>IFERROR(INT(VLOOKUP(P104,技能升级,10,FALSE)*N104*T104*U104),0)</f>
        <v>0</v>
      </c>
      <c r="S104">
        <f>INT(VLOOKUP(P104,技能升级,11,FALSE)*N104*T104*U104)</f>
        <v>0</v>
      </c>
      <c r="T104">
        <f>INT(VLOOKUP($E104,技能升级,13,FALSE)*$C104)</f>
        <v>2166</v>
      </c>
      <c r="U104">
        <v>1</v>
      </c>
    </row>
    <row r="105" spans="1:21" x14ac:dyDescent="0.15">
      <c r="A105">
        <v>41</v>
      </c>
      <c r="B105" t="s">
        <v>361</v>
      </c>
      <c r="C105">
        <f>IF(INT((C99-C101*D101-C102*D102-C103*D103-C104*D104)/D105)&gt;0,INT((C99-C101*D101-C102*D102-C103*D103-C104*D104)/D105),0)</f>
        <v>0</v>
      </c>
      <c r="D105">
        <f>VLOOKUP(A105,技能参数,4,FALSE)</f>
        <v>1.2</v>
      </c>
      <c r="E105">
        <f>IFERROR(VLOOKUP(A105*1000+D99,学习等级编码,2),0)</f>
        <v>4105</v>
      </c>
      <c r="F105">
        <f>IFERROR(INT(VLOOKUP($E105,技能升级,9,FALSE)*$C105*I105*J105),0)</f>
        <v>0</v>
      </c>
      <c r="G105">
        <f t="shared" si="20"/>
        <v>0</v>
      </c>
      <c r="H105">
        <f>INT(VLOOKUP($E105,技能升级,11,FALSE)*$C105*I105*J105)</f>
        <v>0</v>
      </c>
      <c r="I105">
        <v>1</v>
      </c>
      <c r="J105">
        <f>VLOOKUP(A99,$A$2:$I$21,8,FALSE)</f>
        <v>1</v>
      </c>
      <c r="L105">
        <v>41</v>
      </c>
      <c r="M105" t="s">
        <v>361</v>
      </c>
      <c r="N105">
        <f>IF(INT((N99-N101*O101-N102*O102-N103*O103-N104*O104)/O105)&gt;0,INT((N99-N101*O101-N102*O102-N103*O103-N104*O104)/O105),0)</f>
        <v>3</v>
      </c>
      <c r="O105">
        <f>VLOOKUP(L105,技能参数,4,FALSE)</f>
        <v>1.2</v>
      </c>
      <c r="P105">
        <f>IFERROR(VLOOKUP(L105*1000+O99,学习等级编码,2),0)</f>
        <v>4105</v>
      </c>
      <c r="Q105">
        <f>IFERROR(INT(VLOOKUP(P105,技能升级,9,FALSE)*N105*T105*U105),0)</f>
        <v>0</v>
      </c>
      <c r="R105">
        <f>IFERROR(INT(VLOOKUP(P105,技能升级,10,FALSE)*N105*T105*U105),0)</f>
        <v>3510</v>
      </c>
      <c r="S105">
        <f>INT(VLOOKUP(P105,技能升级,11,FALSE)*N105*T105*U105)</f>
        <v>264</v>
      </c>
      <c r="T105">
        <v>1</v>
      </c>
      <c r="U105">
        <f>VLOOKUP(A99,$A$2:$I$21,8,FALSE)</f>
        <v>1</v>
      </c>
    </row>
    <row r="106" spans="1:21" x14ac:dyDescent="0.15">
      <c r="A106">
        <f>VLOOKUP(E101,技能升级,13,FALSE)</f>
        <v>103</v>
      </c>
      <c r="B106" t="s">
        <v>375</v>
      </c>
      <c r="C106">
        <f>C99+C99-3.5</f>
        <v>10.5</v>
      </c>
      <c r="G106">
        <f>INT((VLOOKUP(A106,召唤物属性,7,FALSE)-
IF($B99&gt;10000,VLOOKUP($B99,实战属性,15,FALSE),VLOOKUP($B99,总基本属性,9,FALSE))*$L$13)*I106*J106)</f>
        <v>365</v>
      </c>
      <c r="I106">
        <f>VLOOKUP($E101,技能升级,14,FALSE)</f>
        <v>1</v>
      </c>
      <c r="J106">
        <v>1</v>
      </c>
      <c r="L106">
        <f>VLOOKUP(P101,技能升级,13,FALSE)</f>
        <v>103</v>
      </c>
      <c r="M106" t="s">
        <v>375</v>
      </c>
      <c r="N106">
        <f>N99+N99-3.5</f>
        <v>12.5</v>
      </c>
      <c r="R106">
        <f>INT((VLOOKUP(L106,召唤物属性,7,FALSE)-
IF($B99&gt;10000,VLOOKUP($B99,实战属性,15,FALSE),VLOOKUP($B99,总基本属性,9,FALSE))*$L$13)*T106*U106)</f>
        <v>365</v>
      </c>
      <c r="T106">
        <f>VLOOKUP($E101,技能升级,14,FALSE)</f>
        <v>1</v>
      </c>
      <c r="U106">
        <v>1</v>
      </c>
    </row>
    <row r="107" spans="1:21" x14ac:dyDescent="0.15">
      <c r="A107">
        <f>VLOOKUP(E102,技能升级,13,FALSE)</f>
        <v>203</v>
      </c>
      <c r="B107" t="s">
        <v>374</v>
      </c>
      <c r="C107">
        <f>C99+C99-3.5</f>
        <v>10.5</v>
      </c>
      <c r="F107">
        <f>INT((VLOOKUP(A107,召唤物属性,6,FALSE)-
IF($B99&gt;10000,VLOOKUP($B99,实战属性,15,FALSE),VLOOKUP($B99,总基本属性,9,FALSE))*$L$13)*I107*J107)</f>
        <v>736</v>
      </c>
      <c r="I107">
        <f>VLOOKUP($E102,技能升级,14,FALSE)</f>
        <v>3</v>
      </c>
      <c r="J107">
        <f>VLOOKUP(A99,$A$2:$I$21,9,FALSE)</f>
        <v>1</v>
      </c>
      <c r="L107">
        <f>VLOOKUP(P102,技能升级,13,FALSE)</f>
        <v>203</v>
      </c>
      <c r="M107" t="s">
        <v>374</v>
      </c>
      <c r="N107">
        <f>N99+N99-3.5</f>
        <v>12.5</v>
      </c>
      <c r="Q107">
        <f>INT((VLOOKUP(L107,召唤物属性,6,FALSE)-
IF($B99&gt;10000,VLOOKUP($B99,实战属性,15,FALSE),VLOOKUP($B99,总基本属性,9,FALSE))*$L$13)*T107*U107)</f>
        <v>736</v>
      </c>
      <c r="T107">
        <f>VLOOKUP($E102,技能升级,14,FALSE)</f>
        <v>3</v>
      </c>
      <c r="U107">
        <f>VLOOKUP(L99,$A$2:$I$21,9,FALSE)</f>
        <v>1</v>
      </c>
    </row>
    <row r="108" spans="1:21" x14ac:dyDescent="0.15">
      <c r="E108" t="s">
        <v>194</v>
      </c>
      <c r="F108">
        <f>SUM(F101:F105)/1000</f>
        <v>0</v>
      </c>
      <c r="G108">
        <f>SUM(G101:G105)/1000</f>
        <v>6.52</v>
      </c>
      <c r="H108">
        <f>SUM(H101:H104)</f>
        <v>320</v>
      </c>
      <c r="I108" t="s">
        <v>196</v>
      </c>
      <c r="J108" t="s">
        <v>197</v>
      </c>
      <c r="P108" t="s">
        <v>194</v>
      </c>
      <c r="Q108">
        <f>SUM(Q101:Q105)/1000</f>
        <v>0</v>
      </c>
      <c r="R108">
        <f>SUM(R101:R105)/1000</f>
        <v>3.51</v>
      </c>
      <c r="S108">
        <f>SUM(S101:S104)</f>
        <v>0</v>
      </c>
      <c r="T108" t="s">
        <v>196</v>
      </c>
      <c r="U108" t="s">
        <v>197</v>
      </c>
    </row>
    <row r="109" spans="1:21" x14ac:dyDescent="0.15">
      <c r="E109" t="s">
        <v>195</v>
      </c>
      <c r="F109">
        <f>INT((IF($A99&gt;10000,VLOOKUP($A99,实战属性,13,FALSE),VLOOKUP($A99,总基本属性,7,FALSE))-
IF($B99&gt;10000,VLOOKUP($B99,实战属性,15,FALSE),VLOOKUP($B99,总基本属性,9,FALSE))*$L$13)*F108)</f>
        <v>0</v>
      </c>
      <c r="G109">
        <f>INT((IF($A99&gt;10000,VLOOKUP($A99,实战属性,14,FALSE),VLOOKUP($A99,总基本属性,8,FALSE))-
IF($B99&gt;10000,VLOOKUP($B99,实战属性,16,FALSE),VLOOKUP($B99,总基本属性,10,FALSE))*$L$13)*G108)</f>
        <v>4097</v>
      </c>
      <c r="H109">
        <f>H108+F109+G109</f>
        <v>4417</v>
      </c>
      <c r="I109">
        <f>IF($B99&gt;10000,VLOOKUP($B99,实战属性,12,FALSE),VLOOKUP($B99,总基本属性,6,FALSE))</f>
        <v>17184</v>
      </c>
      <c r="J109">
        <f>ROUND(I109/H110,2)</f>
        <v>1.08</v>
      </c>
      <c r="P109" t="s">
        <v>195</v>
      </c>
      <c r="Q109">
        <f>INT((IF($A99&gt;10000,VLOOKUP($A99,实战属性,13,FALSE),VLOOKUP($A99,总基本属性,7,FALSE))-
IF($B99&gt;10000,VLOOKUP($B99,实战属性,15,FALSE),VLOOKUP($B99,总基本属性,9,FALSE))*$L$13)*Q108)</f>
        <v>0</v>
      </c>
      <c r="R109">
        <f>INT((IF($A99&gt;10000,VLOOKUP($A99,实战属性,14,FALSE),VLOOKUP($A99,总基本属性,8,FALSE))-
IF($B99&gt;10000,VLOOKUP($B99,实战属性,16,FALSE),VLOOKUP($B99,总基本属性,10,FALSE))*$L$13)*R108)</f>
        <v>2206</v>
      </c>
      <c r="S109">
        <f>S108+Q109+R109</f>
        <v>2206</v>
      </c>
      <c r="T109">
        <f>IF($B99&gt;10000,VLOOKUP($B99,实战属性,12,FALSE),VLOOKUP($B99,总基本属性,6,FALSE))</f>
        <v>17184</v>
      </c>
      <c r="U109">
        <f>ROUND(T109/S110,2)</f>
        <v>1.08</v>
      </c>
    </row>
    <row r="110" spans="1:21" x14ac:dyDescent="0.15">
      <c r="E110" t="s">
        <v>376</v>
      </c>
      <c r="F110">
        <f>INT(F107*C107)</f>
        <v>7728</v>
      </c>
      <c r="G110">
        <f>INT(G106*C106)</f>
        <v>3832</v>
      </c>
      <c r="H110">
        <f>F110+G110+H109</f>
        <v>15977</v>
      </c>
      <c r="P110" t="s">
        <v>376</v>
      </c>
      <c r="Q110">
        <f>INT(Q107*N107)</f>
        <v>9200</v>
      </c>
      <c r="R110">
        <f>INT(R106*N106)</f>
        <v>4562</v>
      </c>
      <c r="S110">
        <f>Q110+R110+S109</f>
        <v>15968</v>
      </c>
    </row>
    <row r="114" spans="1:21" x14ac:dyDescent="0.15">
      <c r="A114" s="8" t="s">
        <v>6</v>
      </c>
      <c r="B114" s="8" t="s">
        <v>444</v>
      </c>
      <c r="C114" s="8" t="s">
        <v>178</v>
      </c>
      <c r="D114" s="8" t="s">
        <v>0</v>
      </c>
      <c r="L114" s="8" t="s">
        <v>6</v>
      </c>
      <c r="M114" s="8" t="s">
        <v>444</v>
      </c>
      <c r="N114" s="8" t="s">
        <v>178</v>
      </c>
      <c r="O114" s="8" t="s">
        <v>0</v>
      </c>
    </row>
    <row r="115" spans="1:21" x14ac:dyDescent="0.15">
      <c r="A115">
        <f>A86+10</f>
        <v>5040</v>
      </c>
      <c r="B115">
        <f>B86+10</f>
        <v>4040</v>
      </c>
      <c r="C115">
        <v>13</v>
      </c>
      <c r="D115">
        <f>MOD(A115,1000)</f>
        <v>40</v>
      </c>
      <c r="L115">
        <f>A115</f>
        <v>5040</v>
      </c>
      <c r="M115">
        <f>B115</f>
        <v>4040</v>
      </c>
      <c r="N115">
        <v>10</v>
      </c>
      <c r="O115">
        <f>MOD(L115,1000)</f>
        <v>40</v>
      </c>
    </row>
    <row r="116" spans="1:21" x14ac:dyDescent="0.15">
      <c r="A116" t="s">
        <v>156</v>
      </c>
      <c r="B116" t="s">
        <v>95</v>
      </c>
      <c r="C116" t="s">
        <v>142</v>
      </c>
      <c r="D116" t="s">
        <v>143</v>
      </c>
      <c r="E116" t="s">
        <v>182</v>
      </c>
      <c r="F116" t="s">
        <v>192</v>
      </c>
      <c r="G116" t="s">
        <v>193</v>
      </c>
      <c r="H116" t="s">
        <v>176</v>
      </c>
      <c r="I116" t="s">
        <v>205</v>
      </c>
      <c r="J116" t="s">
        <v>206</v>
      </c>
      <c r="L116" t="s">
        <v>156</v>
      </c>
      <c r="M116" t="s">
        <v>95</v>
      </c>
      <c r="N116" t="s">
        <v>142</v>
      </c>
      <c r="O116" t="s">
        <v>143</v>
      </c>
      <c r="P116" t="s">
        <v>182</v>
      </c>
      <c r="Q116" t="s">
        <v>192</v>
      </c>
      <c r="R116" t="s">
        <v>193</v>
      </c>
      <c r="S116" t="s">
        <v>176</v>
      </c>
      <c r="T116" t="s">
        <v>205</v>
      </c>
      <c r="U116" t="s">
        <v>206</v>
      </c>
    </row>
    <row r="117" spans="1:21" x14ac:dyDescent="0.15">
      <c r="A117">
        <v>52</v>
      </c>
      <c r="B117" t="s">
        <v>44</v>
      </c>
      <c r="C117">
        <v>0</v>
      </c>
      <c r="D117">
        <f>VLOOKUP(A117,技能参数,4,FALSE)</f>
        <v>1.5</v>
      </c>
      <c r="E117">
        <f>VLOOKUP(A117*1000+D115,学习等级编码,2)</f>
        <v>5204</v>
      </c>
      <c r="F117">
        <f>INT(VLOOKUP(E117,技能升级,9,FALSE)*C117*I117*J117)</f>
        <v>0</v>
      </c>
      <c r="G117">
        <f>INT(VLOOKUP(E117,技能升级,10,FALSE)*C117*I117*J117)</f>
        <v>0</v>
      </c>
      <c r="H117">
        <f>INT(VLOOKUP(E117,技能升级,11,FALSE)*C117*I117*J117)</f>
        <v>0</v>
      </c>
      <c r="I117">
        <v>1</v>
      </c>
      <c r="J117">
        <v>1</v>
      </c>
      <c r="L117">
        <v>52</v>
      </c>
      <c r="M117" t="s">
        <v>44</v>
      </c>
      <c r="N117">
        <v>0</v>
      </c>
      <c r="O117">
        <f>VLOOKUP(L117,技能参数,4,FALSE)</f>
        <v>1.5</v>
      </c>
      <c r="P117">
        <f>VLOOKUP(L117*1000+O115,学习等级编码,2)</f>
        <v>5204</v>
      </c>
      <c r="Q117">
        <f>INT(VLOOKUP(P117,技能升级,9,FALSE)*N117*T117*U117)</f>
        <v>0</v>
      </c>
      <c r="R117">
        <f>INT(VLOOKUP(P117,技能升级,10,FALSE)*N117*T117*U117)</f>
        <v>0</v>
      </c>
      <c r="S117">
        <f>INT(VLOOKUP(P117,技能升级,11,FALSE)*N117*T117*U117)</f>
        <v>0</v>
      </c>
      <c r="T117">
        <v>1</v>
      </c>
      <c r="U117">
        <v>1</v>
      </c>
    </row>
    <row r="118" spans="1:21" x14ac:dyDescent="0.15">
      <c r="A118">
        <v>54</v>
      </c>
      <c r="B118" t="s">
        <v>40</v>
      </c>
      <c r="C118">
        <v>0</v>
      </c>
      <c r="D118">
        <f>VLOOKUP(A118,技能参数,4,FALSE)</f>
        <v>1.2</v>
      </c>
      <c r="E118">
        <f>VLOOKUP(A118*1000+D115,学习等级编码,2)</f>
        <v>5404</v>
      </c>
      <c r="F118">
        <f>INT(VLOOKUP(E118,技能升级,9,FALSE)*C118*I118*J118)</f>
        <v>0</v>
      </c>
      <c r="G118">
        <f>INT(VLOOKUP(E118,技能升级,10,FALSE)*C118*I118*J118)</f>
        <v>0</v>
      </c>
      <c r="H118">
        <f>INT(VLOOKUP(E118,技能升级,11,FALSE)*C118*I118*J118)</f>
        <v>0</v>
      </c>
      <c r="I118">
        <v>1</v>
      </c>
      <c r="J118">
        <v>1</v>
      </c>
      <c r="L118">
        <v>54</v>
      </c>
      <c r="M118" t="s">
        <v>40</v>
      </c>
      <c r="N118">
        <v>0</v>
      </c>
      <c r="O118">
        <f>VLOOKUP(L118,技能参数,4,FALSE)</f>
        <v>1.2</v>
      </c>
      <c r="P118">
        <f>VLOOKUP(L118*1000+O115,学习等级编码,2)</f>
        <v>5404</v>
      </c>
      <c r="Q118">
        <f>INT(VLOOKUP(P118,技能升级,9,FALSE)*N118*T118*U118)</f>
        <v>0</v>
      </c>
      <c r="R118">
        <f>INT(VLOOKUP(P118,技能升级,10,FALSE)*N118*T118*U118)</f>
        <v>0</v>
      </c>
      <c r="S118">
        <f>INT(VLOOKUP(P118,技能升级,11,FALSE)*N118*T118*U118)</f>
        <v>0</v>
      </c>
      <c r="T118">
        <v>1</v>
      </c>
      <c r="U118">
        <v>1</v>
      </c>
    </row>
    <row r="119" spans="1:21" x14ac:dyDescent="0.15">
      <c r="A119">
        <v>51</v>
      </c>
      <c r="B119" t="s">
        <v>203</v>
      </c>
      <c r="C119">
        <v>2</v>
      </c>
      <c r="D119">
        <f>VLOOKUP(A119,技能参数,4,FALSE)</f>
        <v>0.9</v>
      </c>
      <c r="E119">
        <f>VLOOKUP(A119*1000+D115,学习等级编码,2)</f>
        <v>5106</v>
      </c>
      <c r="F119">
        <f>INT(VLOOKUP(E119,技能升级,9,FALSE)*C119*I119*J119)</f>
        <v>2720</v>
      </c>
      <c r="G119">
        <f>INT(VLOOKUP(E119,技能升级,10,FALSE)*C119*I119*J119)</f>
        <v>0</v>
      </c>
      <c r="H119">
        <f>INT(VLOOKUP(E119,技能升级,11,FALSE)*C119*I119*J119)</f>
        <v>250</v>
      </c>
      <c r="I119">
        <v>1</v>
      </c>
      <c r="J119">
        <v>1</v>
      </c>
      <c r="L119">
        <v>51</v>
      </c>
      <c r="M119" t="s">
        <v>203</v>
      </c>
      <c r="N119">
        <v>2</v>
      </c>
      <c r="O119">
        <f>VLOOKUP(L119,技能参数,4,FALSE)</f>
        <v>0.9</v>
      </c>
      <c r="P119">
        <f>VLOOKUP(L119*1000+O115,学习等级编码,2)</f>
        <v>5106</v>
      </c>
      <c r="Q119">
        <f>INT(VLOOKUP(P119,技能升级,9,FALSE)*N119*T119*U119)</f>
        <v>2720</v>
      </c>
      <c r="R119">
        <f>INT(VLOOKUP(P119,技能升级,10,FALSE)*N119*T119*U119)</f>
        <v>0</v>
      </c>
      <c r="S119">
        <f>INT(VLOOKUP(P119,技能升级,11,FALSE)*N119*T119*U119)</f>
        <v>250</v>
      </c>
      <c r="T119">
        <v>1</v>
      </c>
      <c r="U119">
        <v>1</v>
      </c>
    </row>
    <row r="120" spans="1:21" x14ac:dyDescent="0.15">
      <c r="A120">
        <v>51</v>
      </c>
      <c r="B120" t="s">
        <v>204</v>
      </c>
      <c r="C120">
        <f>INT((C115-C117*D117-C118*D118-D119*C119-C122)/D120*3)</f>
        <v>24</v>
      </c>
      <c r="D120">
        <f>VLOOKUP(A120,技能参数,4,FALSE)</f>
        <v>0.9</v>
      </c>
      <c r="E120">
        <f>VLOOKUP(A120*1000+D115,学习等级编码,2)</f>
        <v>5106</v>
      </c>
      <c r="F120">
        <f>INT(VLOOKUP(E120,技能升级,9,FALSE)*C120*I120*J120)</f>
        <v>18947</v>
      </c>
      <c r="G120">
        <f>INT(VLOOKUP(E120,技能升级,10,FALSE)*C120*I120*J120)</f>
        <v>0</v>
      </c>
      <c r="H120">
        <f>INT(VLOOKUP(E120,技能升级,11,FALSE)*C120*I120*J120)</f>
        <v>1741</v>
      </c>
      <c r="I120">
        <f>F121/1000</f>
        <v>0.45</v>
      </c>
      <c r="J120">
        <f>VLOOKUP(A115,$A$2:$I$21,7,FALSE)</f>
        <v>1.29</v>
      </c>
      <c r="L120">
        <v>51</v>
      </c>
      <c r="M120" t="s">
        <v>204</v>
      </c>
      <c r="N120">
        <f>INT((N115-N117*O117-N118*O118-O119*N119-N122)/O120*3)</f>
        <v>27</v>
      </c>
      <c r="O120">
        <f>VLOOKUP(L120,技能参数,4,FALSE)</f>
        <v>0.9</v>
      </c>
      <c r="P120">
        <f>VLOOKUP(L120*1000+O115,学习等级编码,2)</f>
        <v>5106</v>
      </c>
      <c r="Q120">
        <f>INT(VLOOKUP(P120,技能升级,9,FALSE)*N120*T120*U120)</f>
        <v>21315</v>
      </c>
      <c r="R120">
        <f>INT(VLOOKUP(P120,技能升级,10,FALSE)*N120*T120*U120)</f>
        <v>0</v>
      </c>
      <c r="S120">
        <f>INT(VLOOKUP(P120,技能升级,11,FALSE)*N120*T120*U120)</f>
        <v>1959</v>
      </c>
      <c r="T120">
        <f>Q121/1000</f>
        <v>0.45</v>
      </c>
      <c r="U120">
        <f>VLOOKUP(L115,$A$2:$I$21,7,FALSE)</f>
        <v>1.29</v>
      </c>
    </row>
    <row r="121" spans="1:21" x14ac:dyDescent="0.15">
      <c r="A121">
        <v>55</v>
      </c>
      <c r="B121" t="s">
        <v>46</v>
      </c>
      <c r="C121">
        <v>1</v>
      </c>
      <c r="D121">
        <v>0</v>
      </c>
      <c r="E121">
        <f>VLOOKUP(A121*1000+D115,学习等级编码,2)</f>
        <v>5503</v>
      </c>
      <c r="F121">
        <f>INT(VLOOKUP($E121,技能升级,14,FALSE)*$C121*I121)</f>
        <v>450</v>
      </c>
      <c r="G121">
        <f>INT(VLOOKUP($E121,技能升级,10,FALSE)*$C121*I121)</f>
        <v>0</v>
      </c>
      <c r="H121">
        <f>INT(VLOOKUP($E121,技能升级,11,FALSE)*$C121*I121*J121)</f>
        <v>0</v>
      </c>
      <c r="I121">
        <v>1</v>
      </c>
      <c r="J121">
        <v>1</v>
      </c>
      <c r="L121">
        <v>55</v>
      </c>
      <c r="M121" t="s">
        <v>46</v>
      </c>
      <c r="N121">
        <v>1</v>
      </c>
      <c r="O121">
        <v>0</v>
      </c>
      <c r="P121">
        <f>VLOOKUP(L121*1000+O115,学习等级编码,2)</f>
        <v>5503</v>
      </c>
      <c r="Q121">
        <f>INT(VLOOKUP($E121,技能升级,14,FALSE)*$C121*T121)</f>
        <v>450</v>
      </c>
      <c r="R121">
        <f>INT(VLOOKUP($E121,技能升级,10,FALSE)*$C121*T121)</f>
        <v>0</v>
      </c>
      <c r="S121">
        <f>INT(VLOOKUP($E121,技能升级,11,FALSE)*$C121*T121*U121)</f>
        <v>0</v>
      </c>
      <c r="T121">
        <v>1</v>
      </c>
      <c r="U121">
        <v>1</v>
      </c>
    </row>
    <row r="122" spans="1:21" x14ac:dyDescent="0.15">
      <c r="B122" t="s">
        <v>38</v>
      </c>
      <c r="C122">
        <f>D132</f>
        <v>4</v>
      </c>
      <c r="M122" t="s">
        <v>38</v>
      </c>
      <c r="N122">
        <f>O132</f>
        <v>0</v>
      </c>
    </row>
    <row r="123" spans="1:21" x14ac:dyDescent="0.15">
      <c r="E123" t="s">
        <v>194</v>
      </c>
      <c r="F123">
        <f>SUM(F117:F120)/1000</f>
        <v>21.667000000000002</v>
      </c>
      <c r="G123">
        <f>SUM(G117:G120)/1000</f>
        <v>0</v>
      </c>
      <c r="H123">
        <f>SUM(H117:H120)</f>
        <v>1991</v>
      </c>
      <c r="I123" t="s">
        <v>196</v>
      </c>
      <c r="J123" t="s">
        <v>197</v>
      </c>
      <c r="P123" t="s">
        <v>194</v>
      </c>
      <c r="Q123">
        <f>SUM(Q117:Q120)/1000</f>
        <v>24.035</v>
      </c>
      <c r="R123">
        <f>SUM(R117:R120)/1000</f>
        <v>0</v>
      </c>
      <c r="S123">
        <f>SUM(S117:S120)</f>
        <v>2209</v>
      </c>
      <c r="T123" t="s">
        <v>196</v>
      </c>
      <c r="U123" t="s">
        <v>197</v>
      </c>
    </row>
    <row r="124" spans="1:21" x14ac:dyDescent="0.15">
      <c r="E124" t="s">
        <v>195</v>
      </c>
      <c r="F124">
        <f>INT((IF($A115&gt;10000,VLOOKUP($A115,实战属性,13,FALSE),VLOOKUP($A115,总基本属性,7,FALSE))-
IF($B115&gt;10000,VLOOKUP($B115,实战属性,15,FALSE),VLOOKUP($B115,总基本属性,9,FALSE))*$L$13)*F123)</f>
        <v>28015</v>
      </c>
      <c r="G124">
        <f>INT((IF($A115&gt;10000,VLOOKUP($A115,实战属性,14,FALSE),VLOOKUP($A115,总基本属性,8,FALSE))-
IF($B115&gt;10000,VLOOKUP($B115,实战属性,16,FALSE),VLOOKUP($B115,总基本属性,10,FALSE))*$L$13)*G123)</f>
        <v>0</v>
      </c>
      <c r="H124">
        <f>H123+F124+G124</f>
        <v>30006</v>
      </c>
      <c r="I124">
        <f>IF($B115&gt;10000,VLOOKUP($B115,实战属性,12,FALSE),VLOOKUP($B115,总基本属性,6,FALSE))+I133</f>
        <v>31182</v>
      </c>
      <c r="J124">
        <f>ROUND(I124/H124,2)</f>
        <v>1.04</v>
      </c>
      <c r="P124" t="s">
        <v>195</v>
      </c>
      <c r="Q124">
        <f>INT((IF($A115&gt;10000,VLOOKUP($A115,实战属性,13,FALSE),VLOOKUP($A115,总基本属性,7,FALSE))-
IF($B115&gt;10000,VLOOKUP($B115,实战属性,15,FALSE),VLOOKUP($B115,总基本属性,9,FALSE))*$L$13)*Q123)</f>
        <v>31077</v>
      </c>
      <c r="R124">
        <f>INT((IF($A115&gt;10000,VLOOKUP($A115,实战属性,14,FALSE),VLOOKUP($A115,总基本属性,8,FALSE))-
IF($B115&gt;10000,VLOOKUP($B115,实战属性,16,FALSE),VLOOKUP($B115,总基本属性,10,FALSE))*$L$13)*R123)</f>
        <v>0</v>
      </c>
      <c r="S124">
        <f>S123+Q124+R124</f>
        <v>33286</v>
      </c>
      <c r="T124">
        <f>IF($B115&gt;10000,VLOOKUP($B115,实战属性,12,FALSE),VLOOKUP($B115,总基本属性,6,FALSE))+T133</f>
        <v>31182</v>
      </c>
      <c r="U124">
        <f>ROUND(T124/S124,2)</f>
        <v>0.94</v>
      </c>
    </row>
    <row r="127" spans="1:21" x14ac:dyDescent="0.15">
      <c r="A127" s="9" t="s">
        <v>5</v>
      </c>
      <c r="B127" s="9" t="s">
        <v>448</v>
      </c>
      <c r="C127" s="9" t="s">
        <v>178</v>
      </c>
      <c r="D127" s="9" t="s">
        <v>0</v>
      </c>
      <c r="G127" t="s">
        <v>445</v>
      </c>
      <c r="H127">
        <f>INT(I138/J138/C128)</f>
        <v>3970</v>
      </c>
      <c r="I127" t="s">
        <v>446</v>
      </c>
      <c r="J127">
        <f>ROUND(I133/H127,1)</f>
        <v>1</v>
      </c>
      <c r="L127" s="9" t="s">
        <v>5</v>
      </c>
      <c r="M127" s="9" t="s">
        <v>448</v>
      </c>
      <c r="N127" s="9" t="s">
        <v>178</v>
      </c>
      <c r="O127" s="9" t="s">
        <v>0</v>
      </c>
      <c r="R127" t="s">
        <v>445</v>
      </c>
      <c r="S127">
        <f>INT(T138/U138/N128)</f>
        <v>3474</v>
      </c>
      <c r="T127" t="s">
        <v>446</v>
      </c>
      <c r="U127">
        <f>ROUND(T133/S127,1)</f>
        <v>1.1000000000000001</v>
      </c>
    </row>
    <row r="128" spans="1:21" x14ac:dyDescent="0.15">
      <c r="A128">
        <f>A99+10</f>
        <v>4040</v>
      </c>
      <c r="B128">
        <f>B99+10</f>
        <v>5040</v>
      </c>
      <c r="C128">
        <v>7</v>
      </c>
      <c r="D128">
        <f>MOD(A128,1000)</f>
        <v>40</v>
      </c>
      <c r="I128" t="s">
        <v>383</v>
      </c>
      <c r="J128">
        <f>VLOOKUP(D128,召唤物生存,13)</f>
        <v>5.55</v>
      </c>
      <c r="L128">
        <f>A128</f>
        <v>4040</v>
      </c>
      <c r="M128">
        <f>B128</f>
        <v>5040</v>
      </c>
      <c r="N128">
        <v>8</v>
      </c>
      <c r="O128">
        <f>MOD(L128,1000)</f>
        <v>40</v>
      </c>
      <c r="T128" t="s">
        <v>383</v>
      </c>
      <c r="U128">
        <f>VLOOKUP(O128,召唤物生存,13)</f>
        <v>5.55</v>
      </c>
    </row>
    <row r="129" spans="1:21" x14ac:dyDescent="0.15">
      <c r="A129" t="s">
        <v>156</v>
      </c>
      <c r="B129" t="s">
        <v>95</v>
      </c>
      <c r="C129" t="s">
        <v>177</v>
      </c>
      <c r="D129" t="s">
        <v>143</v>
      </c>
      <c r="E129" t="s">
        <v>182</v>
      </c>
      <c r="F129" t="s">
        <v>192</v>
      </c>
      <c r="G129" t="s">
        <v>193</v>
      </c>
      <c r="H129" t="s">
        <v>176</v>
      </c>
      <c r="I129" t="s">
        <v>205</v>
      </c>
      <c r="J129" t="s">
        <v>206</v>
      </c>
      <c r="L129" t="s">
        <v>156</v>
      </c>
      <c r="M129" t="s">
        <v>95</v>
      </c>
      <c r="N129" t="s">
        <v>177</v>
      </c>
      <c r="O129" t="s">
        <v>143</v>
      </c>
      <c r="P129" t="s">
        <v>182</v>
      </c>
      <c r="Q129" t="s">
        <v>192</v>
      </c>
      <c r="R129" t="s">
        <v>193</v>
      </c>
      <c r="S129" t="s">
        <v>176</v>
      </c>
      <c r="T129" t="s">
        <v>205</v>
      </c>
      <c r="U129" t="s">
        <v>206</v>
      </c>
    </row>
    <row r="130" spans="1:21" x14ac:dyDescent="0.15">
      <c r="A130">
        <v>42</v>
      </c>
      <c r="B130" t="s">
        <v>35</v>
      </c>
      <c r="C130">
        <v>1</v>
      </c>
      <c r="D130">
        <f>VLOOKUP(A130,技能参数,4,FALSE)</f>
        <v>1</v>
      </c>
      <c r="E130">
        <f>IFERROR(VLOOKUP(A130*1000+D128,学习等级编码,2),0)</f>
        <v>4204</v>
      </c>
      <c r="F130">
        <f>IFERROR(INT(VLOOKUP($E130,技能升级,9,FALSE)*$C130*I130*J130),0)</f>
        <v>0</v>
      </c>
      <c r="G130">
        <f>IFERROR(INT(VLOOKUP($E130,技能升级,10,FALSE)*$C130*I130*J130),0)</f>
        <v>0</v>
      </c>
      <c r="H130">
        <f>INT(VLOOKUP($E130,技能升级,11,FALSE)*$C130*I130*J130)</f>
        <v>0</v>
      </c>
      <c r="I130">
        <v>1</v>
      </c>
      <c r="J130">
        <v>1</v>
      </c>
      <c r="L130">
        <v>42</v>
      </c>
      <c r="M130" t="s">
        <v>35</v>
      </c>
      <c r="N130">
        <v>1</v>
      </c>
      <c r="O130">
        <f>VLOOKUP(L130,技能参数,4,FALSE)</f>
        <v>1</v>
      </c>
      <c r="P130">
        <f>IFERROR(VLOOKUP(L130*1000+O128,学习等级编码,2),0)</f>
        <v>4204</v>
      </c>
      <c r="Q130">
        <f>IFERROR(INT(VLOOKUP(P130,技能升级,9,FALSE)*N130*T130*U130),0)</f>
        <v>0</v>
      </c>
      <c r="R130">
        <f>IFERROR(INT(VLOOKUP(P130,技能升级,10,FALSE)*N130*T130*U130),0)</f>
        <v>0</v>
      </c>
      <c r="S130">
        <f>INT(VLOOKUP(P130,技能升级,11,FALSE)*N130*T130*U130)</f>
        <v>0</v>
      </c>
      <c r="T130">
        <v>1</v>
      </c>
      <c r="U130">
        <v>1</v>
      </c>
    </row>
    <row r="131" spans="1:21" x14ac:dyDescent="0.15">
      <c r="A131">
        <v>43</v>
      </c>
      <c r="B131" t="s">
        <v>36</v>
      </c>
      <c r="C131">
        <v>1</v>
      </c>
      <c r="D131">
        <f>VLOOKUP(A131,技能参数,4,FALSE)</f>
        <v>1</v>
      </c>
      <c r="E131">
        <f>IFERROR(VLOOKUP(A131*1000+D128,学习等级编码,2),0)</f>
        <v>4304</v>
      </c>
      <c r="F131">
        <f t="shared" ref="F131" si="21">IFERROR(INT(VLOOKUP($E131,技能升级,9,FALSE)*$C131*I131*J131),0)</f>
        <v>0</v>
      </c>
      <c r="G131">
        <f t="shared" ref="G131" si="22">IFERROR(INT(VLOOKUP($E131,技能升级,10,FALSE)*$C131*I131*J131),0)</f>
        <v>0</v>
      </c>
      <c r="H131">
        <f>INT(VLOOKUP($E131,技能升级,11,FALSE)*$C131*I131*J131)</f>
        <v>0</v>
      </c>
      <c r="I131">
        <v>1</v>
      </c>
      <c r="J131">
        <v>1</v>
      </c>
      <c r="L131">
        <v>43</v>
      </c>
      <c r="M131" t="s">
        <v>36</v>
      </c>
      <c r="N131">
        <v>1</v>
      </c>
      <c r="O131">
        <f>VLOOKUP(L131,技能参数,4,FALSE)</f>
        <v>1</v>
      </c>
      <c r="P131">
        <f>IFERROR(VLOOKUP(L131*1000+O128,学习等级编码,2),0)</f>
        <v>4304</v>
      </c>
      <c r="Q131">
        <f>IFERROR(INT(VLOOKUP(P131,技能升级,9,FALSE)*N131*T131*U131),0)</f>
        <v>0</v>
      </c>
      <c r="R131">
        <f>IFERROR(INT(VLOOKUP(P131,技能升级,10,FALSE)*N131*T131*U131),0)</f>
        <v>0</v>
      </c>
      <c r="S131">
        <f>INT(VLOOKUP(P131,技能升级,11,FALSE)*N131*T131*U131)</f>
        <v>0</v>
      </c>
      <c r="T131">
        <v>1</v>
      </c>
      <c r="U131">
        <v>1</v>
      </c>
    </row>
    <row r="132" spans="1:21" x14ac:dyDescent="0.15">
      <c r="A132">
        <v>44</v>
      </c>
      <c r="B132" t="s">
        <v>38</v>
      </c>
      <c r="C132">
        <v>1</v>
      </c>
      <c r="D132">
        <f>IFERROR(INT(VLOOKUP($E132,技能升级,13,FALSE)),0)</f>
        <v>4</v>
      </c>
      <c r="E132">
        <f>IFERROR(VLOOKUP(A132*1000+D128,学习等级编码,2),0)</f>
        <v>4404</v>
      </c>
      <c r="F132">
        <f>IFERROR(INT(VLOOKUP($E132,技能升级,9,FALSE)*$C132*I132*J132),0)</f>
        <v>0</v>
      </c>
      <c r="G132">
        <f>IFERROR(INT(VLOOKUP($E132,技能升级,10,FALSE)*$D132*I132*J132),0)</f>
        <v>6800</v>
      </c>
      <c r="H132">
        <f>INT(VLOOKUP($E132,技能升级,11,FALSE)*$D132*I132*J132)</f>
        <v>520</v>
      </c>
      <c r="I132">
        <v>1</v>
      </c>
      <c r="J132">
        <f>VLOOKUP(A128,$A$2:$I$21,8,FALSE)</f>
        <v>1</v>
      </c>
      <c r="L132">
        <v>44</v>
      </c>
      <c r="M132" t="s">
        <v>38</v>
      </c>
      <c r="N132">
        <v>0</v>
      </c>
      <c r="O132">
        <v>0</v>
      </c>
      <c r="P132">
        <f>IFERROR(VLOOKUP(L132*1000+O128,学习等级编码,2),0)</f>
        <v>4404</v>
      </c>
      <c r="Q132">
        <f>IFERROR(INT(VLOOKUP(P132,技能升级,9,FALSE)*N132*T132*U132),0)</f>
        <v>0</v>
      </c>
      <c r="R132">
        <f>IFERROR(INT(VLOOKUP(P132,技能升级,10,FALSE)*N132*T132*U132),0)</f>
        <v>0</v>
      </c>
      <c r="S132">
        <f>INT(VLOOKUP(P132,技能升级,11,FALSE)*N132*T132*U132)</f>
        <v>0</v>
      </c>
      <c r="T132">
        <v>1</v>
      </c>
      <c r="U132">
        <f>VLOOKUP(L128,$A$2:$I$21,8,FALSE)</f>
        <v>1</v>
      </c>
    </row>
    <row r="133" spans="1:21" x14ac:dyDescent="0.15">
      <c r="A133">
        <v>45</v>
      </c>
      <c r="B133" t="s">
        <v>37</v>
      </c>
      <c r="C133">
        <v>1</v>
      </c>
      <c r="D133">
        <f>VLOOKUP(A133,技能参数,4,FALSE)</f>
        <v>2</v>
      </c>
      <c r="E133">
        <f>IFERROR(VLOOKUP(A133*1000+D128,学习等级编码,2),0)</f>
        <v>4503</v>
      </c>
      <c r="F133">
        <f>IFERROR(INT(VLOOKUP($E133,技能升级,9,FALSE)*$C133*I133*J133),0)</f>
        <v>0</v>
      </c>
      <c r="G133">
        <f t="shared" ref="G133:G134" si="23">IFERROR(INT(VLOOKUP($E133,技能升级,10,FALSE)*$C133*I133*J133),0)</f>
        <v>0</v>
      </c>
      <c r="H133">
        <f>INT(VLOOKUP($E133,技能升级,11,FALSE)*$C133*I133*J133)</f>
        <v>0</v>
      </c>
      <c r="I133">
        <f>INT(VLOOKUP($E133,技能升级,13,FALSE)*$C133)</f>
        <v>3822</v>
      </c>
      <c r="J133">
        <v>1</v>
      </c>
      <c r="L133">
        <v>45</v>
      </c>
      <c r="M133" t="s">
        <v>37</v>
      </c>
      <c r="N133">
        <v>1</v>
      </c>
      <c r="O133">
        <f>VLOOKUP(L133,技能参数,4,FALSE)</f>
        <v>2</v>
      </c>
      <c r="P133">
        <f>IFERROR(VLOOKUP(L133*1000+O128,学习等级编码,2),0)</f>
        <v>4503</v>
      </c>
      <c r="Q133">
        <f>IFERROR(INT(VLOOKUP(P133,技能升级,9,FALSE)*N133*T133*U133),0)</f>
        <v>0</v>
      </c>
      <c r="R133">
        <f>IFERROR(INT(VLOOKUP(P133,技能升级,10,FALSE)*N133*T133*U133),0)</f>
        <v>0</v>
      </c>
      <c r="S133">
        <f>INT(VLOOKUP(P133,技能升级,11,FALSE)*N133*T133*U133)</f>
        <v>0</v>
      </c>
      <c r="T133">
        <f>INT(VLOOKUP($E133,技能升级,13,FALSE)*$C133)</f>
        <v>3822</v>
      </c>
      <c r="U133">
        <v>1</v>
      </c>
    </row>
    <row r="134" spans="1:21" x14ac:dyDescent="0.15">
      <c r="A134">
        <v>41</v>
      </c>
      <c r="B134" t="s">
        <v>361</v>
      </c>
      <c r="C134">
        <f>IF(INT((C128-C130*D130-C131*D131-C132*D132-C133*D133)/D134)&gt;0,INT((C128-C130*D130-C131*D131-C132*D132-C133*D133)/D134),0)</f>
        <v>0</v>
      </c>
      <c r="D134">
        <f>VLOOKUP(A134,技能参数,4,FALSE)</f>
        <v>1.2</v>
      </c>
      <c r="E134">
        <f>IFERROR(VLOOKUP(A134*1000+D128,学习等级编码,2),0)</f>
        <v>4106</v>
      </c>
      <c r="F134">
        <f>IFERROR(INT(VLOOKUP($E134,技能升级,9,FALSE)*$C134*I134*J134),0)</f>
        <v>0</v>
      </c>
      <c r="G134">
        <f t="shared" si="23"/>
        <v>0</v>
      </c>
      <c r="H134">
        <f>INT(VLOOKUP($E134,技能升级,11,FALSE)*$C134*I134*J134)</f>
        <v>0</v>
      </c>
      <c r="I134">
        <v>1</v>
      </c>
      <c r="J134">
        <f>VLOOKUP(A128,$A$2:$I$21,8,FALSE)</f>
        <v>1</v>
      </c>
      <c r="L134">
        <v>41</v>
      </c>
      <c r="M134" t="s">
        <v>361</v>
      </c>
      <c r="N134">
        <f>IF(INT((N128-N130*O130-N131*O131-N132*O132-N133*O133)/O134)&gt;0,INT((N128-N130*O130-N131*O131-N132*O132-N133*O133)/O134),0)</f>
        <v>3</v>
      </c>
      <c r="O134">
        <f>VLOOKUP(L134,技能参数,4,FALSE)</f>
        <v>1.2</v>
      </c>
      <c r="P134">
        <f>IFERROR(VLOOKUP(L134*1000+O128,学习等级编码,2),0)</f>
        <v>4106</v>
      </c>
      <c r="Q134">
        <f>IFERROR(INT(VLOOKUP(P134,技能升级,9,FALSE)*N134*T134*U134),0)</f>
        <v>0</v>
      </c>
      <c r="R134">
        <f>IFERROR(INT(VLOOKUP(P134,技能升级,10,FALSE)*N134*T134*U134),0)</f>
        <v>3630</v>
      </c>
      <c r="S134">
        <f>INT(VLOOKUP(P134,技能升级,11,FALSE)*N134*T134*U134)</f>
        <v>375</v>
      </c>
      <c r="T134">
        <v>1</v>
      </c>
      <c r="U134">
        <f>VLOOKUP(A128,$A$2:$I$21,8,FALSE)</f>
        <v>1</v>
      </c>
    </row>
    <row r="135" spans="1:21" x14ac:dyDescent="0.15">
      <c r="A135">
        <f>VLOOKUP(E130,技能升级,13,FALSE)</f>
        <v>104</v>
      </c>
      <c r="B135" t="s">
        <v>375</v>
      </c>
      <c r="C135">
        <f>C128+C128-3.5</f>
        <v>10.5</v>
      </c>
      <c r="G135">
        <f>INT((VLOOKUP(A135,召唤物属性,7,FALSE)-
IF($B128&gt;10000,VLOOKUP($B128,实战属性,15,FALSE),VLOOKUP($B128,总基本属性,9,FALSE))*$L$13)*I135*J135)</f>
        <v>592</v>
      </c>
      <c r="I135">
        <f>VLOOKUP($E130,技能升级,14,FALSE)</f>
        <v>1</v>
      </c>
      <c r="J135">
        <v>1</v>
      </c>
      <c r="L135">
        <f>VLOOKUP(P130,技能升级,13,FALSE)</f>
        <v>104</v>
      </c>
      <c r="M135" t="s">
        <v>375</v>
      </c>
      <c r="N135">
        <f>N128+N128-3.5</f>
        <v>12.5</v>
      </c>
      <c r="R135">
        <f>INT((VLOOKUP(L135,召唤物属性,7,FALSE)-
IF($B128&gt;10000,VLOOKUP($B128,实战属性,15,FALSE),VLOOKUP($B128,总基本属性,9,FALSE))*$L$13)*T135*U135)</f>
        <v>592</v>
      </c>
      <c r="T135">
        <f>VLOOKUP($E130,技能升级,14,FALSE)</f>
        <v>1</v>
      </c>
      <c r="U135">
        <v>1</v>
      </c>
    </row>
    <row r="136" spans="1:21" x14ac:dyDescent="0.15">
      <c r="A136">
        <f>VLOOKUP(E131,技能升级,13,FALSE)</f>
        <v>204</v>
      </c>
      <c r="B136" t="s">
        <v>374</v>
      </c>
      <c r="C136">
        <f>C128+C128-3.5</f>
        <v>10.5</v>
      </c>
      <c r="F136">
        <f>INT((VLOOKUP(A136,召唤物属性,6,FALSE)-
IF($B128&gt;10000,VLOOKUP($B128,实战属性,15,FALSE),VLOOKUP($B128,总基本属性,9,FALSE))*$L$13)*I136*J136)</f>
        <v>1327</v>
      </c>
      <c r="I136">
        <f>VLOOKUP($E131,技能升级,14,FALSE)</f>
        <v>3</v>
      </c>
      <c r="J136">
        <f>VLOOKUP(A128,$A$2:$I$21,9,FALSE)</f>
        <v>1</v>
      </c>
      <c r="L136">
        <f>VLOOKUP(P131,技能升级,13,FALSE)</f>
        <v>204</v>
      </c>
      <c r="M136" t="s">
        <v>374</v>
      </c>
      <c r="N136">
        <f>N128+N128-3.5</f>
        <v>12.5</v>
      </c>
      <c r="Q136">
        <f>INT((VLOOKUP(L136,召唤物属性,6,FALSE)-
IF($B128&gt;10000,VLOOKUP($B128,实战属性,15,FALSE),VLOOKUP($B128,总基本属性,9,FALSE))*$L$13)*T136*U136)</f>
        <v>1327</v>
      </c>
      <c r="T136">
        <f>VLOOKUP($E131,技能升级,14,FALSE)</f>
        <v>3</v>
      </c>
      <c r="U136">
        <f>VLOOKUP(L128,$A$2:$I$21,9,FALSE)</f>
        <v>1</v>
      </c>
    </row>
    <row r="137" spans="1:21" x14ac:dyDescent="0.15">
      <c r="E137" t="s">
        <v>194</v>
      </c>
      <c r="F137">
        <f>SUM(F130:F134)/1000</f>
        <v>0</v>
      </c>
      <c r="G137">
        <f>SUM(G130:G134)/1000</f>
        <v>6.8</v>
      </c>
      <c r="H137">
        <f>SUM(H130:H133)</f>
        <v>520</v>
      </c>
      <c r="I137" t="s">
        <v>196</v>
      </c>
      <c r="J137" t="s">
        <v>197</v>
      </c>
      <c r="P137" t="s">
        <v>194</v>
      </c>
      <c r="Q137">
        <f>SUM(Q130:Q134)/1000</f>
        <v>0</v>
      </c>
      <c r="R137">
        <f>SUM(R130:R134)/1000</f>
        <v>3.63</v>
      </c>
      <c r="S137">
        <f>SUM(S130:S133)</f>
        <v>0</v>
      </c>
      <c r="T137" t="s">
        <v>196</v>
      </c>
      <c r="U137" t="s">
        <v>197</v>
      </c>
    </row>
    <row r="138" spans="1:21" x14ac:dyDescent="0.15">
      <c r="E138" t="s">
        <v>195</v>
      </c>
      <c r="F138">
        <f>INT((IF($A128&gt;10000,VLOOKUP($A128,实战属性,13,FALSE),VLOOKUP($A128,总基本属性,7,FALSE))-
IF($B128&gt;10000,VLOOKUP($B128,实战属性,15,FALSE),VLOOKUP($B128,总基本属性,9,FALSE))*$L$13)*F137)</f>
        <v>0</v>
      </c>
      <c r="G138">
        <f>INT((IF($A128&gt;10000,VLOOKUP($A128,实战属性,14,FALSE),VLOOKUP($A128,总基本属性,8,FALSE))-
IF($B128&gt;10000,VLOOKUP($B128,实战属性,16,FALSE),VLOOKUP($B128,总基本属性,10,FALSE))*$L$13)*G137)</f>
        <v>7102</v>
      </c>
      <c r="H138">
        <f>H137+F138+G138</f>
        <v>7622</v>
      </c>
      <c r="I138">
        <f>IF($B128&gt;10000,VLOOKUP($B128,实战属性,12,FALSE),VLOOKUP($B128,总基本属性,6,FALSE))</f>
        <v>29184</v>
      </c>
      <c r="J138">
        <f>ROUND(I138/H139,2)</f>
        <v>1.05</v>
      </c>
      <c r="P138" t="s">
        <v>195</v>
      </c>
      <c r="Q138">
        <f>INT((IF($A128&gt;10000,VLOOKUP($A128,实战属性,13,FALSE),VLOOKUP($A128,总基本属性,7,FALSE))-
IF($B128&gt;10000,VLOOKUP($B128,实战属性,15,FALSE),VLOOKUP($B128,总基本属性,9,FALSE))*$L$13)*Q137)</f>
        <v>0</v>
      </c>
      <c r="R138">
        <f>INT((IF($A128&gt;10000,VLOOKUP($A128,实战属性,14,FALSE),VLOOKUP($A128,总基本属性,8,FALSE))-
IF($B128&gt;10000,VLOOKUP($B128,实战属性,16,FALSE),VLOOKUP($B128,总基本属性,10,FALSE))*$L$13)*R137)</f>
        <v>3791</v>
      </c>
      <c r="S138">
        <f>S137+Q138+R138</f>
        <v>3791</v>
      </c>
      <c r="T138">
        <f>IF($B128&gt;10000,VLOOKUP($B128,实战属性,12,FALSE),VLOOKUP($B128,总基本属性,6,FALSE))</f>
        <v>29184</v>
      </c>
      <c r="U138">
        <f>ROUND(T138/S139,2)</f>
        <v>1.05</v>
      </c>
    </row>
    <row r="139" spans="1:21" x14ac:dyDescent="0.15">
      <c r="E139" t="s">
        <v>376</v>
      </c>
      <c r="F139">
        <f>INT(F136*C136)</f>
        <v>13933</v>
      </c>
      <c r="G139">
        <f>INT(G135*C135)</f>
        <v>6216</v>
      </c>
      <c r="H139">
        <f>F139+G139+H138</f>
        <v>27771</v>
      </c>
      <c r="P139" t="s">
        <v>376</v>
      </c>
      <c r="Q139">
        <f>INT(Q136*N136)</f>
        <v>16587</v>
      </c>
      <c r="R139">
        <f>INT(R135*N135)</f>
        <v>7400</v>
      </c>
      <c r="S139">
        <f>Q139+R139+S138</f>
        <v>27778</v>
      </c>
    </row>
    <row r="143" spans="1:21" x14ac:dyDescent="0.15">
      <c r="A143" s="8" t="s">
        <v>6</v>
      </c>
      <c r="B143" s="8" t="s">
        <v>444</v>
      </c>
      <c r="C143" s="8" t="s">
        <v>178</v>
      </c>
      <c r="D143" s="8" t="s">
        <v>0</v>
      </c>
      <c r="L143" s="8" t="s">
        <v>6</v>
      </c>
      <c r="M143" s="8" t="s">
        <v>444</v>
      </c>
      <c r="N143" s="8" t="s">
        <v>178</v>
      </c>
      <c r="O143" s="8" t="s">
        <v>0</v>
      </c>
    </row>
    <row r="144" spans="1:21" x14ac:dyDescent="0.15">
      <c r="A144">
        <f>A115+10</f>
        <v>5050</v>
      </c>
      <c r="B144">
        <f>B115+10</f>
        <v>4050</v>
      </c>
      <c r="C144">
        <v>14</v>
      </c>
      <c r="D144">
        <f>MOD(A144,1000)</f>
        <v>50</v>
      </c>
      <c r="L144">
        <f>A144</f>
        <v>5050</v>
      </c>
      <c r="M144">
        <f>B144</f>
        <v>4050</v>
      </c>
      <c r="N144">
        <v>9</v>
      </c>
      <c r="O144">
        <f>MOD(L144,1000)</f>
        <v>50</v>
      </c>
    </row>
    <row r="145" spans="1:21" x14ac:dyDescent="0.15">
      <c r="A145" t="s">
        <v>156</v>
      </c>
      <c r="B145" t="s">
        <v>95</v>
      </c>
      <c r="C145" t="s">
        <v>142</v>
      </c>
      <c r="D145" t="s">
        <v>143</v>
      </c>
      <c r="E145" t="s">
        <v>182</v>
      </c>
      <c r="F145" t="s">
        <v>192</v>
      </c>
      <c r="G145" t="s">
        <v>193</v>
      </c>
      <c r="H145" t="s">
        <v>176</v>
      </c>
      <c r="I145" t="s">
        <v>205</v>
      </c>
      <c r="J145" t="s">
        <v>206</v>
      </c>
      <c r="L145" t="s">
        <v>156</v>
      </c>
      <c r="M145" t="s">
        <v>95</v>
      </c>
      <c r="N145" t="s">
        <v>142</v>
      </c>
      <c r="O145" t="s">
        <v>143</v>
      </c>
      <c r="P145" t="s">
        <v>182</v>
      </c>
      <c r="Q145" t="s">
        <v>192</v>
      </c>
      <c r="R145" t="s">
        <v>193</v>
      </c>
      <c r="S145" t="s">
        <v>176</v>
      </c>
      <c r="T145" t="s">
        <v>205</v>
      </c>
      <c r="U145" t="s">
        <v>206</v>
      </c>
    </row>
    <row r="146" spans="1:21" x14ac:dyDescent="0.15">
      <c r="A146">
        <v>52</v>
      </c>
      <c r="B146" t="s">
        <v>44</v>
      </c>
      <c r="C146">
        <v>0</v>
      </c>
      <c r="D146">
        <f>VLOOKUP(A146,技能参数,4,FALSE)</f>
        <v>1.5</v>
      </c>
      <c r="E146">
        <f>VLOOKUP(A146*1000+D144,学习等级编码,2)</f>
        <v>5205</v>
      </c>
      <c r="F146">
        <f>INT(VLOOKUP(E146,技能升级,9,FALSE)*C146*I146*J146)</f>
        <v>0</v>
      </c>
      <c r="G146">
        <f>INT(VLOOKUP(E146,技能升级,10,FALSE)*C146*I146*J146)</f>
        <v>0</v>
      </c>
      <c r="H146">
        <f>INT(VLOOKUP(E146,技能升级,11,FALSE)*C146*I146*J146)</f>
        <v>0</v>
      </c>
      <c r="I146">
        <v>1</v>
      </c>
      <c r="J146">
        <v>1</v>
      </c>
      <c r="L146">
        <v>52</v>
      </c>
      <c r="M146" t="s">
        <v>44</v>
      </c>
      <c r="N146">
        <v>0</v>
      </c>
      <c r="O146">
        <f>VLOOKUP(L146,技能参数,4,FALSE)</f>
        <v>1.5</v>
      </c>
      <c r="P146">
        <f>VLOOKUP(L146*1000+O144,学习等级编码,2)</f>
        <v>5205</v>
      </c>
      <c r="Q146">
        <f>INT(VLOOKUP(P146,技能升级,9,FALSE)*N146*T146*U146)</f>
        <v>0</v>
      </c>
      <c r="R146">
        <f>INT(VLOOKUP(P146,技能升级,10,FALSE)*N146*T146*U146)</f>
        <v>0</v>
      </c>
      <c r="S146">
        <f>INT(VLOOKUP(P146,技能升级,11,FALSE)*N146*T146*U146)</f>
        <v>0</v>
      </c>
      <c r="T146">
        <v>1</v>
      </c>
      <c r="U146">
        <v>1</v>
      </c>
    </row>
    <row r="147" spans="1:21" x14ac:dyDescent="0.15">
      <c r="A147">
        <v>54</v>
      </c>
      <c r="B147" t="s">
        <v>40</v>
      </c>
      <c r="C147">
        <v>0</v>
      </c>
      <c r="D147">
        <f>VLOOKUP(A147,技能参数,4,FALSE)</f>
        <v>1.2</v>
      </c>
      <c r="E147">
        <f>VLOOKUP(A147*1000+D144,学习等级编码,2)</f>
        <v>5405</v>
      </c>
      <c r="F147">
        <f>INT(VLOOKUP(E147,技能升级,9,FALSE)*C147*I147*J147)</f>
        <v>0</v>
      </c>
      <c r="G147">
        <f>INT(VLOOKUP(E147,技能升级,10,FALSE)*C147*I147*J147)</f>
        <v>0</v>
      </c>
      <c r="H147">
        <f>INT(VLOOKUP(E147,技能升级,11,FALSE)*C147*I147*J147)</f>
        <v>0</v>
      </c>
      <c r="I147">
        <v>1</v>
      </c>
      <c r="J147">
        <v>1</v>
      </c>
      <c r="L147">
        <v>54</v>
      </c>
      <c r="M147" t="s">
        <v>40</v>
      </c>
      <c r="N147">
        <v>0</v>
      </c>
      <c r="O147">
        <f>VLOOKUP(L147,技能参数,4,FALSE)</f>
        <v>1.2</v>
      </c>
      <c r="P147">
        <f>VLOOKUP(L147*1000+O144,学习等级编码,2)</f>
        <v>5405</v>
      </c>
      <c r="Q147">
        <f>INT(VLOOKUP(P147,技能升级,9,FALSE)*N147*T147*U147)</f>
        <v>0</v>
      </c>
      <c r="R147">
        <f>INT(VLOOKUP(P147,技能升级,10,FALSE)*N147*T147*U147)</f>
        <v>0</v>
      </c>
      <c r="S147">
        <f>INT(VLOOKUP(P147,技能升级,11,FALSE)*N147*T147*U147)</f>
        <v>0</v>
      </c>
      <c r="T147">
        <v>1</v>
      </c>
      <c r="U147">
        <v>1</v>
      </c>
    </row>
    <row r="148" spans="1:21" x14ac:dyDescent="0.15">
      <c r="A148">
        <v>51</v>
      </c>
      <c r="B148" t="s">
        <v>203</v>
      </c>
      <c r="C148">
        <v>2</v>
      </c>
      <c r="D148">
        <f>VLOOKUP(A148,技能参数,4,FALSE)</f>
        <v>0.9</v>
      </c>
      <c r="E148">
        <f>VLOOKUP(A148*1000+D144,学习等级编码,2)</f>
        <v>5108</v>
      </c>
      <c r="F148">
        <f>INT(VLOOKUP(E148,技能升级,9,FALSE)*C148*I148*J148)</f>
        <v>2820</v>
      </c>
      <c r="G148">
        <f>INT(VLOOKUP(E148,技能升级,10,FALSE)*C148*I148*J148)</f>
        <v>0</v>
      </c>
      <c r="H148">
        <f>INT(VLOOKUP(E148,技能升级,11,FALSE)*C148*I148*J148)</f>
        <v>438</v>
      </c>
      <c r="I148">
        <v>1</v>
      </c>
      <c r="J148">
        <v>1</v>
      </c>
      <c r="L148">
        <v>51</v>
      </c>
      <c r="M148" t="s">
        <v>203</v>
      </c>
      <c r="N148">
        <v>2</v>
      </c>
      <c r="O148">
        <f>VLOOKUP(L148,技能参数,4,FALSE)</f>
        <v>0.9</v>
      </c>
      <c r="P148">
        <f>VLOOKUP(L148*1000+O144,学习等级编码,2)</f>
        <v>5108</v>
      </c>
      <c r="Q148">
        <f>INT(VLOOKUP(P148,技能升级,9,FALSE)*N148*T148*U148)</f>
        <v>2820</v>
      </c>
      <c r="R148">
        <f>INT(VLOOKUP(P148,技能升级,10,FALSE)*N148*T148*U148)</f>
        <v>0</v>
      </c>
      <c r="S148">
        <f>INT(VLOOKUP(P148,技能升级,11,FALSE)*N148*T148*U148)</f>
        <v>438</v>
      </c>
      <c r="T148">
        <v>1</v>
      </c>
      <c r="U148">
        <v>1</v>
      </c>
    </row>
    <row r="149" spans="1:21" x14ac:dyDescent="0.15">
      <c r="A149">
        <v>51</v>
      </c>
      <c r="B149" t="s">
        <v>204</v>
      </c>
      <c r="C149">
        <f>INT((C144-C146*D146-C147*D147-D148*C148-C151)/D149*3)</f>
        <v>24</v>
      </c>
      <c r="D149">
        <f>VLOOKUP(A149,技能参数,4,FALSE)</f>
        <v>0.9</v>
      </c>
      <c r="E149">
        <f>VLOOKUP(A149*1000+D144,学习等级编码,2)</f>
        <v>5108</v>
      </c>
      <c r="F149">
        <f>INT(VLOOKUP(E149,技能升级,9,FALSE)*C149*I149*J149)</f>
        <v>20177</v>
      </c>
      <c r="G149">
        <f>INT(VLOOKUP(E149,技能升级,10,FALSE)*C149*I149*J149)</f>
        <v>0</v>
      </c>
      <c r="H149">
        <f>INT(VLOOKUP(E149,技能升级,11,FALSE)*C149*I149*J149)</f>
        <v>3133</v>
      </c>
      <c r="I149">
        <f>F150/1000</f>
        <v>0.45</v>
      </c>
      <c r="J149">
        <f>VLOOKUP(A144,$A$2:$I$21,7,FALSE)</f>
        <v>1.325</v>
      </c>
      <c r="L149">
        <v>51</v>
      </c>
      <c r="M149" t="s">
        <v>204</v>
      </c>
      <c r="N149">
        <f>INT((N144-N146*O146-N147*O147-O148*N148-N151)/O149*3)</f>
        <v>24</v>
      </c>
      <c r="O149">
        <f>VLOOKUP(L149,技能参数,4,FALSE)</f>
        <v>0.9</v>
      </c>
      <c r="P149">
        <f>VLOOKUP(L149*1000+O144,学习等级编码,2)</f>
        <v>5108</v>
      </c>
      <c r="Q149">
        <f>INT(VLOOKUP(P149,技能升级,9,FALSE)*N149*T149*U149)</f>
        <v>20177</v>
      </c>
      <c r="R149">
        <f>INT(VLOOKUP(P149,技能升级,10,FALSE)*N149*T149*U149)</f>
        <v>0</v>
      </c>
      <c r="S149">
        <f>INT(VLOOKUP(P149,技能升级,11,FALSE)*N149*T149*U149)</f>
        <v>3133</v>
      </c>
      <c r="T149">
        <f>Q150/1000</f>
        <v>0.45</v>
      </c>
      <c r="U149">
        <f>VLOOKUP(L144,$A$2:$I$21,7,FALSE)</f>
        <v>1.325</v>
      </c>
    </row>
    <row r="150" spans="1:21" x14ac:dyDescent="0.15">
      <c r="A150">
        <v>55</v>
      </c>
      <c r="B150" t="s">
        <v>46</v>
      </c>
      <c r="C150">
        <v>1</v>
      </c>
      <c r="D150">
        <v>0</v>
      </c>
      <c r="E150">
        <f>VLOOKUP(A150*1000+D144,学习等级编码,2)</f>
        <v>5503</v>
      </c>
      <c r="F150">
        <f>INT(VLOOKUP($E150,技能升级,14,FALSE)*$C150*I150)</f>
        <v>450</v>
      </c>
      <c r="G150">
        <f>INT(VLOOKUP($E150,技能升级,10,FALSE)*$C150*I150)</f>
        <v>0</v>
      </c>
      <c r="H150">
        <f>INT(VLOOKUP($E150,技能升级,11,FALSE)*$C150*I150*J150)</f>
        <v>0</v>
      </c>
      <c r="I150">
        <v>1</v>
      </c>
      <c r="J150">
        <v>1</v>
      </c>
      <c r="L150">
        <v>55</v>
      </c>
      <c r="M150" t="s">
        <v>46</v>
      </c>
      <c r="N150">
        <v>1</v>
      </c>
      <c r="O150">
        <v>0</v>
      </c>
      <c r="P150">
        <f>VLOOKUP(L150*1000+O144,学习等级编码,2)</f>
        <v>5503</v>
      </c>
      <c r="Q150">
        <f>INT(VLOOKUP($E150,技能升级,14,FALSE)*$C150*T150)</f>
        <v>450</v>
      </c>
      <c r="R150">
        <f>INT(VLOOKUP($E150,技能升级,10,FALSE)*$C150*T150)</f>
        <v>0</v>
      </c>
      <c r="S150">
        <f>INT(VLOOKUP($E150,技能升级,11,FALSE)*$C150*T150*U150)</f>
        <v>0</v>
      </c>
      <c r="T150">
        <v>1</v>
      </c>
      <c r="U150">
        <v>1</v>
      </c>
    </row>
    <row r="151" spans="1:21" x14ac:dyDescent="0.15">
      <c r="B151" t="s">
        <v>38</v>
      </c>
      <c r="C151">
        <f>D161</f>
        <v>5</v>
      </c>
      <c r="M151" t="s">
        <v>38</v>
      </c>
      <c r="N151">
        <f>O161</f>
        <v>0</v>
      </c>
    </row>
    <row r="152" spans="1:21" x14ac:dyDescent="0.15">
      <c r="E152" t="s">
        <v>194</v>
      </c>
      <c r="F152">
        <f>SUM(F146:F149)/1000</f>
        <v>22.997</v>
      </c>
      <c r="G152">
        <f>SUM(G146:G149)/1000</f>
        <v>0</v>
      </c>
      <c r="H152">
        <f>SUM(H146:H149)</f>
        <v>3571</v>
      </c>
      <c r="I152" t="s">
        <v>196</v>
      </c>
      <c r="J152" t="s">
        <v>197</v>
      </c>
      <c r="P152" t="s">
        <v>194</v>
      </c>
      <c r="Q152">
        <f>SUM(Q146:Q149)/1000</f>
        <v>22.997</v>
      </c>
      <c r="R152">
        <f>SUM(R146:R149)/1000</f>
        <v>0</v>
      </c>
      <c r="S152">
        <f>SUM(S146:S149)</f>
        <v>3571</v>
      </c>
      <c r="T152" t="s">
        <v>196</v>
      </c>
      <c r="U152" t="s">
        <v>197</v>
      </c>
    </row>
    <row r="153" spans="1:21" x14ac:dyDescent="0.15">
      <c r="E153" t="s">
        <v>195</v>
      </c>
      <c r="F153">
        <f>INT((IF($A144&gt;10000,VLOOKUP($A144,实战属性,13,FALSE),VLOOKUP($A144,总基本属性,7,FALSE))-
IF($B144&gt;10000,VLOOKUP($B144,实战属性,15,FALSE),VLOOKUP($B144,总基本属性,9,FALSE))*$L$13)*F152)</f>
        <v>41831</v>
      </c>
      <c r="G153">
        <f>INT((IF($A144&gt;10000,VLOOKUP($A144,实战属性,14,FALSE),VLOOKUP($A144,总基本属性,8,FALSE))-
IF($B144&gt;10000,VLOOKUP($B144,实战属性,16,FALSE),VLOOKUP($B144,总基本属性,10,FALSE))*$L$13)*G152)</f>
        <v>0</v>
      </c>
      <c r="H153">
        <f>H152+F153+G153</f>
        <v>45402</v>
      </c>
      <c r="I153">
        <f>IF($B144&gt;10000,VLOOKUP($B144,实战属性,12,FALSE),VLOOKUP($B144,总基本属性,6,FALSE))+I162</f>
        <v>45402</v>
      </c>
      <c r="J153">
        <f>ROUND(I153/H153,2)</f>
        <v>1</v>
      </c>
      <c r="P153" t="s">
        <v>195</v>
      </c>
      <c r="Q153">
        <f>INT((IF($A144&gt;10000,VLOOKUP($A144,实战属性,13,FALSE),VLOOKUP($A144,总基本属性,7,FALSE))-
IF($B144&gt;10000,VLOOKUP($B144,实战属性,15,FALSE),VLOOKUP($B144,总基本属性,9,FALSE))*$L$13)*Q152)</f>
        <v>41831</v>
      </c>
      <c r="R153">
        <f>INT((IF($A144&gt;10000,VLOOKUP($A144,实战属性,14,FALSE),VLOOKUP($A144,总基本属性,8,FALSE))-
IF($B144&gt;10000,VLOOKUP($B144,实战属性,16,FALSE),VLOOKUP($B144,总基本属性,10,FALSE))*$L$13)*R152)</f>
        <v>0</v>
      </c>
      <c r="S153">
        <f>S152+Q153+R153</f>
        <v>45402</v>
      </c>
      <c r="T153">
        <f>IF($B144&gt;10000,VLOOKUP($B144,实战属性,12,FALSE),VLOOKUP($B144,总基本属性,6,FALSE))+T162</f>
        <v>45402</v>
      </c>
      <c r="U153">
        <f>ROUND(T153/S153,2)</f>
        <v>1</v>
      </c>
    </row>
    <row r="156" spans="1:21" x14ac:dyDescent="0.15">
      <c r="A156" s="9" t="s">
        <v>5</v>
      </c>
      <c r="B156" s="9" t="s">
        <v>448</v>
      </c>
      <c r="C156" s="9" t="s">
        <v>178</v>
      </c>
      <c r="D156" s="9" t="s">
        <v>0</v>
      </c>
      <c r="G156" t="s">
        <v>445</v>
      </c>
      <c r="H156">
        <f>INT(I167/J167/C157)</f>
        <v>6465</v>
      </c>
      <c r="I156" t="s">
        <v>446</v>
      </c>
      <c r="J156">
        <f>ROUND(I162/H156,1)</f>
        <v>0.6</v>
      </c>
      <c r="L156" s="9" t="s">
        <v>5</v>
      </c>
      <c r="M156" s="9" t="s">
        <v>448</v>
      </c>
      <c r="N156" s="9" t="s">
        <v>178</v>
      </c>
      <c r="O156" s="9" t="s">
        <v>0</v>
      </c>
      <c r="R156" t="s">
        <v>445</v>
      </c>
      <c r="S156">
        <f>INT(T167/U167/N157)</f>
        <v>5435</v>
      </c>
      <c r="T156" t="s">
        <v>446</v>
      </c>
      <c r="U156">
        <f>ROUND(T162/S156,1)</f>
        <v>0.7</v>
      </c>
    </row>
    <row r="157" spans="1:21" x14ac:dyDescent="0.15">
      <c r="A157">
        <f>A128+10</f>
        <v>4050</v>
      </c>
      <c r="B157">
        <f>B128+10</f>
        <v>5050</v>
      </c>
      <c r="C157">
        <v>7</v>
      </c>
      <c r="D157">
        <f>MOD(A157,1000)</f>
        <v>50</v>
      </c>
      <c r="I157" t="s">
        <v>383</v>
      </c>
      <c r="J157">
        <f>VLOOKUP(D157,召唤物生存,13)</f>
        <v>5.0199999999999996</v>
      </c>
      <c r="L157">
        <f>A157</f>
        <v>4050</v>
      </c>
      <c r="M157">
        <f>B157</f>
        <v>5050</v>
      </c>
      <c r="N157">
        <v>8</v>
      </c>
      <c r="O157">
        <f>MOD(L157,1000)</f>
        <v>50</v>
      </c>
      <c r="T157" t="s">
        <v>383</v>
      </c>
      <c r="U157">
        <f>VLOOKUP(O157,召唤物生存,13)</f>
        <v>5.0199999999999996</v>
      </c>
    </row>
    <row r="158" spans="1:21" x14ac:dyDescent="0.15">
      <c r="A158" t="s">
        <v>156</v>
      </c>
      <c r="B158" t="s">
        <v>95</v>
      </c>
      <c r="C158" t="s">
        <v>177</v>
      </c>
      <c r="D158" t="s">
        <v>143</v>
      </c>
      <c r="E158" t="s">
        <v>182</v>
      </c>
      <c r="F158" t="s">
        <v>192</v>
      </c>
      <c r="G158" t="s">
        <v>193</v>
      </c>
      <c r="H158" t="s">
        <v>176</v>
      </c>
      <c r="I158" t="s">
        <v>205</v>
      </c>
      <c r="J158" t="s">
        <v>206</v>
      </c>
      <c r="L158" t="s">
        <v>156</v>
      </c>
      <c r="M158" t="s">
        <v>95</v>
      </c>
      <c r="N158" t="s">
        <v>177</v>
      </c>
      <c r="O158" t="s">
        <v>143</v>
      </c>
      <c r="P158" t="s">
        <v>182</v>
      </c>
      <c r="Q158" t="s">
        <v>192</v>
      </c>
      <c r="R158" t="s">
        <v>193</v>
      </c>
      <c r="S158" t="s">
        <v>176</v>
      </c>
      <c r="T158" t="s">
        <v>205</v>
      </c>
      <c r="U158" t="s">
        <v>206</v>
      </c>
    </row>
    <row r="159" spans="1:21" x14ac:dyDescent="0.15">
      <c r="A159">
        <v>42</v>
      </c>
      <c r="B159" t="s">
        <v>35</v>
      </c>
      <c r="C159">
        <v>1</v>
      </c>
      <c r="D159">
        <f>VLOOKUP(A159,技能参数,4,FALSE)</f>
        <v>1</v>
      </c>
      <c r="E159">
        <f>IFERROR(VLOOKUP(A159*1000+D157,学习等级编码,2),0)</f>
        <v>4205</v>
      </c>
      <c r="F159">
        <f>IFERROR(INT(VLOOKUP($E159,技能升级,9,FALSE)*$C159*I159*J159),0)</f>
        <v>0</v>
      </c>
      <c r="G159">
        <f>IFERROR(INT(VLOOKUP($E159,技能升级,10,FALSE)*$C159*I159*J159),0)</f>
        <v>0</v>
      </c>
      <c r="H159">
        <f>INT(VLOOKUP($E159,技能升级,11,FALSE)*$C159*I159*J159)</f>
        <v>0</v>
      </c>
      <c r="I159">
        <v>1</v>
      </c>
      <c r="J159">
        <v>1</v>
      </c>
      <c r="L159">
        <v>42</v>
      </c>
      <c r="M159" t="s">
        <v>35</v>
      </c>
      <c r="N159">
        <v>1</v>
      </c>
      <c r="O159">
        <f>VLOOKUP(L159,技能参数,4,FALSE)</f>
        <v>1</v>
      </c>
      <c r="P159">
        <f>IFERROR(VLOOKUP(L159*1000+O157,学习等级编码,2),0)</f>
        <v>4205</v>
      </c>
      <c r="Q159">
        <f>IFERROR(INT(VLOOKUP(P159,技能升级,9,FALSE)*N159*T159*U159),0)</f>
        <v>0</v>
      </c>
      <c r="R159">
        <f>IFERROR(INT(VLOOKUP(P159,技能升级,10,FALSE)*N159*T159*U159),0)</f>
        <v>0</v>
      </c>
      <c r="S159">
        <f>INT(VLOOKUP(P159,技能升级,11,FALSE)*N159*T159*U159)</f>
        <v>0</v>
      </c>
      <c r="T159">
        <v>1</v>
      </c>
      <c r="U159">
        <v>1</v>
      </c>
    </row>
    <row r="160" spans="1:21" x14ac:dyDescent="0.15">
      <c r="A160">
        <v>43</v>
      </c>
      <c r="B160" t="s">
        <v>36</v>
      </c>
      <c r="C160">
        <v>1</v>
      </c>
      <c r="D160">
        <f>VLOOKUP(A160,技能参数,4,FALSE)</f>
        <v>1</v>
      </c>
      <c r="E160">
        <f>IFERROR(VLOOKUP(A160*1000+D157,学习等级编码,2),0)</f>
        <v>4305</v>
      </c>
      <c r="F160">
        <f t="shared" ref="F160" si="24">IFERROR(INT(VLOOKUP($E160,技能升级,9,FALSE)*$C160*I160*J160),0)</f>
        <v>0</v>
      </c>
      <c r="G160">
        <f t="shared" ref="G160" si="25">IFERROR(INT(VLOOKUP($E160,技能升级,10,FALSE)*$C160*I160*J160),0)</f>
        <v>0</v>
      </c>
      <c r="H160">
        <f>INT(VLOOKUP($E160,技能升级,11,FALSE)*$C160*I160*J160)</f>
        <v>0</v>
      </c>
      <c r="I160">
        <v>1</v>
      </c>
      <c r="J160">
        <v>1</v>
      </c>
      <c r="L160">
        <v>43</v>
      </c>
      <c r="M160" t="s">
        <v>36</v>
      </c>
      <c r="N160">
        <v>1</v>
      </c>
      <c r="O160">
        <f>VLOOKUP(L160,技能参数,4,FALSE)</f>
        <v>1</v>
      </c>
      <c r="P160">
        <f>IFERROR(VLOOKUP(L160*1000+O157,学习等级编码,2),0)</f>
        <v>4305</v>
      </c>
      <c r="Q160">
        <f>IFERROR(INT(VLOOKUP(P160,技能升级,9,FALSE)*N160*T160*U160),0)</f>
        <v>0</v>
      </c>
      <c r="R160">
        <f>IFERROR(INT(VLOOKUP(P160,技能升级,10,FALSE)*N160*T160*U160),0)</f>
        <v>0</v>
      </c>
      <c r="S160">
        <f>INT(VLOOKUP(P160,技能升级,11,FALSE)*N160*T160*U160)</f>
        <v>0</v>
      </c>
      <c r="T160">
        <v>1</v>
      </c>
      <c r="U160">
        <v>1</v>
      </c>
    </row>
    <row r="161" spans="1:21" x14ac:dyDescent="0.15">
      <c r="A161">
        <v>44</v>
      </c>
      <c r="B161" t="s">
        <v>38</v>
      </c>
      <c r="C161">
        <v>1</v>
      </c>
      <c r="D161">
        <f>IFERROR(INT(VLOOKUP($E161,技能升级,13,FALSE)),0)</f>
        <v>5</v>
      </c>
      <c r="E161">
        <f>IFERROR(VLOOKUP(A161*1000+D157,学习等级编码,2),0)</f>
        <v>4405</v>
      </c>
      <c r="F161">
        <f>IFERROR(INT(VLOOKUP($E161,技能升级,9,FALSE)*$C161*I161*J161),0)</f>
        <v>0</v>
      </c>
      <c r="G161">
        <f>IFERROR(INT(VLOOKUP($E161,技能升级,10,FALSE)*$D161*I161*J161),0)</f>
        <v>8407</v>
      </c>
      <c r="H161">
        <f>INT(VLOOKUP($E161,技能升级,11,FALSE)*$D161*I161*J161)</f>
        <v>926</v>
      </c>
      <c r="I161">
        <v>1</v>
      </c>
      <c r="J161">
        <f>VLOOKUP(A157,$A$2:$I$21,8,FALSE)</f>
        <v>0.95000000000000007</v>
      </c>
      <c r="L161">
        <v>44</v>
      </c>
      <c r="M161" t="s">
        <v>38</v>
      </c>
      <c r="N161">
        <v>0</v>
      </c>
      <c r="O161">
        <v>0</v>
      </c>
      <c r="P161">
        <f>IFERROR(VLOOKUP(L161*1000+O157,学习等级编码,2),0)</f>
        <v>4405</v>
      </c>
      <c r="Q161">
        <f>IFERROR(INT(VLOOKUP(P161,技能升级,9,FALSE)*N161*T161*U161),0)</f>
        <v>0</v>
      </c>
      <c r="R161">
        <f>IFERROR(INT(VLOOKUP(P161,技能升级,10,FALSE)*N161*T161*U161),0)</f>
        <v>0</v>
      </c>
      <c r="S161">
        <f>INT(VLOOKUP(P161,技能升级,11,FALSE)*N161*T161*U161)</f>
        <v>0</v>
      </c>
      <c r="T161">
        <v>1</v>
      </c>
      <c r="U161">
        <f>VLOOKUP(L157,$A$2:$I$21,8,FALSE)</f>
        <v>0.95000000000000007</v>
      </c>
    </row>
    <row r="162" spans="1:21" x14ac:dyDescent="0.15">
      <c r="A162">
        <v>45</v>
      </c>
      <c r="B162" t="s">
        <v>37</v>
      </c>
      <c r="C162">
        <v>1</v>
      </c>
      <c r="D162">
        <f>VLOOKUP(A162,技能参数,4,FALSE)</f>
        <v>2</v>
      </c>
      <c r="E162">
        <f>IFERROR(VLOOKUP(A162*1000+D157,学习等级编码,2),0)</f>
        <v>4503</v>
      </c>
      <c r="F162">
        <f>IFERROR(INT(VLOOKUP($E162,技能升级,9,FALSE)*$C162*I162*J162),0)</f>
        <v>0</v>
      </c>
      <c r="G162">
        <f t="shared" ref="G162:G163" si="26">IFERROR(INT(VLOOKUP($E162,技能升级,10,FALSE)*$C162*I162*J162),0)</f>
        <v>0</v>
      </c>
      <c r="H162">
        <f>INT(VLOOKUP($E162,技能升级,11,FALSE)*$C162*I162*J162)</f>
        <v>0</v>
      </c>
      <c r="I162">
        <f>INT(VLOOKUP($E162,技能升级,13,FALSE)*$C162)</f>
        <v>3822</v>
      </c>
      <c r="J162">
        <v>1</v>
      </c>
      <c r="L162">
        <v>45</v>
      </c>
      <c r="M162" t="s">
        <v>37</v>
      </c>
      <c r="N162">
        <v>1</v>
      </c>
      <c r="O162">
        <f>VLOOKUP(L162,技能参数,4,FALSE)</f>
        <v>2</v>
      </c>
      <c r="P162">
        <f>IFERROR(VLOOKUP(L162*1000+O157,学习等级编码,2),0)</f>
        <v>4503</v>
      </c>
      <c r="Q162">
        <f>IFERROR(INT(VLOOKUP(P162,技能升级,9,FALSE)*N162*T162*U162),0)</f>
        <v>0</v>
      </c>
      <c r="R162">
        <f>IFERROR(INT(VLOOKUP(P162,技能升级,10,FALSE)*N162*T162*U162),0)</f>
        <v>0</v>
      </c>
      <c r="S162">
        <f>INT(VLOOKUP(P162,技能升级,11,FALSE)*N162*T162*U162)</f>
        <v>0</v>
      </c>
      <c r="T162">
        <f>INT(VLOOKUP($E162,技能升级,13,FALSE)*$C162)</f>
        <v>3822</v>
      </c>
      <c r="U162">
        <v>1</v>
      </c>
    </row>
    <row r="163" spans="1:21" x14ac:dyDescent="0.15">
      <c r="A163">
        <v>41</v>
      </c>
      <c r="B163" t="s">
        <v>361</v>
      </c>
      <c r="C163">
        <f>IF(INT((C157-C159*D159-C160*D160-C161*D161-C162*D162)/D163)&gt;0,INT((C157-C159*D159-C160*D160-C161*D161-C162*D162)/D163),0)</f>
        <v>0</v>
      </c>
      <c r="D163">
        <f>VLOOKUP(A163,技能参数,4,FALSE)</f>
        <v>1.2</v>
      </c>
      <c r="E163">
        <f>IFERROR(VLOOKUP(A163*1000+D157,学习等级编码,2),0)</f>
        <v>4108</v>
      </c>
      <c r="F163">
        <f>IFERROR(INT(VLOOKUP($E163,技能升级,9,FALSE)*$C163*I163*J163),0)</f>
        <v>0</v>
      </c>
      <c r="G163">
        <f t="shared" si="26"/>
        <v>0</v>
      </c>
      <c r="H163">
        <f>INT(VLOOKUP($E163,技能升级,11,FALSE)*$C163*I163*J163)</f>
        <v>0</v>
      </c>
      <c r="I163">
        <v>1</v>
      </c>
      <c r="J163">
        <f>VLOOKUP(A157,$A$2:$I$21,8,FALSE)</f>
        <v>0.95000000000000007</v>
      </c>
      <c r="L163">
        <v>41</v>
      </c>
      <c r="M163" t="s">
        <v>361</v>
      </c>
      <c r="N163">
        <f>IF(INT((N157-N159*O159-N160*O160-N161*O161-N162*O162)/O163)&gt;0,INT((N157-N159*O159-N160*O160-N161*O161-N162*O162)/O163),0)</f>
        <v>3</v>
      </c>
      <c r="O163">
        <f>VLOOKUP(L163,技能参数,4,FALSE)</f>
        <v>1.2</v>
      </c>
      <c r="P163">
        <f>IFERROR(VLOOKUP(L163*1000+O157,学习等级编码,2),0)</f>
        <v>4108</v>
      </c>
      <c r="Q163">
        <f>IFERROR(INT(VLOOKUP(P163,技能升级,9,FALSE)*N163*T163*U163),0)</f>
        <v>0</v>
      </c>
      <c r="R163">
        <f>IFERROR(INT(VLOOKUP(P163,技能升级,10,FALSE)*N163*T163*U163),0)</f>
        <v>3705</v>
      </c>
      <c r="S163">
        <f>INT(VLOOKUP(P163,技能升级,11,FALSE)*N163*T163*U163)</f>
        <v>624</v>
      </c>
      <c r="T163">
        <v>1</v>
      </c>
      <c r="U163">
        <f>VLOOKUP(A157,$A$2:$I$21,8,FALSE)</f>
        <v>0.95000000000000007</v>
      </c>
    </row>
    <row r="164" spans="1:21" x14ac:dyDescent="0.15">
      <c r="A164">
        <f>VLOOKUP(E159,技能升级,13,FALSE)</f>
        <v>105</v>
      </c>
      <c r="B164" t="s">
        <v>375</v>
      </c>
      <c r="C164">
        <f>C157+C157-3.5</f>
        <v>10.5</v>
      </c>
      <c r="G164">
        <f>INT((VLOOKUP(A164,召唤物属性,7,FALSE)-
IF($B157&gt;10000,VLOOKUP($B157,实战属性,15,FALSE),VLOOKUP($B157,总基本属性,9,FALSE))*$L$13)*I164*J164)</f>
        <v>1340</v>
      </c>
      <c r="I164">
        <f>VLOOKUP($E159,技能升级,14,FALSE)</f>
        <v>2</v>
      </c>
      <c r="J164">
        <v>1</v>
      </c>
      <c r="L164">
        <f>VLOOKUP(P159,技能升级,13,FALSE)</f>
        <v>105</v>
      </c>
      <c r="M164" t="s">
        <v>375</v>
      </c>
      <c r="N164">
        <f>N157+N157-3.5</f>
        <v>12.5</v>
      </c>
      <c r="R164">
        <f>INT((VLOOKUP(L164,召唤物属性,7,FALSE)-
IF($B157&gt;10000,VLOOKUP($B157,实战属性,15,FALSE),VLOOKUP($B157,总基本属性,9,FALSE))*$L$13)*T164*U164)</f>
        <v>1340</v>
      </c>
      <c r="T164">
        <f>VLOOKUP($E159,技能升级,14,FALSE)</f>
        <v>2</v>
      </c>
      <c r="U164">
        <v>1</v>
      </c>
    </row>
    <row r="165" spans="1:21" x14ac:dyDescent="0.15">
      <c r="A165">
        <f>VLOOKUP(E160,技能升级,13,FALSE)</f>
        <v>205</v>
      </c>
      <c r="B165" t="s">
        <v>374</v>
      </c>
      <c r="C165">
        <f>C157+C157-3.5</f>
        <v>10.5</v>
      </c>
      <c r="F165">
        <f>INT((VLOOKUP(A165,召唤物属性,6,FALSE)-
IF($B157&gt;10000,VLOOKUP($B157,实战属性,15,FALSE),VLOOKUP($B157,总基本属性,9,FALSE))*$L$13)*I165*J165)</f>
        <v>1710</v>
      </c>
      <c r="I165">
        <f>VLOOKUP($E160,技能升级,14,FALSE)</f>
        <v>3</v>
      </c>
      <c r="J165">
        <f>VLOOKUP(A157,$A$2:$I$21,9,FALSE)</f>
        <v>1</v>
      </c>
      <c r="L165">
        <f>VLOOKUP(P160,技能升级,13,FALSE)</f>
        <v>205</v>
      </c>
      <c r="M165" t="s">
        <v>374</v>
      </c>
      <c r="N165">
        <f>N157+N157-3.5</f>
        <v>12.5</v>
      </c>
      <c r="Q165">
        <f>INT((VLOOKUP(L165,召唤物属性,6,FALSE)-
IF($B157&gt;10000,VLOOKUP($B157,实战属性,15,FALSE),VLOOKUP($B157,总基本属性,9,FALSE))*$L$13)*T165*U165)</f>
        <v>1710</v>
      </c>
      <c r="T165">
        <f>VLOOKUP($E160,技能升级,14,FALSE)</f>
        <v>3</v>
      </c>
      <c r="U165">
        <f>VLOOKUP(L157,$A$2:$I$21,9,FALSE)</f>
        <v>1</v>
      </c>
    </row>
    <row r="166" spans="1:21" x14ac:dyDescent="0.15">
      <c r="E166" t="s">
        <v>194</v>
      </c>
      <c r="F166">
        <f>SUM(F159:F163)/1000</f>
        <v>0</v>
      </c>
      <c r="G166">
        <f>SUM(G159:G163)/1000</f>
        <v>8.407</v>
      </c>
      <c r="H166">
        <f>SUM(H159:H162)</f>
        <v>926</v>
      </c>
      <c r="I166" t="s">
        <v>196</v>
      </c>
      <c r="J166" t="s">
        <v>197</v>
      </c>
      <c r="P166" t="s">
        <v>194</v>
      </c>
      <c r="Q166">
        <f>SUM(Q159:Q163)/1000</f>
        <v>0</v>
      </c>
      <c r="R166">
        <f>SUM(R159:R163)/1000</f>
        <v>3.7050000000000001</v>
      </c>
      <c r="S166">
        <f>SUM(S159:S162)</f>
        <v>0</v>
      </c>
      <c r="T166" t="s">
        <v>196</v>
      </c>
      <c r="U166" t="s">
        <v>197</v>
      </c>
    </row>
    <row r="167" spans="1:21" x14ac:dyDescent="0.15">
      <c r="E167" t="s">
        <v>195</v>
      </c>
      <c r="F167">
        <f>INT((IF($A157&gt;10000,VLOOKUP($A157,实战属性,13,FALSE),VLOOKUP($A157,总基本属性,7,FALSE))-
IF($B157&gt;10000,VLOOKUP($B157,实战属性,15,FALSE),VLOOKUP($B157,总基本属性,9,FALSE))*$L$13)*F166)</f>
        <v>0</v>
      </c>
      <c r="G167">
        <f>INT((IF($A157&gt;10000,VLOOKUP($A157,实战属性,14,FALSE),VLOOKUP($A157,总基本属性,8,FALSE))-
IF($B157&gt;10000,VLOOKUP($B157,实战属性,16,FALSE),VLOOKUP($B157,总基本属性,10,FALSE))*$L$13)*G166)</f>
        <v>12240</v>
      </c>
      <c r="H167">
        <f>H166+F167+G167</f>
        <v>13166</v>
      </c>
      <c r="I167">
        <f>IF($B157&gt;10000,VLOOKUP($B157,实战属性,12,FALSE),VLOOKUP($B157,总基本属性,6,FALSE))</f>
        <v>44352</v>
      </c>
      <c r="J167">
        <f>ROUND(I167/H168,2)</f>
        <v>0.98</v>
      </c>
      <c r="P167" t="s">
        <v>195</v>
      </c>
      <c r="Q167">
        <f>INT((IF($A157&gt;10000,VLOOKUP($A157,实战属性,13,FALSE),VLOOKUP($A157,总基本属性,7,FALSE))-
IF($B157&gt;10000,VLOOKUP($B157,实战属性,15,FALSE),VLOOKUP($B157,总基本属性,9,FALSE))*$L$13)*Q166)</f>
        <v>0</v>
      </c>
      <c r="R167">
        <f>INT((IF($A157&gt;10000,VLOOKUP($A157,实战属性,14,FALSE),VLOOKUP($A157,总基本属性,8,FALSE))-
IF($B157&gt;10000,VLOOKUP($B157,实战属性,16,FALSE),VLOOKUP($B157,总基本属性,10,FALSE))*$L$13)*R166)</f>
        <v>5394</v>
      </c>
      <c r="S167">
        <f>S166+Q167+R167</f>
        <v>5394</v>
      </c>
      <c r="T167">
        <f>IF($B157&gt;10000,VLOOKUP($B157,实战属性,12,FALSE),VLOOKUP($B157,总基本属性,6,FALSE))</f>
        <v>44352</v>
      </c>
      <c r="U167">
        <f>ROUND(T167/S168,2)</f>
        <v>1.02</v>
      </c>
    </row>
    <row r="168" spans="1:21" x14ac:dyDescent="0.15">
      <c r="E168" t="s">
        <v>376</v>
      </c>
      <c r="F168">
        <f>INT(F165*C165)</f>
        <v>17955</v>
      </c>
      <c r="G168">
        <f>INT(G164*C164)</f>
        <v>14070</v>
      </c>
      <c r="H168">
        <f>F168+G168+H167</f>
        <v>45191</v>
      </c>
      <c r="P168" t="s">
        <v>376</v>
      </c>
      <c r="Q168">
        <f>INT(Q165*N165)</f>
        <v>21375</v>
      </c>
      <c r="R168">
        <f>INT(R164*N164)</f>
        <v>16750</v>
      </c>
      <c r="S168">
        <f>Q168+R168+S167</f>
        <v>43519</v>
      </c>
    </row>
    <row r="172" spans="1:21" x14ac:dyDescent="0.15">
      <c r="A172" s="8" t="s">
        <v>6</v>
      </c>
      <c r="B172" s="8" t="s">
        <v>444</v>
      </c>
      <c r="C172" s="8" t="s">
        <v>178</v>
      </c>
      <c r="D172" s="8" t="s">
        <v>0</v>
      </c>
      <c r="L172" s="8" t="s">
        <v>6</v>
      </c>
      <c r="M172" s="8" t="s">
        <v>444</v>
      </c>
      <c r="N172" s="8" t="s">
        <v>178</v>
      </c>
      <c r="O172" s="8" t="s">
        <v>0</v>
      </c>
    </row>
    <row r="173" spans="1:21" x14ac:dyDescent="0.15">
      <c r="A173">
        <f>A144+10</f>
        <v>5060</v>
      </c>
      <c r="B173">
        <f>B144+10</f>
        <v>4060</v>
      </c>
      <c r="C173">
        <v>15</v>
      </c>
      <c r="D173">
        <f>MOD(A173,1000)</f>
        <v>60</v>
      </c>
      <c r="L173">
        <f>A173</f>
        <v>5060</v>
      </c>
      <c r="M173">
        <f>B173</f>
        <v>4060</v>
      </c>
      <c r="N173">
        <v>10</v>
      </c>
      <c r="O173">
        <f>MOD(L173,1000)</f>
        <v>60</v>
      </c>
    </row>
    <row r="174" spans="1:21" x14ac:dyDescent="0.15">
      <c r="A174" t="s">
        <v>156</v>
      </c>
      <c r="B174" t="s">
        <v>95</v>
      </c>
      <c r="C174" t="s">
        <v>142</v>
      </c>
      <c r="D174" t="s">
        <v>143</v>
      </c>
      <c r="E174" t="s">
        <v>182</v>
      </c>
      <c r="F174" t="s">
        <v>192</v>
      </c>
      <c r="G174" t="s">
        <v>193</v>
      </c>
      <c r="H174" t="s">
        <v>176</v>
      </c>
      <c r="I174" t="s">
        <v>205</v>
      </c>
      <c r="J174" t="s">
        <v>206</v>
      </c>
      <c r="L174" t="s">
        <v>156</v>
      </c>
      <c r="M174" t="s">
        <v>95</v>
      </c>
      <c r="N174" t="s">
        <v>142</v>
      </c>
      <c r="O174" t="s">
        <v>143</v>
      </c>
      <c r="P174" t="s">
        <v>182</v>
      </c>
      <c r="Q174" t="s">
        <v>192</v>
      </c>
      <c r="R174" t="s">
        <v>193</v>
      </c>
      <c r="S174" t="s">
        <v>176</v>
      </c>
      <c r="T174" t="s">
        <v>205</v>
      </c>
      <c r="U174" t="s">
        <v>206</v>
      </c>
    </row>
    <row r="175" spans="1:21" x14ac:dyDescent="0.15">
      <c r="A175">
        <v>52</v>
      </c>
      <c r="B175" t="s">
        <v>44</v>
      </c>
      <c r="C175">
        <v>0</v>
      </c>
      <c r="D175">
        <f>VLOOKUP(A175,技能参数,4,FALSE)</f>
        <v>1.5</v>
      </c>
      <c r="E175">
        <f>VLOOKUP(A175*1000+D173,学习等级编码,2)</f>
        <v>5206</v>
      </c>
      <c r="F175">
        <f>INT(VLOOKUP(E175,技能升级,9,FALSE)*C175*I175*J175)</f>
        <v>0</v>
      </c>
      <c r="G175">
        <f>INT(VLOOKUP(E175,技能升级,10,FALSE)*C175*I175*J175)</f>
        <v>0</v>
      </c>
      <c r="H175">
        <f>INT(VLOOKUP(E175,技能升级,11,FALSE)*C175*I175*J175)</f>
        <v>0</v>
      </c>
      <c r="I175">
        <v>1</v>
      </c>
      <c r="J175">
        <v>1</v>
      </c>
      <c r="L175">
        <v>52</v>
      </c>
      <c r="M175" t="s">
        <v>44</v>
      </c>
      <c r="N175">
        <v>0</v>
      </c>
      <c r="O175">
        <f>VLOOKUP(L175,技能参数,4,FALSE)</f>
        <v>1.5</v>
      </c>
      <c r="P175">
        <f>VLOOKUP(L175*1000+O173,学习等级编码,2)</f>
        <v>5206</v>
      </c>
      <c r="Q175">
        <f>INT(VLOOKUP(P175,技能升级,9,FALSE)*N175*T175*U175)</f>
        <v>0</v>
      </c>
      <c r="R175">
        <f>INT(VLOOKUP(P175,技能升级,10,FALSE)*N175*T175*U175)</f>
        <v>0</v>
      </c>
      <c r="S175">
        <f>INT(VLOOKUP(P175,技能升级,11,FALSE)*N175*T175*U175)</f>
        <v>0</v>
      </c>
      <c r="T175">
        <v>1</v>
      </c>
      <c r="U175">
        <v>1</v>
      </c>
    </row>
    <row r="176" spans="1:21" x14ac:dyDescent="0.15">
      <c r="A176">
        <v>54</v>
      </c>
      <c r="B176" t="s">
        <v>40</v>
      </c>
      <c r="C176">
        <v>0</v>
      </c>
      <c r="D176">
        <f>VLOOKUP(A176,技能参数,4,FALSE)</f>
        <v>1.2</v>
      </c>
      <c r="E176">
        <f>VLOOKUP(A176*1000+D173,学习等级编码,2)</f>
        <v>5406</v>
      </c>
      <c r="F176">
        <f>INT(VLOOKUP(E176,技能升级,9,FALSE)*C176*I176*J176)</f>
        <v>0</v>
      </c>
      <c r="G176">
        <f>INT(VLOOKUP(E176,技能升级,10,FALSE)*C176*I176*J176)</f>
        <v>0</v>
      </c>
      <c r="H176">
        <f>INT(VLOOKUP(E176,技能升级,11,FALSE)*C176*I176*J176)</f>
        <v>0</v>
      </c>
      <c r="I176">
        <v>1</v>
      </c>
      <c r="J176">
        <v>1</v>
      </c>
      <c r="L176">
        <v>54</v>
      </c>
      <c r="M176" t="s">
        <v>40</v>
      </c>
      <c r="N176">
        <v>0</v>
      </c>
      <c r="O176">
        <f>VLOOKUP(L176,技能参数,4,FALSE)</f>
        <v>1.2</v>
      </c>
      <c r="P176">
        <f>VLOOKUP(L176*1000+O173,学习等级编码,2)</f>
        <v>5406</v>
      </c>
      <c r="Q176">
        <f>INT(VLOOKUP(P176,技能升级,9,FALSE)*N176*T176*U176)</f>
        <v>0</v>
      </c>
      <c r="R176">
        <f>INT(VLOOKUP(P176,技能升级,10,FALSE)*N176*T176*U176)</f>
        <v>0</v>
      </c>
      <c r="S176">
        <f>INT(VLOOKUP(P176,技能升级,11,FALSE)*N176*T176*U176)</f>
        <v>0</v>
      </c>
      <c r="T176">
        <v>1</v>
      </c>
      <c r="U176">
        <v>1</v>
      </c>
    </row>
    <row r="177" spans="1:21" x14ac:dyDescent="0.15">
      <c r="A177">
        <v>51</v>
      </c>
      <c r="B177" t="s">
        <v>203</v>
      </c>
      <c r="C177">
        <v>2</v>
      </c>
      <c r="D177">
        <f>VLOOKUP(A177,技能参数,4,FALSE)</f>
        <v>0.9</v>
      </c>
      <c r="E177">
        <f>VLOOKUP(A177*1000+D173,学习等级编码,2)</f>
        <v>5109</v>
      </c>
      <c r="F177">
        <f>INT(VLOOKUP(E177,技能升级,9,FALSE)*C177*I177*J177)</f>
        <v>2860</v>
      </c>
      <c r="G177">
        <f>INT(VLOOKUP(E177,技能升级,10,FALSE)*C177*I177*J177)</f>
        <v>0</v>
      </c>
      <c r="H177">
        <f>INT(VLOOKUP(E177,技能升级,11,FALSE)*C177*I177*J177)</f>
        <v>540</v>
      </c>
      <c r="I177">
        <v>1</v>
      </c>
      <c r="J177">
        <v>1</v>
      </c>
      <c r="L177">
        <v>51</v>
      </c>
      <c r="M177" t="s">
        <v>203</v>
      </c>
      <c r="N177">
        <v>2</v>
      </c>
      <c r="O177">
        <f>VLOOKUP(L177,技能参数,4,FALSE)</f>
        <v>0.9</v>
      </c>
      <c r="P177">
        <f>VLOOKUP(L177*1000+O173,学习等级编码,2)</f>
        <v>5109</v>
      </c>
      <c r="Q177">
        <f>INT(VLOOKUP(P177,技能升级,9,FALSE)*N177*T177*U177)</f>
        <v>2860</v>
      </c>
      <c r="R177">
        <f>INT(VLOOKUP(P177,技能升级,10,FALSE)*N177*T177*U177)</f>
        <v>0</v>
      </c>
      <c r="S177">
        <f>INT(VLOOKUP(P177,技能升级,11,FALSE)*N177*T177*U177)</f>
        <v>540</v>
      </c>
      <c r="T177">
        <v>1</v>
      </c>
      <c r="U177">
        <v>1</v>
      </c>
    </row>
    <row r="178" spans="1:21" x14ac:dyDescent="0.15">
      <c r="A178">
        <v>51</v>
      </c>
      <c r="B178" t="s">
        <v>204</v>
      </c>
      <c r="C178">
        <f>INT((C173-C175*D175-C176*D176-D177*C177-C180)/D178*3)</f>
        <v>27</v>
      </c>
      <c r="D178">
        <f>VLOOKUP(A178,技能参数,4,FALSE)</f>
        <v>0.9</v>
      </c>
      <c r="E178">
        <f>VLOOKUP(A178*1000+D173,学习等级编码,2)</f>
        <v>5109</v>
      </c>
      <c r="F178">
        <f>INT(VLOOKUP(E178,技能升级,9,FALSE)*C178*I178*J178)</f>
        <v>24770</v>
      </c>
      <c r="G178">
        <f>INT(VLOOKUP(E178,技能升级,10,FALSE)*C178*I178*J178)</f>
        <v>0</v>
      </c>
      <c r="H178">
        <f>INT(VLOOKUP(E178,技能升级,11,FALSE)*C178*I178*J178)</f>
        <v>4676</v>
      </c>
      <c r="I178">
        <f>F179/1000</f>
        <v>0.47</v>
      </c>
      <c r="J178">
        <f>VLOOKUP(A173,$A$2:$I$21,7,FALSE)</f>
        <v>1.3649999999999998</v>
      </c>
      <c r="L178">
        <v>51</v>
      </c>
      <c r="M178" t="s">
        <v>204</v>
      </c>
      <c r="N178">
        <f>INT((N173-N175*O175-N176*O176-O177*N177-N180)/O178*3)</f>
        <v>27</v>
      </c>
      <c r="O178">
        <f>VLOOKUP(L178,技能参数,4,FALSE)</f>
        <v>0.9</v>
      </c>
      <c r="P178">
        <f>VLOOKUP(L178*1000+O173,学习等级编码,2)</f>
        <v>5109</v>
      </c>
      <c r="Q178">
        <f>INT(VLOOKUP(P178,技能升级,9,FALSE)*N178*T178*U178)</f>
        <v>24770</v>
      </c>
      <c r="R178">
        <f>INT(VLOOKUP(P178,技能升级,10,FALSE)*N178*T178*U178)</f>
        <v>0</v>
      </c>
      <c r="S178">
        <f>INT(VLOOKUP(P178,技能升级,11,FALSE)*N178*T178*U178)</f>
        <v>4676</v>
      </c>
      <c r="T178">
        <f>Q179/1000</f>
        <v>0.47</v>
      </c>
      <c r="U178">
        <f>VLOOKUP(L173,$A$2:$I$21,7,FALSE)</f>
        <v>1.3649999999999998</v>
      </c>
    </row>
    <row r="179" spans="1:21" x14ac:dyDescent="0.15">
      <c r="A179">
        <v>55</v>
      </c>
      <c r="B179" t="s">
        <v>46</v>
      </c>
      <c r="C179">
        <v>1</v>
      </c>
      <c r="D179">
        <v>0</v>
      </c>
      <c r="E179">
        <f>VLOOKUP(A179*1000+D173,学习等级编码,2)</f>
        <v>5504</v>
      </c>
      <c r="F179">
        <f>INT(VLOOKUP($E179,技能升级,14,FALSE)*$C179*I179)</f>
        <v>470</v>
      </c>
      <c r="G179">
        <f>INT(VLOOKUP($E179,技能升级,10,FALSE)*$C179*I179)</f>
        <v>0</v>
      </c>
      <c r="H179">
        <f>INT(VLOOKUP($E179,技能升级,11,FALSE)*$C179*I179*J179)</f>
        <v>0</v>
      </c>
      <c r="I179">
        <v>1</v>
      </c>
      <c r="J179">
        <v>1</v>
      </c>
      <c r="L179">
        <v>55</v>
      </c>
      <c r="M179" t="s">
        <v>46</v>
      </c>
      <c r="N179">
        <v>1</v>
      </c>
      <c r="O179">
        <v>0</v>
      </c>
      <c r="P179">
        <f>VLOOKUP(L179*1000+O173,学习等级编码,2)</f>
        <v>5504</v>
      </c>
      <c r="Q179">
        <f>INT(VLOOKUP($E179,技能升级,14,FALSE)*$C179*T179)</f>
        <v>470</v>
      </c>
      <c r="R179">
        <f>INT(VLOOKUP($E179,技能升级,10,FALSE)*$C179*T179)</f>
        <v>0</v>
      </c>
      <c r="S179">
        <f>INT(VLOOKUP($E179,技能升级,11,FALSE)*$C179*T179*U179)</f>
        <v>0</v>
      </c>
      <c r="T179">
        <v>1</v>
      </c>
      <c r="U179">
        <v>1</v>
      </c>
    </row>
    <row r="180" spans="1:21" x14ac:dyDescent="0.15">
      <c r="B180" t="s">
        <v>38</v>
      </c>
      <c r="C180">
        <f>D190</f>
        <v>5</v>
      </c>
      <c r="M180" t="s">
        <v>38</v>
      </c>
      <c r="N180">
        <f>O190</f>
        <v>0</v>
      </c>
    </row>
    <row r="181" spans="1:21" x14ac:dyDescent="0.15">
      <c r="E181" t="s">
        <v>194</v>
      </c>
      <c r="F181">
        <f>SUM(F175:F178)/1000</f>
        <v>27.63</v>
      </c>
      <c r="G181">
        <f>SUM(G175:G178)/1000</f>
        <v>0</v>
      </c>
      <c r="H181">
        <f>SUM(H175:H178)</f>
        <v>5216</v>
      </c>
      <c r="I181" t="s">
        <v>196</v>
      </c>
      <c r="J181" t="s">
        <v>197</v>
      </c>
      <c r="P181" t="s">
        <v>194</v>
      </c>
      <c r="Q181">
        <f>SUM(Q175:Q178)/1000</f>
        <v>27.63</v>
      </c>
      <c r="R181">
        <f>SUM(R175:R178)/1000</f>
        <v>0</v>
      </c>
      <c r="S181">
        <f>SUM(S175:S178)</f>
        <v>5216</v>
      </c>
      <c r="T181" t="s">
        <v>196</v>
      </c>
      <c r="U181" t="s">
        <v>197</v>
      </c>
    </row>
    <row r="182" spans="1:21" x14ac:dyDescent="0.15">
      <c r="E182" t="s">
        <v>195</v>
      </c>
      <c r="F182">
        <f>INT((IF($A173&gt;10000,VLOOKUP($A173,实战属性,13,FALSE),VLOOKUP($A173,总基本属性,7,FALSE))-
IF($B173&gt;10000,VLOOKUP($B173,实战属性,15,FALSE),VLOOKUP($B173,总基本属性,9,FALSE))*$L$13)*F181)</f>
        <v>64985</v>
      </c>
      <c r="G182">
        <f>INT((IF($A173&gt;10000,VLOOKUP($A173,实战属性,14,FALSE),VLOOKUP($A173,总基本属性,8,FALSE))-
IF($B173&gt;10000,VLOOKUP($B173,实战属性,16,FALSE),VLOOKUP($B173,总基本属性,10,FALSE))*$L$13)*G181)</f>
        <v>0</v>
      </c>
      <c r="H182">
        <f>H181+F182+G182</f>
        <v>70201</v>
      </c>
      <c r="I182">
        <f>IF($B173&gt;10000,VLOOKUP($B173,实战属性,12,FALSE),VLOOKUP($B173,总基本属性,6,FALSE))+I191</f>
        <v>67776</v>
      </c>
      <c r="J182">
        <f>ROUND(I182/H182,2)</f>
        <v>0.97</v>
      </c>
      <c r="P182" t="s">
        <v>195</v>
      </c>
      <c r="Q182">
        <f>INT((IF($A173&gt;10000,VLOOKUP($A173,实战属性,13,FALSE),VLOOKUP($A173,总基本属性,7,FALSE))-
IF($B173&gt;10000,VLOOKUP($B173,实战属性,15,FALSE),VLOOKUP($B173,总基本属性,9,FALSE))*$L$13)*Q181)</f>
        <v>64985</v>
      </c>
      <c r="R182">
        <f>INT((IF($A173&gt;10000,VLOOKUP($A173,实战属性,14,FALSE),VLOOKUP($A173,总基本属性,8,FALSE))-
IF($B173&gt;10000,VLOOKUP($B173,实战属性,16,FALSE),VLOOKUP($B173,总基本属性,10,FALSE))*$L$13)*R181)</f>
        <v>0</v>
      </c>
      <c r="S182">
        <f>S181+Q182+R182</f>
        <v>70201</v>
      </c>
      <c r="T182">
        <f>IF($B173&gt;10000,VLOOKUP($B173,实战属性,12,FALSE),VLOOKUP($B173,总基本属性,6,FALSE))+T191</f>
        <v>67776</v>
      </c>
      <c r="U182">
        <f>ROUND(T182/S182,2)</f>
        <v>0.97</v>
      </c>
    </row>
    <row r="185" spans="1:21" x14ac:dyDescent="0.15">
      <c r="A185" s="9" t="s">
        <v>5</v>
      </c>
      <c r="B185" s="9" t="s">
        <v>448</v>
      </c>
      <c r="C185" s="9" t="s">
        <v>178</v>
      </c>
      <c r="D185" s="9" t="s">
        <v>0</v>
      </c>
      <c r="G185" t="s">
        <v>445</v>
      </c>
      <c r="H185">
        <f>INT(I196/J196/C186)</f>
        <v>8969</v>
      </c>
      <c r="I185" t="s">
        <v>446</v>
      </c>
      <c r="J185">
        <f>ROUND(I191/H185,1)</f>
        <v>1</v>
      </c>
      <c r="L185" s="9" t="s">
        <v>5</v>
      </c>
      <c r="M185" s="9" t="s">
        <v>448</v>
      </c>
      <c r="N185" s="9" t="s">
        <v>178</v>
      </c>
      <c r="O185" s="9" t="s">
        <v>0</v>
      </c>
      <c r="R185" t="s">
        <v>445</v>
      </c>
      <c r="S185">
        <f>INT(T196/U196/N186)</f>
        <v>7751</v>
      </c>
      <c r="T185" t="s">
        <v>446</v>
      </c>
      <c r="U185">
        <f>ROUND(T191/S185,1)</f>
        <v>1.2</v>
      </c>
    </row>
    <row r="186" spans="1:21" x14ac:dyDescent="0.15">
      <c r="A186">
        <f>A157+10</f>
        <v>4060</v>
      </c>
      <c r="B186">
        <f>B157+10</f>
        <v>5060</v>
      </c>
      <c r="C186">
        <v>7</v>
      </c>
      <c r="D186">
        <f>MOD(A186,1000)</f>
        <v>60</v>
      </c>
      <c r="I186" t="s">
        <v>383</v>
      </c>
      <c r="J186">
        <f>VLOOKUP(D186,召唤物生存,13)</f>
        <v>5.47</v>
      </c>
      <c r="L186">
        <f>A186</f>
        <v>4060</v>
      </c>
      <c r="M186">
        <f>B186</f>
        <v>5060</v>
      </c>
      <c r="N186">
        <v>9</v>
      </c>
      <c r="O186">
        <f>MOD(L186,1000)</f>
        <v>60</v>
      </c>
      <c r="T186" t="s">
        <v>383</v>
      </c>
      <c r="U186">
        <f>VLOOKUP(O186,召唤物生存,13)</f>
        <v>5.47</v>
      </c>
    </row>
    <row r="187" spans="1:21" x14ac:dyDescent="0.15">
      <c r="A187" t="s">
        <v>156</v>
      </c>
      <c r="B187" t="s">
        <v>95</v>
      </c>
      <c r="C187" t="s">
        <v>177</v>
      </c>
      <c r="D187" t="s">
        <v>143</v>
      </c>
      <c r="E187" t="s">
        <v>182</v>
      </c>
      <c r="F187" t="s">
        <v>192</v>
      </c>
      <c r="G187" t="s">
        <v>193</v>
      </c>
      <c r="H187" t="s">
        <v>176</v>
      </c>
      <c r="I187" t="s">
        <v>205</v>
      </c>
      <c r="J187" t="s">
        <v>206</v>
      </c>
      <c r="L187" t="s">
        <v>156</v>
      </c>
      <c r="M187" t="s">
        <v>95</v>
      </c>
      <c r="N187" t="s">
        <v>177</v>
      </c>
      <c r="O187" t="s">
        <v>143</v>
      </c>
      <c r="P187" t="s">
        <v>182</v>
      </c>
      <c r="Q187" t="s">
        <v>192</v>
      </c>
      <c r="R187" t="s">
        <v>193</v>
      </c>
      <c r="S187" t="s">
        <v>176</v>
      </c>
      <c r="T187" t="s">
        <v>205</v>
      </c>
      <c r="U187" t="s">
        <v>206</v>
      </c>
    </row>
    <row r="188" spans="1:21" x14ac:dyDescent="0.15">
      <c r="A188">
        <v>42</v>
      </c>
      <c r="B188" t="s">
        <v>35</v>
      </c>
      <c r="C188">
        <v>1</v>
      </c>
      <c r="D188">
        <f>VLOOKUP(A188,技能参数,4,FALSE)</f>
        <v>1</v>
      </c>
      <c r="E188">
        <f>IFERROR(VLOOKUP(A188*1000+D186,学习等级编码,2),0)</f>
        <v>4206</v>
      </c>
      <c r="F188">
        <f>IFERROR(INT(VLOOKUP($E188,技能升级,9,FALSE)*$C188*I188*J188),0)</f>
        <v>0</v>
      </c>
      <c r="G188">
        <f>IFERROR(INT(VLOOKUP($E188,技能升级,10,FALSE)*$C188*I188*J188),0)</f>
        <v>0</v>
      </c>
      <c r="H188">
        <f>INT(VLOOKUP($E188,技能升级,11,FALSE)*$C188*I188*J188)</f>
        <v>0</v>
      </c>
      <c r="I188">
        <v>1</v>
      </c>
      <c r="J188">
        <v>1</v>
      </c>
      <c r="L188">
        <v>42</v>
      </c>
      <c r="M188" t="s">
        <v>35</v>
      </c>
      <c r="N188">
        <v>1</v>
      </c>
      <c r="O188">
        <f>VLOOKUP(L188,技能参数,4,FALSE)</f>
        <v>1</v>
      </c>
      <c r="P188">
        <f>IFERROR(VLOOKUP(L188*1000+O186,学习等级编码,2),0)</f>
        <v>4206</v>
      </c>
      <c r="Q188">
        <f>IFERROR(INT(VLOOKUP(P188,技能升级,9,FALSE)*N188*T188*U188),0)</f>
        <v>0</v>
      </c>
      <c r="R188">
        <f>IFERROR(INT(VLOOKUP(P188,技能升级,10,FALSE)*N188*T188*U188),0)</f>
        <v>0</v>
      </c>
      <c r="S188">
        <f>INT(VLOOKUP(P188,技能升级,11,FALSE)*N188*T188*U188)</f>
        <v>0</v>
      </c>
      <c r="T188">
        <v>1</v>
      </c>
      <c r="U188">
        <v>1</v>
      </c>
    </row>
    <row r="189" spans="1:21" x14ac:dyDescent="0.15">
      <c r="A189">
        <v>43</v>
      </c>
      <c r="B189" t="s">
        <v>36</v>
      </c>
      <c r="C189">
        <v>1</v>
      </c>
      <c r="D189">
        <f>VLOOKUP(A189,技能参数,4,FALSE)</f>
        <v>1</v>
      </c>
      <c r="E189">
        <f>IFERROR(VLOOKUP(A189*1000+D186,学习等级编码,2),0)</f>
        <v>4306</v>
      </c>
      <c r="F189">
        <f t="shared" ref="F189" si="27">IFERROR(INT(VLOOKUP($E189,技能升级,9,FALSE)*$C189*I189*J189),0)</f>
        <v>0</v>
      </c>
      <c r="G189">
        <f t="shared" ref="G189" si="28">IFERROR(INT(VLOOKUP($E189,技能升级,10,FALSE)*$C189*I189*J189),0)</f>
        <v>0</v>
      </c>
      <c r="H189">
        <f>INT(VLOOKUP($E189,技能升级,11,FALSE)*$C189*I189*J189)</f>
        <v>0</v>
      </c>
      <c r="I189">
        <v>1</v>
      </c>
      <c r="J189">
        <v>1</v>
      </c>
      <c r="L189">
        <v>43</v>
      </c>
      <c r="M189" t="s">
        <v>36</v>
      </c>
      <c r="N189">
        <v>1</v>
      </c>
      <c r="O189">
        <f>VLOOKUP(L189,技能参数,4,FALSE)</f>
        <v>1</v>
      </c>
      <c r="P189">
        <f>IFERROR(VLOOKUP(L189*1000+O186,学习等级编码,2),0)</f>
        <v>4306</v>
      </c>
      <c r="Q189">
        <f>IFERROR(INT(VLOOKUP(P189,技能升级,9,FALSE)*N189*T189*U189),0)</f>
        <v>0</v>
      </c>
      <c r="R189">
        <f>IFERROR(INT(VLOOKUP(P189,技能升级,10,FALSE)*N189*T189*U189),0)</f>
        <v>0</v>
      </c>
      <c r="S189">
        <f>INT(VLOOKUP(P189,技能升级,11,FALSE)*N189*T189*U189)</f>
        <v>0</v>
      </c>
      <c r="T189">
        <v>1</v>
      </c>
      <c r="U189">
        <v>1</v>
      </c>
    </row>
    <row r="190" spans="1:21" x14ac:dyDescent="0.15">
      <c r="A190">
        <v>44</v>
      </c>
      <c r="B190" t="s">
        <v>38</v>
      </c>
      <c r="C190">
        <v>1</v>
      </c>
      <c r="D190">
        <f>IFERROR(INT(VLOOKUP($E190,技能升级,13,FALSE)),0)</f>
        <v>5</v>
      </c>
      <c r="E190">
        <f>IFERROR(VLOOKUP(A190*1000+D186,学习等级编码,2),0)</f>
        <v>4406</v>
      </c>
      <c r="F190">
        <f>IFERROR(INT(VLOOKUP($E190,技能升级,9,FALSE)*$C190*I190*J190),0)</f>
        <v>0</v>
      </c>
      <c r="G190">
        <f>IFERROR(INT(VLOOKUP($E190,技能升级,10,FALSE)*$D190*I190*J190),0)</f>
        <v>8555</v>
      </c>
      <c r="H190">
        <f>INT(VLOOKUP($E190,技能升级,11,FALSE)*$D190*I190*J190)</f>
        <v>1285</v>
      </c>
      <c r="I190">
        <v>1</v>
      </c>
      <c r="J190">
        <f>VLOOKUP(A186,$A$2:$I$21,8,FALSE)</f>
        <v>0.93499999999999994</v>
      </c>
      <c r="L190">
        <v>44</v>
      </c>
      <c r="M190" t="s">
        <v>38</v>
      </c>
      <c r="N190">
        <v>0</v>
      </c>
      <c r="O190">
        <v>0</v>
      </c>
      <c r="P190">
        <f>IFERROR(VLOOKUP(L190*1000+O186,学习等级编码,2),0)</f>
        <v>4406</v>
      </c>
      <c r="Q190">
        <f>IFERROR(INT(VLOOKUP(P190,技能升级,9,FALSE)*N190*T190*U190),0)</f>
        <v>0</v>
      </c>
      <c r="R190">
        <f>IFERROR(INT(VLOOKUP(P190,技能升级,10,FALSE)*N190*T190*U190),0)</f>
        <v>0</v>
      </c>
      <c r="S190">
        <f>INT(VLOOKUP(P190,技能升级,11,FALSE)*N190*T190*U190)</f>
        <v>0</v>
      </c>
      <c r="T190">
        <v>1</v>
      </c>
      <c r="U190">
        <f>VLOOKUP(L186,$A$2:$I$21,8,FALSE)</f>
        <v>0.93499999999999994</v>
      </c>
    </row>
    <row r="191" spans="1:21" x14ac:dyDescent="0.15">
      <c r="A191">
        <v>45</v>
      </c>
      <c r="B191" t="s">
        <v>37</v>
      </c>
      <c r="C191">
        <v>1</v>
      </c>
      <c r="D191">
        <f>VLOOKUP(A191,技能参数,4,FALSE)</f>
        <v>2</v>
      </c>
      <c r="E191">
        <f>IFERROR(VLOOKUP(A191*1000+D186,学习等级编码,2),0)</f>
        <v>4504</v>
      </c>
      <c r="F191">
        <f>IFERROR(INT(VLOOKUP($E191,技能升级,9,FALSE)*$C191*I191*J191),0)</f>
        <v>0</v>
      </c>
      <c r="G191">
        <f t="shared" ref="G191:G192" si="29">IFERROR(INT(VLOOKUP($E191,技能升级,10,FALSE)*$C191*I191*J191),0)</f>
        <v>0</v>
      </c>
      <c r="H191">
        <f>INT(VLOOKUP($E191,技能升级,11,FALSE)*$C191*I191*J191)</f>
        <v>0</v>
      </c>
      <c r="I191">
        <f>INT(VLOOKUP($E191,技能升级,13,FALSE)*$C191)</f>
        <v>8916</v>
      </c>
      <c r="J191">
        <v>1</v>
      </c>
      <c r="L191">
        <v>45</v>
      </c>
      <c r="M191" t="s">
        <v>37</v>
      </c>
      <c r="N191">
        <v>1</v>
      </c>
      <c r="O191">
        <f>VLOOKUP(L191,技能参数,4,FALSE)</f>
        <v>2</v>
      </c>
      <c r="P191">
        <f>IFERROR(VLOOKUP(L191*1000+O186,学习等级编码,2),0)</f>
        <v>4504</v>
      </c>
      <c r="Q191">
        <f>IFERROR(INT(VLOOKUP(P191,技能升级,9,FALSE)*N191*T191*U191),0)</f>
        <v>0</v>
      </c>
      <c r="R191">
        <f>IFERROR(INT(VLOOKUP(P191,技能升级,10,FALSE)*N191*T191*U191),0)</f>
        <v>0</v>
      </c>
      <c r="S191">
        <f>INT(VLOOKUP(P191,技能升级,11,FALSE)*N191*T191*U191)</f>
        <v>0</v>
      </c>
      <c r="T191">
        <f>INT(VLOOKUP($E191,技能升级,13,FALSE)*$C191)</f>
        <v>8916</v>
      </c>
      <c r="U191">
        <v>1</v>
      </c>
    </row>
    <row r="192" spans="1:21" x14ac:dyDescent="0.15">
      <c r="A192">
        <v>41</v>
      </c>
      <c r="B192" t="s">
        <v>361</v>
      </c>
      <c r="C192">
        <f>IF(INT((C186-C188*D188-C189*D189-C190*D190-C191*D191)/D192)&gt;0,INT((C186-C188*D188-C189*D189-C190*D190-C191*D191)/D192),0)</f>
        <v>0</v>
      </c>
      <c r="D192">
        <f>VLOOKUP(A192,技能参数,4,FALSE)</f>
        <v>1.2</v>
      </c>
      <c r="E192">
        <f>IFERROR(VLOOKUP(A192*1000+D186,学习等级编码,2),0)</f>
        <v>4109</v>
      </c>
      <c r="F192">
        <f>IFERROR(INT(VLOOKUP($E192,技能升级,9,FALSE)*$C192*I192*J192),0)</f>
        <v>0</v>
      </c>
      <c r="G192">
        <f t="shared" si="29"/>
        <v>0</v>
      </c>
      <c r="H192">
        <f>INT(VLOOKUP($E192,技能升级,11,FALSE)*$C192*I192*J192)</f>
        <v>0</v>
      </c>
      <c r="I192">
        <v>1</v>
      </c>
      <c r="J192">
        <f>VLOOKUP(A186,$A$2:$I$21,8,FALSE)</f>
        <v>0.93499999999999994</v>
      </c>
      <c r="L192">
        <v>41</v>
      </c>
      <c r="M192" t="s">
        <v>361</v>
      </c>
      <c r="N192">
        <f>IF(INT((N186-N188*O188-N189*O189-N190*O190-N191*O191)/O192)&gt;0,INT((N186-N188*O188-N189*O189-N190*O190-N191*O191)/O192),0)</f>
        <v>4</v>
      </c>
      <c r="O192">
        <f>VLOOKUP(L192,技能参数,4,FALSE)</f>
        <v>1.2</v>
      </c>
      <c r="P192">
        <f>IFERROR(VLOOKUP(L192*1000+O186,学习等级编码,2),0)</f>
        <v>4109</v>
      </c>
      <c r="Q192">
        <f>IFERROR(INT(VLOOKUP(P192,技能升级,9,FALSE)*N192*T192*U192),0)</f>
        <v>0</v>
      </c>
      <c r="R192">
        <f>IFERROR(INT(VLOOKUP(P192,技能升级,10,FALSE)*N192*T192*U192),0)</f>
        <v>5011</v>
      </c>
      <c r="S192">
        <f>INT(VLOOKUP(P192,技能升级,11,FALSE)*N192*T192*U192)</f>
        <v>1009</v>
      </c>
      <c r="T192">
        <v>1</v>
      </c>
      <c r="U192">
        <f>VLOOKUP(A186,$A$2:$I$21,8,FALSE)</f>
        <v>0.93499999999999994</v>
      </c>
    </row>
    <row r="193" spans="1:21" x14ac:dyDescent="0.15">
      <c r="A193">
        <f>VLOOKUP(E188,技能升级,13,FALSE)</f>
        <v>106</v>
      </c>
      <c r="B193" t="s">
        <v>375</v>
      </c>
      <c r="C193">
        <f>C186+C186-3.5</f>
        <v>10.5</v>
      </c>
      <c r="G193">
        <f>INT((VLOOKUP(A193,召唤物属性,7,FALSE)-
IF($B186&gt;10000,VLOOKUP($B186,实战属性,15,FALSE),VLOOKUP($B186,总基本属性,9,FALSE))*$L$13)*I193*J193)</f>
        <v>1804</v>
      </c>
      <c r="I193">
        <f>VLOOKUP($E188,技能升级,14,FALSE)</f>
        <v>2</v>
      </c>
      <c r="J193">
        <v>1</v>
      </c>
      <c r="L193">
        <f>VLOOKUP(P188,技能升级,13,FALSE)</f>
        <v>106</v>
      </c>
      <c r="M193" t="s">
        <v>375</v>
      </c>
      <c r="N193">
        <f>N186+N186-3.5</f>
        <v>14.5</v>
      </c>
      <c r="R193">
        <f>INT((VLOOKUP(L193,召唤物属性,7,FALSE)-
IF($B186&gt;10000,VLOOKUP($B186,实战属性,15,FALSE),VLOOKUP($B186,总基本属性,9,FALSE))*$L$13)*T193*U193)</f>
        <v>1804</v>
      </c>
      <c r="T193">
        <f>VLOOKUP($E188,技能升级,14,FALSE)</f>
        <v>2</v>
      </c>
      <c r="U193">
        <v>1</v>
      </c>
    </row>
    <row r="194" spans="1:21" x14ac:dyDescent="0.15">
      <c r="A194">
        <f>VLOOKUP(E189,技能升级,13,FALSE)</f>
        <v>206</v>
      </c>
      <c r="B194" t="s">
        <v>374</v>
      </c>
      <c r="C194">
        <f>C186+C186-3.5</f>
        <v>10.5</v>
      </c>
      <c r="F194">
        <f>INT((VLOOKUP(A194,召唤物属性,6,FALSE)-
IF($B186&gt;10000,VLOOKUP($B186,实战属性,15,FALSE),VLOOKUP($B186,总基本属性,9,FALSE))*$L$13)*I194*J194)</f>
        <v>2271</v>
      </c>
      <c r="I194">
        <f>VLOOKUP($E189,技能升级,14,FALSE)</f>
        <v>3</v>
      </c>
      <c r="J194">
        <f>VLOOKUP(A186,$A$2:$I$21,9,FALSE)</f>
        <v>0.94400000000000006</v>
      </c>
      <c r="L194">
        <f>VLOOKUP(P189,技能升级,13,FALSE)</f>
        <v>206</v>
      </c>
      <c r="M194" t="s">
        <v>374</v>
      </c>
      <c r="N194">
        <f>N186+N186-3.5</f>
        <v>14.5</v>
      </c>
      <c r="Q194">
        <f>INT((VLOOKUP(L194,召唤物属性,6,FALSE)-
IF($B186&gt;10000,VLOOKUP($B186,实战属性,15,FALSE),VLOOKUP($B186,总基本属性,9,FALSE))*$L$13)*T194*U194)</f>
        <v>2271</v>
      </c>
      <c r="T194">
        <f>VLOOKUP($E189,技能升级,14,FALSE)</f>
        <v>3</v>
      </c>
      <c r="U194">
        <f>VLOOKUP(L186,$A$2:$I$21,9,FALSE)</f>
        <v>0.94400000000000006</v>
      </c>
    </row>
    <row r="195" spans="1:21" x14ac:dyDescent="0.15">
      <c r="E195" t="s">
        <v>194</v>
      </c>
      <c r="F195">
        <f>SUM(F188:F192)/1000</f>
        <v>0</v>
      </c>
      <c r="G195">
        <f>SUM(G188:G192)/1000</f>
        <v>8.5549999999999997</v>
      </c>
      <c r="H195">
        <f>SUM(H188:H191)</f>
        <v>1285</v>
      </c>
      <c r="I195" t="s">
        <v>196</v>
      </c>
      <c r="J195" t="s">
        <v>197</v>
      </c>
      <c r="P195" t="s">
        <v>194</v>
      </c>
      <c r="Q195">
        <f>SUM(Q188:Q192)/1000</f>
        <v>0</v>
      </c>
      <c r="R195">
        <f>SUM(R188:R192)/1000</f>
        <v>5.0110000000000001</v>
      </c>
      <c r="S195">
        <f>SUM(S188:S191)</f>
        <v>0</v>
      </c>
      <c r="T195" t="s">
        <v>196</v>
      </c>
      <c r="U195" t="s">
        <v>197</v>
      </c>
    </row>
    <row r="196" spans="1:21" x14ac:dyDescent="0.15">
      <c r="E196" t="s">
        <v>195</v>
      </c>
      <c r="F196">
        <f>INT((IF($A186&gt;10000,VLOOKUP($A186,实战属性,13,FALSE),VLOOKUP($A186,总基本属性,7,FALSE))-
IF($B186&gt;10000,VLOOKUP($B186,实战属性,15,FALSE),VLOOKUP($B186,总基本属性,9,FALSE))*$L$13)*F195)</f>
        <v>0</v>
      </c>
      <c r="G196">
        <f>INT((IF($A186&gt;10000,VLOOKUP($A186,实战属性,14,FALSE),VLOOKUP($A186,总基本属性,8,FALSE))-
IF($B186&gt;10000,VLOOKUP($B186,实战属性,16,FALSE),VLOOKUP($B186,总基本属性,10,FALSE))*$L$13)*G195)</f>
        <v>18838</v>
      </c>
      <c r="H196">
        <f>H195+F196+G196</f>
        <v>20123</v>
      </c>
      <c r="I196">
        <f>IF($B186&gt;10000,VLOOKUP($B186,实战属性,12,FALSE),VLOOKUP($B186,总基本属性,6,FALSE))</f>
        <v>62784</v>
      </c>
      <c r="J196">
        <f>ROUND(I196/H197,2)</f>
        <v>1</v>
      </c>
      <c r="P196" t="s">
        <v>195</v>
      </c>
      <c r="Q196">
        <f>INT((IF($A186&gt;10000,VLOOKUP($A186,实战属性,13,FALSE),VLOOKUP($A186,总基本属性,7,FALSE))-
IF($B186&gt;10000,VLOOKUP($B186,实战属性,15,FALSE),VLOOKUP($B186,总基本属性,9,FALSE))*$L$13)*Q195)</f>
        <v>0</v>
      </c>
      <c r="R196">
        <f>INT((IF($A186&gt;10000,VLOOKUP($A186,实战属性,14,FALSE),VLOOKUP($A186,总基本属性,8,FALSE))-
IF($B186&gt;10000,VLOOKUP($B186,实战属性,16,FALSE),VLOOKUP($B186,总基本属性,10,FALSE))*$L$13)*R195)</f>
        <v>11034</v>
      </c>
      <c r="S196">
        <f>S195+Q196+R196</f>
        <v>11034</v>
      </c>
      <c r="T196">
        <f>IF($B186&gt;10000,VLOOKUP($B186,实战属性,12,FALSE),VLOOKUP($B186,总基本属性,6,FALSE))</f>
        <v>62784</v>
      </c>
      <c r="U196">
        <f>ROUND(T196/S197,2)</f>
        <v>0.9</v>
      </c>
    </row>
    <row r="197" spans="1:21" x14ac:dyDescent="0.15">
      <c r="E197" t="s">
        <v>376</v>
      </c>
      <c r="F197">
        <f>INT(F194*C194)</f>
        <v>23845</v>
      </c>
      <c r="G197">
        <f>INT(G193*C193)</f>
        <v>18942</v>
      </c>
      <c r="H197">
        <f>F197+G197+H196</f>
        <v>62910</v>
      </c>
      <c r="P197" t="s">
        <v>376</v>
      </c>
      <c r="Q197">
        <f>INT(Q194*N194)</f>
        <v>32929</v>
      </c>
      <c r="R197">
        <f>INT(R193*N193)</f>
        <v>26158</v>
      </c>
      <c r="S197">
        <f>Q197+R197+S196</f>
        <v>70121</v>
      </c>
    </row>
    <row r="201" spans="1:21" x14ac:dyDescent="0.15">
      <c r="A201" s="8" t="s">
        <v>6</v>
      </c>
      <c r="B201" s="8" t="s">
        <v>444</v>
      </c>
      <c r="C201" s="8" t="s">
        <v>178</v>
      </c>
      <c r="D201" s="8" t="s">
        <v>0</v>
      </c>
      <c r="L201" s="8" t="s">
        <v>6</v>
      </c>
      <c r="M201" s="8" t="s">
        <v>444</v>
      </c>
      <c r="N201" s="8" t="s">
        <v>178</v>
      </c>
      <c r="O201" s="8" t="s">
        <v>0</v>
      </c>
    </row>
    <row r="202" spans="1:21" x14ac:dyDescent="0.15">
      <c r="A202">
        <f>A173+10</f>
        <v>5070</v>
      </c>
      <c r="B202">
        <f>B173+10</f>
        <v>4070</v>
      </c>
      <c r="C202">
        <v>14</v>
      </c>
      <c r="D202">
        <f>MOD(A202,1000)</f>
        <v>70</v>
      </c>
      <c r="L202">
        <f>A202</f>
        <v>5070</v>
      </c>
      <c r="M202">
        <f>B202</f>
        <v>4070</v>
      </c>
      <c r="N202">
        <v>9</v>
      </c>
      <c r="O202">
        <f>MOD(L202,1000)</f>
        <v>70</v>
      </c>
    </row>
    <row r="203" spans="1:21" x14ac:dyDescent="0.15">
      <c r="A203" t="s">
        <v>156</v>
      </c>
      <c r="B203" t="s">
        <v>95</v>
      </c>
      <c r="C203" t="s">
        <v>142</v>
      </c>
      <c r="D203" t="s">
        <v>143</v>
      </c>
      <c r="E203" t="s">
        <v>182</v>
      </c>
      <c r="F203" t="s">
        <v>192</v>
      </c>
      <c r="G203" t="s">
        <v>193</v>
      </c>
      <c r="H203" t="s">
        <v>176</v>
      </c>
      <c r="I203" t="s">
        <v>205</v>
      </c>
      <c r="J203" t="s">
        <v>206</v>
      </c>
      <c r="L203" t="s">
        <v>156</v>
      </c>
      <c r="M203" t="s">
        <v>95</v>
      </c>
      <c r="N203" t="s">
        <v>142</v>
      </c>
      <c r="O203" t="s">
        <v>143</v>
      </c>
      <c r="P203" t="s">
        <v>182</v>
      </c>
      <c r="Q203" t="s">
        <v>192</v>
      </c>
      <c r="R203" t="s">
        <v>193</v>
      </c>
      <c r="S203" t="s">
        <v>176</v>
      </c>
      <c r="T203" t="s">
        <v>205</v>
      </c>
      <c r="U203" t="s">
        <v>206</v>
      </c>
    </row>
    <row r="204" spans="1:21" x14ac:dyDescent="0.15">
      <c r="A204">
        <v>52</v>
      </c>
      <c r="B204" t="s">
        <v>44</v>
      </c>
      <c r="C204">
        <v>0</v>
      </c>
      <c r="D204">
        <f>VLOOKUP(A204,技能参数,4,FALSE)</f>
        <v>1.5</v>
      </c>
      <c r="E204">
        <f>VLOOKUP(A204*1000+D202,学习等级编码,2)</f>
        <v>5207</v>
      </c>
      <c r="F204">
        <f>INT(VLOOKUP(E204,技能升级,9,FALSE)*C204*I204*J204)</f>
        <v>0</v>
      </c>
      <c r="G204">
        <f>INT(VLOOKUP(E204,技能升级,10,FALSE)*C204*I204*J204)</f>
        <v>0</v>
      </c>
      <c r="H204">
        <f>INT(VLOOKUP(E204,技能升级,11,FALSE)*C204*I204*J204)</f>
        <v>0</v>
      </c>
      <c r="I204">
        <v>1</v>
      </c>
      <c r="J204">
        <v>1</v>
      </c>
      <c r="L204">
        <v>52</v>
      </c>
      <c r="M204" t="s">
        <v>44</v>
      </c>
      <c r="N204">
        <v>0</v>
      </c>
      <c r="O204">
        <f>VLOOKUP(L204,技能参数,4,FALSE)</f>
        <v>1.5</v>
      </c>
      <c r="P204">
        <f>VLOOKUP(L204*1000+O202,学习等级编码,2)</f>
        <v>5207</v>
      </c>
      <c r="Q204">
        <f>INT(VLOOKUP(P204,技能升级,9,FALSE)*N204*T204*U204)</f>
        <v>0</v>
      </c>
      <c r="R204">
        <f>INT(VLOOKUP(P204,技能升级,10,FALSE)*N204*T204*U204)</f>
        <v>0</v>
      </c>
      <c r="S204">
        <f>INT(VLOOKUP(P204,技能升级,11,FALSE)*N204*T204*U204)</f>
        <v>0</v>
      </c>
      <c r="T204">
        <v>1</v>
      </c>
      <c r="U204">
        <v>1</v>
      </c>
    </row>
    <row r="205" spans="1:21" x14ac:dyDescent="0.15">
      <c r="A205">
        <v>54</v>
      </c>
      <c r="B205" t="s">
        <v>40</v>
      </c>
      <c r="C205">
        <v>0</v>
      </c>
      <c r="D205">
        <f>VLOOKUP(A205,技能参数,4,FALSE)</f>
        <v>1.2</v>
      </c>
      <c r="E205">
        <f>VLOOKUP(A205*1000+D202,学习等级编码,2)</f>
        <v>5407</v>
      </c>
      <c r="F205">
        <f>INT(VLOOKUP(E205,技能升级,9,FALSE)*C205*I205*J205)</f>
        <v>0</v>
      </c>
      <c r="G205">
        <f>INT(VLOOKUP(E205,技能升级,10,FALSE)*C205*I205*J205)</f>
        <v>0</v>
      </c>
      <c r="H205">
        <f>INT(VLOOKUP(E205,技能升级,11,FALSE)*C205*I205*J205)</f>
        <v>0</v>
      </c>
      <c r="I205">
        <v>1</v>
      </c>
      <c r="J205">
        <v>1</v>
      </c>
      <c r="L205">
        <v>54</v>
      </c>
      <c r="M205" t="s">
        <v>40</v>
      </c>
      <c r="N205">
        <v>0</v>
      </c>
      <c r="O205">
        <f>VLOOKUP(L205,技能参数,4,FALSE)</f>
        <v>1.2</v>
      </c>
      <c r="P205">
        <f>VLOOKUP(L205*1000+O202,学习等级编码,2)</f>
        <v>5407</v>
      </c>
      <c r="Q205">
        <f>INT(VLOOKUP(P205,技能升级,9,FALSE)*N205*T205*U205)</f>
        <v>0</v>
      </c>
      <c r="R205">
        <f>INT(VLOOKUP(P205,技能升级,10,FALSE)*N205*T205*U205)</f>
        <v>0</v>
      </c>
      <c r="S205">
        <f>INT(VLOOKUP(P205,技能升级,11,FALSE)*N205*T205*U205)</f>
        <v>0</v>
      </c>
      <c r="T205">
        <v>1</v>
      </c>
      <c r="U205">
        <v>1</v>
      </c>
    </row>
    <row r="206" spans="1:21" x14ac:dyDescent="0.15">
      <c r="A206">
        <v>51</v>
      </c>
      <c r="B206" t="s">
        <v>203</v>
      </c>
      <c r="C206">
        <v>2</v>
      </c>
      <c r="D206">
        <f>VLOOKUP(A206,技能参数,4,FALSE)</f>
        <v>0.9</v>
      </c>
      <c r="E206">
        <f>VLOOKUP(A206*1000+D202,学习等级编码,2)</f>
        <v>5111</v>
      </c>
      <c r="F206">
        <f>INT(VLOOKUP(E206,技能升级,9,FALSE)*C206*I206*J206)</f>
        <v>2940</v>
      </c>
      <c r="G206">
        <f>INT(VLOOKUP(E206,技能升级,10,FALSE)*C206*I206*J206)</f>
        <v>0</v>
      </c>
      <c r="H206">
        <f>INT(VLOOKUP(E206,技能升级,11,FALSE)*C206*I206*J206)</f>
        <v>812</v>
      </c>
      <c r="I206">
        <v>1</v>
      </c>
      <c r="J206">
        <v>1</v>
      </c>
      <c r="L206">
        <v>51</v>
      </c>
      <c r="M206" t="s">
        <v>203</v>
      </c>
      <c r="N206">
        <v>2</v>
      </c>
      <c r="O206">
        <f>VLOOKUP(L206,技能参数,4,FALSE)</f>
        <v>0.9</v>
      </c>
      <c r="P206">
        <f>VLOOKUP(L206*1000+O202,学习等级编码,2)</f>
        <v>5111</v>
      </c>
      <c r="Q206">
        <f>INT(VLOOKUP(P206,技能升级,9,FALSE)*N206*T206*U206)</f>
        <v>2940</v>
      </c>
      <c r="R206">
        <f>INT(VLOOKUP(P206,技能升级,10,FALSE)*N206*T206*U206)</f>
        <v>0</v>
      </c>
      <c r="S206">
        <f>INT(VLOOKUP(P206,技能升级,11,FALSE)*N206*T206*U206)</f>
        <v>812</v>
      </c>
      <c r="T206">
        <v>1</v>
      </c>
      <c r="U206">
        <v>1</v>
      </c>
    </row>
    <row r="207" spans="1:21" x14ac:dyDescent="0.15">
      <c r="A207">
        <v>51</v>
      </c>
      <c r="B207" t="s">
        <v>204</v>
      </c>
      <c r="C207">
        <f>INT((C202-C204*D204-C205*D205-D206*C206-C209)/D207*3)</f>
        <v>24</v>
      </c>
      <c r="D207">
        <f>VLOOKUP(A207,技能参数,4,FALSE)</f>
        <v>0.9</v>
      </c>
      <c r="E207">
        <f>VLOOKUP(A207*1000+D202,学习等级编码,2)</f>
        <v>5111</v>
      </c>
      <c r="F207">
        <f>INT(VLOOKUP(E207,技能升级,9,FALSE)*C207*I207*J207)</f>
        <v>24288</v>
      </c>
      <c r="G207">
        <f>INT(VLOOKUP(E207,技能升级,10,FALSE)*C207*I207*J207)</f>
        <v>0</v>
      </c>
      <c r="H207">
        <f>INT(VLOOKUP(E207,技能升级,11,FALSE)*C207*I207*J207)</f>
        <v>6708</v>
      </c>
      <c r="I207">
        <f>F208/1000</f>
        <v>0.49</v>
      </c>
      <c r="J207">
        <f>VLOOKUP(A202,$A$2:$I$21,7,FALSE)</f>
        <v>1.4049999999999998</v>
      </c>
      <c r="L207">
        <v>51</v>
      </c>
      <c r="M207" t="s">
        <v>204</v>
      </c>
      <c r="N207">
        <f>INT((N202-N204*O204-N205*O205-O206*N206-N209)/O207*3)</f>
        <v>24</v>
      </c>
      <c r="O207">
        <f>VLOOKUP(L207,技能参数,4,FALSE)</f>
        <v>0.9</v>
      </c>
      <c r="P207">
        <f>VLOOKUP(L207*1000+O202,学习等级编码,2)</f>
        <v>5111</v>
      </c>
      <c r="Q207">
        <f>INT(VLOOKUP(P207,技能升级,9,FALSE)*N207*T207*U207)</f>
        <v>24288</v>
      </c>
      <c r="R207">
        <f>INT(VLOOKUP(P207,技能升级,10,FALSE)*N207*T207*U207)</f>
        <v>0</v>
      </c>
      <c r="S207">
        <f>INT(VLOOKUP(P207,技能升级,11,FALSE)*N207*T207*U207)</f>
        <v>6708</v>
      </c>
      <c r="T207">
        <f>Q208/1000</f>
        <v>0.49</v>
      </c>
      <c r="U207">
        <f>VLOOKUP(L202,$A$2:$I$21,7,FALSE)</f>
        <v>1.4049999999999998</v>
      </c>
    </row>
    <row r="208" spans="1:21" x14ac:dyDescent="0.15">
      <c r="A208">
        <v>55</v>
      </c>
      <c r="B208" t="s">
        <v>46</v>
      </c>
      <c r="C208">
        <v>1</v>
      </c>
      <c r="D208">
        <v>0</v>
      </c>
      <c r="E208">
        <f>VLOOKUP(A208*1000+D202,学习等级编码,2)</f>
        <v>5505</v>
      </c>
      <c r="F208">
        <f>INT(VLOOKUP($E208,技能升级,14,FALSE)*$C208*I208)</f>
        <v>490</v>
      </c>
      <c r="G208">
        <f>INT(VLOOKUP($E208,技能升级,10,FALSE)*$C208*I208)</f>
        <v>0</v>
      </c>
      <c r="H208">
        <f>INT(VLOOKUP($E208,技能升级,11,FALSE)*$C208*I208*J208)</f>
        <v>0</v>
      </c>
      <c r="I208">
        <v>1</v>
      </c>
      <c r="J208">
        <v>1</v>
      </c>
      <c r="L208">
        <v>55</v>
      </c>
      <c r="M208" t="s">
        <v>46</v>
      </c>
      <c r="N208">
        <v>1</v>
      </c>
      <c r="O208">
        <v>0</v>
      </c>
      <c r="P208">
        <f>VLOOKUP(L208*1000+O202,学习等级编码,2)</f>
        <v>5505</v>
      </c>
      <c r="Q208">
        <f>INT(VLOOKUP($E208,技能升级,14,FALSE)*$C208*T208)</f>
        <v>490</v>
      </c>
      <c r="R208">
        <f>INT(VLOOKUP($E208,技能升级,10,FALSE)*$C208*T208)</f>
        <v>0</v>
      </c>
      <c r="S208">
        <f>INT(VLOOKUP($E208,技能升级,11,FALSE)*$C208*T208*U208)</f>
        <v>0</v>
      </c>
      <c r="T208">
        <v>1</v>
      </c>
      <c r="U208">
        <v>1</v>
      </c>
    </row>
    <row r="209" spans="1:21" x14ac:dyDescent="0.15">
      <c r="B209" t="s">
        <v>38</v>
      </c>
      <c r="C209">
        <f>D219</f>
        <v>5</v>
      </c>
      <c r="M209" t="s">
        <v>38</v>
      </c>
      <c r="N209">
        <f>O219</f>
        <v>0</v>
      </c>
    </row>
    <row r="210" spans="1:21" x14ac:dyDescent="0.15">
      <c r="E210" t="s">
        <v>194</v>
      </c>
      <c r="F210">
        <f>SUM(F204:F207)/1000</f>
        <v>27.228000000000002</v>
      </c>
      <c r="G210">
        <f>SUM(G204:G207)/1000</f>
        <v>0</v>
      </c>
      <c r="H210">
        <f>SUM(H204:H207)</f>
        <v>7520</v>
      </c>
      <c r="I210" t="s">
        <v>196</v>
      </c>
      <c r="J210" t="s">
        <v>197</v>
      </c>
      <c r="P210" t="s">
        <v>194</v>
      </c>
      <c r="Q210">
        <f>SUM(Q204:Q207)/1000</f>
        <v>27.228000000000002</v>
      </c>
      <c r="R210">
        <f>SUM(R204:R207)/1000</f>
        <v>0</v>
      </c>
      <c r="S210">
        <f>SUM(S204:S207)</f>
        <v>7520</v>
      </c>
      <c r="T210" t="s">
        <v>196</v>
      </c>
      <c r="U210" t="s">
        <v>197</v>
      </c>
    </row>
    <row r="211" spans="1:21" x14ac:dyDescent="0.15">
      <c r="E211" t="s">
        <v>195</v>
      </c>
      <c r="F211">
        <f>INT((IF($A202&gt;10000,VLOOKUP($A202,实战属性,13,FALSE),VLOOKUP($A202,总基本属性,7,FALSE))-
IF($B202&gt;10000,VLOOKUP($B202,实战属性,15,FALSE),VLOOKUP($B202,总基本属性,9,FALSE))*$L$13)*F210)</f>
        <v>81425</v>
      </c>
      <c r="G211">
        <f>INT((IF($A202&gt;10000,VLOOKUP($A202,实战属性,14,FALSE),VLOOKUP($A202,总基本属性,8,FALSE))-
IF($B202&gt;10000,VLOOKUP($B202,实战属性,16,FALSE),VLOOKUP($B202,总基本属性,10,FALSE))*$L$13)*G210)</f>
        <v>0</v>
      </c>
      <c r="H211">
        <f>H210+F211+G211</f>
        <v>88945</v>
      </c>
      <c r="I211">
        <f>IF($B202&gt;10000,VLOOKUP($B202,实战属性,12,FALSE),VLOOKUP($B202,总基本属性,6,FALSE))+I220</f>
        <v>91482</v>
      </c>
      <c r="J211">
        <f>ROUND(I211/H211,2)</f>
        <v>1.03</v>
      </c>
      <c r="P211" t="s">
        <v>195</v>
      </c>
      <c r="Q211">
        <f>INT((IF($A202&gt;10000,VLOOKUP($A202,实战属性,13,FALSE),VLOOKUP($A202,总基本属性,7,FALSE))-
IF($B202&gt;10000,VLOOKUP($B202,实战属性,15,FALSE),VLOOKUP($B202,总基本属性,9,FALSE))*$L$13)*Q210)</f>
        <v>81425</v>
      </c>
      <c r="R211">
        <f>INT((IF($A202&gt;10000,VLOOKUP($A202,实战属性,14,FALSE),VLOOKUP($A202,总基本属性,8,FALSE))-
IF($B202&gt;10000,VLOOKUP($B202,实战属性,16,FALSE),VLOOKUP($B202,总基本属性,10,FALSE))*$L$13)*R210)</f>
        <v>0</v>
      </c>
      <c r="S211">
        <f>S210+Q211+R211</f>
        <v>88945</v>
      </c>
      <c r="T211">
        <f>IF($B202&gt;10000,VLOOKUP($B202,实战属性,12,FALSE),VLOOKUP($B202,总基本属性,6,FALSE))+T220</f>
        <v>91482</v>
      </c>
      <c r="U211">
        <f>ROUND(T211/S211,2)</f>
        <v>1.03</v>
      </c>
    </row>
    <row r="214" spans="1:21" x14ac:dyDescent="0.15">
      <c r="A214" s="9" t="s">
        <v>5</v>
      </c>
      <c r="B214" s="9" t="s">
        <v>448</v>
      </c>
      <c r="C214" s="9" t="s">
        <v>178</v>
      </c>
      <c r="D214" s="9" t="s">
        <v>0</v>
      </c>
      <c r="G214" t="s">
        <v>445</v>
      </c>
      <c r="H214">
        <f>INT(I225/J225/C215)</f>
        <v>12054</v>
      </c>
      <c r="I214" t="s">
        <v>446</v>
      </c>
      <c r="J214">
        <f>ROUND(I220/H214,1)</f>
        <v>1</v>
      </c>
      <c r="L214" s="9" t="s">
        <v>5</v>
      </c>
      <c r="M214" s="9" t="s">
        <v>448</v>
      </c>
      <c r="N214" s="9" t="s">
        <v>178</v>
      </c>
      <c r="O214" s="9" t="s">
        <v>0</v>
      </c>
      <c r="R214" t="s">
        <v>445</v>
      </c>
      <c r="S214">
        <f>INT(T225/U225/N215)</f>
        <v>9950</v>
      </c>
      <c r="T214" t="s">
        <v>446</v>
      </c>
      <c r="U214">
        <f>ROUND(T220/S214,1)</f>
        <v>1.2</v>
      </c>
    </row>
    <row r="215" spans="1:21" x14ac:dyDescent="0.15">
      <c r="A215">
        <f>A186+10</f>
        <v>4070</v>
      </c>
      <c r="B215">
        <f>B186+10</f>
        <v>5070</v>
      </c>
      <c r="C215">
        <v>7</v>
      </c>
      <c r="D215">
        <f>MOD(A215,1000)</f>
        <v>70</v>
      </c>
      <c r="I215" t="s">
        <v>383</v>
      </c>
      <c r="J215">
        <f>VLOOKUP(D215,召唤物生存,13)</f>
        <v>5.2</v>
      </c>
      <c r="L215">
        <f>A215</f>
        <v>4070</v>
      </c>
      <c r="M215">
        <f>B215</f>
        <v>5070</v>
      </c>
      <c r="N215">
        <v>8</v>
      </c>
      <c r="O215">
        <f>MOD(L215,1000)</f>
        <v>70</v>
      </c>
      <c r="T215" t="s">
        <v>383</v>
      </c>
      <c r="U215">
        <f>VLOOKUP(O215,召唤物生存,13)</f>
        <v>5.2</v>
      </c>
    </row>
    <row r="216" spans="1:21" x14ac:dyDescent="0.15">
      <c r="A216" t="s">
        <v>156</v>
      </c>
      <c r="B216" t="s">
        <v>95</v>
      </c>
      <c r="C216" t="s">
        <v>177</v>
      </c>
      <c r="D216" t="s">
        <v>143</v>
      </c>
      <c r="E216" t="s">
        <v>182</v>
      </c>
      <c r="F216" t="s">
        <v>192</v>
      </c>
      <c r="G216" t="s">
        <v>193</v>
      </c>
      <c r="H216" t="s">
        <v>176</v>
      </c>
      <c r="I216" t="s">
        <v>205</v>
      </c>
      <c r="J216" t="s">
        <v>206</v>
      </c>
      <c r="L216" t="s">
        <v>156</v>
      </c>
      <c r="M216" t="s">
        <v>95</v>
      </c>
      <c r="N216" t="s">
        <v>177</v>
      </c>
      <c r="O216" t="s">
        <v>143</v>
      </c>
      <c r="P216" t="s">
        <v>182</v>
      </c>
      <c r="Q216" t="s">
        <v>192</v>
      </c>
      <c r="R216" t="s">
        <v>193</v>
      </c>
      <c r="S216" t="s">
        <v>176</v>
      </c>
      <c r="T216" t="s">
        <v>205</v>
      </c>
      <c r="U216" t="s">
        <v>206</v>
      </c>
    </row>
    <row r="217" spans="1:21" x14ac:dyDescent="0.15">
      <c r="A217">
        <v>42</v>
      </c>
      <c r="B217" t="s">
        <v>35</v>
      </c>
      <c r="C217">
        <v>1</v>
      </c>
      <c r="D217">
        <f>VLOOKUP(A217,技能参数,4,FALSE)</f>
        <v>1</v>
      </c>
      <c r="E217">
        <f>IFERROR(VLOOKUP(A217*1000+D215,学习等级编码,2),0)</f>
        <v>4207</v>
      </c>
      <c r="F217">
        <f>IFERROR(INT(VLOOKUP($E217,技能升级,9,FALSE)*$C217*I217*J217),0)</f>
        <v>0</v>
      </c>
      <c r="G217">
        <f>IFERROR(INT(VLOOKUP($E217,技能升级,10,FALSE)*$C217*I217*J217),0)</f>
        <v>0</v>
      </c>
      <c r="H217">
        <f>INT(VLOOKUP($E217,技能升级,11,FALSE)*$C217*I217*J217)</f>
        <v>0</v>
      </c>
      <c r="I217">
        <v>1</v>
      </c>
      <c r="J217">
        <v>1</v>
      </c>
      <c r="L217">
        <v>42</v>
      </c>
      <c r="M217" t="s">
        <v>35</v>
      </c>
      <c r="N217">
        <v>1</v>
      </c>
      <c r="O217">
        <f>VLOOKUP(L217,技能参数,4,FALSE)</f>
        <v>1</v>
      </c>
      <c r="P217">
        <f>IFERROR(VLOOKUP(L217*1000+O215,学习等级编码,2),0)</f>
        <v>4207</v>
      </c>
      <c r="Q217">
        <f>IFERROR(INT(VLOOKUP(P217,技能升级,9,FALSE)*N217*T217*U217),0)</f>
        <v>0</v>
      </c>
      <c r="R217">
        <f>IFERROR(INT(VLOOKUP(P217,技能升级,10,FALSE)*N217*T217*U217),0)</f>
        <v>0</v>
      </c>
      <c r="S217">
        <f>INT(VLOOKUP(P217,技能升级,11,FALSE)*N217*T217*U217)</f>
        <v>0</v>
      </c>
      <c r="T217">
        <v>1</v>
      </c>
      <c r="U217">
        <v>1</v>
      </c>
    </row>
    <row r="218" spans="1:21" x14ac:dyDescent="0.15">
      <c r="A218">
        <v>43</v>
      </c>
      <c r="B218" t="s">
        <v>36</v>
      </c>
      <c r="C218">
        <v>1</v>
      </c>
      <c r="D218">
        <f>VLOOKUP(A218,技能参数,4,FALSE)</f>
        <v>1</v>
      </c>
      <c r="E218">
        <f>IFERROR(VLOOKUP(A218*1000+D215,学习等级编码,2),0)</f>
        <v>4307</v>
      </c>
      <c r="F218">
        <f t="shared" ref="F218" si="30">IFERROR(INT(VLOOKUP($E218,技能升级,9,FALSE)*$C218*I218*J218),0)</f>
        <v>0</v>
      </c>
      <c r="G218">
        <f t="shared" ref="G218" si="31">IFERROR(INT(VLOOKUP($E218,技能升级,10,FALSE)*$C218*I218*J218),0)</f>
        <v>0</v>
      </c>
      <c r="H218">
        <f>INT(VLOOKUP($E218,技能升级,11,FALSE)*$C218*I218*J218)</f>
        <v>0</v>
      </c>
      <c r="I218">
        <v>1</v>
      </c>
      <c r="J218">
        <v>1</v>
      </c>
      <c r="L218">
        <v>43</v>
      </c>
      <c r="M218" t="s">
        <v>36</v>
      </c>
      <c r="N218">
        <v>1</v>
      </c>
      <c r="O218">
        <f>VLOOKUP(L218,技能参数,4,FALSE)</f>
        <v>1</v>
      </c>
      <c r="P218">
        <f>IFERROR(VLOOKUP(L218*1000+O215,学习等级编码,2),0)</f>
        <v>4307</v>
      </c>
      <c r="Q218">
        <f>IFERROR(INT(VLOOKUP(P218,技能升级,9,FALSE)*N218*T218*U218),0)</f>
        <v>0</v>
      </c>
      <c r="R218">
        <f>IFERROR(INT(VLOOKUP(P218,技能升级,10,FALSE)*N218*T218*U218),0)</f>
        <v>0</v>
      </c>
      <c r="S218">
        <f>INT(VLOOKUP(P218,技能升级,11,FALSE)*N218*T218*U218)</f>
        <v>0</v>
      </c>
      <c r="T218">
        <v>1</v>
      </c>
      <c r="U218">
        <v>1</v>
      </c>
    </row>
    <row r="219" spans="1:21" x14ac:dyDescent="0.15">
      <c r="A219">
        <v>44</v>
      </c>
      <c r="B219" t="s">
        <v>38</v>
      </c>
      <c r="C219">
        <v>1</v>
      </c>
      <c r="D219">
        <f>IFERROR(INT(VLOOKUP($E219,技能升级,13,FALSE)),0)</f>
        <v>5</v>
      </c>
      <c r="E219">
        <f>IFERROR(VLOOKUP(A219*1000+D215,学习等级编码,2),0)</f>
        <v>4407</v>
      </c>
      <c r="F219">
        <f>IFERROR(INT(VLOOKUP($E219,技能升级,9,FALSE)*$C219*I219*J219),0)</f>
        <v>0</v>
      </c>
      <c r="G219">
        <f>IFERROR(INT(VLOOKUP($E219,技能升级,10,FALSE)*$D219*I219*J219),0)</f>
        <v>8692</v>
      </c>
      <c r="H219">
        <f>INT(VLOOKUP($E219,技能升级,11,FALSE)*$D219*I219*J219)</f>
        <v>1692</v>
      </c>
      <c r="I219">
        <v>1</v>
      </c>
      <c r="J219">
        <f>VLOOKUP(A215,$A$2:$I$21,8,FALSE)</f>
        <v>0.91499999999999992</v>
      </c>
      <c r="L219">
        <v>44</v>
      </c>
      <c r="M219" t="s">
        <v>38</v>
      </c>
      <c r="N219">
        <v>0</v>
      </c>
      <c r="O219">
        <v>0</v>
      </c>
      <c r="P219">
        <f>IFERROR(VLOOKUP(L219*1000+O215,学习等级编码,2),0)</f>
        <v>4407</v>
      </c>
      <c r="Q219">
        <f>IFERROR(INT(VLOOKUP(P219,技能升级,9,FALSE)*N219*T219*U219),0)</f>
        <v>0</v>
      </c>
      <c r="R219">
        <f>IFERROR(INT(VLOOKUP(P219,技能升级,10,FALSE)*N219*T219*U219),0)</f>
        <v>0</v>
      </c>
      <c r="S219">
        <f>INT(VLOOKUP(P219,技能升级,11,FALSE)*N219*T219*U219)</f>
        <v>0</v>
      </c>
      <c r="T219">
        <v>1</v>
      </c>
      <c r="U219">
        <f>VLOOKUP(L215,$A$2:$I$21,8,FALSE)</f>
        <v>0.91499999999999992</v>
      </c>
    </row>
    <row r="220" spans="1:21" x14ac:dyDescent="0.15">
      <c r="A220">
        <v>45</v>
      </c>
      <c r="B220" t="s">
        <v>37</v>
      </c>
      <c r="C220">
        <v>1</v>
      </c>
      <c r="D220">
        <f>VLOOKUP(A220,技能参数,4,FALSE)</f>
        <v>2</v>
      </c>
      <c r="E220">
        <f>IFERROR(VLOOKUP(A220*1000+D215,学习等级编码,2),0)</f>
        <v>4505</v>
      </c>
      <c r="F220">
        <f>IFERROR(INT(VLOOKUP($E220,技能升级,9,FALSE)*$C220*I220*J220),0)</f>
        <v>0</v>
      </c>
      <c r="G220">
        <f t="shared" ref="G220:G221" si="32">IFERROR(INT(VLOOKUP($E220,技能升级,10,FALSE)*$C220*I220*J220),0)</f>
        <v>0</v>
      </c>
      <c r="H220">
        <f>INT(VLOOKUP($E220,技能升级,11,FALSE)*$C220*I220*J220)</f>
        <v>0</v>
      </c>
      <c r="I220">
        <f>INT(VLOOKUP($E220,技能升级,13,FALSE)*$C220)</f>
        <v>12372</v>
      </c>
      <c r="J220">
        <v>1</v>
      </c>
      <c r="L220">
        <v>45</v>
      </c>
      <c r="M220" t="s">
        <v>37</v>
      </c>
      <c r="N220">
        <v>1</v>
      </c>
      <c r="O220">
        <f>VLOOKUP(L220,技能参数,4,FALSE)</f>
        <v>2</v>
      </c>
      <c r="P220">
        <f>IFERROR(VLOOKUP(L220*1000+O215,学习等级编码,2),0)</f>
        <v>4505</v>
      </c>
      <c r="Q220">
        <f>IFERROR(INT(VLOOKUP(P220,技能升级,9,FALSE)*N220*T220*U220),0)</f>
        <v>0</v>
      </c>
      <c r="R220">
        <f>IFERROR(INT(VLOOKUP(P220,技能升级,10,FALSE)*N220*T220*U220),0)</f>
        <v>0</v>
      </c>
      <c r="S220">
        <f>INT(VLOOKUP(P220,技能升级,11,FALSE)*N220*T220*U220)</f>
        <v>0</v>
      </c>
      <c r="T220">
        <f>INT(VLOOKUP($E220,技能升级,13,FALSE)*$C220)</f>
        <v>12372</v>
      </c>
      <c r="U220">
        <v>1</v>
      </c>
    </row>
    <row r="221" spans="1:21" x14ac:dyDescent="0.15">
      <c r="A221">
        <v>41</v>
      </c>
      <c r="B221" t="s">
        <v>361</v>
      </c>
      <c r="C221">
        <f>IF(INT((C215-C217*D217-C218*D218-C219*D219-C220*D220)/D221)&gt;0,INT((C215-C217*D217-C218*D218-C219*D219-C220*D220)/D221),0)</f>
        <v>0</v>
      </c>
      <c r="D221">
        <f>VLOOKUP(A221,技能参数,4,FALSE)</f>
        <v>1.2</v>
      </c>
      <c r="E221">
        <f>IFERROR(VLOOKUP(A221*1000+D215,学习等级编码,2),0)</f>
        <v>4111</v>
      </c>
      <c r="F221">
        <f>IFERROR(INT(VLOOKUP($E221,技能升级,9,FALSE)*$C221*I221*J221),0)</f>
        <v>0</v>
      </c>
      <c r="G221">
        <f t="shared" si="32"/>
        <v>0</v>
      </c>
      <c r="H221">
        <f>INT(VLOOKUP($E221,技能升级,11,FALSE)*$C221*I221*J221)</f>
        <v>0</v>
      </c>
      <c r="I221">
        <v>1</v>
      </c>
      <c r="J221">
        <f>VLOOKUP(A215,$A$2:$I$21,8,FALSE)</f>
        <v>0.91499999999999992</v>
      </c>
      <c r="L221">
        <v>41</v>
      </c>
      <c r="M221" t="s">
        <v>361</v>
      </c>
      <c r="N221">
        <f>IF(INT((N215-N217*O217-N218*O218-N219*O219-N220*O220)/O221)&gt;0,INT((N215-N217*O217-N218*O218-N219*O219-N220*O220)/O221),0)</f>
        <v>3</v>
      </c>
      <c r="O221">
        <f>VLOOKUP(L221,技能参数,4,FALSE)</f>
        <v>1.2</v>
      </c>
      <c r="P221">
        <f>IFERROR(VLOOKUP(L221*1000+O215,学习等级编码,2),0)</f>
        <v>4111</v>
      </c>
      <c r="Q221">
        <f>IFERROR(INT(VLOOKUP(P221,技能升级,9,FALSE)*N221*T221*U221),0)</f>
        <v>0</v>
      </c>
      <c r="R221">
        <f>IFERROR(INT(VLOOKUP(P221,技能升级,10,FALSE)*N221*T221*U221),0)</f>
        <v>3925</v>
      </c>
      <c r="S221">
        <f>INT(VLOOKUP(P221,技能升级,11,FALSE)*N221*T221*U221)</f>
        <v>1114</v>
      </c>
      <c r="T221">
        <v>1</v>
      </c>
      <c r="U221">
        <f>VLOOKUP(A215,$A$2:$I$21,8,FALSE)</f>
        <v>0.91499999999999992</v>
      </c>
    </row>
    <row r="222" spans="1:21" x14ac:dyDescent="0.15">
      <c r="A222">
        <f>VLOOKUP(E217,技能升级,13,FALSE)</f>
        <v>107</v>
      </c>
      <c r="B222" t="s">
        <v>375</v>
      </c>
      <c r="C222">
        <f>C215+C215-3.5</f>
        <v>10.5</v>
      </c>
      <c r="G222">
        <f>INT((VLOOKUP(A222,召唤物属性,7,FALSE)-
IF($B215&gt;10000,VLOOKUP($B215,实战属性,15,FALSE),VLOOKUP($B215,总基本属性,9,FALSE))*$L$13)*I222*J222)</f>
        <v>2406</v>
      </c>
      <c r="I222">
        <f>VLOOKUP($E217,技能升级,14,FALSE)</f>
        <v>2</v>
      </c>
      <c r="J222">
        <v>1</v>
      </c>
      <c r="L222">
        <f>VLOOKUP(P217,技能升级,13,FALSE)</f>
        <v>107</v>
      </c>
      <c r="M222" t="s">
        <v>375</v>
      </c>
      <c r="N222">
        <f>N215+N215-3.5</f>
        <v>12.5</v>
      </c>
      <c r="R222">
        <f>INT((VLOOKUP(L222,召唤物属性,7,FALSE)-
IF($B215&gt;10000,VLOOKUP($B215,实战属性,15,FALSE),VLOOKUP($B215,总基本属性,9,FALSE))*$L$13)*T222*U222)</f>
        <v>2406</v>
      </c>
      <c r="T222">
        <f>VLOOKUP($E217,技能升级,14,FALSE)</f>
        <v>2</v>
      </c>
      <c r="U222">
        <v>1</v>
      </c>
    </row>
    <row r="223" spans="1:21" x14ac:dyDescent="0.15">
      <c r="A223">
        <f>VLOOKUP(E218,技能升级,13,FALSE)</f>
        <v>207</v>
      </c>
      <c r="B223" t="s">
        <v>374</v>
      </c>
      <c r="C223">
        <f>C215+C215-3.5</f>
        <v>10.5</v>
      </c>
      <c r="F223">
        <f>INT((VLOOKUP(A223,召唤物属性,6,FALSE)-
IF($B215&gt;10000,VLOOKUP($B215,实战属性,15,FALSE),VLOOKUP($B215,总基本属性,9,FALSE))*$L$13)*I223*J223)</f>
        <v>3054</v>
      </c>
      <c r="I223">
        <f>VLOOKUP($E218,技能升级,14,FALSE)</f>
        <v>3</v>
      </c>
      <c r="J223">
        <f>VLOOKUP(A215,$A$2:$I$21,9,FALSE)</f>
        <v>0.92299999999999993</v>
      </c>
      <c r="L223">
        <f>VLOOKUP(P218,技能升级,13,FALSE)</f>
        <v>207</v>
      </c>
      <c r="M223" t="s">
        <v>374</v>
      </c>
      <c r="N223">
        <f>N215+N215-3.5</f>
        <v>12.5</v>
      </c>
      <c r="Q223">
        <f>INT((VLOOKUP(L223,召唤物属性,6,FALSE)-
IF($B215&gt;10000,VLOOKUP($B215,实战属性,15,FALSE),VLOOKUP($B215,总基本属性,9,FALSE))*$L$13)*T223*U223)</f>
        <v>3054</v>
      </c>
      <c r="T223">
        <f>VLOOKUP($E218,技能升级,14,FALSE)</f>
        <v>3</v>
      </c>
      <c r="U223">
        <f>VLOOKUP(L215,$A$2:$I$21,9,FALSE)</f>
        <v>0.92299999999999993</v>
      </c>
    </row>
    <row r="224" spans="1:21" x14ac:dyDescent="0.15">
      <c r="E224" t="s">
        <v>194</v>
      </c>
      <c r="F224">
        <f>SUM(F217:F221)/1000</f>
        <v>0</v>
      </c>
      <c r="G224">
        <f>SUM(G217:G221)/1000</f>
        <v>8.6920000000000002</v>
      </c>
      <c r="H224">
        <f>SUM(H217:H220)</f>
        <v>1692</v>
      </c>
      <c r="I224" t="s">
        <v>196</v>
      </c>
      <c r="J224" t="s">
        <v>197</v>
      </c>
      <c r="P224" t="s">
        <v>194</v>
      </c>
      <c r="Q224">
        <f>SUM(Q217:Q221)/1000</f>
        <v>0</v>
      </c>
      <c r="R224">
        <f>SUM(R217:R221)/1000</f>
        <v>3.9249999999999998</v>
      </c>
      <c r="S224">
        <f>SUM(S217:S220)</f>
        <v>0</v>
      </c>
      <c r="T224" t="s">
        <v>196</v>
      </c>
      <c r="U224" t="s">
        <v>197</v>
      </c>
    </row>
    <row r="225" spans="1:21" x14ac:dyDescent="0.15">
      <c r="E225" t="s">
        <v>195</v>
      </c>
      <c r="F225">
        <f>INT((IF($A215&gt;10000,VLOOKUP($A215,实战属性,13,FALSE),VLOOKUP($A215,总基本属性,7,FALSE))-
IF($B215&gt;10000,VLOOKUP($B215,实战属性,15,FALSE),VLOOKUP($B215,总基本属性,9,FALSE))*$L$13)*F224)</f>
        <v>0</v>
      </c>
      <c r="G225">
        <f>INT((IF($A215&gt;10000,VLOOKUP($A215,实战属性,14,FALSE),VLOOKUP($A215,总基本属性,8,FALSE))-
IF($B215&gt;10000,VLOOKUP($B215,实战属性,16,FALSE),VLOOKUP($B215,总基本属性,10,FALSE))*$L$13)*G224)</f>
        <v>25580</v>
      </c>
      <c r="H225">
        <f>H224+F225+G225</f>
        <v>27272</v>
      </c>
      <c r="I225">
        <f>IF($B215&gt;10000,VLOOKUP($B215,实战属性,12,FALSE),VLOOKUP($B215,总基本属性,6,FALSE))</f>
        <v>84384</v>
      </c>
      <c r="J225">
        <f>ROUND(I225/H226,2)</f>
        <v>1</v>
      </c>
      <c r="P225" t="s">
        <v>195</v>
      </c>
      <c r="Q225">
        <f>INT((IF($A215&gt;10000,VLOOKUP($A215,实战属性,13,FALSE),VLOOKUP($A215,总基本属性,7,FALSE))-
IF($B215&gt;10000,VLOOKUP($B215,实战属性,15,FALSE),VLOOKUP($B215,总基本属性,9,FALSE))*$L$13)*Q224)</f>
        <v>0</v>
      </c>
      <c r="R225">
        <f>INT((IF($A215&gt;10000,VLOOKUP($A215,实战属性,14,FALSE),VLOOKUP($A215,总基本属性,8,FALSE))-
IF($B215&gt;10000,VLOOKUP($B215,实战属性,16,FALSE),VLOOKUP($B215,总基本属性,10,FALSE))*$L$13)*R224)</f>
        <v>11551</v>
      </c>
      <c r="S225">
        <f>S224+Q225+R225</f>
        <v>11551</v>
      </c>
      <c r="T225">
        <f>IF($B215&gt;10000,VLOOKUP($B215,实战属性,12,FALSE),VLOOKUP($B215,总基本属性,6,FALSE))</f>
        <v>84384</v>
      </c>
      <c r="U225">
        <f>ROUND(T225/S226,2)</f>
        <v>1.06</v>
      </c>
    </row>
    <row r="226" spans="1:21" x14ac:dyDescent="0.15">
      <c r="E226" t="s">
        <v>376</v>
      </c>
      <c r="F226">
        <f>INT(F223*C223)</f>
        <v>32067</v>
      </c>
      <c r="G226">
        <f>INT(G222*C222)</f>
        <v>25263</v>
      </c>
      <c r="H226">
        <f>F226+G226+H225</f>
        <v>84602</v>
      </c>
      <c r="P226" t="s">
        <v>376</v>
      </c>
      <c r="Q226">
        <f>INT(Q223*N223)</f>
        <v>38175</v>
      </c>
      <c r="R226">
        <f>INT(R222*N222)</f>
        <v>30075</v>
      </c>
      <c r="S226">
        <f>Q226+R226+S225</f>
        <v>79801</v>
      </c>
    </row>
    <row r="230" spans="1:21" x14ac:dyDescent="0.15">
      <c r="A230" s="8" t="s">
        <v>6</v>
      </c>
      <c r="B230" s="8" t="s">
        <v>444</v>
      </c>
      <c r="C230" s="8" t="s">
        <v>178</v>
      </c>
      <c r="D230" s="8" t="s">
        <v>0</v>
      </c>
      <c r="L230" s="8" t="s">
        <v>6</v>
      </c>
      <c r="M230" s="8" t="s">
        <v>444</v>
      </c>
      <c r="N230" s="8" t="s">
        <v>178</v>
      </c>
      <c r="O230" s="8" t="s">
        <v>0</v>
      </c>
    </row>
    <row r="231" spans="1:21" x14ac:dyDescent="0.15">
      <c r="A231">
        <f>A202+10</f>
        <v>5080</v>
      </c>
      <c r="B231">
        <f>B202+10</f>
        <v>4080</v>
      </c>
      <c r="C231">
        <v>14</v>
      </c>
      <c r="D231">
        <f>MOD(A231,1000)</f>
        <v>80</v>
      </c>
      <c r="L231">
        <f>A231</f>
        <v>5080</v>
      </c>
      <c r="M231">
        <f>B231</f>
        <v>4080</v>
      </c>
      <c r="N231">
        <v>9</v>
      </c>
      <c r="O231">
        <f>MOD(L231,1000)</f>
        <v>80</v>
      </c>
    </row>
    <row r="232" spans="1:21" x14ac:dyDescent="0.15">
      <c r="A232" t="s">
        <v>156</v>
      </c>
      <c r="B232" t="s">
        <v>95</v>
      </c>
      <c r="C232" t="s">
        <v>142</v>
      </c>
      <c r="D232" t="s">
        <v>143</v>
      </c>
      <c r="E232" t="s">
        <v>182</v>
      </c>
      <c r="F232" t="s">
        <v>192</v>
      </c>
      <c r="G232" t="s">
        <v>193</v>
      </c>
      <c r="H232" t="s">
        <v>176</v>
      </c>
      <c r="I232" t="s">
        <v>205</v>
      </c>
      <c r="J232" t="s">
        <v>206</v>
      </c>
      <c r="L232" t="s">
        <v>156</v>
      </c>
      <c r="M232" t="s">
        <v>95</v>
      </c>
      <c r="N232" t="s">
        <v>142</v>
      </c>
      <c r="O232" t="s">
        <v>143</v>
      </c>
      <c r="P232" t="s">
        <v>182</v>
      </c>
      <c r="Q232" t="s">
        <v>192</v>
      </c>
      <c r="R232" t="s">
        <v>193</v>
      </c>
      <c r="S232" t="s">
        <v>176</v>
      </c>
      <c r="T232" t="s">
        <v>205</v>
      </c>
      <c r="U232" t="s">
        <v>206</v>
      </c>
    </row>
    <row r="233" spans="1:21" x14ac:dyDescent="0.15">
      <c r="A233">
        <v>52</v>
      </c>
      <c r="B233" t="s">
        <v>44</v>
      </c>
      <c r="C233">
        <v>0</v>
      </c>
      <c r="D233">
        <f>VLOOKUP(A233,技能参数,4,FALSE)</f>
        <v>1.5</v>
      </c>
      <c r="E233">
        <f>VLOOKUP(A233*1000+D231,学习等级编码,2)</f>
        <v>5208</v>
      </c>
      <c r="F233">
        <f>INT(VLOOKUP(E233,技能升级,9,FALSE)*C233*I233*J233)</f>
        <v>0</v>
      </c>
      <c r="G233">
        <f>INT(VLOOKUP(E233,技能升级,10,FALSE)*C233*I233*J233)</f>
        <v>0</v>
      </c>
      <c r="H233">
        <f>INT(VLOOKUP(E233,技能升级,11,FALSE)*C233*I233*J233)</f>
        <v>0</v>
      </c>
      <c r="I233">
        <v>1</v>
      </c>
      <c r="J233">
        <v>1</v>
      </c>
      <c r="L233">
        <v>52</v>
      </c>
      <c r="M233" t="s">
        <v>44</v>
      </c>
      <c r="N233">
        <v>0</v>
      </c>
      <c r="O233">
        <f>VLOOKUP(L233,技能参数,4,FALSE)</f>
        <v>1.5</v>
      </c>
      <c r="P233">
        <f>VLOOKUP(L233*1000+O231,学习等级编码,2)</f>
        <v>5208</v>
      </c>
      <c r="Q233">
        <f>INT(VLOOKUP(P233,技能升级,9,FALSE)*N233*T233*U233)</f>
        <v>0</v>
      </c>
      <c r="R233">
        <f>INT(VLOOKUP(P233,技能升级,10,FALSE)*N233*T233*U233)</f>
        <v>0</v>
      </c>
      <c r="S233">
        <f>INT(VLOOKUP(P233,技能升级,11,FALSE)*N233*T233*U233)</f>
        <v>0</v>
      </c>
      <c r="T233">
        <v>1</v>
      </c>
      <c r="U233">
        <v>1</v>
      </c>
    </row>
    <row r="234" spans="1:21" x14ac:dyDescent="0.15">
      <c r="A234">
        <v>54</v>
      </c>
      <c r="B234" t="s">
        <v>40</v>
      </c>
      <c r="C234">
        <v>0</v>
      </c>
      <c r="D234">
        <f>VLOOKUP(A234,技能参数,4,FALSE)</f>
        <v>1.2</v>
      </c>
      <c r="E234">
        <f>VLOOKUP(A234*1000+D231,学习等级编码,2)</f>
        <v>5408</v>
      </c>
      <c r="F234">
        <f>INT(VLOOKUP(E234,技能升级,9,FALSE)*C234*I234*J234)</f>
        <v>0</v>
      </c>
      <c r="G234">
        <f>INT(VLOOKUP(E234,技能升级,10,FALSE)*C234*I234*J234)</f>
        <v>0</v>
      </c>
      <c r="H234">
        <f>INT(VLOOKUP(E234,技能升级,11,FALSE)*C234*I234*J234)</f>
        <v>0</v>
      </c>
      <c r="I234">
        <v>1</v>
      </c>
      <c r="J234">
        <v>1</v>
      </c>
      <c r="L234">
        <v>54</v>
      </c>
      <c r="M234" t="s">
        <v>40</v>
      </c>
      <c r="N234">
        <v>0</v>
      </c>
      <c r="O234">
        <f>VLOOKUP(L234,技能参数,4,FALSE)</f>
        <v>1.2</v>
      </c>
      <c r="P234">
        <f>VLOOKUP(L234*1000+O231,学习等级编码,2)</f>
        <v>5408</v>
      </c>
      <c r="Q234">
        <f>INT(VLOOKUP(P234,技能升级,9,FALSE)*N234*T234*U234)</f>
        <v>0</v>
      </c>
      <c r="R234">
        <f>INT(VLOOKUP(P234,技能升级,10,FALSE)*N234*T234*U234)</f>
        <v>0</v>
      </c>
      <c r="S234">
        <f>INT(VLOOKUP(P234,技能升级,11,FALSE)*N234*T234*U234)</f>
        <v>0</v>
      </c>
      <c r="T234">
        <v>1</v>
      </c>
      <c r="U234">
        <v>1</v>
      </c>
    </row>
    <row r="235" spans="1:21" x14ac:dyDescent="0.15">
      <c r="A235">
        <v>51</v>
      </c>
      <c r="B235" t="s">
        <v>203</v>
      </c>
      <c r="C235">
        <v>2</v>
      </c>
      <c r="D235">
        <f>VLOOKUP(A235,技能参数,4,FALSE)</f>
        <v>0.9</v>
      </c>
      <c r="E235">
        <f>VLOOKUP(A235*1000+D231,学习等级编码,2)</f>
        <v>5112</v>
      </c>
      <c r="F235">
        <f>INT(VLOOKUP(E235,技能升级,9,FALSE)*C235*I235*J235)</f>
        <v>3000</v>
      </c>
      <c r="G235">
        <f>INT(VLOOKUP(E235,技能升级,10,FALSE)*C235*I235*J235)</f>
        <v>0</v>
      </c>
      <c r="H235">
        <f>INT(VLOOKUP(E235,技能升级,11,FALSE)*C235*I235*J235)</f>
        <v>974</v>
      </c>
      <c r="I235">
        <v>1</v>
      </c>
      <c r="J235">
        <v>1</v>
      </c>
      <c r="L235">
        <v>51</v>
      </c>
      <c r="M235" t="s">
        <v>203</v>
      </c>
      <c r="N235">
        <v>2</v>
      </c>
      <c r="O235">
        <f>VLOOKUP(L235,技能参数,4,FALSE)</f>
        <v>0.9</v>
      </c>
      <c r="P235">
        <f>VLOOKUP(L235*1000+O231,学习等级编码,2)</f>
        <v>5112</v>
      </c>
      <c r="Q235">
        <f>INT(VLOOKUP(P235,技能升级,9,FALSE)*N235*T235*U235)</f>
        <v>3000</v>
      </c>
      <c r="R235">
        <f>INT(VLOOKUP(P235,技能升级,10,FALSE)*N235*T235*U235)</f>
        <v>0</v>
      </c>
      <c r="S235">
        <f>INT(VLOOKUP(P235,技能升级,11,FALSE)*N235*T235*U235)</f>
        <v>974</v>
      </c>
      <c r="T235">
        <v>1</v>
      </c>
      <c r="U235">
        <v>1</v>
      </c>
    </row>
    <row r="236" spans="1:21" x14ac:dyDescent="0.15">
      <c r="A236">
        <v>51</v>
      </c>
      <c r="B236" t="s">
        <v>204</v>
      </c>
      <c r="C236">
        <f>INT((C231-C233*D233-C234*D234-D235*C235-C238)/D236*3)</f>
        <v>24</v>
      </c>
      <c r="D236">
        <f>VLOOKUP(A236,技能参数,4,FALSE)</f>
        <v>0.9</v>
      </c>
      <c r="E236">
        <f>VLOOKUP(A236*1000+D231,学习等级编码,2)</f>
        <v>5112</v>
      </c>
      <c r="F236">
        <f>INT(VLOOKUP(E236,技能升级,9,FALSE)*C236*I236*J236)</f>
        <v>25313</v>
      </c>
      <c r="G236">
        <f>INT(VLOOKUP(E236,技能升级,10,FALSE)*C236*I236*J236)</f>
        <v>0</v>
      </c>
      <c r="H236">
        <f>INT(VLOOKUP(E236,技能升级,11,FALSE)*C236*I236*J236)</f>
        <v>8218</v>
      </c>
      <c r="I236">
        <f>F237/1000</f>
        <v>0.49</v>
      </c>
      <c r="J236">
        <f>VLOOKUP(A231,$A$2:$I$21,7,FALSE)</f>
        <v>1.4350000000000001</v>
      </c>
      <c r="L236">
        <v>51</v>
      </c>
      <c r="M236" t="s">
        <v>204</v>
      </c>
      <c r="N236">
        <f>INT((N231-N233*O233-N234*O234-O235*N235-N238)/O236*3)</f>
        <v>24</v>
      </c>
      <c r="O236">
        <f>VLOOKUP(L236,技能参数,4,FALSE)</f>
        <v>0.9</v>
      </c>
      <c r="P236">
        <f>VLOOKUP(L236*1000+O231,学习等级编码,2)</f>
        <v>5112</v>
      </c>
      <c r="Q236">
        <f>INT(VLOOKUP(P236,技能升级,9,FALSE)*N236*T236*U236)</f>
        <v>25313</v>
      </c>
      <c r="R236">
        <f>INT(VLOOKUP(P236,技能升级,10,FALSE)*N236*T236*U236)</f>
        <v>0</v>
      </c>
      <c r="S236">
        <f>INT(VLOOKUP(P236,技能升级,11,FALSE)*N236*T236*U236)</f>
        <v>8218</v>
      </c>
      <c r="T236">
        <f>Q237/1000</f>
        <v>0.49</v>
      </c>
      <c r="U236">
        <f>VLOOKUP(L231,$A$2:$I$21,7,FALSE)</f>
        <v>1.4350000000000001</v>
      </c>
    </row>
    <row r="237" spans="1:21" x14ac:dyDescent="0.15">
      <c r="A237">
        <v>55</v>
      </c>
      <c r="B237" t="s">
        <v>46</v>
      </c>
      <c r="C237">
        <v>1</v>
      </c>
      <c r="D237">
        <v>0</v>
      </c>
      <c r="E237">
        <f>VLOOKUP(A237*1000+D231,学习等级编码,2)</f>
        <v>5505</v>
      </c>
      <c r="F237">
        <f>INT(VLOOKUP($E237,技能升级,14,FALSE)*$C237*I237)</f>
        <v>490</v>
      </c>
      <c r="G237">
        <f>INT(VLOOKUP($E237,技能升级,10,FALSE)*$C237*I237)</f>
        <v>0</v>
      </c>
      <c r="H237">
        <f>INT(VLOOKUP($E237,技能升级,11,FALSE)*$C237*I237*J237)</f>
        <v>0</v>
      </c>
      <c r="I237">
        <v>1</v>
      </c>
      <c r="J237">
        <v>1</v>
      </c>
      <c r="L237">
        <v>55</v>
      </c>
      <c r="M237" t="s">
        <v>46</v>
      </c>
      <c r="N237">
        <v>1</v>
      </c>
      <c r="O237">
        <v>0</v>
      </c>
      <c r="P237">
        <f>VLOOKUP(L237*1000+O231,学习等级编码,2)</f>
        <v>5505</v>
      </c>
      <c r="Q237">
        <f>INT(VLOOKUP($E237,技能升级,14,FALSE)*$C237*T237)</f>
        <v>490</v>
      </c>
      <c r="R237">
        <f>INT(VLOOKUP($E237,技能升级,10,FALSE)*$C237*T237)</f>
        <v>0</v>
      </c>
      <c r="S237">
        <f>INT(VLOOKUP($E237,技能升级,11,FALSE)*$C237*T237*U237)</f>
        <v>0</v>
      </c>
      <c r="T237">
        <v>1</v>
      </c>
      <c r="U237">
        <v>1</v>
      </c>
    </row>
    <row r="238" spans="1:21" x14ac:dyDescent="0.15">
      <c r="B238" t="s">
        <v>38</v>
      </c>
      <c r="C238">
        <f>D248</f>
        <v>5</v>
      </c>
      <c r="M238" t="s">
        <v>38</v>
      </c>
      <c r="N238">
        <f>O248</f>
        <v>0</v>
      </c>
    </row>
    <row r="239" spans="1:21" x14ac:dyDescent="0.15">
      <c r="E239" t="s">
        <v>194</v>
      </c>
      <c r="F239">
        <f>SUM(F233:F236)/1000</f>
        <v>28.312999999999999</v>
      </c>
      <c r="G239">
        <f>SUM(G233:G236)/1000</f>
        <v>0</v>
      </c>
      <c r="H239">
        <f>SUM(H233:H236)</f>
        <v>9192</v>
      </c>
      <c r="I239" t="s">
        <v>196</v>
      </c>
      <c r="J239" t="s">
        <v>197</v>
      </c>
      <c r="P239" t="s">
        <v>194</v>
      </c>
      <c r="Q239">
        <f>SUM(Q233:Q236)/1000</f>
        <v>28.312999999999999</v>
      </c>
      <c r="R239">
        <f>SUM(R233:R236)/1000</f>
        <v>0</v>
      </c>
      <c r="S239">
        <f>SUM(S233:S236)</f>
        <v>9192</v>
      </c>
      <c r="T239" t="s">
        <v>196</v>
      </c>
      <c r="U239" t="s">
        <v>197</v>
      </c>
    </row>
    <row r="240" spans="1:21" x14ac:dyDescent="0.15">
      <c r="E240" t="s">
        <v>195</v>
      </c>
      <c r="F240">
        <f>INT((IF($A231&gt;10000,VLOOKUP($A231,实战属性,13,FALSE),VLOOKUP($A231,总基本属性,7,FALSE))-
IF($B231&gt;10000,VLOOKUP($B231,实战属性,15,FALSE),VLOOKUP($B231,总基本属性,9,FALSE))*$L$13)*F239)</f>
        <v>102068</v>
      </c>
      <c r="G240">
        <f>INT((IF($A231&gt;10000,VLOOKUP($A231,实战属性,14,FALSE),VLOOKUP($A231,总基本属性,8,FALSE))-
IF($B231&gt;10000,VLOOKUP($B231,实战属性,16,FALSE),VLOOKUP($B231,总基本属性,10,FALSE))*$L$13)*G239)</f>
        <v>0</v>
      </c>
      <c r="H240">
        <f>H239+F240+G240</f>
        <v>111260</v>
      </c>
      <c r="I240">
        <f>IF($B231&gt;10000,VLOOKUP($B231,实战属性,12,FALSE),VLOOKUP($B231,总基本属性,6,FALSE))+I249</f>
        <v>114702</v>
      </c>
      <c r="J240">
        <f>ROUND(I240/H240,2)</f>
        <v>1.03</v>
      </c>
      <c r="P240" t="s">
        <v>195</v>
      </c>
      <c r="Q240">
        <f>INT((IF($A231&gt;10000,VLOOKUP($A231,实战属性,13,FALSE),VLOOKUP($A231,总基本属性,7,FALSE))-
IF($B231&gt;10000,VLOOKUP($B231,实战属性,15,FALSE),VLOOKUP($B231,总基本属性,9,FALSE))*$L$13)*Q239)</f>
        <v>102068</v>
      </c>
      <c r="R240">
        <f>INT((IF($A231&gt;10000,VLOOKUP($A231,实战属性,14,FALSE),VLOOKUP($A231,总基本属性,8,FALSE))-
IF($B231&gt;10000,VLOOKUP($B231,实战属性,16,FALSE),VLOOKUP($B231,总基本属性,10,FALSE))*$L$13)*R239)</f>
        <v>0</v>
      </c>
      <c r="S240">
        <f>S239+Q240+R240</f>
        <v>111260</v>
      </c>
      <c r="T240">
        <f>IF($B231&gt;10000,VLOOKUP($B231,实战属性,12,FALSE),VLOOKUP($B231,总基本属性,6,FALSE))+T249</f>
        <v>114702</v>
      </c>
      <c r="U240">
        <f>ROUND(T240/S240,2)</f>
        <v>1.03</v>
      </c>
    </row>
    <row r="243" spans="1:21" x14ac:dyDescent="0.15">
      <c r="A243" s="9" t="s">
        <v>5</v>
      </c>
      <c r="B243" s="9" t="s">
        <v>448</v>
      </c>
      <c r="C243" s="9" t="s">
        <v>178</v>
      </c>
      <c r="D243" s="9" t="s">
        <v>0</v>
      </c>
      <c r="G243" t="s">
        <v>445</v>
      </c>
      <c r="H243">
        <f>INT(I254/J254/C244)</f>
        <v>15438</v>
      </c>
      <c r="I243" t="s">
        <v>446</v>
      </c>
      <c r="J243">
        <f>ROUND(I249/H243,1)</f>
        <v>0.8</v>
      </c>
      <c r="L243" s="9" t="s">
        <v>5</v>
      </c>
      <c r="M243" s="9" t="s">
        <v>448</v>
      </c>
      <c r="N243" s="9" t="s">
        <v>178</v>
      </c>
      <c r="O243" s="9" t="s">
        <v>0</v>
      </c>
      <c r="R243" t="s">
        <v>445</v>
      </c>
      <c r="S243">
        <f>INT(T254/U254/N244)</f>
        <v>12871</v>
      </c>
      <c r="T243" t="s">
        <v>446</v>
      </c>
      <c r="U243">
        <f>ROUND(T249/S243,1)</f>
        <v>1</v>
      </c>
    </row>
    <row r="244" spans="1:21" x14ac:dyDescent="0.15">
      <c r="A244">
        <f>A215+10</f>
        <v>4080</v>
      </c>
      <c r="B244">
        <f>B215+10</f>
        <v>5080</v>
      </c>
      <c r="C244">
        <v>7</v>
      </c>
      <c r="D244">
        <f>MOD(A244,1000)</f>
        <v>80</v>
      </c>
      <c r="I244" t="s">
        <v>383</v>
      </c>
      <c r="J244">
        <f>VLOOKUP(D244,召唤物生存,13)</f>
        <v>4.88</v>
      </c>
      <c r="L244">
        <f>A244</f>
        <v>4080</v>
      </c>
      <c r="M244">
        <f>B244</f>
        <v>5080</v>
      </c>
      <c r="N244">
        <v>8</v>
      </c>
      <c r="O244">
        <f>MOD(L244,1000)</f>
        <v>80</v>
      </c>
      <c r="T244" t="s">
        <v>383</v>
      </c>
      <c r="U244">
        <f>VLOOKUP(O244,召唤物生存,13)</f>
        <v>4.88</v>
      </c>
    </row>
    <row r="245" spans="1:21" x14ac:dyDescent="0.15">
      <c r="A245" t="s">
        <v>156</v>
      </c>
      <c r="B245" t="s">
        <v>95</v>
      </c>
      <c r="C245" t="s">
        <v>177</v>
      </c>
      <c r="D245" t="s">
        <v>143</v>
      </c>
      <c r="E245" t="s">
        <v>182</v>
      </c>
      <c r="F245" t="s">
        <v>192</v>
      </c>
      <c r="G245" t="s">
        <v>193</v>
      </c>
      <c r="H245" t="s">
        <v>176</v>
      </c>
      <c r="I245" t="s">
        <v>205</v>
      </c>
      <c r="J245" t="s">
        <v>206</v>
      </c>
      <c r="L245" t="s">
        <v>156</v>
      </c>
      <c r="M245" t="s">
        <v>95</v>
      </c>
      <c r="N245" t="s">
        <v>177</v>
      </c>
      <c r="O245" t="s">
        <v>143</v>
      </c>
      <c r="P245" t="s">
        <v>182</v>
      </c>
      <c r="Q245" t="s">
        <v>192</v>
      </c>
      <c r="R245" t="s">
        <v>193</v>
      </c>
      <c r="S245" t="s">
        <v>176</v>
      </c>
      <c r="T245" t="s">
        <v>205</v>
      </c>
      <c r="U245" t="s">
        <v>206</v>
      </c>
    </row>
    <row r="246" spans="1:21" x14ac:dyDescent="0.15">
      <c r="A246">
        <v>42</v>
      </c>
      <c r="B246" t="s">
        <v>35</v>
      </c>
      <c r="C246">
        <v>1</v>
      </c>
      <c r="D246">
        <f>VLOOKUP(A246,技能参数,4,FALSE)</f>
        <v>1</v>
      </c>
      <c r="E246">
        <f>IFERROR(VLOOKUP(A246*1000+D244,学习等级编码,2),0)</f>
        <v>4208</v>
      </c>
      <c r="F246">
        <f>IFERROR(INT(VLOOKUP($E246,技能升级,9,FALSE)*$C246*I246*J246),0)</f>
        <v>0</v>
      </c>
      <c r="G246">
        <f>IFERROR(INT(VLOOKUP($E246,技能升级,10,FALSE)*$C246*I246*J246),0)</f>
        <v>0</v>
      </c>
      <c r="H246">
        <f>INT(VLOOKUP($E246,技能升级,11,FALSE)*$C246*I246*J246)</f>
        <v>0</v>
      </c>
      <c r="I246">
        <v>1</v>
      </c>
      <c r="J246">
        <v>1</v>
      </c>
      <c r="L246">
        <v>42</v>
      </c>
      <c r="M246" t="s">
        <v>35</v>
      </c>
      <c r="N246">
        <v>1</v>
      </c>
      <c r="O246">
        <f>VLOOKUP(L246,技能参数,4,FALSE)</f>
        <v>1</v>
      </c>
      <c r="P246">
        <f>IFERROR(VLOOKUP(L246*1000+O244,学习等级编码,2),0)</f>
        <v>4208</v>
      </c>
      <c r="Q246">
        <f>IFERROR(INT(VLOOKUP(P246,技能升级,9,FALSE)*N246*T246*U246),0)</f>
        <v>0</v>
      </c>
      <c r="R246">
        <f>IFERROR(INT(VLOOKUP(P246,技能升级,10,FALSE)*N246*T246*U246),0)</f>
        <v>0</v>
      </c>
      <c r="S246">
        <f>INT(VLOOKUP(P246,技能升级,11,FALSE)*N246*T246*U246)</f>
        <v>0</v>
      </c>
      <c r="T246">
        <v>1</v>
      </c>
      <c r="U246">
        <v>1</v>
      </c>
    </row>
    <row r="247" spans="1:21" x14ac:dyDescent="0.15">
      <c r="A247">
        <v>43</v>
      </c>
      <c r="B247" t="s">
        <v>36</v>
      </c>
      <c r="C247">
        <v>1</v>
      </c>
      <c r="D247">
        <f>VLOOKUP(A247,技能参数,4,FALSE)</f>
        <v>1</v>
      </c>
      <c r="E247">
        <f>IFERROR(VLOOKUP(A247*1000+D244,学习等级编码,2),0)</f>
        <v>4308</v>
      </c>
      <c r="F247">
        <f t="shared" ref="F247" si="33">IFERROR(INT(VLOOKUP($E247,技能升级,9,FALSE)*$C247*I247*J247),0)</f>
        <v>0</v>
      </c>
      <c r="G247">
        <f t="shared" ref="G247" si="34">IFERROR(INT(VLOOKUP($E247,技能升级,10,FALSE)*$C247*I247*J247),0)</f>
        <v>0</v>
      </c>
      <c r="H247">
        <f>INT(VLOOKUP($E247,技能升级,11,FALSE)*$C247*I247*J247)</f>
        <v>0</v>
      </c>
      <c r="I247">
        <v>1</v>
      </c>
      <c r="J247">
        <v>1</v>
      </c>
      <c r="L247">
        <v>43</v>
      </c>
      <c r="M247" t="s">
        <v>36</v>
      </c>
      <c r="N247">
        <v>1</v>
      </c>
      <c r="O247">
        <f>VLOOKUP(L247,技能参数,4,FALSE)</f>
        <v>1</v>
      </c>
      <c r="P247">
        <f>IFERROR(VLOOKUP(L247*1000+O244,学习等级编码,2),0)</f>
        <v>4308</v>
      </c>
      <c r="Q247">
        <f>IFERROR(INT(VLOOKUP(P247,技能升级,9,FALSE)*N247*T247*U247),0)</f>
        <v>0</v>
      </c>
      <c r="R247">
        <f>IFERROR(INT(VLOOKUP(P247,技能升级,10,FALSE)*N247*T247*U247),0)</f>
        <v>0</v>
      </c>
      <c r="S247">
        <f>INT(VLOOKUP(P247,技能升级,11,FALSE)*N247*T247*U247)</f>
        <v>0</v>
      </c>
      <c r="T247">
        <v>1</v>
      </c>
      <c r="U247">
        <v>1</v>
      </c>
    </row>
    <row r="248" spans="1:21" x14ac:dyDescent="0.15">
      <c r="A248">
        <v>44</v>
      </c>
      <c r="B248" t="s">
        <v>38</v>
      </c>
      <c r="C248">
        <v>1</v>
      </c>
      <c r="D248">
        <f>IFERROR(INT(VLOOKUP($E248,技能升级,13,FALSE)),0)</f>
        <v>5</v>
      </c>
      <c r="E248">
        <f>IFERROR(VLOOKUP(A248*1000+D244,学习等级编码,2),0)</f>
        <v>4408</v>
      </c>
      <c r="F248">
        <f>IFERROR(INT(VLOOKUP($E248,技能升级,9,FALSE)*$C248*I248*J248),0)</f>
        <v>0</v>
      </c>
      <c r="G248">
        <f>IFERROR(INT(VLOOKUP($E248,技能升级,10,FALSE)*$D248*I248*J248),0)</f>
        <v>8766</v>
      </c>
      <c r="H248">
        <f>INT(VLOOKUP($E248,技能升级,11,FALSE)*$D248*I248*J248)</f>
        <v>2136</v>
      </c>
      <c r="I248">
        <v>1</v>
      </c>
      <c r="J248">
        <f>VLOOKUP(A244,$A$2:$I$21,8,FALSE)</f>
        <v>0.89000000000000012</v>
      </c>
      <c r="L248">
        <v>44</v>
      </c>
      <c r="M248" t="s">
        <v>38</v>
      </c>
      <c r="N248">
        <v>0</v>
      </c>
      <c r="O248">
        <v>0</v>
      </c>
      <c r="P248">
        <f>IFERROR(VLOOKUP(L248*1000+O244,学习等级编码,2),0)</f>
        <v>4408</v>
      </c>
      <c r="Q248">
        <f>IFERROR(INT(VLOOKUP(P248,技能升级,9,FALSE)*N248*T248*U248),0)</f>
        <v>0</v>
      </c>
      <c r="R248">
        <f>IFERROR(INT(VLOOKUP(P248,技能升级,10,FALSE)*N248*T248*U248),0)</f>
        <v>0</v>
      </c>
      <c r="S248">
        <f>INT(VLOOKUP(P248,技能升级,11,FALSE)*N248*T248*U248)</f>
        <v>0</v>
      </c>
      <c r="T248">
        <v>1</v>
      </c>
      <c r="U248">
        <f>VLOOKUP(L244,$A$2:$I$21,8,FALSE)</f>
        <v>0.89000000000000012</v>
      </c>
    </row>
    <row r="249" spans="1:21" x14ac:dyDescent="0.15">
      <c r="A249">
        <v>45</v>
      </c>
      <c r="B249" t="s">
        <v>37</v>
      </c>
      <c r="C249">
        <v>1</v>
      </c>
      <c r="D249">
        <f>VLOOKUP(A249,技能参数,4,FALSE)</f>
        <v>2</v>
      </c>
      <c r="E249">
        <f>IFERROR(VLOOKUP(A249*1000+D244,学习等级编码,2),0)</f>
        <v>4505</v>
      </c>
      <c r="F249">
        <f>IFERROR(INT(VLOOKUP($E249,技能升级,9,FALSE)*$C249*I249*J249),0)</f>
        <v>0</v>
      </c>
      <c r="G249">
        <f t="shared" ref="G249:G250" si="35">IFERROR(INT(VLOOKUP($E249,技能升级,10,FALSE)*$C249*I249*J249),0)</f>
        <v>0</v>
      </c>
      <c r="H249">
        <f>INT(VLOOKUP($E249,技能升级,11,FALSE)*$C249*I249*J249)</f>
        <v>0</v>
      </c>
      <c r="I249">
        <f>INT(VLOOKUP($E249,技能升级,13,FALSE)*$C249)</f>
        <v>12372</v>
      </c>
      <c r="J249">
        <v>1</v>
      </c>
      <c r="L249">
        <v>45</v>
      </c>
      <c r="M249" t="s">
        <v>37</v>
      </c>
      <c r="N249">
        <v>1</v>
      </c>
      <c r="O249">
        <f>VLOOKUP(L249,技能参数,4,FALSE)</f>
        <v>2</v>
      </c>
      <c r="P249">
        <f>IFERROR(VLOOKUP(L249*1000+O244,学习等级编码,2),0)</f>
        <v>4505</v>
      </c>
      <c r="Q249">
        <f>IFERROR(INT(VLOOKUP(P249,技能升级,9,FALSE)*N249*T249*U249),0)</f>
        <v>0</v>
      </c>
      <c r="R249">
        <f>IFERROR(INT(VLOOKUP(P249,技能升级,10,FALSE)*N249*T249*U249),0)</f>
        <v>0</v>
      </c>
      <c r="S249">
        <f>INT(VLOOKUP(P249,技能升级,11,FALSE)*N249*T249*U249)</f>
        <v>0</v>
      </c>
      <c r="T249">
        <f>INT(VLOOKUP($E249,技能升级,13,FALSE)*$C249)</f>
        <v>12372</v>
      </c>
      <c r="U249">
        <v>1</v>
      </c>
    </row>
    <row r="250" spans="1:21" x14ac:dyDescent="0.15">
      <c r="A250">
        <v>41</v>
      </c>
      <c r="B250" t="s">
        <v>361</v>
      </c>
      <c r="C250">
        <f>IF(INT((C244-C246*D246-C247*D247-C248*D248-C249*D249)/D250)&gt;0,INT((C244-C246*D246-C247*D247-C248*D248-C249*D249)/D250),0)</f>
        <v>0</v>
      </c>
      <c r="D250">
        <f>VLOOKUP(A250,技能参数,4,FALSE)</f>
        <v>1.2</v>
      </c>
      <c r="E250">
        <f>IFERROR(VLOOKUP(A250*1000+D244,学习等级编码,2),0)</f>
        <v>4112</v>
      </c>
      <c r="F250">
        <f>IFERROR(INT(VLOOKUP($E250,技能升级,9,FALSE)*$C250*I250*J250),0)</f>
        <v>0</v>
      </c>
      <c r="G250">
        <f t="shared" si="35"/>
        <v>0</v>
      </c>
      <c r="H250">
        <f>INT(VLOOKUP($E250,技能升级,11,FALSE)*$C250*I250*J250)</f>
        <v>0</v>
      </c>
      <c r="I250">
        <v>1</v>
      </c>
      <c r="J250">
        <f>VLOOKUP(A244,$A$2:$I$21,8,FALSE)</f>
        <v>0.89000000000000012</v>
      </c>
      <c r="L250">
        <v>41</v>
      </c>
      <c r="M250" t="s">
        <v>361</v>
      </c>
      <c r="N250">
        <f>IF(INT((N244-N246*O246-N247*O247-N248*O248-N249*O249)/O250)&gt;0,INT((N244-N246*O246-N247*O247-N248*O248-N249*O249)/O250),0)</f>
        <v>3</v>
      </c>
      <c r="O250">
        <f>VLOOKUP(L250,技能参数,4,FALSE)</f>
        <v>1.2</v>
      </c>
      <c r="P250">
        <f>IFERROR(VLOOKUP(L250*1000+O244,学习等级编码,2),0)</f>
        <v>4112</v>
      </c>
      <c r="Q250">
        <f>IFERROR(INT(VLOOKUP(P250,技能升级,9,FALSE)*N250*T250*U250),0)</f>
        <v>0</v>
      </c>
      <c r="R250">
        <f>IFERROR(INT(VLOOKUP(P250,技能升级,10,FALSE)*N250*T250*U250),0)</f>
        <v>3924</v>
      </c>
      <c r="S250">
        <f>INT(VLOOKUP(P250,技能升级,11,FALSE)*N250*T250*U250)</f>
        <v>1300</v>
      </c>
      <c r="T250">
        <v>1</v>
      </c>
      <c r="U250">
        <f>VLOOKUP(A244,$A$2:$I$21,8,FALSE)</f>
        <v>0.89000000000000012</v>
      </c>
    </row>
    <row r="251" spans="1:21" x14ac:dyDescent="0.15">
      <c r="A251">
        <f>VLOOKUP(E246,技能升级,13,FALSE)</f>
        <v>108</v>
      </c>
      <c r="B251" t="s">
        <v>375</v>
      </c>
      <c r="C251">
        <f>C244+C244-3.5</f>
        <v>10.5</v>
      </c>
      <c r="G251">
        <f>INT((VLOOKUP(A251,召唤物属性,7,FALSE)-
IF($B244&gt;10000,VLOOKUP($B244,实战属性,15,FALSE),VLOOKUP($B244,总基本属性,9,FALSE))*$L$13)*I251*J251)</f>
        <v>2909</v>
      </c>
      <c r="I251">
        <f>VLOOKUP($E246,技能升级,14,FALSE)</f>
        <v>2</v>
      </c>
      <c r="J251">
        <v>1</v>
      </c>
      <c r="L251">
        <f>VLOOKUP(P246,技能升级,13,FALSE)</f>
        <v>108</v>
      </c>
      <c r="M251" t="s">
        <v>375</v>
      </c>
      <c r="N251">
        <f>N244+N244-3.5</f>
        <v>12.5</v>
      </c>
      <c r="R251">
        <f>INT((VLOOKUP(L251,召唤物属性,7,FALSE)-
IF($B244&gt;10000,VLOOKUP($B244,实战属性,15,FALSE),VLOOKUP($B244,总基本属性,9,FALSE))*$L$13)*T251*U251)</f>
        <v>2909</v>
      </c>
      <c r="T251">
        <f>VLOOKUP($E246,技能升级,14,FALSE)</f>
        <v>2</v>
      </c>
      <c r="U251">
        <v>1</v>
      </c>
    </row>
    <row r="252" spans="1:21" x14ac:dyDescent="0.15">
      <c r="A252">
        <f>VLOOKUP(E247,技能升级,13,FALSE)</f>
        <v>208</v>
      </c>
      <c r="B252" t="s">
        <v>374</v>
      </c>
      <c r="C252">
        <f>C244+C244-3.5</f>
        <v>10.5</v>
      </c>
      <c r="F252">
        <f>INT((VLOOKUP(A252,召唤物属性,6,FALSE)-
IF($B244&gt;10000,VLOOKUP($B244,实战属性,15,FALSE),VLOOKUP($B244,总基本属性,9,FALSE))*$L$13)*I252*J252)</f>
        <v>4165</v>
      </c>
      <c r="I252">
        <f>VLOOKUP($E247,技能升级,14,FALSE)</f>
        <v>4</v>
      </c>
      <c r="J252">
        <f>VLOOKUP(A244,$A$2:$I$21,9,FALSE)</f>
        <v>0.90200000000000002</v>
      </c>
      <c r="L252">
        <f>VLOOKUP(P247,技能升级,13,FALSE)</f>
        <v>208</v>
      </c>
      <c r="M252" t="s">
        <v>374</v>
      </c>
      <c r="N252">
        <f>N244+N244-3.5</f>
        <v>12.5</v>
      </c>
      <c r="Q252">
        <f>INT((VLOOKUP(L252,召唤物属性,6,FALSE)-
IF($B244&gt;10000,VLOOKUP($B244,实战属性,15,FALSE),VLOOKUP($B244,总基本属性,9,FALSE))*$L$13)*T252*U252)</f>
        <v>4165</v>
      </c>
      <c r="T252">
        <f>VLOOKUP($E247,技能升级,14,FALSE)</f>
        <v>4</v>
      </c>
      <c r="U252">
        <f>VLOOKUP(L244,$A$2:$I$21,9,FALSE)</f>
        <v>0.90200000000000002</v>
      </c>
    </row>
    <row r="253" spans="1:21" x14ac:dyDescent="0.15">
      <c r="E253" t="s">
        <v>194</v>
      </c>
      <c r="F253">
        <f>SUM(F246:F250)/1000</f>
        <v>0</v>
      </c>
      <c r="G253">
        <f>SUM(G246:G250)/1000</f>
        <v>8.766</v>
      </c>
      <c r="H253">
        <f>SUM(H246:H249)</f>
        <v>2136</v>
      </c>
      <c r="I253" t="s">
        <v>196</v>
      </c>
      <c r="J253" t="s">
        <v>197</v>
      </c>
      <c r="P253" t="s">
        <v>194</v>
      </c>
      <c r="Q253">
        <f>SUM(Q246:Q250)/1000</f>
        <v>0</v>
      </c>
      <c r="R253">
        <f>SUM(R246:R250)/1000</f>
        <v>3.9239999999999999</v>
      </c>
      <c r="S253">
        <f>SUM(S246:S249)</f>
        <v>0</v>
      </c>
      <c r="T253" t="s">
        <v>196</v>
      </c>
      <c r="U253" t="s">
        <v>197</v>
      </c>
    </row>
    <row r="254" spans="1:21" x14ac:dyDescent="0.15">
      <c r="E254" t="s">
        <v>195</v>
      </c>
      <c r="F254">
        <f>INT((IF($A244&gt;10000,VLOOKUP($A244,实战属性,13,FALSE),VLOOKUP($A244,总基本属性,7,FALSE))-
IF($B244&gt;10000,VLOOKUP($B244,实战属性,15,FALSE),VLOOKUP($B244,总基本属性,9,FALSE))*$L$13)*F253)</f>
        <v>0</v>
      </c>
      <c r="G254">
        <f>INT((IF($A244&gt;10000,VLOOKUP($A244,实战属性,14,FALSE),VLOOKUP($A244,总基本属性,8,FALSE))-
IF($B244&gt;10000,VLOOKUP($B244,实战属性,16,FALSE),VLOOKUP($B244,总基本属性,10,FALSE))*$L$13)*G253)</f>
        <v>31807</v>
      </c>
      <c r="H254">
        <f>H253+F254+G254</f>
        <v>33943</v>
      </c>
      <c r="I254">
        <f>IF($B244&gt;10000,VLOOKUP($B244,实战属性,12,FALSE),VLOOKUP($B244,总基本属性,6,FALSE))</f>
        <v>109152</v>
      </c>
      <c r="J254">
        <f>ROUND(I254/H255,2)</f>
        <v>1.01</v>
      </c>
      <c r="P254" t="s">
        <v>195</v>
      </c>
      <c r="Q254">
        <f>INT((IF($A244&gt;10000,VLOOKUP($A244,实战属性,13,FALSE),VLOOKUP($A244,总基本属性,7,FALSE))-
IF($B244&gt;10000,VLOOKUP($B244,实战属性,15,FALSE),VLOOKUP($B244,总基本属性,9,FALSE))*$L$13)*Q253)</f>
        <v>0</v>
      </c>
      <c r="R254">
        <f>INT((IF($A244&gt;10000,VLOOKUP($A244,实战属性,14,FALSE),VLOOKUP($A244,总基本属性,8,FALSE))-
IF($B244&gt;10000,VLOOKUP($B244,实战属性,16,FALSE),VLOOKUP($B244,总基本属性,10,FALSE))*$L$13)*R253)</f>
        <v>14238</v>
      </c>
      <c r="S254">
        <f>S253+Q254+R254</f>
        <v>14238</v>
      </c>
      <c r="T254">
        <f>IF($B244&gt;10000,VLOOKUP($B244,实战属性,12,FALSE),VLOOKUP($B244,总基本属性,6,FALSE))</f>
        <v>109152</v>
      </c>
      <c r="U254">
        <f>ROUND(T254/S255,2)</f>
        <v>1.06</v>
      </c>
    </row>
    <row r="255" spans="1:21" x14ac:dyDescent="0.15">
      <c r="E255" t="s">
        <v>376</v>
      </c>
      <c r="F255">
        <f>INT(F252*C252)</f>
        <v>43732</v>
      </c>
      <c r="G255">
        <f>INT(G251*C251)</f>
        <v>30544</v>
      </c>
      <c r="H255">
        <f>F255+G255+H254</f>
        <v>108219</v>
      </c>
      <c r="P255" t="s">
        <v>376</v>
      </c>
      <c r="Q255">
        <f>INT(Q252*N252)</f>
        <v>52062</v>
      </c>
      <c r="R255">
        <f>INT(R251*N251)</f>
        <v>36362</v>
      </c>
      <c r="S255">
        <f>Q255+R255+S254</f>
        <v>102662</v>
      </c>
    </row>
    <row r="259" spans="1:21" x14ac:dyDescent="0.15">
      <c r="A259" s="8" t="s">
        <v>6</v>
      </c>
      <c r="B259" s="8" t="s">
        <v>444</v>
      </c>
      <c r="C259" s="8" t="s">
        <v>178</v>
      </c>
      <c r="D259" s="8" t="s">
        <v>0</v>
      </c>
      <c r="L259" s="8" t="s">
        <v>6</v>
      </c>
      <c r="M259" s="8" t="s">
        <v>444</v>
      </c>
      <c r="N259" s="8" t="s">
        <v>178</v>
      </c>
      <c r="O259" s="8" t="s">
        <v>0</v>
      </c>
    </row>
    <row r="260" spans="1:21" x14ac:dyDescent="0.15">
      <c r="A260">
        <f>A231+10</f>
        <v>5090</v>
      </c>
      <c r="B260">
        <f>B231+10</f>
        <v>4090</v>
      </c>
      <c r="C260">
        <v>15</v>
      </c>
      <c r="D260">
        <f>MOD(A260,1000)</f>
        <v>90</v>
      </c>
      <c r="L260">
        <f>A260</f>
        <v>5090</v>
      </c>
      <c r="M260">
        <f>B260</f>
        <v>4090</v>
      </c>
      <c r="N260">
        <v>9</v>
      </c>
      <c r="O260">
        <f>MOD(L260,1000)</f>
        <v>90</v>
      </c>
    </row>
    <row r="261" spans="1:21" x14ac:dyDescent="0.15">
      <c r="A261" t="s">
        <v>156</v>
      </c>
      <c r="B261" t="s">
        <v>95</v>
      </c>
      <c r="C261" t="s">
        <v>142</v>
      </c>
      <c r="D261" t="s">
        <v>143</v>
      </c>
      <c r="E261" t="s">
        <v>182</v>
      </c>
      <c r="F261" t="s">
        <v>192</v>
      </c>
      <c r="G261" t="s">
        <v>193</v>
      </c>
      <c r="H261" t="s">
        <v>176</v>
      </c>
      <c r="I261" t="s">
        <v>205</v>
      </c>
      <c r="J261" t="s">
        <v>206</v>
      </c>
      <c r="L261" t="s">
        <v>156</v>
      </c>
      <c r="M261" t="s">
        <v>95</v>
      </c>
      <c r="N261" t="s">
        <v>142</v>
      </c>
      <c r="O261" t="s">
        <v>143</v>
      </c>
      <c r="P261" t="s">
        <v>182</v>
      </c>
      <c r="Q261" t="s">
        <v>192</v>
      </c>
      <c r="R261" t="s">
        <v>193</v>
      </c>
      <c r="S261" t="s">
        <v>176</v>
      </c>
      <c r="T261" t="s">
        <v>205</v>
      </c>
      <c r="U261" t="s">
        <v>206</v>
      </c>
    </row>
    <row r="262" spans="1:21" x14ac:dyDescent="0.15">
      <c r="A262">
        <v>52</v>
      </c>
      <c r="B262" t="s">
        <v>44</v>
      </c>
      <c r="C262">
        <v>0</v>
      </c>
      <c r="D262">
        <f>VLOOKUP(A262,技能参数,4,FALSE)</f>
        <v>1.5</v>
      </c>
      <c r="E262">
        <f>VLOOKUP(A262*1000+D260,学习等级编码,2)</f>
        <v>5209</v>
      </c>
      <c r="F262">
        <f>INT(VLOOKUP(E262,技能升级,9,FALSE)*C262*I262*J262)</f>
        <v>0</v>
      </c>
      <c r="G262">
        <f>INT(VLOOKUP(E262,技能升级,10,FALSE)*C262*I262*J262)</f>
        <v>0</v>
      </c>
      <c r="H262">
        <f>INT(VLOOKUP(E262,技能升级,11,FALSE)*C262*I262*J262)</f>
        <v>0</v>
      </c>
      <c r="I262">
        <v>1</v>
      </c>
      <c r="J262">
        <v>1</v>
      </c>
      <c r="L262">
        <v>52</v>
      </c>
      <c r="M262" t="s">
        <v>44</v>
      </c>
      <c r="N262">
        <v>0</v>
      </c>
      <c r="O262">
        <f>VLOOKUP(L262,技能参数,4,FALSE)</f>
        <v>1.5</v>
      </c>
      <c r="P262">
        <f>VLOOKUP(L262*1000+O260,学习等级编码,2)</f>
        <v>5209</v>
      </c>
      <c r="Q262">
        <f>INT(VLOOKUP(P262,技能升级,9,FALSE)*N262*T262*U262)</f>
        <v>0</v>
      </c>
      <c r="R262">
        <f>INT(VLOOKUP(P262,技能升级,10,FALSE)*N262*T262*U262)</f>
        <v>0</v>
      </c>
      <c r="S262">
        <f>INT(VLOOKUP(P262,技能升级,11,FALSE)*N262*T262*U262)</f>
        <v>0</v>
      </c>
      <c r="T262">
        <v>1</v>
      </c>
      <c r="U262">
        <v>1</v>
      </c>
    </row>
    <row r="263" spans="1:21" x14ac:dyDescent="0.15">
      <c r="A263">
        <v>54</v>
      </c>
      <c r="B263" t="s">
        <v>40</v>
      </c>
      <c r="C263">
        <v>0</v>
      </c>
      <c r="D263">
        <f>VLOOKUP(A263,技能参数,4,FALSE)</f>
        <v>1.2</v>
      </c>
      <c r="E263">
        <f>VLOOKUP(A263*1000+D260,学习等级编码,2)</f>
        <v>5409</v>
      </c>
      <c r="F263">
        <f>INT(VLOOKUP(E263,技能升级,9,FALSE)*C263*I263*J263)</f>
        <v>0</v>
      </c>
      <c r="G263">
        <f>INT(VLOOKUP(E263,技能升级,10,FALSE)*C263*I263*J263)</f>
        <v>0</v>
      </c>
      <c r="H263">
        <f>INT(VLOOKUP(E263,技能升级,11,FALSE)*C263*I263*J263)</f>
        <v>0</v>
      </c>
      <c r="I263">
        <v>1</v>
      </c>
      <c r="J263">
        <v>1</v>
      </c>
      <c r="L263">
        <v>54</v>
      </c>
      <c r="M263" t="s">
        <v>40</v>
      </c>
      <c r="N263">
        <v>0</v>
      </c>
      <c r="O263">
        <f>VLOOKUP(L263,技能参数,4,FALSE)</f>
        <v>1.2</v>
      </c>
      <c r="P263">
        <f>VLOOKUP(L263*1000+O260,学习等级编码,2)</f>
        <v>5409</v>
      </c>
      <c r="Q263">
        <f>INT(VLOOKUP(P263,技能升级,9,FALSE)*N263*T263*U263)</f>
        <v>0</v>
      </c>
      <c r="R263">
        <f>INT(VLOOKUP(P263,技能升级,10,FALSE)*N263*T263*U263)</f>
        <v>0</v>
      </c>
      <c r="S263">
        <f>INT(VLOOKUP(P263,技能升级,11,FALSE)*N263*T263*U263)</f>
        <v>0</v>
      </c>
      <c r="T263">
        <v>1</v>
      </c>
      <c r="U263">
        <v>1</v>
      </c>
    </row>
    <row r="264" spans="1:21" x14ac:dyDescent="0.15">
      <c r="A264">
        <v>51</v>
      </c>
      <c r="B264" t="s">
        <v>203</v>
      </c>
      <c r="C264">
        <v>2</v>
      </c>
      <c r="D264">
        <f>VLOOKUP(A264,技能参数,4,FALSE)</f>
        <v>0.9</v>
      </c>
      <c r="E264">
        <f>VLOOKUP(A264*1000+D260,学习等级编码,2)</f>
        <v>5114</v>
      </c>
      <c r="F264">
        <f>INT(VLOOKUP(E264,技能升级,9,FALSE)*C264*I264*J264)</f>
        <v>3080</v>
      </c>
      <c r="G264">
        <f>INT(VLOOKUP(E264,技能升级,10,FALSE)*C264*I264*J264)</f>
        <v>0</v>
      </c>
      <c r="H264">
        <f>INT(VLOOKUP(E264,技能升级,11,FALSE)*C264*I264*J264)</f>
        <v>1334</v>
      </c>
      <c r="I264">
        <v>1</v>
      </c>
      <c r="J264">
        <v>1</v>
      </c>
      <c r="L264">
        <v>51</v>
      </c>
      <c r="M264" t="s">
        <v>203</v>
      </c>
      <c r="N264">
        <v>2</v>
      </c>
      <c r="O264">
        <f>VLOOKUP(L264,技能参数,4,FALSE)</f>
        <v>0.9</v>
      </c>
      <c r="P264">
        <f>VLOOKUP(L264*1000+O260,学习等级编码,2)</f>
        <v>5114</v>
      </c>
      <c r="Q264">
        <f>INT(VLOOKUP(P264,技能升级,9,FALSE)*N264*T264*U264)</f>
        <v>3080</v>
      </c>
      <c r="R264">
        <f>INT(VLOOKUP(P264,技能升级,10,FALSE)*N264*T264*U264)</f>
        <v>0</v>
      </c>
      <c r="S264">
        <f>INT(VLOOKUP(P264,技能升级,11,FALSE)*N264*T264*U264)</f>
        <v>1334</v>
      </c>
      <c r="T264">
        <v>1</v>
      </c>
      <c r="U264">
        <v>1</v>
      </c>
    </row>
    <row r="265" spans="1:21" x14ac:dyDescent="0.15">
      <c r="A265">
        <v>51</v>
      </c>
      <c r="B265" t="s">
        <v>204</v>
      </c>
      <c r="C265">
        <f>INT((C260-C262*D262-C263*D263-D264*C264-C267)/D265*3)</f>
        <v>24</v>
      </c>
      <c r="D265">
        <f>VLOOKUP(A265,技能参数,4,FALSE)</f>
        <v>0.9</v>
      </c>
      <c r="E265">
        <f>VLOOKUP(A265*1000+D260,学习等级编码,2)</f>
        <v>5114</v>
      </c>
      <c r="F265">
        <f>INT(VLOOKUP(E265,技能升级,9,FALSE)*C265*I265*J265)</f>
        <v>28444</v>
      </c>
      <c r="G265">
        <f>INT(VLOOKUP(E265,技能升级,10,FALSE)*C265*I265*J265)</f>
        <v>0</v>
      </c>
      <c r="H265">
        <f>INT(VLOOKUP(E265,技能升级,11,FALSE)*C265*I265*J265)</f>
        <v>12319</v>
      </c>
      <c r="I265">
        <f>F266/1000</f>
        <v>0.52</v>
      </c>
      <c r="J265">
        <f>VLOOKUP(A260,$A$2:$I$21,7,FALSE)</f>
        <v>1.48</v>
      </c>
      <c r="L265">
        <v>51</v>
      </c>
      <c r="M265" t="s">
        <v>204</v>
      </c>
      <c r="N265">
        <f>INT((N260-N262*O262-N263*O263-O264*N264-N267)/O265*3)</f>
        <v>24</v>
      </c>
      <c r="O265">
        <f>VLOOKUP(L265,技能参数,4,FALSE)</f>
        <v>0.9</v>
      </c>
      <c r="P265">
        <f>VLOOKUP(L265*1000+O260,学习等级编码,2)</f>
        <v>5114</v>
      </c>
      <c r="Q265">
        <f>INT(VLOOKUP(P265,技能升级,9,FALSE)*N265*T265*U265)</f>
        <v>28444</v>
      </c>
      <c r="R265">
        <f>INT(VLOOKUP(P265,技能升级,10,FALSE)*N265*T265*U265)</f>
        <v>0</v>
      </c>
      <c r="S265">
        <f>INT(VLOOKUP(P265,技能升级,11,FALSE)*N265*T265*U265)</f>
        <v>12319</v>
      </c>
      <c r="T265">
        <f>Q266/1000</f>
        <v>0.52</v>
      </c>
      <c r="U265">
        <f>VLOOKUP(L260,$A$2:$I$21,7,FALSE)</f>
        <v>1.48</v>
      </c>
    </row>
    <row r="266" spans="1:21" x14ac:dyDescent="0.15">
      <c r="A266">
        <v>55</v>
      </c>
      <c r="B266" t="s">
        <v>46</v>
      </c>
      <c r="C266">
        <v>1</v>
      </c>
      <c r="D266">
        <v>0</v>
      </c>
      <c r="E266">
        <f>VLOOKUP(A266*1000+D260,学习等级编码,2)</f>
        <v>5506</v>
      </c>
      <c r="F266">
        <f>INT(VLOOKUP($E266,技能升级,14,FALSE)*$C266*I266)</f>
        <v>520</v>
      </c>
      <c r="G266">
        <f>INT(VLOOKUP($E266,技能升级,10,FALSE)*$C266*I266)</f>
        <v>0</v>
      </c>
      <c r="H266">
        <f>INT(VLOOKUP($E266,技能升级,11,FALSE)*$C266*I266*J266)</f>
        <v>0</v>
      </c>
      <c r="I266">
        <v>1</v>
      </c>
      <c r="J266">
        <v>1</v>
      </c>
      <c r="L266">
        <v>55</v>
      </c>
      <c r="M266" t="s">
        <v>46</v>
      </c>
      <c r="N266">
        <v>1</v>
      </c>
      <c r="O266">
        <v>0</v>
      </c>
      <c r="P266">
        <f>VLOOKUP(L266*1000+O260,学习等级编码,2)</f>
        <v>5506</v>
      </c>
      <c r="Q266">
        <f>INT(VLOOKUP($E266,技能升级,14,FALSE)*$C266*T266)</f>
        <v>520</v>
      </c>
      <c r="R266">
        <f>INT(VLOOKUP($E266,技能升级,10,FALSE)*$C266*T266)</f>
        <v>0</v>
      </c>
      <c r="S266">
        <f>INT(VLOOKUP($E266,技能升级,11,FALSE)*$C266*T266*U266)</f>
        <v>0</v>
      </c>
      <c r="T266">
        <v>1</v>
      </c>
      <c r="U266">
        <v>1</v>
      </c>
    </row>
    <row r="267" spans="1:21" x14ac:dyDescent="0.15">
      <c r="B267" t="s">
        <v>38</v>
      </c>
      <c r="C267">
        <f>D277</f>
        <v>6</v>
      </c>
      <c r="M267" t="s">
        <v>38</v>
      </c>
      <c r="N267">
        <f>O277</f>
        <v>0</v>
      </c>
    </row>
    <row r="268" spans="1:21" x14ac:dyDescent="0.15">
      <c r="E268" t="s">
        <v>194</v>
      </c>
      <c r="F268">
        <f>SUM(F262:F265)/1000</f>
        <v>31.524000000000001</v>
      </c>
      <c r="G268">
        <f>SUM(G262:G265)/1000</f>
        <v>0</v>
      </c>
      <c r="H268">
        <f>SUM(H262:H265)</f>
        <v>13653</v>
      </c>
      <c r="I268" t="s">
        <v>196</v>
      </c>
      <c r="J268" t="s">
        <v>197</v>
      </c>
      <c r="P268" t="s">
        <v>194</v>
      </c>
      <c r="Q268">
        <f>SUM(Q262:Q265)/1000</f>
        <v>31.524000000000001</v>
      </c>
      <c r="R268">
        <f>SUM(R262:R265)/1000</f>
        <v>0</v>
      </c>
      <c r="S268">
        <f>SUM(S262:S265)</f>
        <v>13653</v>
      </c>
      <c r="T268" t="s">
        <v>196</v>
      </c>
      <c r="U268" t="s">
        <v>197</v>
      </c>
    </row>
    <row r="269" spans="1:21" x14ac:dyDescent="0.15">
      <c r="E269" t="s">
        <v>195</v>
      </c>
      <c r="F269">
        <f>INT((IF($A260&gt;10000,VLOOKUP($A260,实战属性,13,FALSE),VLOOKUP($A260,总基本属性,7,FALSE))-
IF($B260&gt;10000,VLOOKUP($B260,实战属性,15,FALSE),VLOOKUP($B260,总基本属性,9,FALSE))*$L$13)*F268)</f>
        <v>140423</v>
      </c>
      <c r="G269">
        <f>INT((IF($A260&gt;10000,VLOOKUP($A260,实战属性,14,FALSE),VLOOKUP($A260,总基本属性,8,FALSE))-
IF($B260&gt;10000,VLOOKUP($B260,实战属性,16,FALSE),VLOOKUP($B260,总基本属性,10,FALSE))*$L$13)*G268)</f>
        <v>0</v>
      </c>
      <c r="H269">
        <f>H268+F269+G269</f>
        <v>154076</v>
      </c>
      <c r="I269">
        <f>IF($B260&gt;10000,VLOOKUP($B260,实战属性,12,FALSE),VLOOKUP($B260,总基本属性,6,FALSE))+I278</f>
        <v>149676</v>
      </c>
      <c r="J269">
        <f>ROUND(I269/H269,2)</f>
        <v>0.97</v>
      </c>
      <c r="P269" t="s">
        <v>195</v>
      </c>
      <c r="Q269">
        <f>INT((IF($A260&gt;10000,VLOOKUP($A260,实战属性,13,FALSE),VLOOKUP($A260,总基本属性,7,FALSE))-
IF($B260&gt;10000,VLOOKUP($B260,实战属性,15,FALSE),VLOOKUP($B260,总基本属性,9,FALSE))*$L$13)*Q268)</f>
        <v>140423</v>
      </c>
      <c r="R269">
        <f>INT((IF($A260&gt;10000,VLOOKUP($A260,实战属性,14,FALSE),VLOOKUP($A260,总基本属性,8,FALSE))-
IF($B260&gt;10000,VLOOKUP($B260,实战属性,16,FALSE),VLOOKUP($B260,总基本属性,10,FALSE))*$L$13)*R268)</f>
        <v>0</v>
      </c>
      <c r="S269">
        <f>S268+Q269+R269</f>
        <v>154076</v>
      </c>
      <c r="T269">
        <f>IF($B260&gt;10000,VLOOKUP($B260,实战属性,12,FALSE),VLOOKUP($B260,总基本属性,6,FALSE))+T278</f>
        <v>149676</v>
      </c>
      <c r="U269">
        <f>ROUND(T269/S269,2)</f>
        <v>0.97</v>
      </c>
    </row>
    <row r="272" spans="1:21" x14ac:dyDescent="0.15">
      <c r="A272" s="9" t="s">
        <v>5</v>
      </c>
      <c r="B272" s="9" t="s">
        <v>448</v>
      </c>
      <c r="C272" s="9" t="s">
        <v>178</v>
      </c>
      <c r="D272" s="9" t="s">
        <v>0</v>
      </c>
      <c r="G272" t="s">
        <v>445</v>
      </c>
      <c r="H272">
        <f>INT(I283/J283/C273)</f>
        <v>20414</v>
      </c>
      <c r="I272" t="s">
        <v>446</v>
      </c>
      <c r="J272">
        <f>ROUND(I278/H272,1)</f>
        <v>1</v>
      </c>
      <c r="L272" s="9" t="s">
        <v>5</v>
      </c>
      <c r="M272" s="9" t="s">
        <v>448</v>
      </c>
      <c r="N272" s="9" t="s">
        <v>178</v>
      </c>
      <c r="O272" s="9" t="s">
        <v>0</v>
      </c>
      <c r="R272" t="s">
        <v>445</v>
      </c>
      <c r="S272">
        <f>INT(T283/U283/N273)</f>
        <v>16750</v>
      </c>
      <c r="T272" t="s">
        <v>446</v>
      </c>
      <c r="U272">
        <f>ROUND(T278/S272,1)</f>
        <v>1.3</v>
      </c>
    </row>
    <row r="273" spans="1:21" x14ac:dyDescent="0.15">
      <c r="A273">
        <f>A244+10</f>
        <v>4090</v>
      </c>
      <c r="B273">
        <f>B244+10</f>
        <v>5090</v>
      </c>
      <c r="C273">
        <v>7</v>
      </c>
      <c r="D273">
        <f>MOD(A273,1000)</f>
        <v>90</v>
      </c>
      <c r="I273" t="s">
        <v>383</v>
      </c>
      <c r="J273">
        <f>VLOOKUP(D273,召唤物生存,13)</f>
        <v>4.82</v>
      </c>
      <c r="L273">
        <f>A273</f>
        <v>4090</v>
      </c>
      <c r="M273">
        <f>B273</f>
        <v>5090</v>
      </c>
      <c r="N273">
        <v>9</v>
      </c>
      <c r="O273">
        <f>MOD(L273,1000)</f>
        <v>90</v>
      </c>
      <c r="T273" t="s">
        <v>383</v>
      </c>
      <c r="U273">
        <f>VLOOKUP(O273,召唤物生存,13)</f>
        <v>4.82</v>
      </c>
    </row>
    <row r="274" spans="1:21" x14ac:dyDescent="0.15">
      <c r="A274" t="s">
        <v>156</v>
      </c>
      <c r="B274" t="s">
        <v>95</v>
      </c>
      <c r="C274" t="s">
        <v>177</v>
      </c>
      <c r="D274" t="s">
        <v>143</v>
      </c>
      <c r="E274" t="s">
        <v>182</v>
      </c>
      <c r="F274" t="s">
        <v>192</v>
      </c>
      <c r="G274" t="s">
        <v>193</v>
      </c>
      <c r="H274" t="s">
        <v>176</v>
      </c>
      <c r="I274" t="s">
        <v>205</v>
      </c>
      <c r="J274" t="s">
        <v>206</v>
      </c>
      <c r="L274" t="s">
        <v>156</v>
      </c>
      <c r="M274" t="s">
        <v>95</v>
      </c>
      <c r="N274" t="s">
        <v>177</v>
      </c>
      <c r="O274" t="s">
        <v>143</v>
      </c>
      <c r="P274" t="s">
        <v>182</v>
      </c>
      <c r="Q274" t="s">
        <v>192</v>
      </c>
      <c r="R274" t="s">
        <v>193</v>
      </c>
      <c r="S274" t="s">
        <v>176</v>
      </c>
      <c r="T274" t="s">
        <v>205</v>
      </c>
      <c r="U274" t="s">
        <v>206</v>
      </c>
    </row>
    <row r="275" spans="1:21" x14ac:dyDescent="0.15">
      <c r="A275">
        <v>42</v>
      </c>
      <c r="B275" t="s">
        <v>35</v>
      </c>
      <c r="C275">
        <v>1</v>
      </c>
      <c r="D275">
        <f>VLOOKUP(A275,技能参数,4,FALSE)</f>
        <v>1</v>
      </c>
      <c r="E275">
        <f>IFERROR(VLOOKUP(A275*1000+D273,学习等级编码,2),0)</f>
        <v>4209</v>
      </c>
      <c r="F275">
        <f>IFERROR(INT(VLOOKUP($E275,技能升级,9,FALSE)*$C275*I275*J275),0)</f>
        <v>0</v>
      </c>
      <c r="G275">
        <f>IFERROR(INT(VLOOKUP($E275,技能升级,10,FALSE)*$C275*I275*J275),0)</f>
        <v>0</v>
      </c>
      <c r="H275">
        <f>INT(VLOOKUP($E275,技能升级,11,FALSE)*$C275*I275*J275)</f>
        <v>0</v>
      </c>
      <c r="I275">
        <v>1</v>
      </c>
      <c r="J275">
        <v>1</v>
      </c>
      <c r="L275">
        <v>42</v>
      </c>
      <c r="M275" t="s">
        <v>35</v>
      </c>
      <c r="N275">
        <v>1</v>
      </c>
      <c r="O275">
        <f>VLOOKUP(L275,技能参数,4,FALSE)</f>
        <v>1</v>
      </c>
      <c r="P275">
        <f>IFERROR(VLOOKUP(L275*1000+O273,学习等级编码,2),0)</f>
        <v>4209</v>
      </c>
      <c r="Q275">
        <f>IFERROR(INT(VLOOKUP(P275,技能升级,9,FALSE)*N275*T275*U275),0)</f>
        <v>0</v>
      </c>
      <c r="R275">
        <f>IFERROR(INT(VLOOKUP(P275,技能升级,10,FALSE)*N275*T275*U275),0)</f>
        <v>0</v>
      </c>
      <c r="S275">
        <f>INT(VLOOKUP(P275,技能升级,11,FALSE)*N275*T275*U275)</f>
        <v>0</v>
      </c>
      <c r="T275">
        <v>1</v>
      </c>
      <c r="U275">
        <v>1</v>
      </c>
    </row>
    <row r="276" spans="1:21" x14ac:dyDescent="0.15">
      <c r="A276">
        <v>43</v>
      </c>
      <c r="B276" t="s">
        <v>36</v>
      </c>
      <c r="C276">
        <v>1</v>
      </c>
      <c r="D276">
        <f>VLOOKUP(A276,技能参数,4,FALSE)</f>
        <v>1</v>
      </c>
      <c r="E276">
        <f>IFERROR(VLOOKUP(A276*1000+D273,学习等级编码,2),0)</f>
        <v>4309</v>
      </c>
      <c r="F276">
        <f t="shared" ref="F276" si="36">IFERROR(INT(VLOOKUP($E276,技能升级,9,FALSE)*$C276*I276*J276),0)</f>
        <v>0</v>
      </c>
      <c r="G276">
        <f t="shared" ref="G276" si="37">IFERROR(INT(VLOOKUP($E276,技能升级,10,FALSE)*$C276*I276*J276),0)</f>
        <v>0</v>
      </c>
      <c r="H276">
        <f>INT(VLOOKUP($E276,技能升级,11,FALSE)*$C276*I276*J276)</f>
        <v>0</v>
      </c>
      <c r="I276">
        <v>1</v>
      </c>
      <c r="J276">
        <v>1</v>
      </c>
      <c r="L276">
        <v>43</v>
      </c>
      <c r="M276" t="s">
        <v>36</v>
      </c>
      <c r="N276">
        <v>1</v>
      </c>
      <c r="O276">
        <f>VLOOKUP(L276,技能参数,4,FALSE)</f>
        <v>1</v>
      </c>
      <c r="P276">
        <f>IFERROR(VLOOKUP(L276*1000+O273,学习等级编码,2),0)</f>
        <v>4309</v>
      </c>
      <c r="Q276">
        <f>IFERROR(INT(VLOOKUP(P276,技能升级,9,FALSE)*N276*T276*U276),0)</f>
        <v>0</v>
      </c>
      <c r="R276">
        <f>IFERROR(INT(VLOOKUP(P276,技能升级,10,FALSE)*N276*T276*U276),0)</f>
        <v>0</v>
      </c>
      <c r="S276">
        <f>INT(VLOOKUP(P276,技能升级,11,FALSE)*N276*T276*U276)</f>
        <v>0</v>
      </c>
      <c r="T276">
        <v>1</v>
      </c>
      <c r="U276">
        <v>1</v>
      </c>
    </row>
    <row r="277" spans="1:21" x14ac:dyDescent="0.15">
      <c r="A277">
        <v>44</v>
      </c>
      <c r="B277" t="s">
        <v>38</v>
      </c>
      <c r="C277">
        <v>1</v>
      </c>
      <c r="D277">
        <f>IFERROR(INT(VLOOKUP($E277,技能升级,13,FALSE)),0)</f>
        <v>6</v>
      </c>
      <c r="E277">
        <f>IFERROR(VLOOKUP(A277*1000+D273,学习等级编码,2),0)</f>
        <v>4409</v>
      </c>
      <c r="F277">
        <f>IFERROR(INT(VLOOKUP($E277,技能升级,9,FALSE)*$C277*I277*J277),0)</f>
        <v>0</v>
      </c>
      <c r="G277">
        <f>IFERROR(INT(VLOOKUP($E277,技能升级,10,FALSE)*$D277*I277*J277),0)</f>
        <v>10474</v>
      </c>
      <c r="H277">
        <f>INT(VLOOKUP($E277,技能升级,11,FALSE)*$D277*I277*J277)</f>
        <v>3121</v>
      </c>
      <c r="I277">
        <v>1</v>
      </c>
      <c r="J277">
        <f>VLOOKUP(A273,$A$2:$I$21,8,FALSE)</f>
        <v>0.8600000000000001</v>
      </c>
      <c r="L277">
        <v>44</v>
      </c>
      <c r="M277" t="s">
        <v>38</v>
      </c>
      <c r="N277">
        <v>0</v>
      </c>
      <c r="O277">
        <v>0</v>
      </c>
      <c r="P277">
        <f>IFERROR(VLOOKUP(L277*1000+O273,学习等级编码,2),0)</f>
        <v>4409</v>
      </c>
      <c r="Q277">
        <f>IFERROR(INT(VLOOKUP(P277,技能升级,9,FALSE)*N277*T277*U277),0)</f>
        <v>0</v>
      </c>
      <c r="R277">
        <f>IFERROR(INT(VLOOKUP(P277,技能升级,10,FALSE)*N277*T277*U277),0)</f>
        <v>0</v>
      </c>
      <c r="S277">
        <f>INT(VLOOKUP(P277,技能升级,11,FALSE)*N277*T277*U277)</f>
        <v>0</v>
      </c>
      <c r="T277">
        <v>1</v>
      </c>
      <c r="U277">
        <f>VLOOKUP(L273,$A$2:$I$21,8,FALSE)</f>
        <v>0.8600000000000001</v>
      </c>
    </row>
    <row r="278" spans="1:21" x14ac:dyDescent="0.15">
      <c r="A278">
        <v>45</v>
      </c>
      <c r="B278" t="s">
        <v>37</v>
      </c>
      <c r="C278">
        <v>1</v>
      </c>
      <c r="D278">
        <f>VLOOKUP(A278,技能参数,4,FALSE)</f>
        <v>2</v>
      </c>
      <c r="E278">
        <f>IFERROR(VLOOKUP(A278*1000+D273,学习等级编码,2),0)</f>
        <v>4506</v>
      </c>
      <c r="F278">
        <f>IFERROR(INT(VLOOKUP($E278,技能升级,9,FALSE)*$C278*I278*J278),0)</f>
        <v>0</v>
      </c>
      <c r="G278">
        <f t="shared" ref="G278:G279" si="38">IFERROR(INT(VLOOKUP($E278,技能升级,10,FALSE)*$C278*I278*J278),0)</f>
        <v>0</v>
      </c>
      <c r="H278">
        <f>INT(VLOOKUP($E278,技能升级,11,FALSE)*$C278*I278*J278)</f>
        <v>0</v>
      </c>
      <c r="I278">
        <f>INT(VLOOKUP($E278,技能升级,13,FALSE)*$C278)</f>
        <v>21066</v>
      </c>
      <c r="J278">
        <v>1</v>
      </c>
      <c r="L278">
        <v>45</v>
      </c>
      <c r="M278" t="s">
        <v>37</v>
      </c>
      <c r="N278">
        <v>1</v>
      </c>
      <c r="O278">
        <f>VLOOKUP(L278,技能参数,4,FALSE)</f>
        <v>2</v>
      </c>
      <c r="P278">
        <f>IFERROR(VLOOKUP(L278*1000+O273,学习等级编码,2),0)</f>
        <v>4506</v>
      </c>
      <c r="Q278">
        <f>IFERROR(INT(VLOOKUP(P278,技能升级,9,FALSE)*N278*T278*U278),0)</f>
        <v>0</v>
      </c>
      <c r="R278">
        <f>IFERROR(INT(VLOOKUP(P278,技能升级,10,FALSE)*N278*T278*U278),0)</f>
        <v>0</v>
      </c>
      <c r="S278">
        <f>INT(VLOOKUP(P278,技能升级,11,FALSE)*N278*T278*U278)</f>
        <v>0</v>
      </c>
      <c r="T278">
        <f>INT(VLOOKUP($E278,技能升级,13,FALSE)*$C278)</f>
        <v>21066</v>
      </c>
      <c r="U278">
        <v>1</v>
      </c>
    </row>
    <row r="279" spans="1:21" x14ac:dyDescent="0.15">
      <c r="A279">
        <v>41</v>
      </c>
      <c r="B279" t="s">
        <v>361</v>
      </c>
      <c r="C279">
        <f>IF(INT((C273-C275*D275-C276*D276-C277*D277-C278*D278)/D279)&gt;0,INT((C273-C275*D275-C276*D276-C277*D277-C278*D278)/D279),0)</f>
        <v>0</v>
      </c>
      <c r="D279">
        <f>VLOOKUP(A279,技能参数,4,FALSE)</f>
        <v>1.2</v>
      </c>
      <c r="E279">
        <f>IFERROR(VLOOKUP(A279*1000+D273,学习等级编码,2),0)</f>
        <v>4114</v>
      </c>
      <c r="F279">
        <f>IFERROR(INT(VLOOKUP($E279,技能升级,9,FALSE)*$C279*I279*J279),0)</f>
        <v>0</v>
      </c>
      <c r="G279">
        <f t="shared" si="38"/>
        <v>0</v>
      </c>
      <c r="H279">
        <f>INT(VLOOKUP($E279,技能升级,11,FALSE)*$C279*I279*J279)</f>
        <v>0</v>
      </c>
      <c r="I279">
        <v>1</v>
      </c>
      <c r="J279">
        <f>VLOOKUP(A273,$A$2:$I$21,8,FALSE)</f>
        <v>0.8600000000000001</v>
      </c>
      <c r="L279">
        <v>41</v>
      </c>
      <c r="M279" t="s">
        <v>361</v>
      </c>
      <c r="N279">
        <f>IF(INT((N273-N275*O275-N276*O276-N277*O277-N278*O278)/O279)&gt;0,INT((N273-N275*O275-N276*O276-N277*O277-N278*O278)/O279),0)</f>
        <v>4</v>
      </c>
      <c r="O279">
        <f>VLOOKUP(L279,技能参数,4,FALSE)</f>
        <v>1.2</v>
      </c>
      <c r="P279">
        <f>IFERROR(VLOOKUP(L279*1000+O273,学习等级编码,2),0)</f>
        <v>4114</v>
      </c>
      <c r="Q279">
        <f>IFERROR(INT(VLOOKUP(P279,技能升级,9,FALSE)*N279*T279*U279),0)</f>
        <v>0</v>
      </c>
      <c r="R279">
        <f>IFERROR(INT(VLOOKUP(P279,技能升级,10,FALSE)*N279*T279*U279),0)</f>
        <v>5366</v>
      </c>
      <c r="S279">
        <f>INT(VLOOKUP(P279,技能升级,11,FALSE)*N279*T279*U279)</f>
        <v>2294</v>
      </c>
      <c r="T279">
        <v>1</v>
      </c>
      <c r="U279">
        <f>VLOOKUP(A273,$A$2:$I$21,8,FALSE)</f>
        <v>0.8600000000000001</v>
      </c>
    </row>
    <row r="280" spans="1:21" x14ac:dyDescent="0.15">
      <c r="A280">
        <f>VLOOKUP(E275,技能升级,13,FALSE)</f>
        <v>109</v>
      </c>
      <c r="B280" t="s">
        <v>375</v>
      </c>
      <c r="C280">
        <f>C273+C273-3.5</f>
        <v>10.5</v>
      </c>
      <c r="G280">
        <f>INT((VLOOKUP(A280,召唤物属性,7,FALSE)-
IF($B273&gt;10000,VLOOKUP($B273,实战属性,15,FALSE),VLOOKUP($B273,总基本属性,9,FALSE))*$L$13)*I280*J280)</f>
        <v>3538</v>
      </c>
      <c r="I280">
        <f>VLOOKUP($E275,技能升级,14,FALSE)</f>
        <v>2</v>
      </c>
      <c r="J280">
        <v>1</v>
      </c>
      <c r="L280">
        <f>VLOOKUP(P275,技能升级,13,FALSE)</f>
        <v>109</v>
      </c>
      <c r="M280" t="s">
        <v>375</v>
      </c>
      <c r="N280">
        <f>N273+N273-3.5</f>
        <v>14.5</v>
      </c>
      <c r="R280">
        <f>INT((VLOOKUP(L280,召唤物属性,7,FALSE)-
IF($B273&gt;10000,VLOOKUP($B273,实战属性,15,FALSE),VLOOKUP($B273,总基本属性,9,FALSE))*$L$13)*T280*U280)</f>
        <v>3538</v>
      </c>
      <c r="T280">
        <f>VLOOKUP($E275,技能升级,14,FALSE)</f>
        <v>2</v>
      </c>
      <c r="U280">
        <v>1</v>
      </c>
    </row>
    <row r="281" spans="1:21" x14ac:dyDescent="0.15">
      <c r="A281">
        <f>VLOOKUP(E276,技能升级,13,FALSE)</f>
        <v>209</v>
      </c>
      <c r="B281" t="s">
        <v>374</v>
      </c>
      <c r="C281">
        <f>C273+C273-3.5</f>
        <v>10.5</v>
      </c>
      <c r="F281">
        <f>INT((VLOOKUP(A281,召唤物属性,6,FALSE)-
IF($B273&gt;10000,VLOOKUP($B273,实战属性,15,FALSE),VLOOKUP($B273,总基本属性,9,FALSE))*$L$13)*I281*J281)</f>
        <v>5176</v>
      </c>
      <c r="I281">
        <f>VLOOKUP($E276,技能升级,14,FALSE)</f>
        <v>4</v>
      </c>
      <c r="J281">
        <f>VLOOKUP(A273,$A$2:$I$21,9,FALSE)</f>
        <v>0.88099999999999989</v>
      </c>
      <c r="L281">
        <f>VLOOKUP(P276,技能升级,13,FALSE)</f>
        <v>209</v>
      </c>
      <c r="M281" t="s">
        <v>374</v>
      </c>
      <c r="N281">
        <f>N273+N273-3.5</f>
        <v>14.5</v>
      </c>
      <c r="Q281">
        <f>INT((VLOOKUP(L281,召唤物属性,6,FALSE)-
IF($B273&gt;10000,VLOOKUP($B273,实战属性,15,FALSE),VLOOKUP($B273,总基本属性,9,FALSE))*$L$13)*T281*U281)</f>
        <v>5176</v>
      </c>
      <c r="T281">
        <f>VLOOKUP($E276,技能升级,14,FALSE)</f>
        <v>4</v>
      </c>
      <c r="U281">
        <f>VLOOKUP(L273,$A$2:$I$21,9,FALSE)</f>
        <v>0.88099999999999989</v>
      </c>
    </row>
    <row r="282" spans="1:21" x14ac:dyDescent="0.15">
      <c r="E282" t="s">
        <v>194</v>
      </c>
      <c r="F282">
        <f>SUM(F275:F279)/1000</f>
        <v>0</v>
      </c>
      <c r="G282">
        <f>SUM(G275:G279)/1000</f>
        <v>10.474</v>
      </c>
      <c r="H282">
        <f>SUM(H275:H278)</f>
        <v>3121</v>
      </c>
      <c r="I282" t="s">
        <v>196</v>
      </c>
      <c r="J282" t="s">
        <v>197</v>
      </c>
      <c r="P282" t="s">
        <v>194</v>
      </c>
      <c r="Q282">
        <f>SUM(Q275:Q279)/1000</f>
        <v>0</v>
      </c>
      <c r="R282">
        <f>SUM(R275:R279)/1000</f>
        <v>5.3659999999999997</v>
      </c>
      <c r="S282">
        <f>SUM(S275:S278)</f>
        <v>0</v>
      </c>
      <c r="T282" t="s">
        <v>196</v>
      </c>
      <c r="U282" t="s">
        <v>197</v>
      </c>
    </row>
    <row r="283" spans="1:21" x14ac:dyDescent="0.15">
      <c r="E283" t="s">
        <v>195</v>
      </c>
      <c r="F283">
        <f>INT((IF($A273&gt;10000,VLOOKUP($A273,实战属性,13,FALSE),VLOOKUP($A273,总基本属性,7,FALSE))-
IF($B273&gt;10000,VLOOKUP($B273,实战属性,15,FALSE),VLOOKUP($B273,总基本属性,9,FALSE))*$L$13)*F282)</f>
        <v>0</v>
      </c>
      <c r="G283">
        <f>INT((IF($A273&gt;10000,VLOOKUP($A273,实战属性,14,FALSE),VLOOKUP($A273,总基本属性,8,FALSE))-
IF($B273&gt;10000,VLOOKUP($B273,实战属性,16,FALSE),VLOOKUP($B273,总基本属性,10,FALSE))*$L$13)*G282)</f>
        <v>47614</v>
      </c>
      <c r="H283">
        <f>H282+F283+G283</f>
        <v>50735</v>
      </c>
      <c r="I283">
        <f>IF($B273&gt;10000,VLOOKUP($B273,实战属性,12,FALSE),VLOOKUP($B273,总基本属性,6,FALSE))</f>
        <v>137184</v>
      </c>
      <c r="J283">
        <f>ROUND(I283/H284,2)</f>
        <v>0.96</v>
      </c>
      <c r="P283" t="s">
        <v>195</v>
      </c>
      <c r="Q283">
        <f>INT((IF($A273&gt;10000,VLOOKUP($A273,实战属性,13,FALSE),VLOOKUP($A273,总基本属性,7,FALSE))-
IF($B273&gt;10000,VLOOKUP($B273,实战属性,15,FALSE),VLOOKUP($B273,总基本属性,9,FALSE))*$L$13)*Q282)</f>
        <v>0</v>
      </c>
      <c r="R283">
        <f>INT((IF($A273&gt;10000,VLOOKUP($A273,实战属性,14,FALSE),VLOOKUP($A273,总基本属性,8,FALSE))-
IF($B273&gt;10000,VLOOKUP($B273,实战属性,16,FALSE),VLOOKUP($B273,总基本属性,10,FALSE))*$L$13)*R282)</f>
        <v>24393</v>
      </c>
      <c r="S283">
        <f>S282+Q283+R283</f>
        <v>24393</v>
      </c>
      <c r="T283">
        <f>IF($B273&gt;10000,VLOOKUP($B273,实战属性,12,FALSE),VLOOKUP($B273,总基本属性,6,FALSE))</f>
        <v>137184</v>
      </c>
      <c r="U283">
        <f>ROUND(T283/S284,2)</f>
        <v>0.91</v>
      </c>
    </row>
    <row r="284" spans="1:21" x14ac:dyDescent="0.15">
      <c r="E284" t="s">
        <v>376</v>
      </c>
      <c r="F284">
        <f>INT(F281*C281)</f>
        <v>54348</v>
      </c>
      <c r="G284">
        <f>INT(G280*C280)</f>
        <v>37149</v>
      </c>
      <c r="H284">
        <f>F284+G284+H283</f>
        <v>142232</v>
      </c>
      <c r="P284" t="s">
        <v>376</v>
      </c>
      <c r="Q284">
        <f>INT(Q281*N281)</f>
        <v>75052</v>
      </c>
      <c r="R284">
        <f>INT(R280*N280)</f>
        <v>51301</v>
      </c>
      <c r="S284">
        <f>Q284+R284+S283</f>
        <v>150746</v>
      </c>
    </row>
    <row r="288" spans="1:21" x14ac:dyDescent="0.15">
      <c r="A288" s="8" t="s">
        <v>6</v>
      </c>
      <c r="B288" s="8" t="s">
        <v>444</v>
      </c>
      <c r="C288" s="8" t="s">
        <v>178</v>
      </c>
      <c r="D288" s="8" t="s">
        <v>0</v>
      </c>
      <c r="L288" s="8" t="s">
        <v>6</v>
      </c>
      <c r="M288" s="8" t="s">
        <v>444</v>
      </c>
      <c r="N288" s="8" t="s">
        <v>178</v>
      </c>
      <c r="O288" s="8" t="s">
        <v>0</v>
      </c>
    </row>
    <row r="289" spans="1:21" x14ac:dyDescent="0.15">
      <c r="A289">
        <f>A260+10</f>
        <v>5100</v>
      </c>
      <c r="B289">
        <f>B260+10</f>
        <v>4100</v>
      </c>
      <c r="C289">
        <v>15</v>
      </c>
      <c r="D289">
        <f>MOD(A289,1000)</f>
        <v>100</v>
      </c>
      <c r="L289">
        <f>A289</f>
        <v>5100</v>
      </c>
      <c r="M289">
        <f>B289</f>
        <v>4100</v>
      </c>
      <c r="N289">
        <v>9</v>
      </c>
      <c r="O289">
        <f>MOD(L289,1000)</f>
        <v>100</v>
      </c>
    </row>
    <row r="290" spans="1:21" x14ac:dyDescent="0.15">
      <c r="A290" t="s">
        <v>156</v>
      </c>
      <c r="B290" t="s">
        <v>95</v>
      </c>
      <c r="C290" t="s">
        <v>142</v>
      </c>
      <c r="D290" t="s">
        <v>143</v>
      </c>
      <c r="E290" t="s">
        <v>182</v>
      </c>
      <c r="F290" t="s">
        <v>192</v>
      </c>
      <c r="G290" t="s">
        <v>193</v>
      </c>
      <c r="H290" t="s">
        <v>176</v>
      </c>
      <c r="I290" t="s">
        <v>205</v>
      </c>
      <c r="J290" t="s">
        <v>206</v>
      </c>
      <c r="L290" t="s">
        <v>156</v>
      </c>
      <c r="M290" t="s">
        <v>95</v>
      </c>
      <c r="N290" t="s">
        <v>142</v>
      </c>
      <c r="O290" t="s">
        <v>143</v>
      </c>
      <c r="P290" t="s">
        <v>182</v>
      </c>
      <c r="Q290" t="s">
        <v>192</v>
      </c>
      <c r="R290" t="s">
        <v>193</v>
      </c>
      <c r="S290" t="s">
        <v>176</v>
      </c>
      <c r="T290" t="s">
        <v>205</v>
      </c>
      <c r="U290" t="s">
        <v>206</v>
      </c>
    </row>
    <row r="291" spans="1:21" x14ac:dyDescent="0.15">
      <c r="A291">
        <v>52</v>
      </c>
      <c r="B291" t="s">
        <v>44</v>
      </c>
      <c r="C291">
        <v>0</v>
      </c>
      <c r="D291">
        <f>VLOOKUP(A291,技能参数,4,FALSE)</f>
        <v>1.5</v>
      </c>
      <c r="E291">
        <f>VLOOKUP(A291*1000+D289,学习等级编码,2)</f>
        <v>5210</v>
      </c>
      <c r="F291">
        <f>INT(VLOOKUP(E291,技能升级,9,FALSE)*C291*I291*J291)</f>
        <v>0</v>
      </c>
      <c r="G291">
        <f>INT(VLOOKUP(E291,技能升级,10,FALSE)*C291*I291*J291)</f>
        <v>0</v>
      </c>
      <c r="H291">
        <f>INT(VLOOKUP(E291,技能升级,11,FALSE)*C291*I291*J291)</f>
        <v>0</v>
      </c>
      <c r="I291">
        <v>1</v>
      </c>
      <c r="J291">
        <v>1</v>
      </c>
      <c r="L291">
        <v>52</v>
      </c>
      <c r="M291" t="s">
        <v>44</v>
      </c>
      <c r="N291">
        <v>0</v>
      </c>
      <c r="O291">
        <f>VLOOKUP(L291,技能参数,4,FALSE)</f>
        <v>1.5</v>
      </c>
      <c r="P291">
        <f>VLOOKUP(L291*1000+O289,学习等级编码,2)</f>
        <v>5210</v>
      </c>
      <c r="Q291">
        <f>INT(VLOOKUP(P291,技能升级,9,FALSE)*N291*T291*U291)</f>
        <v>0</v>
      </c>
      <c r="R291">
        <f>INT(VLOOKUP(P291,技能升级,10,FALSE)*N291*T291*U291)</f>
        <v>0</v>
      </c>
      <c r="S291">
        <f>INT(VLOOKUP(P291,技能升级,11,FALSE)*N291*T291*U291)</f>
        <v>0</v>
      </c>
      <c r="T291">
        <v>1</v>
      </c>
      <c r="U291">
        <v>1</v>
      </c>
    </row>
    <row r="292" spans="1:21" x14ac:dyDescent="0.15">
      <c r="A292">
        <v>54</v>
      </c>
      <c r="B292" t="s">
        <v>40</v>
      </c>
      <c r="C292">
        <v>0</v>
      </c>
      <c r="D292">
        <f>VLOOKUP(A292,技能参数,4,FALSE)</f>
        <v>1.2</v>
      </c>
      <c r="E292">
        <f>VLOOKUP(A292*1000+D289,学习等级编码,2)</f>
        <v>5410</v>
      </c>
      <c r="F292">
        <f>INT(VLOOKUP(E292,技能升级,9,FALSE)*C292*I292*J292)</f>
        <v>0</v>
      </c>
      <c r="G292">
        <f>INT(VLOOKUP(E292,技能升级,10,FALSE)*C292*I292*J292)</f>
        <v>0</v>
      </c>
      <c r="H292">
        <f>INT(VLOOKUP(E292,技能升级,11,FALSE)*C292*I292*J292)</f>
        <v>0</v>
      </c>
      <c r="I292">
        <v>1</v>
      </c>
      <c r="J292">
        <v>1</v>
      </c>
      <c r="L292">
        <v>54</v>
      </c>
      <c r="M292" t="s">
        <v>40</v>
      </c>
      <c r="N292">
        <v>0</v>
      </c>
      <c r="O292">
        <f>VLOOKUP(L292,技能参数,4,FALSE)</f>
        <v>1.2</v>
      </c>
      <c r="P292">
        <f>VLOOKUP(L292*1000+O289,学习等级编码,2)</f>
        <v>5410</v>
      </c>
      <c r="Q292">
        <f>INT(VLOOKUP(P292,技能升级,9,FALSE)*N292*T292*U292)</f>
        <v>0</v>
      </c>
      <c r="R292">
        <f>INT(VLOOKUP(P292,技能升级,10,FALSE)*N292*T292*U292)</f>
        <v>0</v>
      </c>
      <c r="S292">
        <f>INT(VLOOKUP(P292,技能升级,11,FALSE)*N292*T292*U292)</f>
        <v>0</v>
      </c>
      <c r="T292">
        <v>1</v>
      </c>
      <c r="U292">
        <v>1</v>
      </c>
    </row>
    <row r="293" spans="1:21" x14ac:dyDescent="0.15">
      <c r="A293">
        <v>51</v>
      </c>
      <c r="B293" t="s">
        <v>203</v>
      </c>
      <c r="C293">
        <v>2</v>
      </c>
      <c r="D293">
        <f>VLOOKUP(A293,技能参数,4,FALSE)</f>
        <v>0.9</v>
      </c>
      <c r="E293">
        <f>VLOOKUP(A293*1000+D289,学习等级编码,2)</f>
        <v>5115</v>
      </c>
      <c r="F293">
        <f>INT(VLOOKUP(E293,技能升级,9,FALSE)*C293*I293*J293)</f>
        <v>3120</v>
      </c>
      <c r="G293">
        <f>INT(VLOOKUP(E293,技能升级,10,FALSE)*C293*I293*J293)</f>
        <v>0</v>
      </c>
      <c r="H293">
        <f>INT(VLOOKUP(E293,技能升级,11,FALSE)*C293*I293*J293)</f>
        <v>1538</v>
      </c>
      <c r="I293">
        <v>1</v>
      </c>
      <c r="J293">
        <v>1</v>
      </c>
      <c r="L293">
        <v>51</v>
      </c>
      <c r="M293" t="s">
        <v>203</v>
      </c>
      <c r="N293">
        <v>2</v>
      </c>
      <c r="O293">
        <f>VLOOKUP(L293,技能参数,4,FALSE)</f>
        <v>0.9</v>
      </c>
      <c r="P293">
        <f>VLOOKUP(L293*1000+O289,学习等级编码,2)</f>
        <v>5115</v>
      </c>
      <c r="Q293">
        <f>INT(VLOOKUP(P293,技能升级,9,FALSE)*N293*T293*U293)</f>
        <v>3120</v>
      </c>
      <c r="R293">
        <f>INT(VLOOKUP(P293,技能升级,10,FALSE)*N293*T293*U293)</f>
        <v>0</v>
      </c>
      <c r="S293">
        <f>INT(VLOOKUP(P293,技能升级,11,FALSE)*N293*T293*U293)</f>
        <v>1538</v>
      </c>
      <c r="T293">
        <v>1</v>
      </c>
      <c r="U293">
        <v>1</v>
      </c>
    </row>
    <row r="294" spans="1:21" x14ac:dyDescent="0.15">
      <c r="A294">
        <v>51</v>
      </c>
      <c r="B294" t="s">
        <v>204</v>
      </c>
      <c r="C294">
        <f>INT((C289-C291*D291-C292*D292-D293*C293-C296)/D294*3)</f>
        <v>24</v>
      </c>
      <c r="D294">
        <f>VLOOKUP(A294,技能参数,4,FALSE)</f>
        <v>0.9</v>
      </c>
      <c r="E294">
        <f>VLOOKUP(A294*1000+D289,学习等级编码,2)</f>
        <v>5115</v>
      </c>
      <c r="F294">
        <f>INT(VLOOKUP(E294,技能升级,9,FALSE)*C294*I294*J294)</f>
        <v>30730</v>
      </c>
      <c r="G294">
        <f>INT(VLOOKUP(E294,技能升级,10,FALSE)*C294*I294*J294)</f>
        <v>0</v>
      </c>
      <c r="H294">
        <f>INT(VLOOKUP(E294,技能升级,11,FALSE)*C294*I294*J294)</f>
        <v>15148</v>
      </c>
      <c r="I294">
        <f>F295/1000</f>
        <v>0.54</v>
      </c>
      <c r="J294">
        <f>VLOOKUP(A289,$A$2:$I$21,7,FALSE)</f>
        <v>1.5199999999999998</v>
      </c>
      <c r="L294">
        <v>51</v>
      </c>
      <c r="M294" t="s">
        <v>204</v>
      </c>
      <c r="N294">
        <f>INT((N289-N291*O291-N292*O292-O293*N293-N296)/O294*3)</f>
        <v>24</v>
      </c>
      <c r="O294">
        <f>VLOOKUP(L294,技能参数,4,FALSE)</f>
        <v>0.9</v>
      </c>
      <c r="P294">
        <f>VLOOKUP(L294*1000+O289,学习等级编码,2)</f>
        <v>5115</v>
      </c>
      <c r="Q294">
        <f>INT(VLOOKUP(P294,技能升级,9,FALSE)*N294*T294*U294)</f>
        <v>30730</v>
      </c>
      <c r="R294">
        <f>INT(VLOOKUP(P294,技能升级,10,FALSE)*N294*T294*U294)</f>
        <v>0</v>
      </c>
      <c r="S294">
        <f>INT(VLOOKUP(P294,技能升级,11,FALSE)*N294*T294*U294)</f>
        <v>15148</v>
      </c>
      <c r="T294">
        <f>Q295/1000</f>
        <v>0.54</v>
      </c>
      <c r="U294">
        <f>VLOOKUP(L289,$A$2:$I$21,7,FALSE)</f>
        <v>1.5199999999999998</v>
      </c>
    </row>
    <row r="295" spans="1:21" x14ac:dyDescent="0.15">
      <c r="A295">
        <v>55</v>
      </c>
      <c r="B295" t="s">
        <v>46</v>
      </c>
      <c r="C295">
        <v>1</v>
      </c>
      <c r="D295">
        <v>0</v>
      </c>
      <c r="E295">
        <f>VLOOKUP(A295*1000+D289,学习等级编码,2)</f>
        <v>5507</v>
      </c>
      <c r="F295">
        <f>INT(VLOOKUP($E295,技能升级,14,FALSE)*$C295*I295)</f>
        <v>540</v>
      </c>
      <c r="G295">
        <f>INT(VLOOKUP($E295,技能升级,10,FALSE)*$C295*I295)</f>
        <v>0</v>
      </c>
      <c r="H295">
        <f>INT(VLOOKUP($E295,技能升级,11,FALSE)*$C295*I295*J295)</f>
        <v>0</v>
      </c>
      <c r="I295">
        <v>1</v>
      </c>
      <c r="J295">
        <v>1</v>
      </c>
      <c r="L295">
        <v>55</v>
      </c>
      <c r="M295" t="s">
        <v>46</v>
      </c>
      <c r="N295">
        <v>1</v>
      </c>
      <c r="O295">
        <v>0</v>
      </c>
      <c r="P295">
        <f>VLOOKUP(L295*1000+O289,学习等级编码,2)</f>
        <v>5507</v>
      </c>
      <c r="Q295">
        <f>INT(VLOOKUP($E295,技能升级,14,FALSE)*$C295*T295)</f>
        <v>540</v>
      </c>
      <c r="R295">
        <f>INT(VLOOKUP($E295,技能升级,10,FALSE)*$C295*T295)</f>
        <v>0</v>
      </c>
      <c r="S295">
        <f>INT(VLOOKUP($E295,技能升级,11,FALSE)*$C295*T295*U295)</f>
        <v>0</v>
      </c>
      <c r="T295">
        <v>1</v>
      </c>
      <c r="U295">
        <v>1</v>
      </c>
    </row>
    <row r="296" spans="1:21" x14ac:dyDescent="0.15">
      <c r="B296" t="s">
        <v>38</v>
      </c>
      <c r="C296">
        <f>D306</f>
        <v>6</v>
      </c>
      <c r="M296" t="s">
        <v>38</v>
      </c>
      <c r="N296">
        <f>O306</f>
        <v>0</v>
      </c>
    </row>
    <row r="297" spans="1:21" x14ac:dyDescent="0.15">
      <c r="E297" t="s">
        <v>194</v>
      </c>
      <c r="F297">
        <f>SUM(F291:F294)/1000</f>
        <v>33.85</v>
      </c>
      <c r="G297">
        <f>SUM(G291:G294)/1000</f>
        <v>0</v>
      </c>
      <c r="H297">
        <f>SUM(H291:H294)</f>
        <v>16686</v>
      </c>
      <c r="I297" t="s">
        <v>196</v>
      </c>
      <c r="J297" t="s">
        <v>197</v>
      </c>
      <c r="P297" t="s">
        <v>194</v>
      </c>
      <c r="Q297">
        <f>SUM(Q291:Q294)/1000</f>
        <v>33.85</v>
      </c>
      <c r="R297">
        <f>SUM(R291:R294)/1000</f>
        <v>0</v>
      </c>
      <c r="S297">
        <f>SUM(S291:S294)</f>
        <v>16686</v>
      </c>
      <c r="T297" t="s">
        <v>196</v>
      </c>
      <c r="U297" t="s">
        <v>197</v>
      </c>
    </row>
    <row r="298" spans="1:21" x14ac:dyDescent="0.15">
      <c r="E298" t="s">
        <v>195</v>
      </c>
      <c r="F298">
        <f>INT((IF($A289&gt;10000,VLOOKUP($A289,实战属性,13,FALSE),VLOOKUP($A289,总基本属性,7,FALSE))-
IF($B289&gt;10000,VLOOKUP($B289,实战属性,15,FALSE),VLOOKUP($B289,总基本属性,9,FALSE))*$L$13)*F297)</f>
        <v>187224</v>
      </c>
      <c r="G298">
        <f>INT((IF($A289&gt;10000,VLOOKUP($A289,实战属性,14,FALSE),VLOOKUP($A289,总基本属性,8,FALSE))-
IF($B289&gt;10000,VLOOKUP($B289,实战属性,16,FALSE),VLOOKUP($B289,总基本属性,10,FALSE))*$L$13)*G297)</f>
        <v>0</v>
      </c>
      <c r="H298">
        <f>H297+F298+G298</f>
        <v>203910</v>
      </c>
      <c r="I298">
        <f>IF($B289&gt;10000,VLOOKUP($B289,实战属性,12,FALSE),VLOOKUP($B289,总基本属性,6,FALSE))+I307</f>
        <v>190032</v>
      </c>
      <c r="J298">
        <f>ROUND(I298/H298,2)</f>
        <v>0.93</v>
      </c>
      <c r="P298" t="s">
        <v>195</v>
      </c>
      <c r="Q298">
        <f>INT((IF($A289&gt;10000,VLOOKUP($A289,实战属性,13,FALSE),VLOOKUP($A289,总基本属性,7,FALSE))-
IF($B289&gt;10000,VLOOKUP($B289,实战属性,15,FALSE),VLOOKUP($B289,总基本属性,9,FALSE))*$L$13)*Q297)</f>
        <v>187224</v>
      </c>
      <c r="R298">
        <f>INT((IF($A289&gt;10000,VLOOKUP($A289,实战属性,14,FALSE),VLOOKUP($A289,总基本属性,8,FALSE))-
IF($B289&gt;10000,VLOOKUP($B289,实战属性,16,FALSE),VLOOKUP($B289,总基本属性,10,FALSE))*$L$13)*R297)</f>
        <v>0</v>
      </c>
      <c r="S298">
        <f>S297+Q298+R298</f>
        <v>203910</v>
      </c>
      <c r="T298">
        <f>IF($B289&gt;10000,VLOOKUP($B289,实战属性,12,FALSE),VLOOKUP($B289,总基本属性,6,FALSE))+T307</f>
        <v>190032</v>
      </c>
      <c r="U298">
        <f>ROUND(T298/S298,2)</f>
        <v>0.93</v>
      </c>
    </row>
    <row r="301" spans="1:21" x14ac:dyDescent="0.15">
      <c r="A301" s="9" t="s">
        <v>5</v>
      </c>
      <c r="B301" s="9" t="s">
        <v>448</v>
      </c>
      <c r="C301" s="9" t="s">
        <v>178</v>
      </c>
      <c r="D301" s="9" t="s">
        <v>0</v>
      </c>
      <c r="G301" t="s">
        <v>445</v>
      </c>
      <c r="H301">
        <f>INT(I312/J312/C302)</f>
        <v>24545</v>
      </c>
      <c r="I301" t="s">
        <v>446</v>
      </c>
      <c r="J301">
        <f>ROUND(I307/H301,1)</f>
        <v>1.3</v>
      </c>
      <c r="L301" s="9" t="s">
        <v>5</v>
      </c>
      <c r="M301" s="9" t="s">
        <v>448</v>
      </c>
      <c r="N301" s="9" t="s">
        <v>178</v>
      </c>
      <c r="O301" s="9" t="s">
        <v>0</v>
      </c>
      <c r="R301" t="s">
        <v>445</v>
      </c>
      <c r="S301">
        <f>INT(T312/U312/N302)</f>
        <v>20117</v>
      </c>
      <c r="T301" t="s">
        <v>446</v>
      </c>
      <c r="U301">
        <f>ROUND(T307/S301,1)</f>
        <v>1.6</v>
      </c>
    </row>
    <row r="302" spans="1:21" x14ac:dyDescent="0.15">
      <c r="A302">
        <f>A273+10</f>
        <v>4100</v>
      </c>
      <c r="B302">
        <f>B273+10</f>
        <v>5100</v>
      </c>
      <c r="C302">
        <v>7</v>
      </c>
      <c r="D302">
        <f>MOD(A302,1000)</f>
        <v>100</v>
      </c>
      <c r="I302" t="s">
        <v>383</v>
      </c>
      <c r="J302">
        <f>VLOOKUP(D302,召唤物生存,13)</f>
        <v>4.91</v>
      </c>
      <c r="L302">
        <f>A302</f>
        <v>4100</v>
      </c>
      <c r="M302">
        <f>B302</f>
        <v>5100</v>
      </c>
      <c r="N302">
        <v>9</v>
      </c>
      <c r="O302">
        <f>MOD(L302,1000)</f>
        <v>100</v>
      </c>
      <c r="T302" t="s">
        <v>383</v>
      </c>
      <c r="U302">
        <f>VLOOKUP(O302,召唤物生存,13)</f>
        <v>4.91</v>
      </c>
    </row>
    <row r="303" spans="1:21" x14ac:dyDescent="0.15">
      <c r="A303" t="s">
        <v>156</v>
      </c>
      <c r="B303" t="s">
        <v>95</v>
      </c>
      <c r="C303" t="s">
        <v>177</v>
      </c>
      <c r="D303" t="s">
        <v>143</v>
      </c>
      <c r="E303" t="s">
        <v>182</v>
      </c>
      <c r="F303" t="s">
        <v>192</v>
      </c>
      <c r="G303" t="s">
        <v>193</v>
      </c>
      <c r="H303" t="s">
        <v>176</v>
      </c>
      <c r="I303" t="s">
        <v>205</v>
      </c>
      <c r="J303" t="s">
        <v>206</v>
      </c>
      <c r="L303" t="s">
        <v>156</v>
      </c>
      <c r="M303" t="s">
        <v>95</v>
      </c>
      <c r="N303" t="s">
        <v>177</v>
      </c>
      <c r="O303" t="s">
        <v>143</v>
      </c>
      <c r="P303" t="s">
        <v>182</v>
      </c>
      <c r="Q303" t="s">
        <v>192</v>
      </c>
      <c r="R303" t="s">
        <v>193</v>
      </c>
      <c r="S303" t="s">
        <v>176</v>
      </c>
      <c r="T303" t="s">
        <v>205</v>
      </c>
      <c r="U303" t="s">
        <v>206</v>
      </c>
    </row>
    <row r="304" spans="1:21" x14ac:dyDescent="0.15">
      <c r="A304">
        <v>42</v>
      </c>
      <c r="B304" t="s">
        <v>35</v>
      </c>
      <c r="C304">
        <v>1</v>
      </c>
      <c r="D304">
        <f>VLOOKUP(A304,技能参数,4,FALSE)</f>
        <v>1</v>
      </c>
      <c r="E304">
        <f>IFERROR(VLOOKUP(A304*1000+D302,学习等级编码,2),0)</f>
        <v>4210</v>
      </c>
      <c r="F304">
        <f>IFERROR(INT(VLOOKUP($E304,技能升级,9,FALSE)*$C304*I304*J304),0)</f>
        <v>0</v>
      </c>
      <c r="G304">
        <f>IFERROR(INT(VLOOKUP($E304,技能升级,10,FALSE)*$C304*I304*J304),0)</f>
        <v>0</v>
      </c>
      <c r="H304">
        <f>INT(VLOOKUP($E304,技能升级,11,FALSE)*$C304*I304*J304)</f>
        <v>0</v>
      </c>
      <c r="I304">
        <v>1</v>
      </c>
      <c r="J304">
        <v>1</v>
      </c>
      <c r="L304">
        <v>42</v>
      </c>
      <c r="M304" t="s">
        <v>35</v>
      </c>
      <c r="N304">
        <v>1</v>
      </c>
      <c r="O304">
        <f>VLOOKUP(L304,技能参数,4,FALSE)</f>
        <v>1</v>
      </c>
      <c r="P304">
        <f>IFERROR(VLOOKUP(L304*1000+O302,学习等级编码,2),0)</f>
        <v>4210</v>
      </c>
      <c r="Q304">
        <f>IFERROR(INT(VLOOKUP(P304,技能升级,9,FALSE)*N304*T304*U304),0)</f>
        <v>0</v>
      </c>
      <c r="R304">
        <f>IFERROR(INT(VLOOKUP(P304,技能升级,10,FALSE)*N304*T304*U304),0)</f>
        <v>0</v>
      </c>
      <c r="S304">
        <f>INT(VLOOKUP(P304,技能升级,11,FALSE)*N304*T304*U304)</f>
        <v>0</v>
      </c>
      <c r="T304">
        <v>1</v>
      </c>
      <c r="U304">
        <v>1</v>
      </c>
    </row>
    <row r="305" spans="1:21" x14ac:dyDescent="0.15">
      <c r="A305">
        <v>43</v>
      </c>
      <c r="B305" t="s">
        <v>36</v>
      </c>
      <c r="C305">
        <v>1</v>
      </c>
      <c r="D305">
        <f>VLOOKUP(A305,技能参数,4,FALSE)</f>
        <v>1</v>
      </c>
      <c r="E305">
        <f>IFERROR(VLOOKUP(A305*1000+D302,学习等级编码,2),0)</f>
        <v>4310</v>
      </c>
      <c r="F305">
        <f t="shared" ref="F305" si="39">IFERROR(INT(VLOOKUP($E305,技能升级,9,FALSE)*$C305*I305*J305),0)</f>
        <v>0</v>
      </c>
      <c r="G305">
        <f t="shared" ref="G305" si="40">IFERROR(INT(VLOOKUP($E305,技能升级,10,FALSE)*$C305*I305*J305),0)</f>
        <v>0</v>
      </c>
      <c r="H305">
        <f>INT(VLOOKUP($E305,技能升级,11,FALSE)*$C305*I305*J305)</f>
        <v>0</v>
      </c>
      <c r="I305">
        <v>1</v>
      </c>
      <c r="J305">
        <v>1</v>
      </c>
      <c r="L305">
        <v>43</v>
      </c>
      <c r="M305" t="s">
        <v>36</v>
      </c>
      <c r="N305">
        <v>1</v>
      </c>
      <c r="O305">
        <f>VLOOKUP(L305,技能参数,4,FALSE)</f>
        <v>1</v>
      </c>
      <c r="P305">
        <f>IFERROR(VLOOKUP(L305*1000+O302,学习等级编码,2),0)</f>
        <v>4310</v>
      </c>
      <c r="Q305">
        <f>IFERROR(INT(VLOOKUP(P305,技能升级,9,FALSE)*N305*T305*U305),0)</f>
        <v>0</v>
      </c>
      <c r="R305">
        <f>IFERROR(INT(VLOOKUP(P305,技能升级,10,FALSE)*N305*T305*U305),0)</f>
        <v>0</v>
      </c>
      <c r="S305">
        <f>INT(VLOOKUP(P305,技能升级,11,FALSE)*N305*T305*U305)</f>
        <v>0</v>
      </c>
      <c r="T305">
        <v>1</v>
      </c>
      <c r="U305">
        <v>1</v>
      </c>
    </row>
    <row r="306" spans="1:21" x14ac:dyDescent="0.15">
      <c r="A306">
        <v>44</v>
      </c>
      <c r="B306" t="s">
        <v>38</v>
      </c>
      <c r="C306">
        <v>1</v>
      </c>
      <c r="D306">
        <f>IFERROR(INT(VLOOKUP($E306,技能升级,13,FALSE)),0)</f>
        <v>6</v>
      </c>
      <c r="E306">
        <f>IFERROR(VLOOKUP(A306*1000+D302,学习等级编码,2),0)</f>
        <v>4410</v>
      </c>
      <c r="F306">
        <f>IFERROR(INT(VLOOKUP($E306,技能升级,9,FALSE)*$C306*I306*J306),0)</f>
        <v>0</v>
      </c>
      <c r="G306">
        <f>IFERROR(INT(VLOOKUP($E306,技能升级,10,FALSE)*$D306*I306*J306),0)</f>
        <v>10395</v>
      </c>
      <c r="H306">
        <f>INT(VLOOKUP($E306,技能升级,11,FALSE)*$D306*I306*J306)</f>
        <v>3687</v>
      </c>
      <c r="I306">
        <v>1</v>
      </c>
      <c r="J306">
        <f>VLOOKUP(A302,$A$2:$I$21,8,FALSE)</f>
        <v>0.82500000000000007</v>
      </c>
      <c r="L306">
        <v>44</v>
      </c>
      <c r="M306" t="s">
        <v>38</v>
      </c>
      <c r="N306">
        <v>0</v>
      </c>
      <c r="O306">
        <v>0</v>
      </c>
      <c r="P306">
        <f>IFERROR(VLOOKUP(L306*1000+O302,学习等级编码,2),0)</f>
        <v>4410</v>
      </c>
      <c r="Q306">
        <f>IFERROR(INT(VLOOKUP(P306,技能升级,9,FALSE)*N306*T306*U306),0)</f>
        <v>0</v>
      </c>
      <c r="R306">
        <f>IFERROR(INT(VLOOKUP(P306,技能升级,10,FALSE)*N306*T306*U306),0)</f>
        <v>0</v>
      </c>
      <c r="S306">
        <f>INT(VLOOKUP(P306,技能升级,11,FALSE)*N306*T306*U306)</f>
        <v>0</v>
      </c>
      <c r="T306">
        <v>1</v>
      </c>
      <c r="U306">
        <f>VLOOKUP(L302,$A$2:$I$21,8,FALSE)</f>
        <v>0.82500000000000007</v>
      </c>
    </row>
    <row r="307" spans="1:21" x14ac:dyDescent="0.15">
      <c r="A307">
        <v>45</v>
      </c>
      <c r="B307" t="s">
        <v>37</v>
      </c>
      <c r="C307">
        <v>1</v>
      </c>
      <c r="D307">
        <f>VLOOKUP(A307,技能参数,4,FALSE)</f>
        <v>2</v>
      </c>
      <c r="E307">
        <f>IFERROR(VLOOKUP(A307*1000+D302,学习等级编码,2),0)</f>
        <v>4507</v>
      </c>
      <c r="F307">
        <f>IFERROR(INT(VLOOKUP($E307,技能升级,9,FALSE)*$C307*I307*J307),0)</f>
        <v>0</v>
      </c>
      <c r="G307">
        <f t="shared" ref="G307:G308" si="41">IFERROR(INT(VLOOKUP($E307,技能升级,10,FALSE)*$C307*I307*J307),0)</f>
        <v>0</v>
      </c>
      <c r="H307">
        <f>INT(VLOOKUP($E307,技能升级,11,FALSE)*$C307*I307*J307)</f>
        <v>0</v>
      </c>
      <c r="I307">
        <f>INT(VLOOKUP($E307,技能升级,13,FALSE)*$C307)</f>
        <v>32172</v>
      </c>
      <c r="J307">
        <v>1</v>
      </c>
      <c r="L307">
        <v>45</v>
      </c>
      <c r="M307" t="s">
        <v>37</v>
      </c>
      <c r="N307">
        <v>1</v>
      </c>
      <c r="O307">
        <f>VLOOKUP(L307,技能参数,4,FALSE)</f>
        <v>2</v>
      </c>
      <c r="P307">
        <f>IFERROR(VLOOKUP(L307*1000+O302,学习等级编码,2),0)</f>
        <v>4507</v>
      </c>
      <c r="Q307">
        <f>IFERROR(INT(VLOOKUP(P307,技能升级,9,FALSE)*N307*T307*U307),0)</f>
        <v>0</v>
      </c>
      <c r="R307">
        <f>IFERROR(INT(VLOOKUP(P307,技能升级,10,FALSE)*N307*T307*U307),0)</f>
        <v>0</v>
      </c>
      <c r="S307">
        <f>INT(VLOOKUP(P307,技能升级,11,FALSE)*N307*T307*U307)</f>
        <v>0</v>
      </c>
      <c r="T307">
        <f>INT(VLOOKUP($E307,技能升级,13,FALSE)*$C307)</f>
        <v>32172</v>
      </c>
      <c r="U307">
        <v>1</v>
      </c>
    </row>
    <row r="308" spans="1:21" x14ac:dyDescent="0.15">
      <c r="A308">
        <v>41</v>
      </c>
      <c r="B308" t="s">
        <v>361</v>
      </c>
      <c r="C308">
        <f>IF(INT((C302-C304*D304-C305*D305-C306*D306-C307*D307)/D308)&gt;0,INT((C302-C304*D304-C305*D305-C306*D306-C307*D307)/D308),0)</f>
        <v>0</v>
      </c>
      <c r="D308">
        <f>VLOOKUP(A308,技能参数,4,FALSE)</f>
        <v>1.2</v>
      </c>
      <c r="E308">
        <f>IFERROR(VLOOKUP(A308*1000+D302,学习等级编码,2),0)</f>
        <v>4115</v>
      </c>
      <c r="F308">
        <f>IFERROR(INT(VLOOKUP($E308,技能升级,9,FALSE)*$C308*I308*J308),0)</f>
        <v>0</v>
      </c>
      <c r="G308">
        <f t="shared" si="41"/>
        <v>0</v>
      </c>
      <c r="H308">
        <f>INT(VLOOKUP($E308,技能升级,11,FALSE)*$C308*I308*J308)</f>
        <v>0</v>
      </c>
      <c r="I308">
        <v>1</v>
      </c>
      <c r="J308">
        <f>VLOOKUP(A302,$A$2:$I$21,8,FALSE)</f>
        <v>0.82500000000000007</v>
      </c>
      <c r="L308">
        <v>41</v>
      </c>
      <c r="M308" t="s">
        <v>361</v>
      </c>
      <c r="N308">
        <f>IF(INT((N302-N304*O304-N305*O305-N306*O306-N307*O307)/O308)&gt;0,INT((N302-N304*O304-N305*O305-N306*O306-N307*O307)/O308),0)</f>
        <v>4</v>
      </c>
      <c r="O308">
        <f>VLOOKUP(L308,技能参数,4,FALSE)</f>
        <v>1.2</v>
      </c>
      <c r="P308">
        <f>IFERROR(VLOOKUP(L308*1000+O302,学习等级编码,2),0)</f>
        <v>4115</v>
      </c>
      <c r="Q308">
        <f>IFERROR(INT(VLOOKUP(P308,技能升级,9,FALSE)*N308*T308*U308),0)</f>
        <v>0</v>
      </c>
      <c r="R308">
        <f>IFERROR(INT(VLOOKUP(P308,技能升级,10,FALSE)*N308*T308*U308),0)</f>
        <v>5280</v>
      </c>
      <c r="S308">
        <f>INT(VLOOKUP(P308,技能升级,11,FALSE)*N308*T308*U308)</f>
        <v>2537</v>
      </c>
      <c r="T308">
        <v>1</v>
      </c>
      <c r="U308">
        <f>VLOOKUP(A302,$A$2:$I$21,8,FALSE)</f>
        <v>0.82500000000000007</v>
      </c>
    </row>
    <row r="309" spans="1:21" x14ac:dyDescent="0.15">
      <c r="A309">
        <f>VLOOKUP(E304,技能升级,13,FALSE)</f>
        <v>110</v>
      </c>
      <c r="B309" t="s">
        <v>375</v>
      </c>
      <c r="C309">
        <f>C302+C302-3.5</f>
        <v>10.5</v>
      </c>
      <c r="G309">
        <f>INT((VLOOKUP(A309,召唤物属性,7,FALSE)-
IF($B302&gt;10000,VLOOKUP($B302,实战属性,15,FALSE),VLOOKUP($B302,总基本属性,9,FALSE))*$L$13)*I309*J309)</f>
        <v>4196</v>
      </c>
      <c r="I309">
        <f>VLOOKUP($E304,技能升级,14,FALSE)</f>
        <v>2</v>
      </c>
      <c r="J309">
        <v>1</v>
      </c>
      <c r="L309">
        <f>VLOOKUP(P304,技能升级,13,FALSE)</f>
        <v>110</v>
      </c>
      <c r="M309" t="s">
        <v>375</v>
      </c>
      <c r="N309">
        <f>N302+N302-3.5</f>
        <v>14.5</v>
      </c>
      <c r="R309">
        <f>INT((VLOOKUP(L309,召唤物属性,7,FALSE)-
IF($B302&gt;10000,VLOOKUP($B302,实战属性,15,FALSE),VLOOKUP($B302,总基本属性,9,FALSE))*$L$13)*T309*U309)</f>
        <v>4196</v>
      </c>
      <c r="T309">
        <f>VLOOKUP($E304,技能升级,14,FALSE)</f>
        <v>2</v>
      </c>
      <c r="U309">
        <v>1</v>
      </c>
    </row>
    <row r="310" spans="1:21" x14ac:dyDescent="0.15">
      <c r="A310">
        <f>VLOOKUP(E305,技能升级,13,FALSE)</f>
        <v>210</v>
      </c>
      <c r="B310" t="s">
        <v>374</v>
      </c>
      <c r="C310">
        <f>C302+C302-3.5</f>
        <v>10.5</v>
      </c>
      <c r="F310">
        <f>INT((VLOOKUP(A310,召唤物属性,6,FALSE)-
IF($B302&gt;10000,VLOOKUP($B302,实战属性,15,FALSE),VLOOKUP($B302,总基本属性,9,FALSE))*$L$13)*I310*J310)</f>
        <v>6134</v>
      </c>
      <c r="I310">
        <f>VLOOKUP($E305,技能升级,14,FALSE)</f>
        <v>4</v>
      </c>
      <c r="J310">
        <f>VLOOKUP(A302,$A$2:$I$21,9,FALSE)</f>
        <v>0.85299999999999998</v>
      </c>
      <c r="L310">
        <f>VLOOKUP(P305,技能升级,13,FALSE)</f>
        <v>210</v>
      </c>
      <c r="M310" t="s">
        <v>374</v>
      </c>
      <c r="N310">
        <f>N302+N302-3.5</f>
        <v>14.5</v>
      </c>
      <c r="Q310">
        <f>INT((VLOOKUP(L310,召唤物属性,6,FALSE)-
IF($B302&gt;10000,VLOOKUP($B302,实战属性,15,FALSE),VLOOKUP($B302,总基本属性,9,FALSE))*$L$13)*T310*U310)</f>
        <v>6134</v>
      </c>
      <c r="T310">
        <f>VLOOKUP($E305,技能升级,14,FALSE)</f>
        <v>4</v>
      </c>
      <c r="U310">
        <f>VLOOKUP(L302,$A$2:$I$21,9,FALSE)</f>
        <v>0.85299999999999998</v>
      </c>
    </row>
    <row r="311" spans="1:21" x14ac:dyDescent="0.15">
      <c r="E311" t="s">
        <v>194</v>
      </c>
      <c r="F311">
        <f>SUM(F304:F308)/1000</f>
        <v>0</v>
      </c>
      <c r="G311">
        <f>SUM(G304:G308)/1000</f>
        <v>10.395</v>
      </c>
      <c r="H311">
        <f>SUM(H304:H307)</f>
        <v>3687</v>
      </c>
      <c r="I311" t="s">
        <v>196</v>
      </c>
      <c r="J311" t="s">
        <v>197</v>
      </c>
      <c r="P311" t="s">
        <v>194</v>
      </c>
      <c r="Q311">
        <f>SUM(Q304:Q308)/1000</f>
        <v>0</v>
      </c>
      <c r="R311">
        <f>SUM(R304:R308)/1000</f>
        <v>5.28</v>
      </c>
      <c r="S311">
        <f>SUM(S304:S307)</f>
        <v>0</v>
      </c>
      <c r="T311" t="s">
        <v>196</v>
      </c>
      <c r="U311" t="s">
        <v>197</v>
      </c>
    </row>
    <row r="312" spans="1:21" x14ac:dyDescent="0.15">
      <c r="E312" t="s">
        <v>195</v>
      </c>
      <c r="F312">
        <f>INT((IF($A302&gt;10000,VLOOKUP($A302,实战属性,13,FALSE),VLOOKUP($A302,总基本属性,7,FALSE))-
IF($B302&gt;10000,VLOOKUP($B302,实战属性,15,FALSE),VLOOKUP($B302,总基本属性,9,FALSE))*$L$13)*F311)</f>
        <v>0</v>
      </c>
      <c r="G312">
        <f>INT((IF($A302&gt;10000,VLOOKUP($A302,实战属性,14,FALSE),VLOOKUP($A302,总基本属性,8,FALSE))-
IF($B302&gt;10000,VLOOKUP($B302,实战属性,16,FALSE),VLOOKUP($B302,总基本属性,10,FALSE))*$L$13)*G311)</f>
        <v>60478</v>
      </c>
      <c r="H312">
        <f>H311+F312+G312</f>
        <v>64165</v>
      </c>
      <c r="I312">
        <f>IF($B302&gt;10000,VLOOKUP($B302,实战属性,12,FALSE),VLOOKUP($B302,总基本属性,6,FALSE))</f>
        <v>168384</v>
      </c>
      <c r="J312">
        <f>ROUND(I312/H313,2)</f>
        <v>0.98</v>
      </c>
      <c r="P312" t="s">
        <v>195</v>
      </c>
      <c r="Q312">
        <f>INT((IF($A302&gt;10000,VLOOKUP($A302,实战属性,13,FALSE),VLOOKUP($A302,总基本属性,7,FALSE))-
IF($B302&gt;10000,VLOOKUP($B302,实战属性,15,FALSE),VLOOKUP($B302,总基本属性,9,FALSE))*$L$13)*Q311)</f>
        <v>0</v>
      </c>
      <c r="R312">
        <f>INT((IF($A302&gt;10000,VLOOKUP($A302,实战属性,14,FALSE),VLOOKUP($A302,总基本属性,8,FALSE))-
IF($B302&gt;10000,VLOOKUP($B302,实战属性,16,FALSE),VLOOKUP($B302,总基本属性,10,FALSE))*$L$13)*R311)</f>
        <v>30719</v>
      </c>
      <c r="S312">
        <f>S311+Q312+R312</f>
        <v>30719</v>
      </c>
      <c r="T312">
        <f>IF($B302&gt;10000,VLOOKUP($B302,实战属性,12,FALSE),VLOOKUP($B302,总基本属性,6,FALSE))</f>
        <v>168384</v>
      </c>
      <c r="U312">
        <f>ROUND(T312/S313,2)</f>
        <v>0.93</v>
      </c>
    </row>
    <row r="313" spans="1:21" x14ac:dyDescent="0.15">
      <c r="E313" t="s">
        <v>376</v>
      </c>
      <c r="F313">
        <f>INT(F310*C310)</f>
        <v>64407</v>
      </c>
      <c r="G313">
        <f>INT(G309*C309)</f>
        <v>44058</v>
      </c>
      <c r="H313">
        <f>F313+G313+H312</f>
        <v>172630</v>
      </c>
      <c r="P313" t="s">
        <v>376</v>
      </c>
      <c r="Q313">
        <f>INT(Q310*N310)</f>
        <v>88943</v>
      </c>
      <c r="R313">
        <f>INT(R309*N309)</f>
        <v>60842</v>
      </c>
      <c r="S313">
        <f>Q313+R313+S312</f>
        <v>180504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3"/>
  <sheetViews>
    <sheetView topLeftCell="A146" workbookViewId="0">
      <selection activeCell="C227" sqref="C227"/>
    </sheetView>
  </sheetViews>
  <sheetFormatPr defaultRowHeight="13.5" x14ac:dyDescent="0.15"/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435</v>
      </c>
      <c r="H1" t="s">
        <v>436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3010</v>
      </c>
      <c r="B2">
        <v>4010</v>
      </c>
      <c r="C2">
        <f t="shared" ref="C2:C2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2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2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2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H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 t="shared" ref="A3:B18" si="4">A2+10</f>
        <v>3020</v>
      </c>
      <c r="B3">
        <f>B2+10</f>
        <v>4020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</v>
      </c>
      <c r="G3">
        <v>1</v>
      </c>
      <c r="H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 t="shared" si="4"/>
        <v>3030</v>
      </c>
      <c r="B4">
        <f t="shared" si="4"/>
        <v>4030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v>1</v>
      </c>
      <c r="H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si="4"/>
        <v>3040</v>
      </c>
      <c r="B5">
        <f t="shared" si="4"/>
        <v>4040</v>
      </c>
      <c r="C5">
        <f t="shared" si="0"/>
        <v>0.01</v>
      </c>
      <c r="D5">
        <f t="shared" si="1"/>
        <v>0.01</v>
      </c>
      <c r="E5">
        <f t="shared" si="2"/>
        <v>0</v>
      </c>
      <c r="F5">
        <f t="shared" si="3"/>
        <v>0</v>
      </c>
      <c r="G5">
        <v>1</v>
      </c>
      <c r="H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4"/>
        <v>3050</v>
      </c>
      <c r="B6">
        <f t="shared" si="4"/>
        <v>4050</v>
      </c>
      <c r="C6">
        <f t="shared" si="0"/>
        <v>0.01</v>
      </c>
      <c r="D6">
        <f t="shared" si="1"/>
        <v>0.01</v>
      </c>
      <c r="E6">
        <f t="shared" si="2"/>
        <v>0</v>
      </c>
      <c r="F6">
        <f t="shared" si="3"/>
        <v>0</v>
      </c>
      <c r="G6">
        <v>1</v>
      </c>
      <c r="H6">
        <v>1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4"/>
        <v>3060</v>
      </c>
      <c r="B7">
        <f t="shared" si="4"/>
        <v>4060</v>
      </c>
      <c r="C7">
        <f t="shared" si="0"/>
        <v>0.02</v>
      </c>
      <c r="D7">
        <f t="shared" si="1"/>
        <v>0.01</v>
      </c>
      <c r="E7">
        <f t="shared" si="2"/>
        <v>0</v>
      </c>
      <c r="F7">
        <f t="shared" si="3"/>
        <v>0</v>
      </c>
      <c r="G7">
        <v>1</v>
      </c>
      <c r="H7">
        <v>1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4"/>
        <v>3070</v>
      </c>
      <c r="B8">
        <f t="shared" si="4"/>
        <v>4070</v>
      </c>
      <c r="C8">
        <f t="shared" si="0"/>
        <v>0.02</v>
      </c>
      <c r="D8">
        <f t="shared" si="1"/>
        <v>0.02</v>
      </c>
      <c r="E8">
        <f t="shared" si="2"/>
        <v>0</v>
      </c>
      <c r="F8">
        <f t="shared" si="3"/>
        <v>0</v>
      </c>
      <c r="G8">
        <v>1</v>
      </c>
      <c r="H8">
        <v>1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4"/>
        <v>3080</v>
      </c>
      <c r="B9">
        <f t="shared" si="4"/>
        <v>4080</v>
      </c>
      <c r="C9">
        <f t="shared" si="0"/>
        <v>0.03</v>
      </c>
      <c r="D9">
        <f t="shared" si="1"/>
        <v>0.02</v>
      </c>
      <c r="E9">
        <f t="shared" si="2"/>
        <v>0</v>
      </c>
      <c r="F9">
        <f t="shared" si="3"/>
        <v>0</v>
      </c>
      <c r="G9">
        <v>1</v>
      </c>
      <c r="H9">
        <v>1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4"/>
        <v>3090</v>
      </c>
      <c r="B10">
        <f t="shared" si="4"/>
        <v>4090</v>
      </c>
      <c r="C10">
        <f t="shared" si="0"/>
        <v>0.03</v>
      </c>
      <c r="D10">
        <f t="shared" si="1"/>
        <v>0.03</v>
      </c>
      <c r="E10">
        <f t="shared" si="2"/>
        <v>0</v>
      </c>
      <c r="F10">
        <f t="shared" si="3"/>
        <v>0</v>
      </c>
      <c r="G10">
        <v>1</v>
      </c>
      <c r="H10">
        <v>1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4"/>
        <v>3100</v>
      </c>
      <c r="B11">
        <f t="shared" si="4"/>
        <v>4100</v>
      </c>
      <c r="C11">
        <f t="shared" si="0"/>
        <v>0.04</v>
      </c>
      <c r="D11">
        <f t="shared" si="1"/>
        <v>0.04</v>
      </c>
      <c r="E11">
        <f t="shared" si="2"/>
        <v>0</v>
      </c>
      <c r="F11">
        <f t="shared" si="3"/>
        <v>0</v>
      </c>
      <c r="G11">
        <v>1</v>
      </c>
      <c r="H11">
        <v>1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A12">
        <v>4010</v>
      </c>
      <c r="B12">
        <v>3010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v>1</v>
      </c>
      <c r="H12">
        <v>1</v>
      </c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A13">
        <f>A12+10</f>
        <v>4020</v>
      </c>
      <c r="B13">
        <f t="shared" si="4"/>
        <v>3020</v>
      </c>
      <c r="C13">
        <f t="shared" si="0"/>
        <v>0</v>
      </c>
      <c r="D13">
        <f t="shared" si="1"/>
        <v>0.01</v>
      </c>
      <c r="E13">
        <f t="shared" si="2"/>
        <v>0.01</v>
      </c>
      <c r="F13">
        <f t="shared" si="3"/>
        <v>0</v>
      </c>
      <c r="G13">
        <v>1</v>
      </c>
      <c r="H13">
        <v>1</v>
      </c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4" spans="1:24" x14ac:dyDescent="0.15">
      <c r="A14">
        <f t="shared" ref="A14:B21" si="5">A13+10</f>
        <v>4030</v>
      </c>
      <c r="B14">
        <f t="shared" si="4"/>
        <v>3030</v>
      </c>
      <c r="C14">
        <f t="shared" si="0"/>
        <v>0</v>
      </c>
      <c r="D14">
        <f t="shared" si="1"/>
        <v>0.01</v>
      </c>
      <c r="E14">
        <f t="shared" si="2"/>
        <v>0.01</v>
      </c>
      <c r="F14">
        <f t="shared" si="3"/>
        <v>0</v>
      </c>
      <c r="G14">
        <v>1</v>
      </c>
      <c r="H14">
        <v>1</v>
      </c>
    </row>
    <row r="15" spans="1:24" x14ac:dyDescent="0.15">
      <c r="A15">
        <f t="shared" si="5"/>
        <v>4040</v>
      </c>
      <c r="B15">
        <f t="shared" si="4"/>
        <v>3040</v>
      </c>
      <c r="C15">
        <f t="shared" si="0"/>
        <v>0</v>
      </c>
      <c r="D15">
        <f t="shared" si="1"/>
        <v>0.02</v>
      </c>
      <c r="E15">
        <f t="shared" si="2"/>
        <v>0.02</v>
      </c>
      <c r="F15">
        <f t="shared" si="3"/>
        <v>0</v>
      </c>
      <c r="G15">
        <v>1</v>
      </c>
      <c r="H15">
        <v>1</v>
      </c>
    </row>
    <row r="16" spans="1:24" x14ac:dyDescent="0.15">
      <c r="A16">
        <f t="shared" si="5"/>
        <v>4050</v>
      </c>
      <c r="B16">
        <f t="shared" si="4"/>
        <v>3050</v>
      </c>
      <c r="C16">
        <f t="shared" si="0"/>
        <v>0</v>
      </c>
      <c r="D16">
        <f t="shared" si="1"/>
        <v>0.03</v>
      </c>
      <c r="E16">
        <f t="shared" si="2"/>
        <v>0.13</v>
      </c>
      <c r="F16">
        <f t="shared" si="3"/>
        <v>0.1</v>
      </c>
      <c r="G16">
        <f t="shared" ref="G16:G18" si="6">D16*2-F16*0.5+1-D16-F16</f>
        <v>0.88</v>
      </c>
      <c r="H16">
        <f t="shared" ref="H16:H19" si="7">E16*0.3+1-E16</f>
        <v>0.90899999999999992</v>
      </c>
    </row>
    <row r="17" spans="1:10" x14ac:dyDescent="0.15">
      <c r="A17">
        <f t="shared" si="5"/>
        <v>4060</v>
      </c>
      <c r="B17">
        <f t="shared" si="4"/>
        <v>3060</v>
      </c>
      <c r="C17">
        <f t="shared" si="0"/>
        <v>0</v>
      </c>
      <c r="D17">
        <f t="shared" si="1"/>
        <v>0.04</v>
      </c>
      <c r="E17">
        <f t="shared" si="2"/>
        <v>0.17</v>
      </c>
      <c r="F17">
        <f t="shared" si="3"/>
        <v>0.13</v>
      </c>
      <c r="G17">
        <f t="shared" si="6"/>
        <v>0.84499999999999986</v>
      </c>
      <c r="H17">
        <f t="shared" si="7"/>
        <v>0.88099999999999989</v>
      </c>
    </row>
    <row r="18" spans="1:10" x14ac:dyDescent="0.15">
      <c r="A18">
        <f t="shared" si="5"/>
        <v>4070</v>
      </c>
      <c r="B18">
        <f t="shared" si="4"/>
        <v>3070</v>
      </c>
      <c r="C18">
        <f t="shared" si="0"/>
        <v>0</v>
      </c>
      <c r="D18">
        <f t="shared" si="1"/>
        <v>0.05</v>
      </c>
      <c r="E18">
        <f t="shared" si="2"/>
        <v>0.23</v>
      </c>
      <c r="F18">
        <f t="shared" si="3"/>
        <v>0.17</v>
      </c>
      <c r="G18">
        <f t="shared" si="6"/>
        <v>0.79499999999999982</v>
      </c>
      <c r="H18">
        <f t="shared" si="7"/>
        <v>0.83899999999999997</v>
      </c>
    </row>
    <row r="19" spans="1:10" x14ac:dyDescent="0.15">
      <c r="A19">
        <f t="shared" si="5"/>
        <v>4080</v>
      </c>
      <c r="B19">
        <f t="shared" si="5"/>
        <v>3080</v>
      </c>
      <c r="C19">
        <f t="shared" si="0"/>
        <v>0</v>
      </c>
      <c r="D19">
        <f t="shared" si="1"/>
        <v>7.0000000000000007E-2</v>
      </c>
      <c r="E19">
        <f t="shared" si="2"/>
        <v>0.28999999999999998</v>
      </c>
      <c r="F19">
        <f t="shared" si="3"/>
        <v>0.22</v>
      </c>
      <c r="G19">
        <f>D19*2-F19*0.5+1-D19-F19</f>
        <v>0.74</v>
      </c>
      <c r="H19">
        <f t="shared" si="7"/>
        <v>0.79699999999999993</v>
      </c>
    </row>
    <row r="20" spans="1:10" x14ac:dyDescent="0.15">
      <c r="A20">
        <f t="shared" si="5"/>
        <v>4090</v>
      </c>
      <c r="B20">
        <f t="shared" si="5"/>
        <v>3090</v>
      </c>
      <c r="C20">
        <f t="shared" si="0"/>
        <v>0</v>
      </c>
      <c r="D20">
        <f t="shared" si="1"/>
        <v>0.09</v>
      </c>
      <c r="E20">
        <f t="shared" si="2"/>
        <v>0.37</v>
      </c>
      <c r="F20">
        <f t="shared" si="3"/>
        <v>0.28000000000000003</v>
      </c>
      <c r="G20">
        <f t="shared" ref="G20:G21" si="8">D20*2-F20*0.5+1-D20-F20</f>
        <v>0.67</v>
      </c>
      <c r="H20">
        <f>E20*0.3+1-E20</f>
        <v>0.74099999999999999</v>
      </c>
    </row>
    <row r="21" spans="1:10" x14ac:dyDescent="0.15">
      <c r="A21">
        <f t="shared" si="5"/>
        <v>4100</v>
      </c>
      <c r="B21">
        <f t="shared" si="5"/>
        <v>3100</v>
      </c>
      <c r="C21">
        <f t="shared" si="0"/>
        <v>0</v>
      </c>
      <c r="D21">
        <f t="shared" si="1"/>
        <v>0.11</v>
      </c>
      <c r="E21">
        <f t="shared" si="2"/>
        <v>0.44</v>
      </c>
      <c r="F21">
        <f t="shared" si="3"/>
        <v>0.35</v>
      </c>
      <c r="G21">
        <f t="shared" si="8"/>
        <v>0.58499999999999996</v>
      </c>
      <c r="H21">
        <f>E21*0.3+1-E21</f>
        <v>0.69200000000000017</v>
      </c>
    </row>
    <row r="27" spans="1:10" x14ac:dyDescent="0.15">
      <c r="A27" s="8" t="s">
        <v>451</v>
      </c>
      <c r="B27" s="8" t="s">
        <v>5</v>
      </c>
      <c r="C27" s="8" t="s">
        <v>178</v>
      </c>
      <c r="D27" s="8" t="s">
        <v>0</v>
      </c>
    </row>
    <row r="28" spans="1:10" x14ac:dyDescent="0.15">
      <c r="A28">
        <v>3010</v>
      </c>
      <c r="B28">
        <v>4010</v>
      </c>
      <c r="C28">
        <v>15</v>
      </c>
      <c r="D28">
        <f>MOD(A28,1000)</f>
        <v>10</v>
      </c>
    </row>
    <row r="29" spans="1:10" x14ac:dyDescent="0.15">
      <c r="A29" t="s">
        <v>156</v>
      </c>
      <c r="B29" t="s">
        <v>95</v>
      </c>
      <c r="C29" t="s">
        <v>142</v>
      </c>
      <c r="D29" t="s">
        <v>143</v>
      </c>
      <c r="E29" t="s">
        <v>182</v>
      </c>
      <c r="F29" t="s">
        <v>192</v>
      </c>
      <c r="G29" t="s">
        <v>193</v>
      </c>
      <c r="H29" t="s">
        <v>176</v>
      </c>
      <c r="I29" t="s">
        <v>205</v>
      </c>
      <c r="J29" t="s">
        <v>206</v>
      </c>
    </row>
    <row r="30" spans="1:10" x14ac:dyDescent="0.15">
      <c r="A30">
        <v>32</v>
      </c>
      <c r="B30" t="s">
        <v>26</v>
      </c>
      <c r="C30">
        <f>INT(C28/(VLOOKUP(A30,技能参数,5,FALSE)+2*VLOOKUP(A30,技能参数,4,FALSE))+3)</f>
        <v>3</v>
      </c>
      <c r="D30">
        <f>VLOOKUP(A30,技能参数,4,FALSE)</f>
        <v>1</v>
      </c>
      <c r="E30">
        <f>IFERROR(VLOOKUP(A30*1000+D28,学习等级编码,2),0)</f>
        <v>3201</v>
      </c>
      <c r="F30">
        <f>IFERROR(INT(VLOOKUP($E30,技能升级,9,FALSE)*$C30*I30*J30),0)</f>
        <v>0</v>
      </c>
      <c r="G30">
        <f>IFERROR(INT(VLOOKUP($E30,技能升级,10,FALSE)*$C30*I30*J30),0)</f>
        <v>3600</v>
      </c>
      <c r="H30">
        <f>INT(VLOOKUP($E30,技能升级,11,FALSE)*$C30*I30*J30)</f>
        <v>60</v>
      </c>
      <c r="I30">
        <v>1</v>
      </c>
      <c r="J30">
        <v>1</v>
      </c>
    </row>
    <row r="31" spans="1:10" x14ac:dyDescent="0.15">
      <c r="A31">
        <v>34</v>
      </c>
      <c r="B31" t="s">
        <v>34</v>
      </c>
      <c r="C31">
        <f>INT(C28/(VLOOKUP(A31,技能参数,5,FALSE)+2*VLOOKUP(A31,技能参数,4,FALSE))+1)</f>
        <v>1</v>
      </c>
      <c r="D31">
        <f>VLOOKUP(A31,技能参数,4,FALSE)</f>
        <v>1.5</v>
      </c>
      <c r="E31">
        <f>IFERROR(VLOOKUP(A31*1000+D28,学习等级编码,2),0)</f>
        <v>3401</v>
      </c>
      <c r="F31">
        <f>IFERROR(INT(VLOOKUP($E31,技能升级,9,FALSE)*$C31*I31*J31),0)</f>
        <v>1500</v>
      </c>
      <c r="G31">
        <f>IFERROR(INT(VLOOKUP($E31,技能升级,10,FALSE)*$C31*I31*J31),0)</f>
        <v>0</v>
      </c>
      <c r="H31">
        <f>INT(VLOOKUP($E31,技能升级,11,FALSE)*$C31*I31*J31)</f>
        <v>35</v>
      </c>
      <c r="I31">
        <v>1</v>
      </c>
      <c r="J31">
        <v>1</v>
      </c>
    </row>
    <row r="32" spans="1:10" x14ac:dyDescent="0.15">
      <c r="A32">
        <v>35</v>
      </c>
      <c r="B32" t="s">
        <v>28</v>
      </c>
      <c r="C32">
        <v>3</v>
      </c>
      <c r="D32">
        <f>VLOOKUP(A32,技能参数,4,FALSE)</f>
        <v>2</v>
      </c>
      <c r="E32">
        <f>IFERROR(VLOOKUP(A32*1000+D28,学习等级编码,2),0)</f>
        <v>3501</v>
      </c>
      <c r="F32">
        <f>IFERROR(INT(VLOOKUP($E32,技能升级,9,FALSE)*$C32*I32*J32),0)</f>
        <v>6000</v>
      </c>
      <c r="G32">
        <f>IFERROR(INT(VLOOKUP($E32,技能升级,10,FALSE)*$C32*I32*J32),0)</f>
        <v>0</v>
      </c>
      <c r="H32">
        <f>INT(VLOOKUP($E32,技能升级,11,FALSE)*$C32*I32*J32)</f>
        <v>138</v>
      </c>
      <c r="I32">
        <v>1</v>
      </c>
      <c r="J32">
        <v>1</v>
      </c>
    </row>
    <row r="33" spans="1:10" x14ac:dyDescent="0.15">
      <c r="A33">
        <v>31</v>
      </c>
      <c r="B33" t="s">
        <v>91</v>
      </c>
      <c r="C33">
        <f>INT((C28-C30*D30-C31*D31-C32*D32-C35-C36)/D33)</f>
        <v>5</v>
      </c>
      <c r="D33">
        <f>VLOOKUP(A33,技能参数,4,FALSE)</f>
        <v>0.8</v>
      </c>
      <c r="E33">
        <f>IFERROR(VLOOKUP(A33*1000+D28,学习等级编码,2),0)</f>
        <v>3102</v>
      </c>
      <c r="F33">
        <f>IFERROR(INT(VLOOKUP($E33,技能升级,9,FALSE)*$C33*I33*J33),0)</f>
        <v>5100</v>
      </c>
      <c r="G33">
        <f>IFERROR(INT(VLOOKUP($E33,技能升级,10,FALSE)*$C33*I33*J33),0)</f>
        <v>0</v>
      </c>
      <c r="H33">
        <f>INT(VLOOKUP($E33,技能升级,11,FALSE)*$C33*I33*J33)</f>
        <v>115</v>
      </c>
      <c r="I33">
        <v>1</v>
      </c>
      <c r="J33">
        <v>1</v>
      </c>
    </row>
    <row r="34" spans="1:10" x14ac:dyDescent="0.15">
      <c r="A34">
        <v>203</v>
      </c>
      <c r="B34" t="s">
        <v>340</v>
      </c>
      <c r="C34">
        <f>INT((C28)/3)</f>
        <v>5</v>
      </c>
      <c r="D34">
        <v>0</v>
      </c>
      <c r="E34">
        <f>IFERROR(VLOOKUP(A34*1000+D28,学习等级编码,2),0)</f>
        <v>20301</v>
      </c>
      <c r="F34">
        <f>IFERROR(INT(VLOOKUP($E34,技能升级,9,FALSE)*$C34*I34*J34),0)</f>
        <v>0</v>
      </c>
      <c r="G34">
        <f>IFERROR(INT(VLOOKUP($E34,技能升级,10,FALSE)*$C34*I34*J34),0)</f>
        <v>0</v>
      </c>
      <c r="H34">
        <f>INT((VLOOKUP(E34,技能升级,13,FALSE)*(VLOOKUP(C34,中毒数据,4)+MOD(C28,3)*VLOOKUP(C34+1,中毒数据,3))+VLOOKUP(E34,技能升级,14,FALSE)/1000*C34*IF($B28&gt;10000,VLOOKUP($B28,实战属性,12,FALSE),VLOOKUP($B28,总基本属性,6,FALSE)))*I34*J34)</f>
        <v>790</v>
      </c>
      <c r="I34">
        <v>1</v>
      </c>
      <c r="J34">
        <v>1</v>
      </c>
    </row>
    <row r="35" spans="1:10" x14ac:dyDescent="0.15">
      <c r="E35" t="s">
        <v>194</v>
      </c>
      <c r="F35">
        <f>SUM(F30:F34)/1000</f>
        <v>12.6</v>
      </c>
      <c r="G35">
        <f>SUM(G30:G34)/1000</f>
        <v>3.6</v>
      </c>
      <c r="H35">
        <f>SUM(H30:H34)</f>
        <v>1138</v>
      </c>
      <c r="I35" t="s">
        <v>196</v>
      </c>
      <c r="J35" t="s">
        <v>197</v>
      </c>
    </row>
    <row r="36" spans="1:10" x14ac:dyDescent="0.15">
      <c r="E36" t="s">
        <v>195</v>
      </c>
      <c r="F36">
        <f>INT((IF($A28&gt;10000,VLOOKUP($A28,实战属性,13,FALSE),VLOOKUP($A28,总基本属性,7,FALSE))-
IF($B28&gt;10000,VLOOKUP($B28,实战属性,15,FALSE),VLOOKUP($B28,总基本属性,9,FALSE))*$L$13)*F35)</f>
        <v>1209</v>
      </c>
      <c r="G36">
        <f>INT((IF($A28&gt;10000,VLOOKUP($A28,实战属性,14,FALSE),VLOOKUP($A28,总基本属性,8,FALSE))-
IF($B28&gt;10000,VLOOKUP($B28,实战属性,16,FALSE),VLOOKUP($B28,总基本属性,10,FALSE))*$L$13)*G35)</f>
        <v>345</v>
      </c>
      <c r="H36">
        <f>H35+F36+G36</f>
        <v>2692</v>
      </c>
      <c r="I36">
        <f>IF($B28&gt;10000,VLOOKUP($B28,实战属性,12,FALSE),VLOOKUP($B28,总基本属性,6,FALSE))</f>
        <v>2610</v>
      </c>
      <c r="J36">
        <f>ROUND(I36/H36,2)</f>
        <v>0.97</v>
      </c>
    </row>
    <row r="40" spans="1:10" x14ac:dyDescent="0.15">
      <c r="A40" s="9" t="s">
        <v>5</v>
      </c>
      <c r="B40" s="9" t="s">
        <v>451</v>
      </c>
      <c r="C40" s="9" t="s">
        <v>178</v>
      </c>
      <c r="D40" s="9" t="s">
        <v>0</v>
      </c>
      <c r="G40" t="s">
        <v>445</v>
      </c>
      <c r="H40">
        <f>INT(I53/J53/C41)</f>
        <v>211</v>
      </c>
      <c r="I40" t="s">
        <v>446</v>
      </c>
      <c r="J40">
        <f>ROUND(I46/H40,1)</f>
        <v>3.3</v>
      </c>
    </row>
    <row r="41" spans="1:10" x14ac:dyDescent="0.15">
      <c r="A41">
        <v>4010</v>
      </c>
      <c r="B41">
        <v>3010</v>
      </c>
      <c r="C41">
        <v>18</v>
      </c>
      <c r="D41">
        <f>MOD(A41,1000)</f>
        <v>10</v>
      </c>
      <c r="I41" t="s">
        <v>383</v>
      </c>
      <c r="J41">
        <f>VLOOKUP(D41,召唤物生存,12)</f>
        <v>15.83</v>
      </c>
    </row>
    <row r="42" spans="1:10" x14ac:dyDescent="0.15">
      <c r="A42" t="s">
        <v>156</v>
      </c>
      <c r="B42" t="s">
        <v>95</v>
      </c>
      <c r="C42" t="s">
        <v>177</v>
      </c>
      <c r="D42" t="s">
        <v>143</v>
      </c>
      <c r="E42" t="s">
        <v>182</v>
      </c>
      <c r="F42" t="s">
        <v>192</v>
      </c>
      <c r="G42" t="s">
        <v>193</v>
      </c>
      <c r="H42" t="s">
        <v>176</v>
      </c>
      <c r="I42" t="s">
        <v>205</v>
      </c>
      <c r="J42" t="s">
        <v>206</v>
      </c>
    </row>
    <row r="43" spans="1:10" x14ac:dyDescent="0.15">
      <c r="A43">
        <v>42</v>
      </c>
      <c r="B43" t="s">
        <v>35</v>
      </c>
      <c r="C43">
        <v>1</v>
      </c>
      <c r="D43">
        <f>VLOOKUP(A43,技能参数,4,FALSE)</f>
        <v>1</v>
      </c>
      <c r="E43">
        <f>IFERROR(VLOOKUP(A43*1000+D41,学习等级编码,2),0)</f>
        <v>4201</v>
      </c>
      <c r="F43">
        <f>IFERROR(INT(VLOOKUP($E43,技能升级,9,FALSE)*$C43*I43*J43),0)</f>
        <v>0</v>
      </c>
      <c r="G43">
        <f>IFERROR(INT(VLOOKUP($E43,技能升级,10,FALSE)*$C43*I43*J43),0)</f>
        <v>0</v>
      </c>
      <c r="H43">
        <f>INT(VLOOKUP($E43,技能升级,11,FALSE)*$C43*I43*J43)</f>
        <v>0</v>
      </c>
      <c r="I43">
        <v>1</v>
      </c>
      <c r="J43">
        <v>1</v>
      </c>
    </row>
    <row r="44" spans="1:10" x14ac:dyDescent="0.15">
      <c r="A44">
        <v>43</v>
      </c>
      <c r="B44" t="s">
        <v>36</v>
      </c>
      <c r="C44">
        <v>1</v>
      </c>
      <c r="D44">
        <f>VLOOKUP(A44,技能参数,4,FALSE)</f>
        <v>1</v>
      </c>
      <c r="E44">
        <f>IFERROR(VLOOKUP(A44*1000+D41,学习等级编码,2),0)</f>
        <v>4301</v>
      </c>
      <c r="F44">
        <f t="shared" ref="F44" si="9">IFERROR(INT(VLOOKUP($E44,技能升级,9,FALSE)*$C44*I44*J44),0)</f>
        <v>0</v>
      </c>
      <c r="G44">
        <f t="shared" ref="G44" si="10">IFERROR(INT(VLOOKUP($E44,技能升级,10,FALSE)*$C44*I44*J44),0)</f>
        <v>0</v>
      </c>
      <c r="H44">
        <f>INT(VLOOKUP($E44,技能升级,11,FALSE)*$C44*I44*J44)</f>
        <v>0</v>
      </c>
      <c r="I44">
        <v>1</v>
      </c>
      <c r="J44">
        <v>1</v>
      </c>
    </row>
    <row r="45" spans="1:10" x14ac:dyDescent="0.15">
      <c r="A45">
        <v>44</v>
      </c>
      <c r="B45" t="s">
        <v>38</v>
      </c>
      <c r="C45">
        <v>1</v>
      </c>
      <c r="D45">
        <f>IFERROR(INT(VLOOKUP($E45,技能升级,13,FALSE)),0)</f>
        <v>4</v>
      </c>
      <c r="E45">
        <f>IFERROR(VLOOKUP(A45*1000+D41,学习等级编码,2),0)</f>
        <v>4401</v>
      </c>
      <c r="F45">
        <f>IFERROR(INT(VLOOKUP($E45,技能升级,9,FALSE)*$C45*I45*J45),0)</f>
        <v>0</v>
      </c>
      <c r="G45">
        <f>IFERROR(INT(VLOOKUP($E45,技能升级,10,FALSE)*$D45*I45*J45),0)</f>
        <v>6000</v>
      </c>
      <c r="H45">
        <f>INT(VLOOKUP($E45,技能升级,11,FALSE)*$D45*I45*J45)</f>
        <v>100</v>
      </c>
      <c r="I45">
        <v>1</v>
      </c>
      <c r="J45">
        <f>VLOOKUP(A41,$A$2:$H$21,7,FALSE)</f>
        <v>1</v>
      </c>
    </row>
    <row r="46" spans="1:10" x14ac:dyDescent="0.15">
      <c r="A46">
        <v>45</v>
      </c>
      <c r="B46" t="s">
        <v>37</v>
      </c>
      <c r="C46">
        <v>1</v>
      </c>
      <c r="D46">
        <f>VLOOKUP(A46,技能参数,4,FALSE)</f>
        <v>2</v>
      </c>
      <c r="E46">
        <f>IFERROR(VLOOKUP(A46*1000+D41,学习等级编码,2),0)</f>
        <v>4501</v>
      </c>
      <c r="F46">
        <f>IFERROR(INT(VLOOKUP($E46,技能升级,9,FALSE)*$C46*I46*J46),0)</f>
        <v>0</v>
      </c>
      <c r="G46">
        <f t="shared" ref="G46:G47" si="11">IFERROR(INT(VLOOKUP($E46,技能升级,10,FALSE)*$C46*I46*J46),0)</f>
        <v>0</v>
      </c>
      <c r="H46">
        <f>INT(VLOOKUP($E46,技能升级,11,FALSE)*$C46*I46*J46)</f>
        <v>0</v>
      </c>
      <c r="I46">
        <f>INT(VLOOKUP($E46,技能升级,13,FALSE)*$C46)</f>
        <v>690</v>
      </c>
      <c r="J46">
        <v>1</v>
      </c>
    </row>
    <row r="47" spans="1:10" x14ac:dyDescent="0.15">
      <c r="A47">
        <v>41</v>
      </c>
      <c r="B47" t="s">
        <v>361</v>
      </c>
      <c r="C47">
        <f>IF(INT((C41-C43*D43-C44*D44-C45*D45-C46*D46-C50-C51)/D47)&gt;0,INT((C41-C43*D43-C44*D44-C45*D45-C46*D46-C50-C51)/D47),0)</f>
        <v>0</v>
      </c>
      <c r="D47">
        <f>VLOOKUP(A47,技能参数,4,FALSE)</f>
        <v>1.2</v>
      </c>
      <c r="E47">
        <f>IFERROR(VLOOKUP(A47*1000+D41,学习等级编码,2),0)</f>
        <v>4102</v>
      </c>
      <c r="F47">
        <f>IFERROR(INT(VLOOKUP($E47,技能升级,9,FALSE)*$C47*I47*J47),0)</f>
        <v>0</v>
      </c>
      <c r="G47">
        <f t="shared" si="11"/>
        <v>0</v>
      </c>
      <c r="H47">
        <f>INT(VLOOKUP($E47,技能升级,11,FALSE)*$C47*I47*J47)</f>
        <v>0</v>
      </c>
      <c r="I47">
        <v>1</v>
      </c>
      <c r="J47">
        <f>VLOOKUP(A41,$A$2:$H$21,7,FALSE)</f>
        <v>1</v>
      </c>
    </row>
    <row r="48" spans="1:10" x14ac:dyDescent="0.15">
      <c r="A48">
        <f>VLOOKUP(E43,技能升级,13,FALSE)</f>
        <v>101</v>
      </c>
      <c r="B48" t="s">
        <v>375</v>
      </c>
      <c r="C48">
        <f>C41+C41-3.5-C51*2</f>
        <v>20.5</v>
      </c>
      <c r="G48">
        <f>INT((VLOOKUP(A48,召唤物属性,7,FALSE)-
IF($B41&gt;10000,VLOOKUP($B41,实战属性,15,FALSE),VLOOKUP($B41,总基本属性,9,FALSE))*$L$13)*I48*J48)</f>
        <v>83</v>
      </c>
      <c r="I48">
        <f>VLOOKUP($E43,技能升级,14,FALSE)</f>
        <v>1</v>
      </c>
      <c r="J48">
        <v>1</v>
      </c>
    </row>
    <row r="49" spans="1:10" x14ac:dyDescent="0.15">
      <c r="A49">
        <f>VLOOKUP(E44,技能升级,13,FALSE)</f>
        <v>201</v>
      </c>
      <c r="B49" t="s">
        <v>374</v>
      </c>
      <c r="C49">
        <f>C41+C41-3.5-C51*2</f>
        <v>20.5</v>
      </c>
      <c r="F49">
        <f>INT((VLOOKUP(A49,召唤物属性,6,FALSE)-
IF($B41&gt;10000,VLOOKUP($B41,实战属性,15,FALSE),VLOOKUP($B41,总基本属性,9,FALSE))*$L$13)*I49*J49)</f>
        <v>66</v>
      </c>
      <c r="I49">
        <f>VLOOKUP($E44,技能升级,14,FALSE)</f>
        <v>2</v>
      </c>
      <c r="J49">
        <f>VLOOKUP(A41,$A$2:$H$21,8,FALSE)</f>
        <v>1</v>
      </c>
    </row>
    <row r="50" spans="1:10" x14ac:dyDescent="0.15">
      <c r="A50">
        <v>204</v>
      </c>
      <c r="B50" t="s">
        <v>338</v>
      </c>
      <c r="C50">
        <v>3</v>
      </c>
    </row>
    <row r="51" spans="1:10" x14ac:dyDescent="0.15">
      <c r="B51" t="s">
        <v>342</v>
      </c>
      <c r="C51">
        <v>6</v>
      </c>
    </row>
    <row r="52" spans="1:10" x14ac:dyDescent="0.15">
      <c r="E52" t="s">
        <v>194</v>
      </c>
      <c r="F52">
        <f>SUM(F43:F47)/1000</f>
        <v>0</v>
      </c>
      <c r="G52">
        <f>SUM(G43:G47)/1000</f>
        <v>6</v>
      </c>
      <c r="H52">
        <f>SUM(H43:H46)</f>
        <v>100</v>
      </c>
      <c r="I52" t="s">
        <v>196</v>
      </c>
      <c r="J52" t="s">
        <v>197</v>
      </c>
    </row>
    <row r="53" spans="1:10" x14ac:dyDescent="0.15">
      <c r="E53" t="s">
        <v>195</v>
      </c>
      <c r="F53">
        <f>INT((IF($A41&gt;10000,VLOOKUP($A41,实战属性,13,FALSE),VLOOKUP($A41,总基本属性,7,FALSE))-
IF($B41&gt;10000,VLOOKUP($B41,实战属性,15,FALSE),VLOOKUP($B41,总基本属性,9,FALSE))*$L$13)*F52)</f>
        <v>0</v>
      </c>
      <c r="G53">
        <f>INT((IF($A41&gt;10000,VLOOKUP($A41,实战属性,14,FALSE),VLOOKUP($A41,总基本属性,8,FALSE))-
IF($B41&gt;10000,VLOOKUP($B41,实战属性,16,FALSE),VLOOKUP($B41,总基本属性,10,FALSE))*$L$13)*G52)</f>
        <v>654</v>
      </c>
      <c r="H53">
        <f>H52+F53+G53</f>
        <v>754</v>
      </c>
      <c r="I53">
        <f>IF($B41&gt;10000,VLOOKUP($B41,实战属性,12,FALSE),VLOOKUP($B41,总基本属性,6,FALSE))</f>
        <v>3695</v>
      </c>
      <c r="J53">
        <f>ROUND(I53/H54,2)</f>
        <v>0.97</v>
      </c>
    </row>
    <row r="54" spans="1:10" x14ac:dyDescent="0.15">
      <c r="E54" t="s">
        <v>376</v>
      </c>
      <c r="F54">
        <f>INT(F49*C49)</f>
        <v>1353</v>
      </c>
      <c r="G54">
        <f>INT(G48*C48)</f>
        <v>1701</v>
      </c>
      <c r="H54">
        <f>F54+G54+H53</f>
        <v>3808</v>
      </c>
    </row>
    <row r="58" spans="1:10" x14ac:dyDescent="0.15">
      <c r="A58" s="8" t="s">
        <v>4</v>
      </c>
      <c r="B58" s="8" t="s">
        <v>5</v>
      </c>
      <c r="C58" s="8" t="s">
        <v>178</v>
      </c>
      <c r="D58" s="8" t="s">
        <v>0</v>
      </c>
    </row>
    <row r="59" spans="1:10" x14ac:dyDescent="0.15">
      <c r="A59">
        <f>A28+10</f>
        <v>3020</v>
      </c>
      <c r="B59">
        <f>B28+10</f>
        <v>4020</v>
      </c>
      <c r="C59">
        <v>17</v>
      </c>
      <c r="D59">
        <f>MOD(A59,1000)</f>
        <v>20</v>
      </c>
    </row>
    <row r="60" spans="1:10" x14ac:dyDescent="0.15">
      <c r="A60" t="s">
        <v>156</v>
      </c>
      <c r="B60" t="s">
        <v>95</v>
      </c>
      <c r="C60" t="s">
        <v>142</v>
      </c>
      <c r="D60" t="s">
        <v>143</v>
      </c>
      <c r="E60" t="s">
        <v>182</v>
      </c>
      <c r="F60" t="s">
        <v>192</v>
      </c>
      <c r="G60" t="s">
        <v>193</v>
      </c>
      <c r="H60" t="s">
        <v>176</v>
      </c>
      <c r="I60" t="s">
        <v>205</v>
      </c>
      <c r="J60" t="s">
        <v>206</v>
      </c>
    </row>
    <row r="61" spans="1:10" x14ac:dyDescent="0.15">
      <c r="A61">
        <v>32</v>
      </c>
      <c r="B61" t="s">
        <v>26</v>
      </c>
      <c r="C61">
        <f>INT(C59/(VLOOKUP(A61,技能参数,5,FALSE)+2*VLOOKUP(A61,技能参数,4,FALSE))+3)</f>
        <v>3</v>
      </c>
      <c r="D61">
        <f>VLOOKUP(A61,技能参数,4,FALSE)</f>
        <v>1</v>
      </c>
      <c r="E61">
        <f>IFERROR(VLOOKUP(A61*1000+D59,学习等级编码,2),0)</f>
        <v>3202</v>
      </c>
      <c r="F61">
        <f>IFERROR(INT(VLOOKUP($E61,技能升级,9,FALSE)*$C61*I61*J61),0)</f>
        <v>0</v>
      </c>
      <c r="G61">
        <f>IFERROR(INT(VLOOKUP($E61,技能升级,10,FALSE)*$C61*I61*J61),0)</f>
        <v>3750</v>
      </c>
      <c r="H61">
        <f>INT(VLOOKUP($E61,技能升级,11,FALSE)*$C61*I61*J61)</f>
        <v>102</v>
      </c>
      <c r="I61">
        <v>1</v>
      </c>
      <c r="J61">
        <v>1</v>
      </c>
    </row>
    <row r="62" spans="1:10" x14ac:dyDescent="0.15">
      <c r="A62">
        <v>34</v>
      </c>
      <c r="B62" t="s">
        <v>34</v>
      </c>
      <c r="C62">
        <f>INT(C59/(VLOOKUP(A62,技能参数,5,FALSE)+2*VLOOKUP(A62,技能参数,4,FALSE))+1)</f>
        <v>1</v>
      </c>
      <c r="D62">
        <f>VLOOKUP(A62,技能参数,4,FALSE)</f>
        <v>1.5</v>
      </c>
      <c r="E62">
        <f>IFERROR(VLOOKUP(A62*1000+D59,学习等级编码,2),0)</f>
        <v>3402</v>
      </c>
      <c r="F62">
        <f>IFERROR(INT(VLOOKUP($E62,技能升级,9,FALSE)*$C62*I62*J62),0)</f>
        <v>1580</v>
      </c>
      <c r="G62">
        <f>IFERROR(INT(VLOOKUP($E62,技能升级,10,FALSE)*$C62*I62*J62),0)</f>
        <v>0</v>
      </c>
      <c r="H62">
        <f>INT(VLOOKUP($E62,技能升级,11,FALSE)*$C62*I62*J62)</f>
        <v>55</v>
      </c>
      <c r="I62">
        <v>1</v>
      </c>
      <c r="J62">
        <v>1</v>
      </c>
    </row>
    <row r="63" spans="1:10" x14ac:dyDescent="0.15">
      <c r="A63">
        <v>35</v>
      </c>
      <c r="B63" t="s">
        <v>28</v>
      </c>
      <c r="C63">
        <v>3</v>
      </c>
      <c r="D63">
        <f>VLOOKUP(A63,技能参数,4,FALSE)</f>
        <v>2</v>
      </c>
      <c r="E63">
        <f>IFERROR(VLOOKUP(A63*1000+D59,学习等级编码,2),0)</f>
        <v>3501</v>
      </c>
      <c r="F63">
        <f>IFERROR(INT(VLOOKUP($E63,技能升级,9,FALSE)*$C63*I63*J63),0)</f>
        <v>6000</v>
      </c>
      <c r="G63">
        <f>IFERROR(INT(VLOOKUP($E63,技能升级,10,FALSE)*$C63*I63*J63),0)</f>
        <v>0</v>
      </c>
      <c r="H63">
        <f>INT(VLOOKUP($E63,技能升级,11,FALSE)*$C63*I63*J63)</f>
        <v>138</v>
      </c>
      <c r="I63">
        <v>1</v>
      </c>
      <c r="J63">
        <v>1</v>
      </c>
    </row>
    <row r="64" spans="1:10" x14ac:dyDescent="0.15">
      <c r="A64">
        <v>31</v>
      </c>
      <c r="B64" t="s">
        <v>91</v>
      </c>
      <c r="C64">
        <f>INT((C59-C61*D61-C62*D62-C63*D63-C66-C67)/D64)</f>
        <v>8</v>
      </c>
      <c r="D64">
        <f>VLOOKUP(A64,技能参数,4,FALSE)</f>
        <v>0.8</v>
      </c>
      <c r="E64">
        <f>IFERROR(VLOOKUP(A64*1000+D59,学习等级编码,2),0)</f>
        <v>3103</v>
      </c>
      <c r="F64">
        <f>IFERROR(INT(VLOOKUP($E64,技能升级,9,FALSE)*$C64*I64*J64),0)</f>
        <v>8320</v>
      </c>
      <c r="G64">
        <f>IFERROR(INT(VLOOKUP($E64,技能升级,10,FALSE)*$C64*I64*J64),0)</f>
        <v>0</v>
      </c>
      <c r="H64">
        <f>INT(VLOOKUP($E64,技能升级,11,FALSE)*$C64*I64*J64)</f>
        <v>296</v>
      </c>
      <c r="I64">
        <v>1</v>
      </c>
      <c r="J64">
        <v>1</v>
      </c>
    </row>
    <row r="65" spans="1:10" x14ac:dyDescent="0.15">
      <c r="A65">
        <v>203</v>
      </c>
      <c r="B65" t="s">
        <v>340</v>
      </c>
      <c r="C65">
        <f>INT((C59)/3)</f>
        <v>5</v>
      </c>
      <c r="D65">
        <v>0</v>
      </c>
      <c r="E65">
        <f>IFERROR(VLOOKUP(A65*1000+D59,学习等级编码,2),0)</f>
        <v>20302</v>
      </c>
      <c r="F65">
        <f>IFERROR(INT(VLOOKUP($E65,技能升级,9,FALSE)*$C65*I65*J65),0)</f>
        <v>0</v>
      </c>
      <c r="G65">
        <f>IFERROR(INT(VLOOKUP($E65,技能升级,10,FALSE)*$C65*I65*J65),0)</f>
        <v>0</v>
      </c>
      <c r="H65">
        <f>INT((VLOOKUP(E65,技能升级,13,FALSE)*(VLOOKUP(C65,中毒数据,4)+MOD(C59,3)*VLOOKUP(C65+1,中毒数据,3))+VLOOKUP(E65,技能升级,14,FALSE)/1000*C65*IF($B59&gt;10000,VLOOKUP($B59,实战属性,12,FALSE),VLOOKUP($B59,总基本属性,6,FALSE)))*I65*J65)</f>
        <v>2463</v>
      </c>
      <c r="I65">
        <v>1</v>
      </c>
      <c r="J65">
        <v>1</v>
      </c>
    </row>
    <row r="66" spans="1:10" x14ac:dyDescent="0.15">
      <c r="E66" t="s">
        <v>194</v>
      </c>
      <c r="F66">
        <f>SUM(F61:F65)/1000</f>
        <v>15.9</v>
      </c>
      <c r="G66">
        <f>SUM(G61:G65)/1000</f>
        <v>3.75</v>
      </c>
      <c r="H66">
        <f>SUM(H61:H65)</f>
        <v>3054</v>
      </c>
      <c r="I66" t="s">
        <v>196</v>
      </c>
      <c r="J66" t="s">
        <v>197</v>
      </c>
    </row>
    <row r="67" spans="1:10" x14ac:dyDescent="0.15">
      <c r="E67" t="s">
        <v>195</v>
      </c>
      <c r="F67">
        <f>INT((IF($A59&gt;10000,VLOOKUP($A59,实战属性,13,FALSE),VLOOKUP($A59,总基本属性,7,FALSE))-
IF($B59&gt;10000,VLOOKUP($B59,实战属性,15,FALSE),VLOOKUP($B59,总基本属性,9,FALSE))*$L$13)*F66)</f>
        <v>3982</v>
      </c>
      <c r="G67">
        <f>INT((IF($A59&gt;10000,VLOOKUP($A59,实战属性,14,FALSE),VLOOKUP($A59,总基本属性,8,FALSE))-
IF($B59&gt;10000,VLOOKUP($B59,实战属性,16,FALSE),VLOOKUP($B59,总基本属性,10,FALSE))*$L$13)*G66)</f>
        <v>939</v>
      </c>
      <c r="H67">
        <f>H66+F67+G67</f>
        <v>7975</v>
      </c>
      <c r="I67">
        <f>IF($B59&gt;10000,VLOOKUP($B59,实战属性,12,FALSE),VLOOKUP($B59,总基本属性,6,FALSE))</f>
        <v>7830</v>
      </c>
      <c r="J67">
        <f>ROUND(I67/H67,2)</f>
        <v>0.98</v>
      </c>
    </row>
    <row r="71" spans="1:10" x14ac:dyDescent="0.15">
      <c r="A71" s="9" t="s">
        <v>5</v>
      </c>
      <c r="B71" s="9" t="s">
        <v>4</v>
      </c>
      <c r="C71" s="9" t="s">
        <v>178</v>
      </c>
      <c r="D71" s="9" t="s">
        <v>0</v>
      </c>
      <c r="G71" t="s">
        <v>445</v>
      </c>
      <c r="H71">
        <f>INT(I84/J84/C72)</f>
        <v>617</v>
      </c>
      <c r="I71" t="s">
        <v>446</v>
      </c>
      <c r="J71">
        <f>ROUND(I77/H71,1)</f>
        <v>1.1000000000000001</v>
      </c>
    </row>
    <row r="72" spans="1:10" x14ac:dyDescent="0.15">
      <c r="A72">
        <f t="shared" ref="A72:B72" si="12">A41+10</f>
        <v>4020</v>
      </c>
      <c r="B72">
        <f t="shared" si="12"/>
        <v>3020</v>
      </c>
      <c r="C72">
        <v>18</v>
      </c>
      <c r="D72">
        <f>MOD(A72,1000)</f>
        <v>20</v>
      </c>
      <c r="I72" t="s">
        <v>383</v>
      </c>
      <c r="J72">
        <f>VLOOKUP(D72,召唤物生存,12)</f>
        <v>14.45</v>
      </c>
    </row>
    <row r="73" spans="1:10" x14ac:dyDescent="0.15">
      <c r="A73" t="s">
        <v>156</v>
      </c>
      <c r="B73" t="s">
        <v>95</v>
      </c>
      <c r="C73" t="s">
        <v>177</v>
      </c>
      <c r="D73" t="s">
        <v>143</v>
      </c>
      <c r="E73" t="s">
        <v>182</v>
      </c>
      <c r="F73" t="s">
        <v>192</v>
      </c>
      <c r="G73" t="s">
        <v>193</v>
      </c>
      <c r="H73" t="s">
        <v>176</v>
      </c>
      <c r="I73" t="s">
        <v>205</v>
      </c>
      <c r="J73" t="s">
        <v>206</v>
      </c>
    </row>
    <row r="74" spans="1:10" x14ac:dyDescent="0.15">
      <c r="A74">
        <v>42</v>
      </c>
      <c r="B74" t="s">
        <v>35</v>
      </c>
      <c r="C74">
        <v>1</v>
      </c>
      <c r="D74">
        <f>VLOOKUP(A74,技能参数,4,FALSE)</f>
        <v>1</v>
      </c>
      <c r="E74">
        <f>IFERROR(VLOOKUP(A74*1000+D72,学习等级编码,2),0)</f>
        <v>4202</v>
      </c>
      <c r="F74">
        <f>IFERROR(INT(VLOOKUP($E74,技能升级,9,FALSE)*$C74*I74*J74),0)</f>
        <v>0</v>
      </c>
      <c r="G74">
        <f>IFERROR(INT(VLOOKUP($E74,技能升级,10,FALSE)*$C74*I74*J74),0)</f>
        <v>0</v>
      </c>
      <c r="H74">
        <f>INT(VLOOKUP($E74,技能升级,11,FALSE)*$C74*I74*J74)</f>
        <v>0</v>
      </c>
      <c r="I74">
        <v>1</v>
      </c>
      <c r="J74">
        <v>1</v>
      </c>
    </row>
    <row r="75" spans="1:10" x14ac:dyDescent="0.15">
      <c r="A75">
        <v>43</v>
      </c>
      <c r="B75" t="s">
        <v>36</v>
      </c>
      <c r="C75">
        <v>1</v>
      </c>
      <c r="D75">
        <f>VLOOKUP(A75,技能参数,4,FALSE)</f>
        <v>1</v>
      </c>
      <c r="E75">
        <f>IFERROR(VLOOKUP(A75*1000+D72,学习等级编码,2),0)</f>
        <v>4302</v>
      </c>
      <c r="F75">
        <f t="shared" ref="F75" si="13">IFERROR(INT(VLOOKUP($E75,技能升级,9,FALSE)*$C75*I75*J75),0)</f>
        <v>0</v>
      </c>
      <c r="G75">
        <f t="shared" ref="G75" si="14">IFERROR(INT(VLOOKUP($E75,技能升级,10,FALSE)*$C75*I75*J75),0)</f>
        <v>0</v>
      </c>
      <c r="H75">
        <f>INT(VLOOKUP($E75,技能升级,11,FALSE)*$C75*I75*J75)</f>
        <v>0</v>
      </c>
      <c r="I75">
        <v>1</v>
      </c>
      <c r="J75">
        <v>1</v>
      </c>
    </row>
    <row r="76" spans="1:10" x14ac:dyDescent="0.15">
      <c r="A76">
        <v>44</v>
      </c>
      <c r="B76" t="s">
        <v>38</v>
      </c>
      <c r="C76">
        <v>1</v>
      </c>
      <c r="D76">
        <f>IFERROR(INT(VLOOKUP($E76,技能升级,13,FALSE)),0)</f>
        <v>4</v>
      </c>
      <c r="E76">
        <f>IFERROR(VLOOKUP(A76*1000+D72,学习等级编码,2),0)</f>
        <v>4402</v>
      </c>
      <c r="F76">
        <f>IFERROR(INT(VLOOKUP($E76,技能升级,9,FALSE)*$C76*I76*J76),0)</f>
        <v>0</v>
      </c>
      <c r="G76">
        <f>IFERROR(INT(VLOOKUP($E76,技能升级,10,FALSE)*$D76*I76*J76),0)</f>
        <v>6280</v>
      </c>
      <c r="H76">
        <f>INT(VLOOKUP($E76,技能升级,11,FALSE)*$D76*I76*J76)</f>
        <v>180</v>
      </c>
      <c r="I76">
        <v>1</v>
      </c>
      <c r="J76">
        <f>VLOOKUP(A72,$A$2:$H$21,7,FALSE)</f>
        <v>1</v>
      </c>
    </row>
    <row r="77" spans="1:10" x14ac:dyDescent="0.15">
      <c r="A77">
        <v>45</v>
      </c>
      <c r="B77" t="s">
        <v>37</v>
      </c>
      <c r="C77">
        <v>1</v>
      </c>
      <c r="D77">
        <f>VLOOKUP(A77,技能参数,4,FALSE)</f>
        <v>2</v>
      </c>
      <c r="E77">
        <f>IFERROR(VLOOKUP(A77*1000+D72,学习等级编码,2),0)</f>
        <v>4501</v>
      </c>
      <c r="F77">
        <f>IFERROR(INT(VLOOKUP($E77,技能升级,9,FALSE)*$C77*I77*J77),0)</f>
        <v>0</v>
      </c>
      <c r="G77">
        <f t="shared" ref="G77:G78" si="15">IFERROR(INT(VLOOKUP($E77,技能升级,10,FALSE)*$C77*I77*J77),0)</f>
        <v>0</v>
      </c>
      <c r="H77">
        <f>INT(VLOOKUP($E77,技能升级,11,FALSE)*$C77*I77*J77)</f>
        <v>0</v>
      </c>
      <c r="I77">
        <f>INT(VLOOKUP($E77,技能升级,13,FALSE)*$C77)</f>
        <v>690</v>
      </c>
      <c r="J77">
        <v>1</v>
      </c>
    </row>
    <row r="78" spans="1:10" x14ac:dyDescent="0.15">
      <c r="A78">
        <v>41</v>
      </c>
      <c r="B78" t="s">
        <v>361</v>
      </c>
      <c r="C78">
        <f>IF(INT((C72-C74*D74-C75*D75-C76*D76-C77*D77-C81-C82)/D78)&gt;0,INT((C72-C74*D74-C75*D75-C76*D76-C77*D77-C81-C82)/D78),0)</f>
        <v>0</v>
      </c>
      <c r="D78">
        <f>VLOOKUP(A78,技能参数,4,FALSE)</f>
        <v>1.2</v>
      </c>
      <c r="E78">
        <f>IFERROR(VLOOKUP(A78*1000+D72,学习等级编码,2),0)</f>
        <v>4103</v>
      </c>
      <c r="F78">
        <f>IFERROR(INT(VLOOKUP($E78,技能升级,9,FALSE)*$C78*I78*J78),0)</f>
        <v>0</v>
      </c>
      <c r="G78">
        <f t="shared" si="15"/>
        <v>0</v>
      </c>
      <c r="H78">
        <f>INT(VLOOKUP($E78,技能升级,11,FALSE)*$C78*I78*J78)</f>
        <v>0</v>
      </c>
      <c r="I78">
        <v>1</v>
      </c>
      <c r="J78">
        <f>VLOOKUP(A72,$A$2:$H$21,7,FALSE)</f>
        <v>1</v>
      </c>
    </row>
    <row r="79" spans="1:10" x14ac:dyDescent="0.15">
      <c r="A79">
        <f>VLOOKUP(E74,技能升级,13,FALSE)</f>
        <v>102</v>
      </c>
      <c r="B79" t="s">
        <v>375</v>
      </c>
      <c r="C79">
        <f>C72+C72-3.5-C82*2</f>
        <v>20.5</v>
      </c>
      <c r="G79">
        <f>INT((VLOOKUP(A79,召唤物属性,7,FALSE)-
IF($B72&gt;10000,VLOOKUP($B72,实战属性,15,FALSE),VLOOKUP($B72,总基本属性,9,FALSE))*$L$13)*I79*J79)</f>
        <v>188</v>
      </c>
      <c r="I79">
        <f>VLOOKUP($E74,技能升级,14,FALSE)</f>
        <v>1</v>
      </c>
      <c r="J79">
        <v>1</v>
      </c>
    </row>
    <row r="80" spans="1:10" x14ac:dyDescent="0.15">
      <c r="A80">
        <f>VLOOKUP(E75,技能升级,13,FALSE)</f>
        <v>202</v>
      </c>
      <c r="B80" t="s">
        <v>374</v>
      </c>
      <c r="C80">
        <f>C72+C72-3.5-C82*2</f>
        <v>20.5</v>
      </c>
      <c r="F80">
        <f>INT((VLOOKUP(A80,召唤物属性,6,FALSE)-
IF($B72&gt;10000,VLOOKUP($B72,实战属性,15,FALSE),VLOOKUP($B72,总基本属性,9,FALSE))*$L$13)*I80*J80)</f>
        <v>256</v>
      </c>
      <c r="I80">
        <f>VLOOKUP($E75,技能升级,14,FALSE)</f>
        <v>2</v>
      </c>
      <c r="J80">
        <f>VLOOKUP(A72,$A$2:$H$21,8,FALSE)</f>
        <v>1</v>
      </c>
    </row>
    <row r="81" spans="1:10" x14ac:dyDescent="0.15">
      <c r="A81">
        <v>204</v>
      </c>
      <c r="B81" t="s">
        <v>338</v>
      </c>
      <c r="C81">
        <v>3</v>
      </c>
    </row>
    <row r="82" spans="1:10" x14ac:dyDescent="0.15">
      <c r="B82" t="s">
        <v>342</v>
      </c>
      <c r="C82">
        <v>6</v>
      </c>
    </row>
    <row r="83" spans="1:10" x14ac:dyDescent="0.15">
      <c r="E83" t="s">
        <v>194</v>
      </c>
      <c r="F83">
        <f>SUM(F74:F78)/1000</f>
        <v>0</v>
      </c>
      <c r="G83">
        <f>SUM(G74:G78)/1000</f>
        <v>6.28</v>
      </c>
      <c r="H83">
        <f>SUM(H74:H77)</f>
        <v>180</v>
      </c>
      <c r="I83" t="s">
        <v>196</v>
      </c>
      <c r="J83" t="s">
        <v>197</v>
      </c>
    </row>
    <row r="84" spans="1:10" x14ac:dyDescent="0.15">
      <c r="E84" t="s">
        <v>195</v>
      </c>
      <c r="F84">
        <f>INT((IF($A72&gt;10000,VLOOKUP($A72,实战属性,13,FALSE),VLOOKUP($A72,总基本属性,7,FALSE))-
IF($B72&gt;10000,VLOOKUP($B72,实战属性,15,FALSE),VLOOKUP($B72,总基本属性,9,FALSE))*$L$13)*F83)</f>
        <v>0</v>
      </c>
      <c r="G84">
        <f>INT((IF($A72&gt;10000,VLOOKUP($A72,实战属性,14,FALSE),VLOOKUP($A72,总基本属性,8,FALSE))-
IF($B72&gt;10000,VLOOKUP($B72,实战属性,16,FALSE),VLOOKUP($B72,总基本属性,10,FALSE))*$L$13)*G83)</f>
        <v>1796</v>
      </c>
      <c r="H84">
        <f>H83+F84+G84</f>
        <v>1976</v>
      </c>
      <c r="I84">
        <f>IF($B72&gt;10000,VLOOKUP($B72,实战属性,12,FALSE),VLOOKUP($B72,总基本属性,6,FALSE))</f>
        <v>10899</v>
      </c>
      <c r="J84">
        <f>ROUND(I84/H85,2)</f>
        <v>0.98</v>
      </c>
    </row>
    <row r="85" spans="1:10" x14ac:dyDescent="0.15">
      <c r="E85" t="s">
        <v>376</v>
      </c>
      <c r="F85">
        <f>INT(F80*C80)</f>
        <v>5248</v>
      </c>
      <c r="G85">
        <f>INT(G79*C79)</f>
        <v>3854</v>
      </c>
      <c r="H85">
        <f>F85+G85+H84</f>
        <v>11078</v>
      </c>
    </row>
    <row r="89" spans="1:10" x14ac:dyDescent="0.15">
      <c r="A89" s="8" t="s">
        <v>4</v>
      </c>
      <c r="B89" s="8" t="s">
        <v>5</v>
      </c>
      <c r="C89" s="8" t="s">
        <v>178</v>
      </c>
      <c r="D89" s="8" t="s">
        <v>0</v>
      </c>
    </row>
    <row r="90" spans="1:10" x14ac:dyDescent="0.15">
      <c r="A90">
        <f>A59+10</f>
        <v>3030</v>
      </c>
      <c r="B90">
        <f>B59+10</f>
        <v>4030</v>
      </c>
      <c r="C90">
        <v>16</v>
      </c>
      <c r="D90">
        <f>MOD(A90,1000)</f>
        <v>30</v>
      </c>
    </row>
    <row r="91" spans="1:10" x14ac:dyDescent="0.15">
      <c r="A91" t="s">
        <v>156</v>
      </c>
      <c r="B91" t="s">
        <v>95</v>
      </c>
      <c r="C91" t="s">
        <v>142</v>
      </c>
      <c r="D91" t="s">
        <v>143</v>
      </c>
      <c r="E91" t="s">
        <v>182</v>
      </c>
      <c r="F91" t="s">
        <v>192</v>
      </c>
      <c r="G91" t="s">
        <v>193</v>
      </c>
      <c r="H91" t="s">
        <v>176</v>
      </c>
      <c r="I91" t="s">
        <v>205</v>
      </c>
      <c r="J91" t="s">
        <v>206</v>
      </c>
    </row>
    <row r="92" spans="1:10" x14ac:dyDescent="0.15">
      <c r="A92">
        <v>32</v>
      </c>
      <c r="B92" t="s">
        <v>26</v>
      </c>
      <c r="C92">
        <f>INT(C90/(VLOOKUP(A92,技能参数,5,FALSE)+2*VLOOKUP(A92,技能参数,4,FALSE))+3)</f>
        <v>3</v>
      </c>
      <c r="D92">
        <f>VLOOKUP(A92,技能参数,4,FALSE)</f>
        <v>1</v>
      </c>
      <c r="E92">
        <f>IFERROR(VLOOKUP(A92*1000+D90,学习等级编码,2),0)</f>
        <v>3203</v>
      </c>
      <c r="F92">
        <f>IFERROR(INT(VLOOKUP($E92,技能升级,9,FALSE)*$C92*I92*J92),0)</f>
        <v>0</v>
      </c>
      <c r="G92">
        <f>IFERROR(INT(VLOOKUP($E92,技能升级,10,FALSE)*$C92*I92*J92),0)</f>
        <v>3870</v>
      </c>
      <c r="H92">
        <f>INT(VLOOKUP($E92,技能升级,11,FALSE)*$C92*I92*J92)</f>
        <v>189</v>
      </c>
      <c r="I92">
        <v>1</v>
      </c>
      <c r="J92">
        <v>1</v>
      </c>
    </row>
    <row r="93" spans="1:10" x14ac:dyDescent="0.15">
      <c r="A93">
        <v>34</v>
      </c>
      <c r="B93" t="s">
        <v>34</v>
      </c>
      <c r="C93">
        <f>INT(C90/(VLOOKUP(A93,技能参数,5,FALSE)+2*VLOOKUP(A93,技能参数,4,FALSE))+1)</f>
        <v>1</v>
      </c>
      <c r="D93">
        <f>VLOOKUP(A93,技能参数,4,FALSE)</f>
        <v>1.5</v>
      </c>
      <c r="E93">
        <f>IFERROR(VLOOKUP(A93*1000+D90,学习等级编码,2),0)</f>
        <v>3403</v>
      </c>
      <c r="F93">
        <f>IFERROR(INT(VLOOKUP($E93,技能升级,9,FALSE)*$C93*I93*J93),0)</f>
        <v>1670</v>
      </c>
      <c r="G93">
        <f>IFERROR(INT(VLOOKUP($E93,技能升级,10,FALSE)*$C93*I93*J93),0)</f>
        <v>0</v>
      </c>
      <c r="H93">
        <f>INT(VLOOKUP($E93,技能升级,11,FALSE)*$C93*I93*J93)</f>
        <v>90</v>
      </c>
      <c r="I93">
        <v>1</v>
      </c>
      <c r="J93">
        <v>1</v>
      </c>
    </row>
    <row r="94" spans="1:10" x14ac:dyDescent="0.15">
      <c r="A94">
        <v>35</v>
      </c>
      <c r="B94" t="s">
        <v>28</v>
      </c>
      <c r="C94">
        <v>3</v>
      </c>
      <c r="D94">
        <f>VLOOKUP(A94,技能参数,4,FALSE)</f>
        <v>2</v>
      </c>
      <c r="E94">
        <f>IFERROR(VLOOKUP(A94*1000+D90,学习等级编码,2),0)</f>
        <v>3502</v>
      </c>
      <c r="F94">
        <f>IFERROR(INT(VLOOKUP($E94,技能升级,9,FALSE)*$C94*I94*J94),0)</f>
        <v>6510</v>
      </c>
      <c r="G94">
        <f>IFERROR(INT(VLOOKUP($E94,技能升级,10,FALSE)*$C94*I94*J94),0)</f>
        <v>0</v>
      </c>
      <c r="H94">
        <f>INT(VLOOKUP($E94,技能升级,11,FALSE)*$C94*I94*J94)</f>
        <v>249</v>
      </c>
      <c r="I94">
        <v>1</v>
      </c>
      <c r="J94">
        <v>1</v>
      </c>
    </row>
    <row r="95" spans="1:10" x14ac:dyDescent="0.15">
      <c r="A95">
        <v>31</v>
      </c>
      <c r="B95" t="s">
        <v>91</v>
      </c>
      <c r="C95">
        <f>INT((C90-C92*D92-C93*D93-C94*D94-C97-C98)/D95)</f>
        <v>6</v>
      </c>
      <c r="D95">
        <f>VLOOKUP(A95,技能参数,4,FALSE)</f>
        <v>0.8</v>
      </c>
      <c r="E95">
        <f>IFERROR(VLOOKUP(A95*1000+D90,学习等级编码,2),0)</f>
        <v>3105</v>
      </c>
      <c r="F95">
        <f>IFERROR(INT(VLOOKUP($E95,技能升级,9,FALSE)*$C95*I95*J95),0)</f>
        <v>6540</v>
      </c>
      <c r="G95">
        <f>IFERROR(INT(VLOOKUP($E95,技能升级,10,FALSE)*$C95*I95*J95),0)</f>
        <v>0</v>
      </c>
      <c r="H95">
        <f>INT(VLOOKUP($E95,技能升级,11,FALSE)*$C95*I95*J95)</f>
        <v>528</v>
      </c>
      <c r="I95">
        <v>1</v>
      </c>
      <c r="J95">
        <v>1</v>
      </c>
    </row>
    <row r="96" spans="1:10" x14ac:dyDescent="0.15">
      <c r="A96">
        <v>203</v>
      </c>
      <c r="B96" t="s">
        <v>340</v>
      </c>
      <c r="C96">
        <f>INT((C90)/3)</f>
        <v>5</v>
      </c>
      <c r="D96">
        <v>0</v>
      </c>
      <c r="E96">
        <f>IFERROR(VLOOKUP(A96*1000+D90,学习等级编码,2),0)</f>
        <v>20303</v>
      </c>
      <c r="F96">
        <f>IFERROR(INT(VLOOKUP($E96,技能升级,9,FALSE)*$C96*I96*J96),0)</f>
        <v>0</v>
      </c>
      <c r="G96">
        <f>IFERROR(INT(VLOOKUP($E96,技能升级,10,FALSE)*$C96*I96*J96),0)</f>
        <v>0</v>
      </c>
      <c r="H96">
        <f>INT((VLOOKUP(E96,技能升级,13,FALSE)*(VLOOKUP(C96,中毒数据,4)+MOD(C90,3)*VLOOKUP(C96+1,中毒数据,3))+VLOOKUP(E96,技能升级,14,FALSE)/1000*C96*IF($B90&gt;10000,VLOOKUP($B90,实战属性,12,FALSE),VLOOKUP($B90,总基本属性,6,FALSE)))*I96*J96)</f>
        <v>5328</v>
      </c>
      <c r="I96">
        <v>1</v>
      </c>
      <c r="J96">
        <v>1</v>
      </c>
    </row>
    <row r="97" spans="1:10" x14ac:dyDescent="0.15">
      <c r="E97" t="s">
        <v>194</v>
      </c>
      <c r="F97">
        <f>SUM(F92:F96)/1000</f>
        <v>14.72</v>
      </c>
      <c r="G97">
        <f>SUM(G92:G96)/1000</f>
        <v>3.87</v>
      </c>
      <c r="H97">
        <f>SUM(H92:H96)</f>
        <v>6384</v>
      </c>
      <c r="I97" t="s">
        <v>196</v>
      </c>
      <c r="J97" t="s">
        <v>197</v>
      </c>
    </row>
    <row r="98" spans="1:10" x14ac:dyDescent="0.15">
      <c r="E98" t="s">
        <v>195</v>
      </c>
      <c r="F98">
        <f>INT((IF($A90&gt;10000,VLOOKUP($A90,实战属性,13,FALSE),VLOOKUP($A90,总基本属性,7,FALSE))-
IF($B90&gt;10000,VLOOKUP($B90,实战属性,15,FALSE),VLOOKUP($B90,总基本属性,9,FALSE))*$L$13)*F97)</f>
        <v>7205</v>
      </c>
      <c r="G98">
        <f>INT((IF($A90&gt;10000,VLOOKUP($A90,实战属性,14,FALSE),VLOOKUP($A90,总基本属性,8,FALSE))-
IF($B90&gt;10000,VLOOKUP($B90,实战属性,16,FALSE),VLOOKUP($B90,总基本属性,10,FALSE))*$L$13)*G97)</f>
        <v>1894</v>
      </c>
      <c r="H98">
        <f>H97+F98+G98</f>
        <v>15483</v>
      </c>
      <c r="I98">
        <f>IF($B90&gt;10000,VLOOKUP($B90,实战属性,12,FALSE),VLOOKUP($B90,总基本属性,6,FALSE))</f>
        <v>16110</v>
      </c>
      <c r="J98">
        <f>ROUND(I98/H98,2)</f>
        <v>1.04</v>
      </c>
    </row>
    <row r="102" spans="1:10" x14ac:dyDescent="0.15">
      <c r="A102" s="9" t="s">
        <v>5</v>
      </c>
      <c r="B102" s="9" t="s">
        <v>4</v>
      </c>
      <c r="C102" s="9" t="s">
        <v>178</v>
      </c>
      <c r="D102" s="9" t="s">
        <v>0</v>
      </c>
      <c r="G102" t="s">
        <v>445</v>
      </c>
      <c r="H102">
        <f>INT(I115/J115/C103)</f>
        <v>1126</v>
      </c>
      <c r="I102" t="s">
        <v>446</v>
      </c>
      <c r="J102">
        <f>ROUND(I108/H102,1)</f>
        <v>1.9</v>
      </c>
    </row>
    <row r="103" spans="1:10" x14ac:dyDescent="0.15">
      <c r="A103">
        <f t="shared" ref="A103:B103" si="16">A72+10</f>
        <v>4030</v>
      </c>
      <c r="B103">
        <f t="shared" si="16"/>
        <v>3030</v>
      </c>
      <c r="C103">
        <v>17</v>
      </c>
      <c r="D103">
        <f>MOD(A103,1000)</f>
        <v>30</v>
      </c>
      <c r="I103" t="s">
        <v>383</v>
      </c>
      <c r="J103">
        <f>VLOOKUP(D103,召唤物生存,12)</f>
        <v>14.6</v>
      </c>
    </row>
    <row r="104" spans="1:10" x14ac:dyDescent="0.15">
      <c r="A104" t="s">
        <v>156</v>
      </c>
      <c r="B104" t="s">
        <v>95</v>
      </c>
      <c r="C104" t="s">
        <v>177</v>
      </c>
      <c r="D104" t="s">
        <v>143</v>
      </c>
      <c r="E104" t="s">
        <v>182</v>
      </c>
      <c r="F104" t="s">
        <v>192</v>
      </c>
      <c r="G104" t="s">
        <v>193</v>
      </c>
      <c r="H104" t="s">
        <v>176</v>
      </c>
      <c r="I104" t="s">
        <v>205</v>
      </c>
      <c r="J104" t="s">
        <v>206</v>
      </c>
    </row>
    <row r="105" spans="1:10" x14ac:dyDescent="0.15">
      <c r="A105">
        <v>42</v>
      </c>
      <c r="B105" t="s">
        <v>35</v>
      </c>
      <c r="C105">
        <v>1</v>
      </c>
      <c r="D105">
        <f>VLOOKUP(A105,技能参数,4,FALSE)</f>
        <v>1</v>
      </c>
      <c r="E105">
        <f>IFERROR(VLOOKUP(A105*1000+D103,学习等级编码,2),0)</f>
        <v>4203</v>
      </c>
      <c r="F105">
        <f>IFERROR(INT(VLOOKUP($E105,技能升级,9,FALSE)*$C105*I105*J105),0)</f>
        <v>0</v>
      </c>
      <c r="G105">
        <f>IFERROR(INT(VLOOKUP($E105,技能升级,10,FALSE)*$C105*I105*J105),0)</f>
        <v>0</v>
      </c>
      <c r="H105">
        <f>INT(VLOOKUP($E105,技能升级,11,FALSE)*$C105*I105*J105)</f>
        <v>0</v>
      </c>
      <c r="I105">
        <v>1</v>
      </c>
      <c r="J105">
        <v>1</v>
      </c>
    </row>
    <row r="106" spans="1:10" x14ac:dyDescent="0.15">
      <c r="A106">
        <v>43</v>
      </c>
      <c r="B106" t="s">
        <v>36</v>
      </c>
      <c r="C106">
        <v>1</v>
      </c>
      <c r="D106">
        <f>VLOOKUP(A106,技能参数,4,FALSE)</f>
        <v>1</v>
      </c>
      <c r="E106">
        <f>IFERROR(VLOOKUP(A106*1000+D103,学习等级编码,2),0)</f>
        <v>4303</v>
      </c>
      <c r="F106">
        <f t="shared" ref="F106" si="17">IFERROR(INT(VLOOKUP($E106,技能升级,9,FALSE)*$C106*I106*J106),0)</f>
        <v>0</v>
      </c>
      <c r="G106">
        <f t="shared" ref="G106" si="18">IFERROR(INT(VLOOKUP($E106,技能升级,10,FALSE)*$C106*I106*J106),0)</f>
        <v>0</v>
      </c>
      <c r="H106">
        <f>INT(VLOOKUP($E106,技能升级,11,FALSE)*$C106*I106*J106)</f>
        <v>0</v>
      </c>
      <c r="I106">
        <v>1</v>
      </c>
      <c r="J106">
        <v>1</v>
      </c>
    </row>
    <row r="107" spans="1:10" x14ac:dyDescent="0.15">
      <c r="A107">
        <v>44</v>
      </c>
      <c r="B107" t="s">
        <v>38</v>
      </c>
      <c r="C107">
        <v>1</v>
      </c>
      <c r="D107">
        <f>IFERROR(INT(VLOOKUP($E107,技能升级,13,FALSE)),0)</f>
        <v>4</v>
      </c>
      <c r="E107">
        <f>IFERROR(VLOOKUP(A107*1000+D103,学习等级编码,2),0)</f>
        <v>4403</v>
      </c>
      <c r="F107">
        <f>IFERROR(INT(VLOOKUP($E107,技能升级,9,FALSE)*$C107*I107*J107),0)</f>
        <v>0</v>
      </c>
      <c r="G107">
        <f>IFERROR(INT(VLOOKUP($E107,技能升级,10,FALSE)*$D107*I107*J107),0)</f>
        <v>6520</v>
      </c>
      <c r="H107">
        <f>INT(VLOOKUP($E107,技能升级,11,FALSE)*$D107*I107*J107)</f>
        <v>320</v>
      </c>
      <c r="I107">
        <v>1</v>
      </c>
      <c r="J107">
        <f>VLOOKUP(A103,$A$2:$H$21,7,FALSE)</f>
        <v>1</v>
      </c>
    </row>
    <row r="108" spans="1:10" x14ac:dyDescent="0.15">
      <c r="A108">
        <v>45</v>
      </c>
      <c r="B108" t="s">
        <v>37</v>
      </c>
      <c r="C108">
        <v>1</v>
      </c>
      <c r="D108">
        <f>VLOOKUP(A108,技能参数,4,FALSE)</f>
        <v>2</v>
      </c>
      <c r="E108">
        <f>IFERROR(VLOOKUP(A108*1000+D103,学习等级编码,2),0)</f>
        <v>4502</v>
      </c>
      <c r="F108">
        <f>IFERROR(INT(VLOOKUP($E108,技能升级,9,FALSE)*$C108*I108*J108),0)</f>
        <v>0</v>
      </c>
      <c r="G108">
        <f t="shared" ref="G108:G109" si="19">IFERROR(INT(VLOOKUP($E108,技能升级,10,FALSE)*$C108*I108*J108),0)</f>
        <v>0</v>
      </c>
      <c r="H108">
        <f>INT(VLOOKUP($E108,技能升级,11,FALSE)*$C108*I108*J108)</f>
        <v>0</v>
      </c>
      <c r="I108">
        <f>INT(VLOOKUP($E108,技能升级,13,FALSE)*$C108)</f>
        <v>2166</v>
      </c>
      <c r="J108">
        <v>1</v>
      </c>
    </row>
    <row r="109" spans="1:10" x14ac:dyDescent="0.15">
      <c r="A109">
        <v>41</v>
      </c>
      <c r="B109" t="s">
        <v>361</v>
      </c>
      <c r="C109">
        <f>IF(INT((C103-C105*D105-C106*D106-C107*D107-C108*D108-C112-C113)/D109)&gt;0,INT((C103-C105*D105-C106*D106-C107*D107-C108*D108-C112-C113)/D109),0)</f>
        <v>0</v>
      </c>
      <c r="D109">
        <f>VLOOKUP(A109,技能参数,4,FALSE)</f>
        <v>1.2</v>
      </c>
      <c r="E109">
        <f>IFERROR(VLOOKUP(A109*1000+D103,学习等级编码,2),0)</f>
        <v>4105</v>
      </c>
      <c r="F109">
        <f>IFERROR(INT(VLOOKUP($E109,技能升级,9,FALSE)*$C109*I109*J109),0)</f>
        <v>0</v>
      </c>
      <c r="G109">
        <f t="shared" si="19"/>
        <v>0</v>
      </c>
      <c r="H109">
        <f>INT(VLOOKUP($E109,技能升级,11,FALSE)*$C109*I109*J109)</f>
        <v>0</v>
      </c>
      <c r="I109">
        <v>1</v>
      </c>
      <c r="J109">
        <f>VLOOKUP(A103,$A$2:$H$21,7,FALSE)</f>
        <v>1</v>
      </c>
    </row>
    <row r="110" spans="1:10" x14ac:dyDescent="0.15">
      <c r="A110">
        <f>VLOOKUP(E105,技能升级,13,FALSE)</f>
        <v>103</v>
      </c>
      <c r="B110" t="s">
        <v>375</v>
      </c>
      <c r="C110">
        <f>C103+C103-3.5-C113*2</f>
        <v>18.5</v>
      </c>
      <c r="G110">
        <f>INT((VLOOKUP(A110,召唤物属性,7,FALSE)-
IF($B103&gt;10000,VLOOKUP($B103,实战属性,15,FALSE),VLOOKUP($B103,总基本属性,9,FALSE))*$L$13)*I110*J110)</f>
        <v>296</v>
      </c>
      <c r="I110">
        <f>VLOOKUP($E105,技能升级,14,FALSE)</f>
        <v>1</v>
      </c>
      <c r="J110">
        <v>1</v>
      </c>
    </row>
    <row r="111" spans="1:10" x14ac:dyDescent="0.15">
      <c r="A111">
        <f>VLOOKUP(E106,技能升级,13,FALSE)</f>
        <v>203</v>
      </c>
      <c r="B111" t="s">
        <v>374</v>
      </c>
      <c r="C111">
        <f>C103+C103-3.5-C113*2</f>
        <v>18.5</v>
      </c>
      <c r="F111">
        <f>INT((VLOOKUP(A111,召唤物属性,6,FALSE)-
IF($B103&gt;10000,VLOOKUP($B103,实战属性,15,FALSE),VLOOKUP($B103,总基本属性,9,FALSE))*$L$13)*I111*J111)</f>
        <v>529</v>
      </c>
      <c r="I111">
        <f>VLOOKUP($E106,技能升级,14,FALSE)</f>
        <v>3</v>
      </c>
      <c r="J111">
        <f>VLOOKUP(A103,$A$2:$H$21,8,FALSE)</f>
        <v>1</v>
      </c>
    </row>
    <row r="112" spans="1:10" x14ac:dyDescent="0.15">
      <c r="A112">
        <v>204</v>
      </c>
      <c r="B112" t="s">
        <v>338</v>
      </c>
      <c r="C112">
        <v>3</v>
      </c>
    </row>
    <row r="113" spans="1:10" x14ac:dyDescent="0.15">
      <c r="B113" t="s">
        <v>342</v>
      </c>
      <c r="C113">
        <v>6</v>
      </c>
    </row>
    <row r="114" spans="1:10" x14ac:dyDescent="0.15">
      <c r="E114" t="s">
        <v>194</v>
      </c>
      <c r="F114">
        <f>SUM(F105:F109)/1000</f>
        <v>0</v>
      </c>
      <c r="G114">
        <f>SUM(G105:G109)/1000</f>
        <v>6.52</v>
      </c>
      <c r="H114">
        <f>SUM(H105:H108)</f>
        <v>320</v>
      </c>
      <c r="I114" t="s">
        <v>196</v>
      </c>
      <c r="J114" t="s">
        <v>197</v>
      </c>
    </row>
    <row r="115" spans="1:10" x14ac:dyDescent="0.15">
      <c r="E115" t="s">
        <v>195</v>
      </c>
      <c r="F115">
        <f>INT((IF($A103&gt;10000,VLOOKUP($A103,实战属性,13,FALSE),VLOOKUP($A103,总基本属性,7,FALSE))-
IF($B103&gt;10000,VLOOKUP($B103,实战属性,15,FALSE),VLOOKUP($B103,总基本属性,9,FALSE))*$L$13)*F114)</f>
        <v>0</v>
      </c>
      <c r="G115">
        <f>INT((IF($A103&gt;10000,VLOOKUP($A103,实战属性,14,FALSE),VLOOKUP($A103,总基本属性,8,FALSE))-
IF($B103&gt;10000,VLOOKUP($B103,实战属性,16,FALSE),VLOOKUP($B103,总基本属性,10,FALSE))*$L$13)*G114)</f>
        <v>3647</v>
      </c>
      <c r="H115">
        <f>H114+F115+G115</f>
        <v>3967</v>
      </c>
      <c r="I115">
        <f>IF($B103&gt;10000,VLOOKUP($B103,实战属性,12,FALSE),VLOOKUP($B103,总基本属性,6,FALSE))</f>
        <v>20298</v>
      </c>
      <c r="J115">
        <f>ROUND(I115/H116,2)</f>
        <v>1.06</v>
      </c>
    </row>
    <row r="116" spans="1:10" x14ac:dyDescent="0.15">
      <c r="E116" t="s">
        <v>376</v>
      </c>
      <c r="F116">
        <f>INT(F111*C111)</f>
        <v>9786</v>
      </c>
      <c r="G116">
        <f>INT(G110*C110)</f>
        <v>5476</v>
      </c>
      <c r="H116">
        <f>F116+G116+H115</f>
        <v>19229</v>
      </c>
    </row>
    <row r="120" spans="1:10" x14ac:dyDescent="0.15">
      <c r="A120" s="8" t="s">
        <v>4</v>
      </c>
      <c r="B120" s="8" t="s">
        <v>5</v>
      </c>
      <c r="C120" s="8" t="s">
        <v>178</v>
      </c>
      <c r="D120" s="8" t="s">
        <v>0</v>
      </c>
    </row>
    <row r="121" spans="1:10" x14ac:dyDescent="0.15">
      <c r="A121">
        <f>A90+10</f>
        <v>3040</v>
      </c>
      <c r="B121">
        <f>B90+10</f>
        <v>4040</v>
      </c>
      <c r="C121">
        <v>16</v>
      </c>
      <c r="D121">
        <f>MOD(A121,1000)</f>
        <v>40</v>
      </c>
    </row>
    <row r="122" spans="1:10" x14ac:dyDescent="0.15">
      <c r="A122" t="s">
        <v>156</v>
      </c>
      <c r="B122" t="s">
        <v>95</v>
      </c>
      <c r="C122" t="s">
        <v>142</v>
      </c>
      <c r="D122" t="s">
        <v>143</v>
      </c>
      <c r="E122" t="s">
        <v>182</v>
      </c>
      <c r="F122" t="s">
        <v>192</v>
      </c>
      <c r="G122" t="s">
        <v>193</v>
      </c>
      <c r="H122" t="s">
        <v>176</v>
      </c>
      <c r="I122" t="s">
        <v>205</v>
      </c>
      <c r="J122" t="s">
        <v>206</v>
      </c>
    </row>
    <row r="123" spans="1:10" x14ac:dyDescent="0.15">
      <c r="A123">
        <v>32</v>
      </c>
      <c r="B123" t="s">
        <v>26</v>
      </c>
      <c r="C123">
        <f>INT(C121/(VLOOKUP(A123,技能参数,5,FALSE)+2*VLOOKUP(A123,技能参数,4,FALSE))+3)</f>
        <v>3</v>
      </c>
      <c r="D123">
        <f>VLOOKUP(A123,技能参数,4,FALSE)</f>
        <v>1</v>
      </c>
      <c r="E123">
        <f>IFERROR(VLOOKUP(A123*1000+D121,学习等级编码,2),0)</f>
        <v>3204</v>
      </c>
      <c r="F123">
        <f>IFERROR(INT(VLOOKUP($E123,技能升级,9,FALSE)*$C123*I123*J123),0)</f>
        <v>0</v>
      </c>
      <c r="G123">
        <f>IFERROR(INT(VLOOKUP($E123,技能升级,10,FALSE)*$C123*I123*J123),0)</f>
        <v>4020</v>
      </c>
      <c r="H123">
        <f>INT(VLOOKUP($E123,技能升级,11,FALSE)*$C123*I123*J123)</f>
        <v>321</v>
      </c>
      <c r="I123">
        <v>1</v>
      </c>
      <c r="J123">
        <v>1</v>
      </c>
    </row>
    <row r="124" spans="1:10" x14ac:dyDescent="0.15">
      <c r="A124">
        <v>34</v>
      </c>
      <c r="B124" t="s">
        <v>34</v>
      </c>
      <c r="C124">
        <f>INT(C121/(VLOOKUP(A124,技能参数,5,FALSE)+2*VLOOKUP(A124,技能参数,4,FALSE))+1)</f>
        <v>1</v>
      </c>
      <c r="D124">
        <f>VLOOKUP(A124,技能参数,4,FALSE)</f>
        <v>1.5</v>
      </c>
      <c r="E124">
        <f>IFERROR(VLOOKUP(A124*1000+D121,学习等级编码,2),0)</f>
        <v>3404</v>
      </c>
      <c r="F124">
        <f>IFERROR(INT(VLOOKUP($E124,技能升级,9,FALSE)*$C124*I124*J124),0)</f>
        <v>1750</v>
      </c>
      <c r="G124">
        <f>IFERROR(INT(VLOOKUP($E124,技能升级,10,FALSE)*$C124*I124*J124),0)</f>
        <v>0</v>
      </c>
      <c r="H124">
        <f>INT(VLOOKUP($E124,技能升级,11,FALSE)*$C124*I124*J124)</f>
        <v>140</v>
      </c>
      <c r="I124">
        <v>1</v>
      </c>
      <c r="J124">
        <v>1</v>
      </c>
    </row>
    <row r="125" spans="1:10" x14ac:dyDescent="0.15">
      <c r="A125">
        <v>35</v>
      </c>
      <c r="B125" t="s">
        <v>28</v>
      </c>
      <c r="C125">
        <v>3</v>
      </c>
      <c r="D125">
        <f>VLOOKUP(A125,技能参数,4,FALSE)</f>
        <v>2</v>
      </c>
      <c r="E125">
        <f>IFERROR(VLOOKUP(A125*1000+D121,学习等级编码,2),0)</f>
        <v>3503</v>
      </c>
      <c r="F125">
        <f>IFERROR(INT(VLOOKUP($E125,技能升级,9,FALSE)*$C125*I125*J125),0)</f>
        <v>6990</v>
      </c>
      <c r="G125">
        <f>IFERROR(INT(VLOOKUP($E125,技能升级,10,FALSE)*$C125*I125*J125),0)</f>
        <v>0</v>
      </c>
      <c r="H125">
        <f>INT(VLOOKUP($E125,技能升级,11,FALSE)*$C125*I125*J125)</f>
        <v>483</v>
      </c>
      <c r="I125">
        <v>1</v>
      </c>
      <c r="J125">
        <v>1</v>
      </c>
    </row>
    <row r="126" spans="1:10" x14ac:dyDescent="0.15">
      <c r="A126">
        <v>31</v>
      </c>
      <c r="B126" t="s">
        <v>91</v>
      </c>
      <c r="C126">
        <f>INT((C121-C123*D123-C124*D124-C125*D125-C128-C129)/D126)</f>
        <v>6</v>
      </c>
      <c r="D126">
        <f>VLOOKUP(A126,技能参数,4,FALSE)</f>
        <v>0.8</v>
      </c>
      <c r="E126">
        <f>IFERROR(VLOOKUP(A126*1000+D121,学习等级编码,2),0)</f>
        <v>3106</v>
      </c>
      <c r="F126">
        <f>IFERROR(INT(VLOOKUP($E126,技能升级,9,FALSE)*$C126*I126*J126),0)</f>
        <v>6660</v>
      </c>
      <c r="G126">
        <f>IFERROR(INT(VLOOKUP($E126,技能升级,10,FALSE)*$C126*I126*J126),0)</f>
        <v>0</v>
      </c>
      <c r="H126">
        <f>INT(VLOOKUP($E126,技能升级,11,FALSE)*$C126*I126*J126)</f>
        <v>750</v>
      </c>
      <c r="I126">
        <v>1</v>
      </c>
      <c r="J126">
        <v>1</v>
      </c>
    </row>
    <row r="127" spans="1:10" x14ac:dyDescent="0.15">
      <c r="A127">
        <v>203</v>
      </c>
      <c r="B127" t="s">
        <v>340</v>
      </c>
      <c r="C127">
        <f>INT((C121)/3)</f>
        <v>5</v>
      </c>
      <c r="D127">
        <v>0</v>
      </c>
      <c r="E127">
        <f>IFERROR(VLOOKUP(A127*1000+D121,学习等级编码,2),0)</f>
        <v>20304</v>
      </c>
      <c r="F127">
        <f>IFERROR(INT(VLOOKUP($E127,技能升级,9,FALSE)*$C127*I127*J127),0)</f>
        <v>0</v>
      </c>
      <c r="G127">
        <f>IFERROR(INT(VLOOKUP($E127,技能升级,10,FALSE)*$C127*I127*J127),0)</f>
        <v>0</v>
      </c>
      <c r="H127">
        <f>INT((VLOOKUP(E127,技能升级,13,FALSE)*(VLOOKUP(C127,中毒数据,4)+MOD(C121,3)*VLOOKUP(C127+1,中毒数据,3))+VLOOKUP(E127,技能升级,14,FALSE)/1000*C127*IF($B121&gt;10000,VLOOKUP($B121,实战属性,12,FALSE),VLOOKUP($B121,总基本属性,6,FALSE)))*I127*J127)</f>
        <v>9140</v>
      </c>
      <c r="I127">
        <v>1</v>
      </c>
      <c r="J127">
        <v>1</v>
      </c>
    </row>
    <row r="128" spans="1:10" x14ac:dyDescent="0.15">
      <c r="E128" t="s">
        <v>194</v>
      </c>
      <c r="F128">
        <f>SUM(F123:F127)/1000</f>
        <v>15.4</v>
      </c>
      <c r="G128">
        <f>SUM(G123:G127)/1000</f>
        <v>4.0199999999999996</v>
      </c>
      <c r="H128">
        <f>SUM(H123:H127)</f>
        <v>10834</v>
      </c>
      <c r="I128" t="s">
        <v>196</v>
      </c>
      <c r="J128" t="s">
        <v>197</v>
      </c>
    </row>
    <row r="129" spans="1:10" x14ac:dyDescent="0.15">
      <c r="E129" t="s">
        <v>195</v>
      </c>
      <c r="F129">
        <f>INT((IF($A121&gt;10000,VLOOKUP($A121,实战属性,13,FALSE),VLOOKUP($A121,总基本属性,7,FALSE))-
IF($B121&gt;10000,VLOOKUP($B121,实战属性,15,FALSE),VLOOKUP($B121,总基本属性,9,FALSE))*$L$13)*F128)</f>
        <v>12520</v>
      </c>
      <c r="G129">
        <f>INT((IF($A121&gt;10000,VLOOKUP($A121,实战属性,14,FALSE),VLOOKUP($A121,总基本属性,8,FALSE))-
IF($B121&gt;10000,VLOOKUP($B121,实战属性,16,FALSE),VLOOKUP($B121,总基本属性,10,FALSE))*$L$13)*G128)</f>
        <v>3268</v>
      </c>
      <c r="H129">
        <f>H128+F129+G129</f>
        <v>26622</v>
      </c>
      <c r="I129">
        <f>IF($B121&gt;10000,VLOOKUP($B121,实战属性,12,FALSE),VLOOKUP($B121,总基本属性,6,FALSE))</f>
        <v>27360</v>
      </c>
      <c r="J129">
        <f>ROUND(I129/H129,2)</f>
        <v>1.03</v>
      </c>
    </row>
    <row r="133" spans="1:10" x14ac:dyDescent="0.15">
      <c r="A133" s="9" t="s">
        <v>5</v>
      </c>
      <c r="B133" s="9" t="s">
        <v>4</v>
      </c>
      <c r="C133" s="9" t="s">
        <v>178</v>
      </c>
      <c r="D133" s="9" t="s">
        <v>0</v>
      </c>
      <c r="G133" t="s">
        <v>445</v>
      </c>
      <c r="H133">
        <f>INT(I146/J146/C134)</f>
        <v>1988</v>
      </c>
      <c r="I133" t="s">
        <v>446</v>
      </c>
      <c r="J133">
        <f>ROUND(I139/H133,1)</f>
        <v>1.9</v>
      </c>
    </row>
    <row r="134" spans="1:10" x14ac:dyDescent="0.15">
      <c r="A134">
        <f t="shared" ref="A134:B134" si="20">A103+10</f>
        <v>4040</v>
      </c>
      <c r="B134">
        <f t="shared" si="20"/>
        <v>3040</v>
      </c>
      <c r="C134">
        <v>17</v>
      </c>
      <c r="D134">
        <f>MOD(A134,1000)</f>
        <v>40</v>
      </c>
      <c r="I134" t="s">
        <v>383</v>
      </c>
      <c r="J134">
        <f>VLOOKUP(D134,召唤物生存,12)</f>
        <v>13.71</v>
      </c>
    </row>
    <row r="135" spans="1:10" x14ac:dyDescent="0.15">
      <c r="A135" t="s">
        <v>156</v>
      </c>
      <c r="B135" t="s">
        <v>95</v>
      </c>
      <c r="C135" t="s">
        <v>177</v>
      </c>
      <c r="D135" t="s">
        <v>143</v>
      </c>
      <c r="E135" t="s">
        <v>182</v>
      </c>
      <c r="F135" t="s">
        <v>192</v>
      </c>
      <c r="G135" t="s">
        <v>193</v>
      </c>
      <c r="H135" t="s">
        <v>176</v>
      </c>
      <c r="I135" t="s">
        <v>205</v>
      </c>
      <c r="J135" t="s">
        <v>206</v>
      </c>
    </row>
    <row r="136" spans="1:10" x14ac:dyDescent="0.15">
      <c r="A136">
        <v>42</v>
      </c>
      <c r="B136" t="s">
        <v>35</v>
      </c>
      <c r="C136">
        <v>1</v>
      </c>
      <c r="D136">
        <f>VLOOKUP(A136,技能参数,4,FALSE)</f>
        <v>1</v>
      </c>
      <c r="E136">
        <f>IFERROR(VLOOKUP(A136*1000+D134,学习等级编码,2),0)</f>
        <v>4204</v>
      </c>
      <c r="F136">
        <f>IFERROR(INT(VLOOKUP($E136,技能升级,9,FALSE)*$C136*I136*J136),0)</f>
        <v>0</v>
      </c>
      <c r="G136">
        <f>IFERROR(INT(VLOOKUP($E136,技能升级,10,FALSE)*$C136*I136*J136),0)</f>
        <v>0</v>
      </c>
      <c r="H136">
        <f>INT(VLOOKUP($E136,技能升级,11,FALSE)*$C136*I136*J136)</f>
        <v>0</v>
      </c>
      <c r="I136">
        <v>1</v>
      </c>
      <c r="J136">
        <v>1</v>
      </c>
    </row>
    <row r="137" spans="1:10" x14ac:dyDescent="0.15">
      <c r="A137">
        <v>43</v>
      </c>
      <c r="B137" t="s">
        <v>36</v>
      </c>
      <c r="C137">
        <v>1</v>
      </c>
      <c r="D137">
        <f>VLOOKUP(A137,技能参数,4,FALSE)</f>
        <v>1</v>
      </c>
      <c r="E137">
        <f>IFERROR(VLOOKUP(A137*1000+D134,学习等级编码,2),0)</f>
        <v>4304</v>
      </c>
      <c r="F137">
        <f t="shared" ref="F137" si="21">IFERROR(INT(VLOOKUP($E137,技能升级,9,FALSE)*$C137*I137*J137),0)</f>
        <v>0</v>
      </c>
      <c r="G137">
        <f t="shared" ref="G137" si="22">IFERROR(INT(VLOOKUP($E137,技能升级,10,FALSE)*$C137*I137*J137),0)</f>
        <v>0</v>
      </c>
      <c r="H137">
        <f>INT(VLOOKUP($E137,技能升级,11,FALSE)*$C137*I137*J137)</f>
        <v>0</v>
      </c>
      <c r="I137">
        <v>1</v>
      </c>
      <c r="J137">
        <v>1</v>
      </c>
    </row>
    <row r="138" spans="1:10" x14ac:dyDescent="0.15">
      <c r="A138">
        <v>44</v>
      </c>
      <c r="B138" t="s">
        <v>38</v>
      </c>
      <c r="C138">
        <v>1</v>
      </c>
      <c r="D138">
        <f>IFERROR(INT(VLOOKUP($E138,技能升级,13,FALSE)),0)</f>
        <v>4</v>
      </c>
      <c r="E138">
        <f>IFERROR(VLOOKUP(A138*1000+D134,学习等级编码,2),0)</f>
        <v>4404</v>
      </c>
      <c r="F138">
        <f>IFERROR(INT(VLOOKUP($E138,技能升级,9,FALSE)*$C138*I138*J138),0)</f>
        <v>0</v>
      </c>
      <c r="G138">
        <f>IFERROR(INT(VLOOKUP($E138,技能升级,10,FALSE)*$D138*I138*J138),0)</f>
        <v>6800</v>
      </c>
      <c r="H138">
        <f>INT(VLOOKUP($E138,技能升级,11,FALSE)*$D138*I138*J138)</f>
        <v>520</v>
      </c>
      <c r="I138">
        <v>1</v>
      </c>
      <c r="J138">
        <f>VLOOKUP(A134,$A$2:$H$21,7,FALSE)</f>
        <v>1</v>
      </c>
    </row>
    <row r="139" spans="1:10" x14ac:dyDescent="0.15">
      <c r="A139">
        <v>45</v>
      </c>
      <c r="B139" t="s">
        <v>37</v>
      </c>
      <c r="C139">
        <v>1</v>
      </c>
      <c r="D139">
        <f>VLOOKUP(A139,技能参数,4,FALSE)</f>
        <v>2</v>
      </c>
      <c r="E139">
        <f>IFERROR(VLOOKUP(A139*1000+D134,学习等级编码,2),0)</f>
        <v>4503</v>
      </c>
      <c r="F139">
        <f>IFERROR(INT(VLOOKUP($E139,技能升级,9,FALSE)*$C139*I139*J139),0)</f>
        <v>0</v>
      </c>
      <c r="G139">
        <f t="shared" ref="G139:G140" si="23">IFERROR(INT(VLOOKUP($E139,技能升级,10,FALSE)*$C139*I139*J139),0)</f>
        <v>0</v>
      </c>
      <c r="H139">
        <f>INT(VLOOKUP($E139,技能升级,11,FALSE)*$C139*I139*J139)</f>
        <v>0</v>
      </c>
      <c r="I139">
        <f>INT(VLOOKUP($E139,技能升级,13,FALSE)*$C139)</f>
        <v>3822</v>
      </c>
      <c r="J139">
        <v>1</v>
      </c>
    </row>
    <row r="140" spans="1:10" x14ac:dyDescent="0.15">
      <c r="A140">
        <v>41</v>
      </c>
      <c r="B140" t="s">
        <v>361</v>
      </c>
      <c r="C140">
        <f>IF(INT((C134-C136*D136-C137*D137-C138*D138-C139*D139-C143-C144)/D140)&gt;0,INT((C134-C136*D136-C137*D137-C138*D138-C139*D139-C143-C144)/D140),0)</f>
        <v>0</v>
      </c>
      <c r="D140">
        <f>VLOOKUP(A140,技能参数,4,FALSE)</f>
        <v>1.2</v>
      </c>
      <c r="E140">
        <f>IFERROR(VLOOKUP(A140*1000+D134,学习等级编码,2),0)</f>
        <v>4106</v>
      </c>
      <c r="F140">
        <f>IFERROR(INT(VLOOKUP($E140,技能升级,9,FALSE)*$C140*I140*J140),0)</f>
        <v>0</v>
      </c>
      <c r="G140">
        <f t="shared" si="23"/>
        <v>0</v>
      </c>
      <c r="H140">
        <f>INT(VLOOKUP($E140,技能升级,11,FALSE)*$C140*I140*J140)</f>
        <v>0</v>
      </c>
      <c r="I140">
        <v>1</v>
      </c>
      <c r="J140">
        <f>VLOOKUP(A134,$A$2:$H$21,7,FALSE)</f>
        <v>1</v>
      </c>
    </row>
    <row r="141" spans="1:10" x14ac:dyDescent="0.15">
      <c r="A141">
        <f>VLOOKUP(E136,技能升级,13,FALSE)</f>
        <v>104</v>
      </c>
      <c r="B141" t="s">
        <v>375</v>
      </c>
      <c r="C141">
        <f>C134+C134-3.5-C144*2</f>
        <v>18.5</v>
      </c>
      <c r="G141">
        <f>INT((VLOOKUP(A141,召唤物属性,7,FALSE)-
IF($B134&gt;10000,VLOOKUP($B134,实战属性,15,FALSE),VLOOKUP($B134,总基本属性,9,FALSE))*$L$13)*I141*J141)</f>
        <v>478</v>
      </c>
      <c r="I141">
        <f>VLOOKUP($E136,技能升级,14,FALSE)</f>
        <v>1</v>
      </c>
      <c r="J141">
        <v>1</v>
      </c>
    </row>
    <row r="142" spans="1:10" x14ac:dyDescent="0.15">
      <c r="A142">
        <f>VLOOKUP(E137,技能升级,13,FALSE)</f>
        <v>204</v>
      </c>
      <c r="B142" t="s">
        <v>374</v>
      </c>
      <c r="C142">
        <f>C134+C134-3.5-C144*2</f>
        <v>18.5</v>
      </c>
      <c r="F142">
        <f>INT((VLOOKUP(A142,召唤物属性,6,FALSE)-
IF($B134&gt;10000,VLOOKUP($B134,实战属性,15,FALSE),VLOOKUP($B134,总基本属性,9,FALSE))*$L$13)*I142*J142)</f>
        <v>984</v>
      </c>
      <c r="I142">
        <f>VLOOKUP($E137,技能升级,14,FALSE)</f>
        <v>3</v>
      </c>
      <c r="J142">
        <f>VLOOKUP(A134,$A$2:$H$21,8,FALSE)</f>
        <v>1</v>
      </c>
    </row>
    <row r="143" spans="1:10" x14ac:dyDescent="0.15">
      <c r="A143">
        <v>204</v>
      </c>
      <c r="B143" t="s">
        <v>338</v>
      </c>
      <c r="C143">
        <v>3</v>
      </c>
    </row>
    <row r="144" spans="1:10" x14ac:dyDescent="0.15">
      <c r="B144" t="s">
        <v>342</v>
      </c>
      <c r="C144">
        <v>6</v>
      </c>
    </row>
    <row r="145" spans="1:10" x14ac:dyDescent="0.15">
      <c r="E145" t="s">
        <v>194</v>
      </c>
      <c r="F145">
        <f>SUM(F136:F140)/1000</f>
        <v>0</v>
      </c>
      <c r="G145">
        <f>SUM(G136:G140)/1000</f>
        <v>6.8</v>
      </c>
      <c r="H145">
        <f>SUM(H136:H139)</f>
        <v>520</v>
      </c>
      <c r="I145" t="s">
        <v>196</v>
      </c>
      <c r="J145" t="s">
        <v>197</v>
      </c>
    </row>
    <row r="146" spans="1:10" x14ac:dyDescent="0.15">
      <c r="E146" t="s">
        <v>195</v>
      </c>
      <c r="F146">
        <f>INT((IF($A134&gt;10000,VLOOKUP($A134,实战属性,13,FALSE),VLOOKUP($A134,总基本属性,7,FALSE))-
IF($B134&gt;10000,VLOOKUP($B134,实战属性,15,FALSE),VLOOKUP($B134,总基本属性,9,FALSE))*$L$13)*F145)</f>
        <v>0</v>
      </c>
      <c r="G146">
        <f>INT((IF($A134&gt;10000,VLOOKUP($A134,实战属性,14,FALSE),VLOOKUP($A134,总基本属性,8,FALSE))-
IF($B134&gt;10000,VLOOKUP($B134,实战属性,16,FALSE),VLOOKUP($B134,总基本属性,10,FALSE))*$L$13)*G145)</f>
        <v>6324</v>
      </c>
      <c r="H146">
        <f>H145+F146+G146</f>
        <v>6844</v>
      </c>
      <c r="I146">
        <f>IF($B134&gt;10000,VLOOKUP($B134,实战属性,12,FALSE),VLOOKUP($B134,总基本属性,6,FALSE))</f>
        <v>34473</v>
      </c>
      <c r="J146">
        <f>ROUND(I146/H147,2)</f>
        <v>1.02</v>
      </c>
    </row>
    <row r="147" spans="1:10" x14ac:dyDescent="0.15">
      <c r="E147" t="s">
        <v>376</v>
      </c>
      <c r="F147">
        <f>INT(F142*C142)</f>
        <v>18204</v>
      </c>
      <c r="G147">
        <f>INT(G141*C141)</f>
        <v>8843</v>
      </c>
      <c r="H147">
        <f>F147+G147+H146</f>
        <v>33891</v>
      </c>
    </row>
    <row r="151" spans="1:10" x14ac:dyDescent="0.15">
      <c r="A151" s="8" t="s">
        <v>4</v>
      </c>
      <c r="B151" s="8" t="s">
        <v>5</v>
      </c>
      <c r="C151" s="8" t="s">
        <v>178</v>
      </c>
      <c r="D151" s="8" t="s">
        <v>0</v>
      </c>
    </row>
    <row r="152" spans="1:10" x14ac:dyDescent="0.15">
      <c r="A152">
        <f>A121+10</f>
        <v>3050</v>
      </c>
      <c r="B152">
        <f>B121+10</f>
        <v>4050</v>
      </c>
      <c r="C152">
        <v>16</v>
      </c>
      <c r="D152">
        <f>MOD(A152,1000)</f>
        <v>50</v>
      </c>
    </row>
    <row r="153" spans="1:10" x14ac:dyDescent="0.15">
      <c r="A153" t="s">
        <v>156</v>
      </c>
      <c r="B153" t="s">
        <v>95</v>
      </c>
      <c r="C153" t="s">
        <v>142</v>
      </c>
      <c r="D153" t="s">
        <v>143</v>
      </c>
      <c r="E153" t="s">
        <v>182</v>
      </c>
      <c r="F153" t="s">
        <v>192</v>
      </c>
      <c r="G153" t="s">
        <v>193</v>
      </c>
      <c r="H153" t="s">
        <v>176</v>
      </c>
      <c r="I153" t="s">
        <v>205</v>
      </c>
      <c r="J153" t="s">
        <v>206</v>
      </c>
    </row>
    <row r="154" spans="1:10" x14ac:dyDescent="0.15">
      <c r="A154">
        <v>32</v>
      </c>
      <c r="B154" t="s">
        <v>26</v>
      </c>
      <c r="C154">
        <f>INT(C152/(VLOOKUP(A154,技能参数,5,FALSE)+2*VLOOKUP(A154,技能参数,4,FALSE))+3)</f>
        <v>3</v>
      </c>
      <c r="D154">
        <f>VLOOKUP(A154,技能参数,4,FALSE)</f>
        <v>1</v>
      </c>
      <c r="E154">
        <f>IFERROR(VLOOKUP(A154*1000+D152,学习等级编码,2),0)</f>
        <v>3205</v>
      </c>
      <c r="F154">
        <f>IFERROR(INT(VLOOKUP($E154,技能升级,9,FALSE)*$C154*I154*J154),0)</f>
        <v>0</v>
      </c>
      <c r="G154">
        <f>IFERROR(INT(VLOOKUP($E154,技能升级,10,FALSE)*$C154*I154*J154),0)</f>
        <v>4170</v>
      </c>
      <c r="H154">
        <f>INT(VLOOKUP($E154,技能升级,11,FALSE)*$C154*I154*J154)</f>
        <v>498</v>
      </c>
      <c r="I154">
        <v>1</v>
      </c>
      <c r="J154">
        <v>1</v>
      </c>
    </row>
    <row r="155" spans="1:10" x14ac:dyDescent="0.15">
      <c r="A155">
        <v>34</v>
      </c>
      <c r="B155" t="s">
        <v>34</v>
      </c>
      <c r="C155">
        <f>INT(C152/(VLOOKUP(A155,技能参数,5,FALSE)+2*VLOOKUP(A155,技能参数,4,FALSE))+1)</f>
        <v>1</v>
      </c>
      <c r="D155">
        <f>VLOOKUP(A155,技能参数,4,FALSE)</f>
        <v>1.5</v>
      </c>
      <c r="E155">
        <f>IFERROR(VLOOKUP(A155*1000+D152,学习等级编码,2),0)</f>
        <v>3405</v>
      </c>
      <c r="F155">
        <f>IFERROR(INT(VLOOKUP($E155,技能升级,9,FALSE)*$C155*I155*J155),0)</f>
        <v>1830</v>
      </c>
      <c r="G155">
        <f>IFERROR(INT(VLOOKUP($E155,技能升级,10,FALSE)*$C155*I155*J155),0)</f>
        <v>0</v>
      </c>
      <c r="H155">
        <f>INT(VLOOKUP($E155,技能升级,11,FALSE)*$C155*I155*J155)</f>
        <v>205</v>
      </c>
      <c r="I155">
        <v>1</v>
      </c>
      <c r="J155">
        <v>1</v>
      </c>
    </row>
    <row r="156" spans="1:10" x14ac:dyDescent="0.15">
      <c r="A156">
        <v>35</v>
      </c>
      <c r="B156" t="s">
        <v>28</v>
      </c>
      <c r="C156">
        <v>3</v>
      </c>
      <c r="D156">
        <f>VLOOKUP(A156,技能参数,4,FALSE)</f>
        <v>2</v>
      </c>
      <c r="E156">
        <f>IFERROR(VLOOKUP(A156*1000+D152,学习等级编码,2),0)</f>
        <v>3503</v>
      </c>
      <c r="F156">
        <f>IFERROR(INT(VLOOKUP($E156,技能升级,9,FALSE)*$C156*I156*J156),0)</f>
        <v>6990</v>
      </c>
      <c r="G156">
        <f>IFERROR(INT(VLOOKUP($E156,技能升级,10,FALSE)*$C156*I156*J156),0)</f>
        <v>0</v>
      </c>
      <c r="H156">
        <f>INT(VLOOKUP($E156,技能升级,11,FALSE)*$C156*I156*J156)</f>
        <v>483</v>
      </c>
      <c r="I156">
        <v>1</v>
      </c>
      <c r="J156">
        <v>1</v>
      </c>
    </row>
    <row r="157" spans="1:10" x14ac:dyDescent="0.15">
      <c r="A157">
        <v>31</v>
      </c>
      <c r="B157" t="s">
        <v>91</v>
      </c>
      <c r="C157">
        <f>INT((C152-C154*D154-C155*D155-C156*D156-C159-C160)/D157)</f>
        <v>6</v>
      </c>
      <c r="D157">
        <f>VLOOKUP(A157,技能参数,4,FALSE)</f>
        <v>0.8</v>
      </c>
      <c r="E157">
        <f>IFERROR(VLOOKUP(A157*1000+D152,学习等级编码,2),0)</f>
        <v>3108</v>
      </c>
      <c r="F157">
        <f>IFERROR(INT(VLOOKUP($E157,技能升级,9,FALSE)*$C157*I157*J157),0)</f>
        <v>6900</v>
      </c>
      <c r="G157">
        <f>IFERROR(INT(VLOOKUP($E157,技能升级,10,FALSE)*$C157*I157*J157),0)</f>
        <v>0</v>
      </c>
      <c r="H157">
        <f>INT(VLOOKUP($E157,技能升级,11,FALSE)*$C157*I157*J157)</f>
        <v>1314</v>
      </c>
      <c r="I157">
        <v>1</v>
      </c>
      <c r="J157">
        <v>1</v>
      </c>
    </row>
    <row r="158" spans="1:10" x14ac:dyDescent="0.15">
      <c r="A158">
        <v>203</v>
      </c>
      <c r="B158" t="s">
        <v>340</v>
      </c>
      <c r="C158">
        <f>INT((C152)/3)</f>
        <v>5</v>
      </c>
      <c r="D158">
        <v>0</v>
      </c>
      <c r="E158">
        <f>IFERROR(VLOOKUP(A158*1000+D152,学习等级编码,2),0)</f>
        <v>20305</v>
      </c>
      <c r="F158">
        <f>IFERROR(INT(VLOOKUP($E158,技能升级,9,FALSE)*$C158*I158*J158),0)</f>
        <v>0</v>
      </c>
      <c r="G158">
        <f>IFERROR(INT(VLOOKUP($E158,技能升级,10,FALSE)*$C158*I158*J158),0)</f>
        <v>0</v>
      </c>
      <c r="H158">
        <f>INT((VLOOKUP(E158,技能升级,13,FALSE)*(VLOOKUP(C158,中毒数据,4)+MOD(C152,3)*VLOOKUP(C158+1,中毒数据,3))+VLOOKUP(E158,技能升级,14,FALSE)/1000*C158*IF($B152&gt;10000,VLOOKUP($B152,实战属性,12,FALSE),VLOOKUP($B152,总基本属性,6,FALSE)))*I158*J158)</f>
        <v>13134</v>
      </c>
      <c r="I158">
        <v>1</v>
      </c>
      <c r="J158">
        <v>1</v>
      </c>
    </row>
    <row r="159" spans="1:10" x14ac:dyDescent="0.15">
      <c r="E159" t="s">
        <v>194</v>
      </c>
      <c r="F159">
        <f>SUM(F154:F158)/1000</f>
        <v>15.72</v>
      </c>
      <c r="G159">
        <f>SUM(G154:G158)/1000</f>
        <v>4.17</v>
      </c>
      <c r="H159">
        <f>SUM(H154:H158)</f>
        <v>15634</v>
      </c>
      <c r="I159" t="s">
        <v>196</v>
      </c>
      <c r="J159" t="s">
        <v>197</v>
      </c>
    </row>
    <row r="160" spans="1:10" x14ac:dyDescent="0.15">
      <c r="E160" t="s">
        <v>195</v>
      </c>
      <c r="F160">
        <f>INT((IF($A152&gt;10000,VLOOKUP($A152,实战属性,13,FALSE),VLOOKUP($A152,总基本属性,7,FALSE))-
IF($B152&gt;10000,VLOOKUP($B152,实战属性,15,FALSE),VLOOKUP($B152,总基本属性,9,FALSE))*$L$13)*F159)</f>
        <v>19194</v>
      </c>
      <c r="G160">
        <f>INT((IF($A152&gt;10000,VLOOKUP($A152,实战属性,14,FALSE),VLOOKUP($A152,总基本属性,8,FALSE))-
IF($B152&gt;10000,VLOOKUP($B152,实战属性,16,FALSE),VLOOKUP($B152,总基本属性,10,FALSE))*$L$13)*G159)</f>
        <v>5091</v>
      </c>
      <c r="H160">
        <f>H159+F160+G160</f>
        <v>39919</v>
      </c>
      <c r="I160">
        <f>IF($B152&gt;10000,VLOOKUP($B152,实战属性,12,FALSE),VLOOKUP($B152,总基本属性,6,FALSE))</f>
        <v>41580</v>
      </c>
      <c r="J160">
        <f>ROUND(I160/H160,2)</f>
        <v>1.04</v>
      </c>
    </row>
    <row r="164" spans="1:10" x14ac:dyDescent="0.15">
      <c r="A164" s="9" t="s">
        <v>5</v>
      </c>
      <c r="B164" s="9" t="s">
        <v>4</v>
      </c>
      <c r="C164" s="9" t="s">
        <v>178</v>
      </c>
      <c r="D164" s="9" t="s">
        <v>0</v>
      </c>
      <c r="G164" t="s">
        <v>445</v>
      </c>
      <c r="H164">
        <f>INT(I177/J177/C165)</f>
        <v>2905</v>
      </c>
      <c r="I164" t="s">
        <v>446</v>
      </c>
      <c r="J164">
        <f>ROUND(I170/H164,1)</f>
        <v>1.3</v>
      </c>
    </row>
    <row r="165" spans="1:10" x14ac:dyDescent="0.15">
      <c r="A165">
        <f t="shared" ref="A165:B165" si="24">A134+10</f>
        <v>4050</v>
      </c>
      <c r="B165">
        <f t="shared" si="24"/>
        <v>3050</v>
      </c>
      <c r="C165">
        <v>17</v>
      </c>
      <c r="D165">
        <f>MOD(A165,1000)</f>
        <v>50</v>
      </c>
      <c r="I165" t="s">
        <v>383</v>
      </c>
      <c r="J165">
        <f>VLOOKUP(D165,召唤物生存,12)</f>
        <v>12.58</v>
      </c>
    </row>
    <row r="166" spans="1:10" x14ac:dyDescent="0.15">
      <c r="A166" t="s">
        <v>156</v>
      </c>
      <c r="B166" t="s">
        <v>95</v>
      </c>
      <c r="C166" t="s">
        <v>177</v>
      </c>
      <c r="D166" t="s">
        <v>143</v>
      </c>
      <c r="E166" t="s">
        <v>182</v>
      </c>
      <c r="F166" t="s">
        <v>192</v>
      </c>
      <c r="G166" t="s">
        <v>193</v>
      </c>
      <c r="H166" t="s">
        <v>176</v>
      </c>
      <c r="I166" t="s">
        <v>205</v>
      </c>
      <c r="J166" t="s">
        <v>206</v>
      </c>
    </row>
    <row r="167" spans="1:10" x14ac:dyDescent="0.15">
      <c r="A167">
        <v>42</v>
      </c>
      <c r="B167" t="s">
        <v>35</v>
      </c>
      <c r="C167">
        <v>1</v>
      </c>
      <c r="D167">
        <f>VLOOKUP(A167,技能参数,4,FALSE)</f>
        <v>1</v>
      </c>
      <c r="E167">
        <f>IFERROR(VLOOKUP(A167*1000+D165,学习等级编码,2),0)</f>
        <v>4205</v>
      </c>
      <c r="F167">
        <f>IFERROR(INT(VLOOKUP($E167,技能升级,9,FALSE)*$C167*I167*J167),0)</f>
        <v>0</v>
      </c>
      <c r="G167">
        <f>IFERROR(INT(VLOOKUP($E167,技能升级,10,FALSE)*$C167*I167*J167),0)</f>
        <v>0</v>
      </c>
      <c r="H167">
        <f>INT(VLOOKUP($E167,技能升级,11,FALSE)*$C167*I167*J167)</f>
        <v>0</v>
      </c>
      <c r="I167">
        <v>1</v>
      </c>
      <c r="J167">
        <v>1</v>
      </c>
    </row>
    <row r="168" spans="1:10" x14ac:dyDescent="0.15">
      <c r="A168">
        <v>43</v>
      </c>
      <c r="B168" t="s">
        <v>36</v>
      </c>
      <c r="C168">
        <v>1</v>
      </c>
      <c r="D168">
        <f>VLOOKUP(A168,技能参数,4,FALSE)</f>
        <v>1</v>
      </c>
      <c r="E168">
        <f>IFERROR(VLOOKUP(A168*1000+D165,学习等级编码,2),0)</f>
        <v>4305</v>
      </c>
      <c r="F168">
        <f t="shared" ref="F168" si="25">IFERROR(INT(VLOOKUP($E168,技能升级,9,FALSE)*$C168*I168*J168),0)</f>
        <v>0</v>
      </c>
      <c r="G168">
        <f t="shared" ref="G168" si="26">IFERROR(INT(VLOOKUP($E168,技能升级,10,FALSE)*$C168*I168*J168),0)</f>
        <v>0</v>
      </c>
      <c r="H168">
        <f>INT(VLOOKUP($E168,技能升级,11,FALSE)*$C168*I168*J168)</f>
        <v>0</v>
      </c>
      <c r="I168">
        <v>1</v>
      </c>
      <c r="J168">
        <v>1</v>
      </c>
    </row>
    <row r="169" spans="1:10" x14ac:dyDescent="0.15">
      <c r="A169">
        <v>44</v>
      </c>
      <c r="B169" t="s">
        <v>38</v>
      </c>
      <c r="C169">
        <v>1</v>
      </c>
      <c r="D169">
        <f>IFERROR(INT(VLOOKUP($E169,技能升级,13,FALSE)),0)</f>
        <v>5</v>
      </c>
      <c r="E169">
        <f>IFERROR(VLOOKUP(A169*1000+D165,学习等级编码,2),0)</f>
        <v>4405</v>
      </c>
      <c r="F169">
        <f>IFERROR(INT(VLOOKUP($E169,技能升级,9,FALSE)*$C169*I169*J169),0)</f>
        <v>0</v>
      </c>
      <c r="G169">
        <f>IFERROR(INT(VLOOKUP($E169,技能升级,10,FALSE)*$D169*I169*J169),0)</f>
        <v>7788</v>
      </c>
      <c r="H169">
        <f>INT(VLOOKUP($E169,技能升级,11,FALSE)*$D169*I169*J169)</f>
        <v>858</v>
      </c>
      <c r="I169">
        <v>1</v>
      </c>
      <c r="J169">
        <f>VLOOKUP(A165,$A$2:$H$21,7,FALSE)</f>
        <v>0.88</v>
      </c>
    </row>
    <row r="170" spans="1:10" x14ac:dyDescent="0.15">
      <c r="A170">
        <v>45</v>
      </c>
      <c r="B170" t="s">
        <v>37</v>
      </c>
      <c r="C170">
        <v>1</v>
      </c>
      <c r="D170">
        <f>VLOOKUP(A170,技能参数,4,FALSE)</f>
        <v>2</v>
      </c>
      <c r="E170">
        <f>IFERROR(VLOOKUP(A170*1000+D165,学习等级编码,2),0)</f>
        <v>4503</v>
      </c>
      <c r="F170">
        <f>IFERROR(INT(VLOOKUP($E170,技能升级,9,FALSE)*$C170*I170*J170),0)</f>
        <v>0</v>
      </c>
      <c r="G170">
        <f t="shared" ref="G170:G171" si="27">IFERROR(INT(VLOOKUP($E170,技能升级,10,FALSE)*$C170*I170*J170),0)</f>
        <v>0</v>
      </c>
      <c r="H170">
        <f>INT(VLOOKUP($E170,技能升级,11,FALSE)*$C170*I170*J170)</f>
        <v>0</v>
      </c>
      <c r="I170">
        <f>INT(VLOOKUP($E170,技能升级,13,FALSE)*$C170)</f>
        <v>3822</v>
      </c>
      <c r="J170">
        <v>1</v>
      </c>
    </row>
    <row r="171" spans="1:10" x14ac:dyDescent="0.15">
      <c r="A171">
        <v>41</v>
      </c>
      <c r="B171" t="s">
        <v>361</v>
      </c>
      <c r="C171">
        <f>IF(INT((C165-C167*D167-C168*D168-C169*D169-C170*D170-C174-C175)/D171)&gt;0,INT((C165-C167*D167-C168*D168-C169*D169-C170*D170-C174-C175)/D171),0)</f>
        <v>0</v>
      </c>
      <c r="D171">
        <f>VLOOKUP(A171,技能参数,4,FALSE)</f>
        <v>1.2</v>
      </c>
      <c r="E171">
        <f>IFERROR(VLOOKUP(A171*1000+D165,学习等级编码,2),0)</f>
        <v>4108</v>
      </c>
      <c r="F171">
        <f>IFERROR(INT(VLOOKUP($E171,技能升级,9,FALSE)*$C171*I171*J171),0)</f>
        <v>0</v>
      </c>
      <c r="G171">
        <f t="shared" si="27"/>
        <v>0</v>
      </c>
      <c r="H171">
        <f>INT(VLOOKUP($E171,技能升级,11,FALSE)*$C171*I171*J171)</f>
        <v>0</v>
      </c>
      <c r="I171">
        <v>1</v>
      </c>
      <c r="J171">
        <f>VLOOKUP(A165,$A$2:$H$21,7,FALSE)</f>
        <v>0.88</v>
      </c>
    </row>
    <row r="172" spans="1:10" x14ac:dyDescent="0.15">
      <c r="A172">
        <f>VLOOKUP(E167,技能升级,13,FALSE)</f>
        <v>105</v>
      </c>
      <c r="B172" t="s">
        <v>375</v>
      </c>
      <c r="C172">
        <f>C165+C165-3.5-C175*2</f>
        <v>18.5</v>
      </c>
      <c r="G172">
        <f>INT((VLOOKUP(A172,召唤物属性,7,FALSE)-
IF($B165&gt;10000,VLOOKUP($B165,实战属性,15,FALSE),VLOOKUP($B165,总基本属性,9,FALSE))*$L$13)*I172*J172)</f>
        <v>996</v>
      </c>
      <c r="I172">
        <f>VLOOKUP($E167,技能升级,14,FALSE)</f>
        <v>2</v>
      </c>
      <c r="J172">
        <v>1</v>
      </c>
    </row>
    <row r="173" spans="1:10" x14ac:dyDescent="0.15">
      <c r="A173">
        <f>VLOOKUP(E168,技能升级,13,FALSE)</f>
        <v>205</v>
      </c>
      <c r="B173" t="s">
        <v>374</v>
      </c>
      <c r="C173">
        <f>C165+C165-3.5-C175*2</f>
        <v>18.5</v>
      </c>
      <c r="F173">
        <f>INT((VLOOKUP(A173,召唤物属性,6,FALSE)-
IF($B165&gt;10000,VLOOKUP($B165,实战属性,15,FALSE),VLOOKUP($B165,总基本属性,9,FALSE))*$L$13)*I173*J173)</f>
        <v>1085</v>
      </c>
      <c r="I173">
        <f>VLOOKUP($E168,技能升级,14,FALSE)</f>
        <v>3</v>
      </c>
      <c r="J173">
        <f>VLOOKUP(A165,$A$2:$H$21,8,FALSE)</f>
        <v>0.90899999999999992</v>
      </c>
    </row>
    <row r="174" spans="1:10" x14ac:dyDescent="0.15">
      <c r="A174">
        <v>204</v>
      </c>
      <c r="B174" t="s">
        <v>338</v>
      </c>
      <c r="C174">
        <v>3</v>
      </c>
    </row>
    <row r="175" spans="1:10" x14ac:dyDescent="0.15">
      <c r="B175" t="s">
        <v>342</v>
      </c>
      <c r="C175">
        <v>6</v>
      </c>
    </row>
    <row r="176" spans="1:10" x14ac:dyDescent="0.15">
      <c r="E176" t="s">
        <v>194</v>
      </c>
      <c r="F176">
        <f>SUM(F167:F171)/1000</f>
        <v>0</v>
      </c>
      <c r="G176">
        <f>SUM(G167:G171)/1000</f>
        <v>7.7880000000000003</v>
      </c>
      <c r="H176">
        <f>SUM(H167:H170)</f>
        <v>858</v>
      </c>
      <c r="I176" t="s">
        <v>196</v>
      </c>
      <c r="J176" t="s">
        <v>197</v>
      </c>
    </row>
    <row r="177" spans="1:10" x14ac:dyDescent="0.15">
      <c r="E177" t="s">
        <v>195</v>
      </c>
      <c r="F177">
        <f>INT((IF($A165&gt;10000,VLOOKUP($A165,实战属性,13,FALSE),VLOOKUP($A165,总基本属性,7,FALSE))-
IF($B165&gt;10000,VLOOKUP($B165,实战属性,15,FALSE),VLOOKUP($B165,总基本属性,9,FALSE))*$L$13)*F176)</f>
        <v>0</v>
      </c>
      <c r="G177">
        <f>INT((IF($A165&gt;10000,VLOOKUP($A165,实战属性,14,FALSE),VLOOKUP($A165,总基本属性,8,FALSE))-
IF($B165&gt;10000,VLOOKUP($B165,实战属性,16,FALSE),VLOOKUP($B165,总基本属性,10,FALSE))*$L$13)*G176)</f>
        <v>9999</v>
      </c>
      <c r="H177">
        <f>H176+F177+G177</f>
        <v>10857</v>
      </c>
      <c r="I177">
        <f>IF($B165&gt;10000,VLOOKUP($B165,实战属性,12,FALSE),VLOOKUP($B165,总基本属性,6,FALSE))</f>
        <v>49896</v>
      </c>
      <c r="J177">
        <f>ROUND(I177/H178,2)</f>
        <v>1.01</v>
      </c>
    </row>
    <row r="178" spans="1:10" x14ac:dyDescent="0.15">
      <c r="E178" t="s">
        <v>376</v>
      </c>
      <c r="F178">
        <f>INT(F173*C173)</f>
        <v>20072</v>
      </c>
      <c r="G178">
        <f>INT(G172*C172)</f>
        <v>18426</v>
      </c>
      <c r="H178">
        <f>F178+G178+H177</f>
        <v>49355</v>
      </c>
    </row>
    <row r="182" spans="1:10" x14ac:dyDescent="0.15">
      <c r="A182" s="8" t="s">
        <v>4</v>
      </c>
      <c r="B182" s="8" t="s">
        <v>5</v>
      </c>
      <c r="C182" s="8" t="s">
        <v>178</v>
      </c>
      <c r="D182" s="8" t="s">
        <v>0</v>
      </c>
    </row>
    <row r="183" spans="1:10" x14ac:dyDescent="0.15">
      <c r="A183">
        <f>A152+10</f>
        <v>3060</v>
      </c>
      <c r="B183">
        <f>B152+10</f>
        <v>4060</v>
      </c>
      <c r="C183">
        <v>17</v>
      </c>
      <c r="D183">
        <f>MOD(A183,1000)</f>
        <v>60</v>
      </c>
    </row>
    <row r="184" spans="1:10" x14ac:dyDescent="0.15">
      <c r="A184" t="s">
        <v>156</v>
      </c>
      <c r="B184" t="s">
        <v>95</v>
      </c>
      <c r="C184" t="s">
        <v>142</v>
      </c>
      <c r="D184" t="s">
        <v>143</v>
      </c>
      <c r="E184" t="s">
        <v>182</v>
      </c>
      <c r="F184" t="s">
        <v>192</v>
      </c>
      <c r="G184" t="s">
        <v>193</v>
      </c>
      <c r="H184" t="s">
        <v>176</v>
      </c>
      <c r="I184" t="s">
        <v>205</v>
      </c>
      <c r="J184" t="s">
        <v>206</v>
      </c>
    </row>
    <row r="185" spans="1:10" x14ac:dyDescent="0.15">
      <c r="A185">
        <v>32</v>
      </c>
      <c r="B185" t="s">
        <v>26</v>
      </c>
      <c r="C185">
        <f>INT(C183/(VLOOKUP(A185,技能参数,5,FALSE)+2*VLOOKUP(A185,技能参数,4,FALSE))+3)</f>
        <v>3</v>
      </c>
      <c r="D185">
        <f>VLOOKUP(A185,技能参数,4,FALSE)</f>
        <v>1</v>
      </c>
      <c r="E185">
        <f>IFERROR(VLOOKUP(A185*1000+D183,学习等级编码,2),0)</f>
        <v>3206</v>
      </c>
      <c r="F185">
        <f>IFERROR(INT(VLOOKUP($E185,技能升级,9,FALSE)*$C185*I185*J185),0)</f>
        <v>0</v>
      </c>
      <c r="G185">
        <f>IFERROR(INT(VLOOKUP($E185,技能升级,10,FALSE)*$C185*I185*J185),0)</f>
        <v>4290</v>
      </c>
      <c r="H185">
        <f>INT(VLOOKUP($E185,技能升级,11,FALSE)*$C185*I185*J185)</f>
        <v>720</v>
      </c>
      <c r="I185">
        <v>1</v>
      </c>
      <c r="J185">
        <v>1</v>
      </c>
    </row>
    <row r="186" spans="1:10" x14ac:dyDescent="0.15">
      <c r="A186">
        <v>34</v>
      </c>
      <c r="B186" t="s">
        <v>34</v>
      </c>
      <c r="C186">
        <f>INT(C183/(VLOOKUP(A186,技能参数,5,FALSE)+2*VLOOKUP(A186,技能参数,4,FALSE))+1)</f>
        <v>1</v>
      </c>
      <c r="D186">
        <f>VLOOKUP(A186,技能参数,4,FALSE)</f>
        <v>1.5</v>
      </c>
      <c r="E186">
        <f>IFERROR(VLOOKUP(A186*1000+D183,学习等级编码,2),0)</f>
        <v>3406</v>
      </c>
      <c r="F186">
        <f>IFERROR(INT(VLOOKUP($E186,技能升级,9,FALSE)*$C186*I186*J186),0)</f>
        <v>1920</v>
      </c>
      <c r="G186">
        <f>IFERROR(INT(VLOOKUP($E186,技能升级,10,FALSE)*$C186*I186*J186),0)</f>
        <v>0</v>
      </c>
      <c r="H186">
        <f>INT(VLOOKUP($E186,技能升级,11,FALSE)*$C186*I186*J186)</f>
        <v>285</v>
      </c>
      <c r="I186">
        <v>1</v>
      </c>
      <c r="J186">
        <v>1</v>
      </c>
    </row>
    <row r="187" spans="1:10" x14ac:dyDescent="0.15">
      <c r="A187">
        <v>35</v>
      </c>
      <c r="B187" t="s">
        <v>28</v>
      </c>
      <c r="C187">
        <v>3</v>
      </c>
      <c r="D187">
        <f>VLOOKUP(A187,技能参数,4,FALSE)</f>
        <v>2</v>
      </c>
      <c r="E187">
        <f>IFERROR(VLOOKUP(A187*1000+D183,学习等级编码,2),0)</f>
        <v>3504</v>
      </c>
      <c r="F187">
        <f>IFERROR(INT(VLOOKUP($E187,技能升级,9,FALSE)*$C187*I187*J187),0)</f>
        <v>7500</v>
      </c>
      <c r="G187">
        <f>IFERROR(INT(VLOOKUP($E187,技能升级,10,FALSE)*$C187*I187*J187),0)</f>
        <v>0</v>
      </c>
      <c r="H187">
        <f>INT(VLOOKUP($E187,技能升级,11,FALSE)*$C187*I187*J187)</f>
        <v>834</v>
      </c>
      <c r="I187">
        <v>1</v>
      </c>
      <c r="J187">
        <v>1</v>
      </c>
    </row>
    <row r="188" spans="1:10" x14ac:dyDescent="0.15">
      <c r="A188">
        <v>31</v>
      </c>
      <c r="B188" t="s">
        <v>91</v>
      </c>
      <c r="C188">
        <f>INT((C183-C185*D185-C186*D186-C187*D187-C190-C191)/D188)</f>
        <v>8</v>
      </c>
      <c r="D188">
        <f>VLOOKUP(A188,技能参数,4,FALSE)</f>
        <v>0.8</v>
      </c>
      <c r="E188">
        <f>IFERROR(VLOOKUP(A188*1000+D183,学习等级编码,2),0)</f>
        <v>3109</v>
      </c>
      <c r="F188">
        <f>IFERROR(INT(VLOOKUP($E188,技能升级,9,FALSE)*$C188*I188*J188),0)</f>
        <v>9360</v>
      </c>
      <c r="G188">
        <f>IFERROR(INT(VLOOKUP($E188,技能升级,10,FALSE)*$C188*I188*J188),0)</f>
        <v>0</v>
      </c>
      <c r="H188">
        <f>INT(VLOOKUP($E188,技能升级,11,FALSE)*$C188*I188*J188)</f>
        <v>2160</v>
      </c>
      <c r="I188">
        <v>1</v>
      </c>
      <c r="J188">
        <v>1</v>
      </c>
    </row>
    <row r="189" spans="1:10" x14ac:dyDescent="0.15">
      <c r="A189">
        <v>203</v>
      </c>
      <c r="B189" t="s">
        <v>340</v>
      </c>
      <c r="C189">
        <f>INT((C183)/3)</f>
        <v>5</v>
      </c>
      <c r="D189">
        <v>0</v>
      </c>
      <c r="E189">
        <f>IFERROR(VLOOKUP(A189*1000+D183,学习等级编码,2),0)</f>
        <v>20306</v>
      </c>
      <c r="F189">
        <f>IFERROR(INT(VLOOKUP($E189,技能升级,9,FALSE)*$C189*I189*J189),0)</f>
        <v>0</v>
      </c>
      <c r="G189">
        <f>IFERROR(INT(VLOOKUP($E189,技能升级,10,FALSE)*$C189*I189*J189),0)</f>
        <v>0</v>
      </c>
      <c r="H189">
        <f>INT((VLOOKUP(E189,技能升级,13,FALSE)*(VLOOKUP(C189,中毒数据,4)+MOD(C183,3)*VLOOKUP(C189+1,中毒数据,3))+VLOOKUP(E189,技能升级,14,FALSE)/1000*C189*IF($B183&gt;10000,VLOOKUP($B183,实战属性,12,FALSE),VLOOKUP($B183,总基本属性,6,FALSE)))*I189*J189)</f>
        <v>18113</v>
      </c>
      <c r="I189">
        <v>1</v>
      </c>
      <c r="J189">
        <v>1</v>
      </c>
    </row>
    <row r="190" spans="1:10" x14ac:dyDescent="0.15">
      <c r="E190" t="s">
        <v>194</v>
      </c>
      <c r="F190">
        <f>SUM(F185:F189)/1000</f>
        <v>18.78</v>
      </c>
      <c r="G190">
        <f>SUM(G185:G189)/1000</f>
        <v>4.29</v>
      </c>
      <c r="H190">
        <f>SUM(H185:H189)</f>
        <v>22112</v>
      </c>
      <c r="I190" t="s">
        <v>196</v>
      </c>
      <c r="J190" t="s">
        <v>197</v>
      </c>
    </row>
    <row r="191" spans="1:10" x14ac:dyDescent="0.15">
      <c r="E191" t="s">
        <v>195</v>
      </c>
      <c r="F191">
        <f>INT((IF($A183&gt;10000,VLOOKUP($A183,实战属性,13,FALSE),VLOOKUP($A183,总基本属性,7,FALSE))-
IF($B183&gt;10000,VLOOKUP($B183,实战属性,15,FALSE),VLOOKUP($B183,总基本属性,9,FALSE))*$L$13)*F190)</f>
        <v>32170</v>
      </c>
      <c r="G191">
        <f>INT((IF($A183&gt;10000,VLOOKUP($A183,实战属性,14,FALSE),VLOOKUP($A183,总基本属性,8,FALSE))-
IF($B183&gt;10000,VLOOKUP($B183,实战属性,16,FALSE),VLOOKUP($B183,总基本属性,10,FALSE))*$L$13)*G190)</f>
        <v>7348</v>
      </c>
      <c r="H191">
        <f>H190+F191+G191</f>
        <v>61630</v>
      </c>
      <c r="I191">
        <f>IF($B183&gt;10000,VLOOKUP($B183,实战属性,12,FALSE),VLOOKUP($B183,总基本属性,6,FALSE))</f>
        <v>58860</v>
      </c>
      <c r="J191">
        <f>ROUND(I191/H191,2)</f>
        <v>0.96</v>
      </c>
    </row>
    <row r="195" spans="1:10" x14ac:dyDescent="0.15">
      <c r="A195" s="9" t="s">
        <v>5</v>
      </c>
      <c r="B195" s="9" t="s">
        <v>4</v>
      </c>
      <c r="C195" s="9" t="s">
        <v>178</v>
      </c>
      <c r="D195" s="9" t="s">
        <v>0</v>
      </c>
      <c r="G195" t="s">
        <v>445</v>
      </c>
      <c r="H195">
        <f>INT(I208/J208/C196)</f>
        <v>4087</v>
      </c>
      <c r="I195" t="s">
        <v>446</v>
      </c>
      <c r="J195">
        <f>ROUND(I201/H195,1)</f>
        <v>2.2000000000000002</v>
      </c>
    </row>
    <row r="196" spans="1:10" x14ac:dyDescent="0.15">
      <c r="A196">
        <f t="shared" ref="A196:B196" si="28">A165+10</f>
        <v>4060</v>
      </c>
      <c r="B196">
        <f t="shared" si="28"/>
        <v>3060</v>
      </c>
      <c r="C196">
        <v>18</v>
      </c>
      <c r="D196">
        <f>MOD(A196,1000)</f>
        <v>60</v>
      </c>
      <c r="I196" t="s">
        <v>383</v>
      </c>
      <c r="J196">
        <f>VLOOKUP(D196,召唤物生存,12)</f>
        <v>12.55</v>
      </c>
    </row>
    <row r="197" spans="1:10" x14ac:dyDescent="0.15">
      <c r="A197" t="s">
        <v>156</v>
      </c>
      <c r="B197" t="s">
        <v>95</v>
      </c>
      <c r="C197" t="s">
        <v>177</v>
      </c>
      <c r="D197" t="s">
        <v>143</v>
      </c>
      <c r="E197" t="s">
        <v>182</v>
      </c>
      <c r="F197" t="s">
        <v>192</v>
      </c>
      <c r="G197" t="s">
        <v>193</v>
      </c>
      <c r="H197" t="s">
        <v>176</v>
      </c>
      <c r="I197" t="s">
        <v>205</v>
      </c>
      <c r="J197" t="s">
        <v>206</v>
      </c>
    </row>
    <row r="198" spans="1:10" x14ac:dyDescent="0.15">
      <c r="A198">
        <v>42</v>
      </c>
      <c r="B198" t="s">
        <v>35</v>
      </c>
      <c r="C198">
        <v>1</v>
      </c>
      <c r="D198">
        <f>VLOOKUP(A198,技能参数,4,FALSE)</f>
        <v>1</v>
      </c>
      <c r="E198">
        <f>IFERROR(VLOOKUP(A198*1000+D196,学习等级编码,2),0)</f>
        <v>4206</v>
      </c>
      <c r="F198">
        <f>IFERROR(INT(VLOOKUP($E198,技能升级,9,FALSE)*$C198*I198*J198),0)</f>
        <v>0</v>
      </c>
      <c r="G198">
        <f>IFERROR(INT(VLOOKUP($E198,技能升级,10,FALSE)*$C198*I198*J198),0)</f>
        <v>0</v>
      </c>
      <c r="H198">
        <f>INT(VLOOKUP($E198,技能升级,11,FALSE)*$C198*I198*J198)</f>
        <v>0</v>
      </c>
      <c r="I198">
        <v>1</v>
      </c>
      <c r="J198">
        <v>1</v>
      </c>
    </row>
    <row r="199" spans="1:10" x14ac:dyDescent="0.15">
      <c r="A199">
        <v>43</v>
      </c>
      <c r="B199" t="s">
        <v>36</v>
      </c>
      <c r="C199">
        <v>1</v>
      </c>
      <c r="D199">
        <f>VLOOKUP(A199,技能参数,4,FALSE)</f>
        <v>1</v>
      </c>
      <c r="E199">
        <f>IFERROR(VLOOKUP(A199*1000+D196,学习等级编码,2),0)</f>
        <v>4306</v>
      </c>
      <c r="F199">
        <f t="shared" ref="F199" si="29">IFERROR(INT(VLOOKUP($E199,技能升级,9,FALSE)*$C199*I199*J199),0)</f>
        <v>0</v>
      </c>
      <c r="G199">
        <f t="shared" ref="G199" si="30">IFERROR(INT(VLOOKUP($E199,技能升级,10,FALSE)*$C199*I199*J199),0)</f>
        <v>0</v>
      </c>
      <c r="H199">
        <f>INT(VLOOKUP($E199,技能升级,11,FALSE)*$C199*I199*J199)</f>
        <v>0</v>
      </c>
      <c r="I199">
        <v>1</v>
      </c>
      <c r="J199">
        <v>1</v>
      </c>
    </row>
    <row r="200" spans="1:10" x14ac:dyDescent="0.15">
      <c r="A200">
        <v>44</v>
      </c>
      <c r="B200" t="s">
        <v>38</v>
      </c>
      <c r="C200">
        <v>1</v>
      </c>
      <c r="D200">
        <f>IFERROR(INT(VLOOKUP($E200,技能升级,13,FALSE)),0)</f>
        <v>5</v>
      </c>
      <c r="E200">
        <f>IFERROR(VLOOKUP(A200*1000+D196,学习等级编码,2),0)</f>
        <v>4406</v>
      </c>
      <c r="F200">
        <f>IFERROR(INT(VLOOKUP($E200,技能升级,9,FALSE)*$C200*I200*J200),0)</f>
        <v>0</v>
      </c>
      <c r="G200">
        <f>IFERROR(INT(VLOOKUP($E200,技能升级,10,FALSE)*$D200*I200*J200),0)</f>
        <v>7731</v>
      </c>
      <c r="H200">
        <f>INT(VLOOKUP($E200,技能升级,11,FALSE)*$D200*I200*J200)</f>
        <v>1161</v>
      </c>
      <c r="I200">
        <v>1</v>
      </c>
      <c r="J200">
        <f>VLOOKUP(A196,$A$2:$H$21,7,FALSE)</f>
        <v>0.84499999999999986</v>
      </c>
    </row>
    <row r="201" spans="1:10" x14ac:dyDescent="0.15">
      <c r="A201">
        <v>45</v>
      </c>
      <c r="B201" t="s">
        <v>37</v>
      </c>
      <c r="C201">
        <v>1</v>
      </c>
      <c r="D201">
        <f>VLOOKUP(A201,技能参数,4,FALSE)</f>
        <v>2</v>
      </c>
      <c r="E201">
        <f>IFERROR(VLOOKUP(A201*1000+D196,学习等级编码,2),0)</f>
        <v>4504</v>
      </c>
      <c r="F201">
        <f>IFERROR(INT(VLOOKUP($E201,技能升级,9,FALSE)*$C201*I201*J201),0)</f>
        <v>0</v>
      </c>
      <c r="G201">
        <f t="shared" ref="G201:G202" si="31">IFERROR(INT(VLOOKUP($E201,技能升级,10,FALSE)*$C201*I201*J201),0)</f>
        <v>0</v>
      </c>
      <c r="H201">
        <f>INT(VLOOKUP($E201,技能升级,11,FALSE)*$C201*I201*J201)</f>
        <v>0</v>
      </c>
      <c r="I201">
        <f>INT(VLOOKUP($E201,技能升级,13,FALSE)*$C201)</f>
        <v>8916</v>
      </c>
      <c r="J201">
        <v>1</v>
      </c>
    </row>
    <row r="202" spans="1:10" x14ac:dyDescent="0.15">
      <c r="A202">
        <v>41</v>
      </c>
      <c r="B202" t="s">
        <v>361</v>
      </c>
      <c r="C202">
        <f>IF(INT((C196-C198*D198-C199*D199-C200*D200-C201*D201-C205-C206)/D202)&gt;0,INT((C196-C198*D198-C199*D199-C200*D200-C201*D201-C205-C206)/D202),0)</f>
        <v>0</v>
      </c>
      <c r="D202">
        <f>VLOOKUP(A202,技能参数,4,FALSE)</f>
        <v>1.2</v>
      </c>
      <c r="E202">
        <f>IFERROR(VLOOKUP(A202*1000+D196,学习等级编码,2),0)</f>
        <v>4109</v>
      </c>
      <c r="F202">
        <f>IFERROR(INT(VLOOKUP($E202,技能升级,9,FALSE)*$C202*I202*J202),0)</f>
        <v>0</v>
      </c>
      <c r="G202">
        <f t="shared" si="31"/>
        <v>0</v>
      </c>
      <c r="H202">
        <f>INT(VLOOKUP($E202,技能升级,11,FALSE)*$C202*I202*J202)</f>
        <v>0</v>
      </c>
      <c r="I202">
        <v>1</v>
      </c>
      <c r="J202">
        <f>VLOOKUP(A196,$A$2:$H$21,7,FALSE)</f>
        <v>0.84499999999999986</v>
      </c>
    </row>
    <row r="203" spans="1:10" x14ac:dyDescent="0.15">
      <c r="A203">
        <f>VLOOKUP(E198,技能升级,13,FALSE)</f>
        <v>106</v>
      </c>
      <c r="B203" t="s">
        <v>375</v>
      </c>
      <c r="C203">
        <f>C196+C196-3.5-C206*2</f>
        <v>20.5</v>
      </c>
      <c r="G203">
        <f>INT((VLOOKUP(A203,召唤物属性,7,FALSE)-
IF($B196&gt;10000,VLOOKUP($B196,实战属性,15,FALSE),VLOOKUP($B196,总基本属性,9,FALSE))*$L$13)*I203*J203)</f>
        <v>1321</v>
      </c>
      <c r="I203">
        <f>VLOOKUP($E198,技能升级,14,FALSE)</f>
        <v>2</v>
      </c>
      <c r="J203">
        <v>1</v>
      </c>
    </row>
    <row r="204" spans="1:10" x14ac:dyDescent="0.15">
      <c r="A204">
        <f>VLOOKUP(E199,技能升级,13,FALSE)</f>
        <v>206</v>
      </c>
      <c r="B204" t="s">
        <v>374</v>
      </c>
      <c r="C204">
        <f>C196+C196-3.5-C206*2</f>
        <v>20.5</v>
      </c>
      <c r="F204">
        <f>INT((VLOOKUP(A204,召唤物属性,6,FALSE)-
IF($B196&gt;10000,VLOOKUP($B196,实战属性,15,FALSE),VLOOKUP($B196,总基本属性,9,FALSE))*$L$13)*I204*J204)</f>
        <v>1481</v>
      </c>
      <c r="I204">
        <f>VLOOKUP($E199,技能升级,14,FALSE)</f>
        <v>3</v>
      </c>
      <c r="J204">
        <f>VLOOKUP(A196,$A$2:$H$21,8,FALSE)</f>
        <v>0.88099999999999989</v>
      </c>
    </row>
    <row r="205" spans="1:10" x14ac:dyDescent="0.15">
      <c r="A205">
        <v>204</v>
      </c>
      <c r="B205" t="s">
        <v>338</v>
      </c>
      <c r="C205">
        <v>3</v>
      </c>
    </row>
    <row r="206" spans="1:10" x14ac:dyDescent="0.15">
      <c r="B206" t="s">
        <v>342</v>
      </c>
      <c r="C206">
        <v>6</v>
      </c>
    </row>
    <row r="207" spans="1:10" x14ac:dyDescent="0.15">
      <c r="E207" t="s">
        <v>194</v>
      </c>
      <c r="F207">
        <f>SUM(F198:F202)/1000</f>
        <v>0</v>
      </c>
      <c r="G207">
        <f>SUM(G198:G202)/1000</f>
        <v>7.7309999999999999</v>
      </c>
      <c r="H207">
        <f>SUM(H198:H201)</f>
        <v>1161</v>
      </c>
      <c r="I207" t="s">
        <v>196</v>
      </c>
      <c r="J207" t="s">
        <v>197</v>
      </c>
    </row>
    <row r="208" spans="1:10" x14ac:dyDescent="0.15">
      <c r="E208" t="s">
        <v>195</v>
      </c>
      <c r="F208">
        <f>INT((IF($A196&gt;10000,VLOOKUP($A196,实战属性,13,FALSE),VLOOKUP($A196,总基本属性,7,FALSE))-
IF($B196&gt;10000,VLOOKUP($B196,实战属性,15,FALSE),VLOOKUP($B196,总基本属性,9,FALSE))*$L$13)*F207)</f>
        <v>0</v>
      </c>
      <c r="G208">
        <f>INT((IF($A196&gt;10000,VLOOKUP($A196,实战属性,14,FALSE),VLOOKUP($A196,总基本属性,8,FALSE))-
IF($B196&gt;10000,VLOOKUP($B196,实战属性,16,FALSE),VLOOKUP($B196,总基本属性,10,FALSE))*$L$13)*G207)</f>
        <v>15156</v>
      </c>
      <c r="H208">
        <f>H207+F208+G208</f>
        <v>16317</v>
      </c>
      <c r="I208">
        <f>IF($B196&gt;10000,VLOOKUP($B196,实战属性,12,FALSE),VLOOKUP($B196,总基本属性,6,FALSE))</f>
        <v>70632</v>
      </c>
      <c r="J208">
        <f>ROUND(I208/H209,2)</f>
        <v>0.96</v>
      </c>
    </row>
    <row r="209" spans="1:10" x14ac:dyDescent="0.15">
      <c r="E209" t="s">
        <v>376</v>
      </c>
      <c r="F209">
        <f>INT(F204*C204)</f>
        <v>30360</v>
      </c>
      <c r="G209">
        <f>INT(G203*C203)</f>
        <v>27080</v>
      </c>
      <c r="H209">
        <f>F209+G209+H208</f>
        <v>73757</v>
      </c>
    </row>
    <row r="213" spans="1:10" x14ac:dyDescent="0.15">
      <c r="A213" s="8" t="s">
        <v>4</v>
      </c>
      <c r="B213" s="8" t="s">
        <v>5</v>
      </c>
      <c r="C213" s="8" t="s">
        <v>178</v>
      </c>
      <c r="D213" s="8" t="s">
        <v>0</v>
      </c>
    </row>
    <row r="214" spans="1:10" x14ac:dyDescent="0.15">
      <c r="A214">
        <f>A183+10</f>
        <v>3070</v>
      </c>
      <c r="B214">
        <f>B183+10</f>
        <v>4070</v>
      </c>
      <c r="C214">
        <v>17</v>
      </c>
      <c r="D214">
        <f>MOD(A214,1000)</f>
        <v>70</v>
      </c>
    </row>
    <row r="215" spans="1:10" x14ac:dyDescent="0.15">
      <c r="A215" t="s">
        <v>156</v>
      </c>
      <c r="B215" t="s">
        <v>95</v>
      </c>
      <c r="C215" t="s">
        <v>142</v>
      </c>
      <c r="D215" t="s">
        <v>143</v>
      </c>
      <c r="E215" t="s">
        <v>182</v>
      </c>
      <c r="F215" t="s">
        <v>192</v>
      </c>
      <c r="G215" t="s">
        <v>193</v>
      </c>
      <c r="H215" t="s">
        <v>176</v>
      </c>
      <c r="I215" t="s">
        <v>205</v>
      </c>
      <c r="J215" t="s">
        <v>206</v>
      </c>
    </row>
    <row r="216" spans="1:10" x14ac:dyDescent="0.15">
      <c r="A216">
        <v>32</v>
      </c>
      <c r="B216" t="s">
        <v>26</v>
      </c>
      <c r="C216">
        <f>INT(C214/(VLOOKUP(A216,技能参数,5,FALSE)+2*VLOOKUP(A216,技能参数,4,FALSE))+3)</f>
        <v>3</v>
      </c>
      <c r="D216">
        <f>VLOOKUP(A216,技能参数,4,FALSE)</f>
        <v>1</v>
      </c>
      <c r="E216">
        <f>IFERROR(VLOOKUP(A216*1000+D214,学习等级编码,2),0)</f>
        <v>3207</v>
      </c>
      <c r="F216">
        <f>IFERROR(INT(VLOOKUP($E216,技能升级,9,FALSE)*$C216*I216*J216),0)</f>
        <v>0</v>
      </c>
      <c r="G216">
        <f>IFERROR(INT(VLOOKUP($E216,技能升级,10,FALSE)*$C216*I216*J216),0)</f>
        <v>4440</v>
      </c>
      <c r="H216">
        <f>INT(VLOOKUP($E216,技能升级,11,FALSE)*$C216*I216*J216)</f>
        <v>987</v>
      </c>
      <c r="I216">
        <v>1</v>
      </c>
      <c r="J216">
        <v>1</v>
      </c>
    </row>
    <row r="217" spans="1:10" x14ac:dyDescent="0.15">
      <c r="A217">
        <v>34</v>
      </c>
      <c r="B217" t="s">
        <v>34</v>
      </c>
      <c r="C217">
        <f>INT(C214/(VLOOKUP(A217,技能参数,5,FALSE)+2*VLOOKUP(A217,技能参数,4,FALSE))+1)</f>
        <v>1</v>
      </c>
      <c r="D217">
        <f>VLOOKUP(A217,技能参数,4,FALSE)</f>
        <v>1.5</v>
      </c>
      <c r="E217">
        <f>IFERROR(VLOOKUP(A217*1000+D214,学习等级编码,2),0)</f>
        <v>3407</v>
      </c>
      <c r="F217">
        <f>IFERROR(INT(VLOOKUP($E217,技能升级,9,FALSE)*$C217*I217*J217),0)</f>
        <v>2000</v>
      </c>
      <c r="G217">
        <f>IFERROR(INT(VLOOKUP($E217,技能升级,10,FALSE)*$C217*I217*J217),0)</f>
        <v>0</v>
      </c>
      <c r="H217">
        <f>INT(VLOOKUP($E217,技能升级,11,FALSE)*$C217*I217*J217)</f>
        <v>380</v>
      </c>
      <c r="I217">
        <v>1</v>
      </c>
      <c r="J217">
        <v>1</v>
      </c>
    </row>
    <row r="218" spans="1:10" x14ac:dyDescent="0.15">
      <c r="A218">
        <v>35</v>
      </c>
      <c r="B218" t="s">
        <v>28</v>
      </c>
      <c r="C218">
        <v>3</v>
      </c>
      <c r="D218">
        <f>VLOOKUP(A218,技能参数,4,FALSE)</f>
        <v>2</v>
      </c>
      <c r="E218">
        <f>IFERROR(VLOOKUP(A218*1000+D214,学习等级编码,2),0)</f>
        <v>3505</v>
      </c>
      <c r="F218">
        <f>IFERROR(INT(VLOOKUP($E218,技能升级,9,FALSE)*$C218*I218*J218),0)</f>
        <v>8010</v>
      </c>
      <c r="G218">
        <f>IFERROR(INT(VLOOKUP($E218,技能升级,10,FALSE)*$C218*I218*J218),0)</f>
        <v>0</v>
      </c>
      <c r="H218">
        <f>INT(VLOOKUP($E218,技能升级,11,FALSE)*$C218*I218*J218)</f>
        <v>1263</v>
      </c>
      <c r="I218">
        <v>1</v>
      </c>
      <c r="J218">
        <v>1</v>
      </c>
    </row>
    <row r="219" spans="1:10" x14ac:dyDescent="0.15">
      <c r="A219">
        <v>31</v>
      </c>
      <c r="B219" t="s">
        <v>91</v>
      </c>
      <c r="C219">
        <f>INT((C214-C216*D216-C217*D217-C218*D218-C221-C222)/D219)</f>
        <v>8</v>
      </c>
      <c r="D219">
        <f>VLOOKUP(A219,技能参数,4,FALSE)</f>
        <v>0.8</v>
      </c>
      <c r="E219">
        <f>IFERROR(VLOOKUP(A219*1000+D214,学习等级编码,2),0)</f>
        <v>3111</v>
      </c>
      <c r="F219">
        <f>IFERROR(INT(VLOOKUP($E219,技能升级,9,FALSE)*$C219*I219*J219),0)</f>
        <v>9680</v>
      </c>
      <c r="G219">
        <f>IFERROR(INT(VLOOKUP($E219,技能升级,10,FALSE)*$C219*I219*J219),0)</f>
        <v>0</v>
      </c>
      <c r="H219">
        <f>INT(VLOOKUP($E219,技能升级,11,FALSE)*$C219*I219*J219)</f>
        <v>3248</v>
      </c>
      <c r="I219">
        <v>1</v>
      </c>
      <c r="J219">
        <v>1</v>
      </c>
    </row>
    <row r="220" spans="1:10" x14ac:dyDescent="0.15">
      <c r="A220">
        <v>203</v>
      </c>
      <c r="B220" t="s">
        <v>340</v>
      </c>
      <c r="C220">
        <f>INT((C214)/3)</f>
        <v>5</v>
      </c>
      <c r="D220">
        <v>0</v>
      </c>
      <c r="E220">
        <f>IFERROR(VLOOKUP(A220*1000+D214,学习等级编码,2),0)</f>
        <v>20307</v>
      </c>
      <c r="F220">
        <f>IFERROR(INT(VLOOKUP($E220,技能升级,9,FALSE)*$C220*I220*J220),0)</f>
        <v>0</v>
      </c>
      <c r="G220">
        <f>IFERROR(INT(VLOOKUP($E220,技能升级,10,FALSE)*$C220*I220*J220),0)</f>
        <v>0</v>
      </c>
      <c r="H220">
        <f>INT((VLOOKUP(E220,技能升级,13,FALSE)*(VLOOKUP(C220,中毒数据,4)+MOD(C214,3)*VLOOKUP(C220+1,中毒数据,3))+VLOOKUP(E220,技能升级,14,FALSE)/1000*C220*IF($B214&gt;10000,VLOOKUP($B214,实战属性,12,FALSE),VLOOKUP($B214,总基本属性,6,FALSE)))*I220*J220)</f>
        <v>23195</v>
      </c>
      <c r="I220">
        <v>1</v>
      </c>
      <c r="J220">
        <v>1</v>
      </c>
    </row>
    <row r="221" spans="1:10" x14ac:dyDescent="0.15">
      <c r="E221" t="s">
        <v>194</v>
      </c>
      <c r="F221">
        <f>SUM(F216:F220)/1000</f>
        <v>19.690000000000001</v>
      </c>
      <c r="G221">
        <f>SUM(G216:G220)/1000</f>
        <v>4.4400000000000004</v>
      </c>
      <c r="H221">
        <f>SUM(H216:H220)</f>
        <v>29073</v>
      </c>
      <c r="I221" t="s">
        <v>196</v>
      </c>
      <c r="J221" t="s">
        <v>197</v>
      </c>
    </row>
    <row r="222" spans="1:10" x14ac:dyDescent="0.15">
      <c r="E222" t="s">
        <v>195</v>
      </c>
      <c r="F222">
        <f>INT((IF($A214&gt;10000,VLOOKUP($A214,实战属性,13,FALSE),VLOOKUP($A214,总基本属性,7,FALSE))-
IF($B214&gt;10000,VLOOKUP($B214,实战属性,15,FALSE),VLOOKUP($B214,总基本属性,9,FALSE))*$L$13)*F221)</f>
        <v>45080</v>
      </c>
      <c r="G222">
        <f>INT((IF($A214&gt;10000,VLOOKUP($A214,实战属性,14,FALSE),VLOOKUP($A214,总基本属性,8,FALSE))-
IF($B214&gt;10000,VLOOKUP($B214,实战属性,16,FALSE),VLOOKUP($B214,总基本属性,10,FALSE))*$L$13)*G221)</f>
        <v>10165</v>
      </c>
      <c r="H222">
        <f>H221+F222+G222</f>
        <v>84318</v>
      </c>
      <c r="I222">
        <f>IF($B214&gt;10000,VLOOKUP($B214,实战属性,12,FALSE),VLOOKUP($B214,总基本属性,6,FALSE))</f>
        <v>79110</v>
      </c>
      <c r="J222">
        <f>ROUND(I222/H222,2)</f>
        <v>0.94</v>
      </c>
    </row>
    <row r="226" spans="1:10" x14ac:dyDescent="0.15">
      <c r="A226" s="9" t="s">
        <v>5</v>
      </c>
      <c r="B226" s="9" t="s">
        <v>4</v>
      </c>
      <c r="C226" s="9" t="s">
        <v>178</v>
      </c>
      <c r="D226" s="9" t="s">
        <v>0</v>
      </c>
      <c r="G226" t="s">
        <v>445</v>
      </c>
      <c r="H226">
        <f>INT(I239/J239/C227)</f>
        <v>5437</v>
      </c>
      <c r="I226" t="s">
        <v>446</v>
      </c>
      <c r="J226">
        <f>ROUND(I232/H226,1)</f>
        <v>2.2999999999999998</v>
      </c>
    </row>
    <row r="227" spans="1:10" x14ac:dyDescent="0.15">
      <c r="A227">
        <f t="shared" ref="A227:B227" si="32">A196+10</f>
        <v>4070</v>
      </c>
      <c r="B227">
        <f t="shared" si="32"/>
        <v>3070</v>
      </c>
      <c r="C227">
        <v>18</v>
      </c>
      <c r="D227">
        <f>MOD(A227,1000)</f>
        <v>70</v>
      </c>
      <c r="I227" t="s">
        <v>383</v>
      </c>
      <c r="J227">
        <f>VLOOKUP(D227,召唤物生存,12)</f>
        <v>11.61</v>
      </c>
    </row>
    <row r="228" spans="1:10" x14ac:dyDescent="0.15">
      <c r="A228" t="s">
        <v>156</v>
      </c>
      <c r="B228" t="s">
        <v>95</v>
      </c>
      <c r="C228" t="s">
        <v>177</v>
      </c>
      <c r="D228" t="s">
        <v>143</v>
      </c>
      <c r="E228" t="s">
        <v>182</v>
      </c>
      <c r="F228" t="s">
        <v>192</v>
      </c>
      <c r="G228" t="s">
        <v>193</v>
      </c>
      <c r="H228" t="s">
        <v>176</v>
      </c>
      <c r="I228" t="s">
        <v>205</v>
      </c>
      <c r="J228" t="s">
        <v>206</v>
      </c>
    </row>
    <row r="229" spans="1:10" x14ac:dyDescent="0.15">
      <c r="A229">
        <v>42</v>
      </c>
      <c r="B229" t="s">
        <v>35</v>
      </c>
      <c r="C229">
        <v>1</v>
      </c>
      <c r="D229">
        <f>VLOOKUP(A229,技能参数,4,FALSE)</f>
        <v>1</v>
      </c>
      <c r="E229">
        <f>IFERROR(VLOOKUP(A229*1000+D227,学习等级编码,2),0)</f>
        <v>4207</v>
      </c>
      <c r="F229">
        <f>IFERROR(INT(VLOOKUP($E229,技能升级,9,FALSE)*$C229*I229*J229),0)</f>
        <v>0</v>
      </c>
      <c r="G229">
        <f>IFERROR(INT(VLOOKUP($E229,技能升级,10,FALSE)*$C229*I229*J229),0)</f>
        <v>0</v>
      </c>
      <c r="H229">
        <f>INT(VLOOKUP($E229,技能升级,11,FALSE)*$C229*I229*J229)</f>
        <v>0</v>
      </c>
      <c r="I229">
        <v>1</v>
      </c>
      <c r="J229">
        <v>1</v>
      </c>
    </row>
    <row r="230" spans="1:10" x14ac:dyDescent="0.15">
      <c r="A230">
        <v>43</v>
      </c>
      <c r="B230" t="s">
        <v>36</v>
      </c>
      <c r="C230">
        <v>1</v>
      </c>
      <c r="D230">
        <f>VLOOKUP(A230,技能参数,4,FALSE)</f>
        <v>1</v>
      </c>
      <c r="E230">
        <f>IFERROR(VLOOKUP(A230*1000+D227,学习等级编码,2),0)</f>
        <v>4307</v>
      </c>
      <c r="F230">
        <f t="shared" ref="F230" si="33">IFERROR(INT(VLOOKUP($E230,技能升级,9,FALSE)*$C230*I230*J230),0)</f>
        <v>0</v>
      </c>
      <c r="G230">
        <f t="shared" ref="G230" si="34">IFERROR(INT(VLOOKUP($E230,技能升级,10,FALSE)*$C230*I230*J230),0)</f>
        <v>0</v>
      </c>
      <c r="H230">
        <f>INT(VLOOKUP($E230,技能升级,11,FALSE)*$C230*I230*J230)</f>
        <v>0</v>
      </c>
      <c r="I230">
        <v>1</v>
      </c>
      <c r="J230">
        <v>1</v>
      </c>
    </row>
    <row r="231" spans="1:10" x14ac:dyDescent="0.15">
      <c r="A231">
        <v>44</v>
      </c>
      <c r="B231" t="s">
        <v>38</v>
      </c>
      <c r="C231">
        <v>1</v>
      </c>
      <c r="D231">
        <f>IFERROR(INT(VLOOKUP($E231,技能升级,13,FALSE)),0)</f>
        <v>5</v>
      </c>
      <c r="E231">
        <f>IFERROR(VLOOKUP(A231*1000+D227,学习等级编码,2),0)</f>
        <v>4407</v>
      </c>
      <c r="F231">
        <f>IFERROR(INT(VLOOKUP($E231,技能升级,9,FALSE)*$C231*I231*J231),0)</f>
        <v>0</v>
      </c>
      <c r="G231">
        <f>IFERROR(INT(VLOOKUP($E231,技能升级,10,FALSE)*$D231*I231*J231),0)</f>
        <v>7552</v>
      </c>
      <c r="H231">
        <f>INT(VLOOKUP($E231,技能升级,11,FALSE)*$D231*I231*J231)</f>
        <v>1470</v>
      </c>
      <c r="I231">
        <v>1</v>
      </c>
      <c r="J231">
        <f>VLOOKUP(A227,$A$2:$H$21,7,FALSE)</f>
        <v>0.79499999999999982</v>
      </c>
    </row>
    <row r="232" spans="1:10" x14ac:dyDescent="0.15">
      <c r="A232">
        <v>45</v>
      </c>
      <c r="B232" t="s">
        <v>37</v>
      </c>
      <c r="C232">
        <v>1</v>
      </c>
      <c r="D232">
        <f>VLOOKUP(A232,技能参数,4,FALSE)</f>
        <v>2</v>
      </c>
      <c r="E232">
        <f>IFERROR(VLOOKUP(A232*1000+D227,学习等级编码,2),0)</f>
        <v>4505</v>
      </c>
      <c r="F232">
        <f>IFERROR(INT(VLOOKUP($E232,技能升级,9,FALSE)*$C232*I232*J232),0)</f>
        <v>0</v>
      </c>
      <c r="G232">
        <f t="shared" ref="G232:G233" si="35">IFERROR(INT(VLOOKUP($E232,技能升级,10,FALSE)*$C232*I232*J232),0)</f>
        <v>0</v>
      </c>
      <c r="H232">
        <f>INT(VLOOKUP($E232,技能升级,11,FALSE)*$C232*I232*J232)</f>
        <v>0</v>
      </c>
      <c r="I232">
        <f>INT(VLOOKUP($E232,技能升级,13,FALSE)*$C232)</f>
        <v>12372</v>
      </c>
      <c r="J232">
        <v>1</v>
      </c>
    </row>
    <row r="233" spans="1:10" x14ac:dyDescent="0.15">
      <c r="A233">
        <v>41</v>
      </c>
      <c r="B233" t="s">
        <v>361</v>
      </c>
      <c r="C233">
        <f>IF(INT((C227-C229*D229-C230*D230-C231*D231-C232*D232-C236-C237)/D233)&gt;0,INT((C227-C229*D229-C230*D230-C231*D231-C232*D232-C236-C237)/D233),0)</f>
        <v>0</v>
      </c>
      <c r="D233">
        <f>VLOOKUP(A233,技能参数,4,FALSE)</f>
        <v>1.2</v>
      </c>
      <c r="E233">
        <f>IFERROR(VLOOKUP(A233*1000+D227,学习等级编码,2),0)</f>
        <v>4111</v>
      </c>
      <c r="F233">
        <f>IFERROR(INT(VLOOKUP($E233,技能升级,9,FALSE)*$C233*I233*J233),0)</f>
        <v>0</v>
      </c>
      <c r="G233">
        <f t="shared" si="35"/>
        <v>0</v>
      </c>
      <c r="H233">
        <f>INT(VLOOKUP($E233,技能升级,11,FALSE)*$C233*I233*J233)</f>
        <v>0</v>
      </c>
      <c r="I233">
        <v>1</v>
      </c>
      <c r="J233">
        <f>VLOOKUP(A227,$A$2:$H$21,7,FALSE)</f>
        <v>0.79499999999999982</v>
      </c>
    </row>
    <row r="234" spans="1:10" x14ac:dyDescent="0.15">
      <c r="A234">
        <f>VLOOKUP(E229,技能升级,13,FALSE)</f>
        <v>107</v>
      </c>
      <c r="B234" t="s">
        <v>375</v>
      </c>
      <c r="C234">
        <f>C227+C227-3.5-C237*2</f>
        <v>20.5</v>
      </c>
      <c r="G234">
        <f>INT((VLOOKUP(A234,召唤物属性,7,FALSE)-
IF($B227&gt;10000,VLOOKUP($B227,实战属性,15,FALSE),VLOOKUP($B227,总基本属性,9,FALSE))*$L$13)*I234*J234)</f>
        <v>1761</v>
      </c>
      <c r="I234">
        <f>VLOOKUP($E229,技能升级,14,FALSE)</f>
        <v>2</v>
      </c>
      <c r="J234">
        <v>1</v>
      </c>
    </row>
    <row r="235" spans="1:10" x14ac:dyDescent="0.15">
      <c r="A235">
        <f>VLOOKUP(E230,技能升级,13,FALSE)</f>
        <v>207</v>
      </c>
      <c r="B235" t="s">
        <v>374</v>
      </c>
      <c r="C235">
        <f>C227+C227-3.5-C237*2</f>
        <v>20.5</v>
      </c>
      <c r="F235">
        <f>INT((VLOOKUP(A235,召唤物属性,6,FALSE)-
IF($B227&gt;10000,VLOOKUP($B227,实战属性,15,FALSE),VLOOKUP($B227,总基本属性,9,FALSE))*$L$13)*I235*J235)</f>
        <v>1964</v>
      </c>
      <c r="I235">
        <f>VLOOKUP($E230,技能升级,14,FALSE)</f>
        <v>3</v>
      </c>
      <c r="J235">
        <f>VLOOKUP(A227,$A$2:$H$21,8,FALSE)</f>
        <v>0.83899999999999997</v>
      </c>
    </row>
    <row r="236" spans="1:10" x14ac:dyDescent="0.15">
      <c r="A236">
        <v>204</v>
      </c>
      <c r="B236" t="s">
        <v>338</v>
      </c>
      <c r="C236">
        <v>3</v>
      </c>
    </row>
    <row r="237" spans="1:10" x14ac:dyDescent="0.15">
      <c r="B237" t="s">
        <v>342</v>
      </c>
      <c r="C237">
        <v>6</v>
      </c>
    </row>
    <row r="238" spans="1:10" x14ac:dyDescent="0.15">
      <c r="E238" t="s">
        <v>194</v>
      </c>
      <c r="F238">
        <f>SUM(F229:F233)/1000</f>
        <v>0</v>
      </c>
      <c r="G238">
        <f>SUM(G229:G233)/1000</f>
        <v>7.5519999999999996</v>
      </c>
      <c r="H238">
        <f>SUM(H229:H232)</f>
        <v>1470</v>
      </c>
      <c r="I238" t="s">
        <v>196</v>
      </c>
      <c r="J238" t="s">
        <v>197</v>
      </c>
    </row>
    <row r="239" spans="1:10" x14ac:dyDescent="0.15">
      <c r="E239" t="s">
        <v>195</v>
      </c>
      <c r="F239">
        <f>INT((IF($A227&gt;10000,VLOOKUP($A227,实战属性,13,FALSE),VLOOKUP($A227,总基本属性,7,FALSE))-
IF($B227&gt;10000,VLOOKUP($B227,实战属性,15,FALSE),VLOOKUP($B227,总基本属性,9,FALSE))*$L$13)*F238)</f>
        <v>0</v>
      </c>
      <c r="G239">
        <f>INT((IF($A227&gt;10000,VLOOKUP($A227,实战属性,14,FALSE),VLOOKUP($A227,总基本属性,8,FALSE))-
IF($B227&gt;10000,VLOOKUP($B227,实战属性,16,FALSE),VLOOKUP($B227,总基本属性,10,FALSE))*$L$13)*G238)</f>
        <v>19790</v>
      </c>
      <c r="H239">
        <f>H238+F239+G239</f>
        <v>21260</v>
      </c>
      <c r="I239">
        <f>IF($B227&gt;10000,VLOOKUP($B227,实战属性,12,FALSE),VLOOKUP($B227,总基本属性,6,FALSE))</f>
        <v>94932</v>
      </c>
      <c r="J239">
        <f>ROUND(I239/H240,2)</f>
        <v>0.97</v>
      </c>
    </row>
    <row r="240" spans="1:10" x14ac:dyDescent="0.15">
      <c r="E240" t="s">
        <v>376</v>
      </c>
      <c r="F240">
        <f>INT(F235*C235)</f>
        <v>40262</v>
      </c>
      <c r="G240">
        <f>INT(G234*C234)</f>
        <v>36100</v>
      </c>
      <c r="H240">
        <f>F240+G240+H239</f>
        <v>97622</v>
      </c>
    </row>
    <row r="244" spans="1:10" x14ac:dyDescent="0.15">
      <c r="A244" s="8" t="s">
        <v>4</v>
      </c>
      <c r="B244" s="8" t="s">
        <v>5</v>
      </c>
      <c r="C244" s="8" t="s">
        <v>178</v>
      </c>
      <c r="D244" s="8" t="s">
        <v>0</v>
      </c>
    </row>
    <row r="245" spans="1:10" x14ac:dyDescent="0.15">
      <c r="A245">
        <f>A214+10</f>
        <v>3080</v>
      </c>
      <c r="B245">
        <f>B214+10</f>
        <v>4080</v>
      </c>
      <c r="C245">
        <v>17</v>
      </c>
      <c r="D245">
        <f>MOD(A245,1000)</f>
        <v>80</v>
      </c>
    </row>
    <row r="246" spans="1:10" x14ac:dyDescent="0.15">
      <c r="A246" t="s">
        <v>156</v>
      </c>
      <c r="B246" t="s">
        <v>95</v>
      </c>
      <c r="C246" t="s">
        <v>142</v>
      </c>
      <c r="D246" t="s">
        <v>143</v>
      </c>
      <c r="E246" t="s">
        <v>182</v>
      </c>
      <c r="F246" t="s">
        <v>192</v>
      </c>
      <c r="G246" t="s">
        <v>193</v>
      </c>
      <c r="H246" t="s">
        <v>176</v>
      </c>
      <c r="I246" t="s">
        <v>205</v>
      </c>
      <c r="J246" t="s">
        <v>206</v>
      </c>
    </row>
    <row r="247" spans="1:10" x14ac:dyDescent="0.15">
      <c r="A247">
        <v>32</v>
      </c>
      <c r="B247" t="s">
        <v>26</v>
      </c>
      <c r="C247">
        <f>INT(C245/(VLOOKUP(A247,技能参数,5,FALSE)+2*VLOOKUP(A247,技能参数,4,FALSE))+3)</f>
        <v>3</v>
      </c>
      <c r="D247">
        <f>VLOOKUP(A247,技能参数,4,FALSE)</f>
        <v>1</v>
      </c>
      <c r="E247">
        <f>IFERROR(VLOOKUP(A247*1000+D245,学习等级编码,2),0)</f>
        <v>3208</v>
      </c>
      <c r="F247">
        <f>IFERROR(INT(VLOOKUP($E247,技能升级,9,FALSE)*$C247*I247*J247),0)</f>
        <v>0</v>
      </c>
      <c r="G247">
        <f>IFERROR(INT(VLOOKUP($E247,技能升级,10,FALSE)*$C247*I247*J247),0)</f>
        <v>4590</v>
      </c>
      <c r="H247">
        <f>INT(VLOOKUP($E247,技能升级,11,FALSE)*$C247*I247*J247)</f>
        <v>1299</v>
      </c>
      <c r="I247">
        <v>1</v>
      </c>
      <c r="J247">
        <v>1</v>
      </c>
    </row>
    <row r="248" spans="1:10" x14ac:dyDescent="0.15">
      <c r="A248">
        <v>34</v>
      </c>
      <c r="B248" t="s">
        <v>34</v>
      </c>
      <c r="C248">
        <f>INT(C245/(VLOOKUP(A248,技能参数,5,FALSE)+2*VLOOKUP(A248,技能参数,4,FALSE))+1)</f>
        <v>1</v>
      </c>
      <c r="D248">
        <f>VLOOKUP(A248,技能参数,4,FALSE)</f>
        <v>1.5</v>
      </c>
      <c r="E248">
        <f>IFERROR(VLOOKUP(A248*1000+D245,学习等级编码,2),0)</f>
        <v>3408</v>
      </c>
      <c r="F248">
        <f>IFERROR(INT(VLOOKUP($E248,技能升级,9,FALSE)*$C248*I248*J248),0)</f>
        <v>2080</v>
      </c>
      <c r="G248">
        <f>IFERROR(INT(VLOOKUP($E248,技能升级,10,FALSE)*$C248*I248*J248),0)</f>
        <v>0</v>
      </c>
      <c r="H248">
        <f>INT(VLOOKUP($E248,技能升级,11,FALSE)*$C248*I248*J248)</f>
        <v>490</v>
      </c>
      <c r="I248">
        <v>1</v>
      </c>
      <c r="J248">
        <v>1</v>
      </c>
    </row>
    <row r="249" spans="1:10" x14ac:dyDescent="0.15">
      <c r="A249">
        <v>35</v>
      </c>
      <c r="B249" t="s">
        <v>28</v>
      </c>
      <c r="C249">
        <v>3</v>
      </c>
      <c r="D249">
        <f>VLOOKUP(A249,技能参数,4,FALSE)</f>
        <v>2</v>
      </c>
      <c r="E249">
        <f>IFERROR(VLOOKUP(A249*1000+D245,学习等级编码,2),0)</f>
        <v>3505</v>
      </c>
      <c r="F249">
        <f>IFERROR(INT(VLOOKUP($E249,技能升级,9,FALSE)*$C249*I249*J249),0)</f>
        <v>8010</v>
      </c>
      <c r="G249">
        <f>IFERROR(INT(VLOOKUP($E249,技能升级,10,FALSE)*$C249*I249*J249),0)</f>
        <v>0</v>
      </c>
      <c r="H249">
        <f>INT(VLOOKUP($E249,技能升级,11,FALSE)*$C249*I249*J249)</f>
        <v>1263</v>
      </c>
      <c r="I249">
        <v>1</v>
      </c>
      <c r="J249">
        <v>1</v>
      </c>
    </row>
    <row r="250" spans="1:10" x14ac:dyDescent="0.15">
      <c r="A250">
        <v>31</v>
      </c>
      <c r="B250" t="s">
        <v>91</v>
      </c>
      <c r="C250">
        <f>INT((C245-C247*D247-C248*D248-C249*D249-C252-C253)/D250)</f>
        <v>8</v>
      </c>
      <c r="D250">
        <f>VLOOKUP(A250,技能参数,4,FALSE)</f>
        <v>0.8</v>
      </c>
      <c r="E250">
        <f>IFERROR(VLOOKUP(A250*1000+D245,学习等级编码,2),0)</f>
        <v>3112</v>
      </c>
      <c r="F250">
        <f>IFERROR(INT(VLOOKUP($E250,技能升级,9,FALSE)*$C250*I250*J250),0)</f>
        <v>9920</v>
      </c>
      <c r="G250">
        <f>IFERROR(INT(VLOOKUP($E250,技能升级,10,FALSE)*$C250*I250*J250),0)</f>
        <v>0</v>
      </c>
      <c r="H250">
        <f>INT(VLOOKUP($E250,技能升级,11,FALSE)*$C250*I250*J250)</f>
        <v>3896</v>
      </c>
      <c r="I250">
        <v>1</v>
      </c>
      <c r="J250">
        <v>1</v>
      </c>
    </row>
    <row r="251" spans="1:10" x14ac:dyDescent="0.15">
      <c r="A251">
        <v>203</v>
      </c>
      <c r="B251" t="s">
        <v>340</v>
      </c>
      <c r="C251">
        <f>INT((C245)/3)</f>
        <v>5</v>
      </c>
      <c r="D251">
        <v>0</v>
      </c>
      <c r="E251">
        <f>IFERROR(VLOOKUP(A251*1000+D245,学习等级编码,2),0)</f>
        <v>20308</v>
      </c>
      <c r="F251">
        <f>IFERROR(INT(VLOOKUP($E251,技能升级,9,FALSE)*$C251*I251*J251),0)</f>
        <v>0</v>
      </c>
      <c r="G251">
        <f>IFERROR(INT(VLOOKUP($E251,技能升级,10,FALSE)*$C251*I251*J251),0)</f>
        <v>0</v>
      </c>
      <c r="H251">
        <f>INT((VLOOKUP(E251,技能升级,13,FALSE)*(VLOOKUP(C251,中毒数据,4)+MOD(C245,3)*VLOOKUP(C251+1,中毒数据,3))+VLOOKUP(E251,技能升级,14,FALSE)/1000*C251*IF($B245&gt;10000,VLOOKUP($B245,实战属性,12,FALSE),VLOOKUP($B245,总基本属性,6,FALSE)))*I251*J251)</f>
        <v>27797</v>
      </c>
      <c r="I251">
        <v>1</v>
      </c>
      <c r="J251">
        <v>1</v>
      </c>
    </row>
    <row r="252" spans="1:10" x14ac:dyDescent="0.15">
      <c r="E252" t="s">
        <v>194</v>
      </c>
      <c r="F252">
        <f>SUM(F247:F251)/1000</f>
        <v>20.010000000000002</v>
      </c>
      <c r="G252">
        <f>SUM(G247:G251)/1000</f>
        <v>4.59</v>
      </c>
      <c r="H252">
        <f>SUM(H247:H251)</f>
        <v>34745</v>
      </c>
      <c r="I252" t="s">
        <v>196</v>
      </c>
      <c r="J252" t="s">
        <v>197</v>
      </c>
    </row>
    <row r="253" spans="1:10" x14ac:dyDescent="0.15">
      <c r="E253" t="s">
        <v>195</v>
      </c>
      <c r="F253">
        <f>INT((IF($A245&gt;10000,VLOOKUP($A245,实战属性,13,FALSE),VLOOKUP($A245,总基本属性,7,FALSE))-
IF($B245&gt;10000,VLOOKUP($B245,实战属性,15,FALSE),VLOOKUP($B245,总基本属性,9,FALSE))*$L$13)*F252)</f>
        <v>59029</v>
      </c>
      <c r="G253">
        <f>INT((IF($A245&gt;10000,VLOOKUP($A245,实战属性,14,FALSE),VLOOKUP($A245,总基本属性,8,FALSE))-
IF($B245&gt;10000,VLOOKUP($B245,实战属性,16,FALSE),VLOOKUP($B245,总基本属性,10,FALSE))*$L$13)*G252)</f>
        <v>13540</v>
      </c>
      <c r="H253">
        <f>H252+F253+G253</f>
        <v>107314</v>
      </c>
      <c r="I253">
        <f>IF($B245&gt;10000,VLOOKUP($B245,实战属性,12,FALSE),VLOOKUP($B245,总基本属性,6,FALSE))</f>
        <v>102330</v>
      </c>
      <c r="J253">
        <f>ROUND(I253/H253,2)</f>
        <v>0.95</v>
      </c>
    </row>
    <row r="257" spans="1:10" x14ac:dyDescent="0.15">
      <c r="A257" s="9" t="s">
        <v>5</v>
      </c>
      <c r="B257" s="9" t="s">
        <v>4</v>
      </c>
      <c r="C257" s="9" t="s">
        <v>178</v>
      </c>
      <c r="D257" s="9" t="s">
        <v>0</v>
      </c>
      <c r="G257" t="s">
        <v>445</v>
      </c>
      <c r="H257">
        <f>INT(I270/J270/C258)</f>
        <v>6594</v>
      </c>
      <c r="I257" t="s">
        <v>446</v>
      </c>
      <c r="J257">
        <f>ROUND(I263/H257,1)</f>
        <v>1.9</v>
      </c>
    </row>
    <row r="258" spans="1:10" x14ac:dyDescent="0.15">
      <c r="A258">
        <f t="shared" ref="A258:B258" si="36">A227+10</f>
        <v>4080</v>
      </c>
      <c r="B258">
        <f t="shared" si="36"/>
        <v>3080</v>
      </c>
      <c r="C258">
        <v>19</v>
      </c>
      <c r="D258">
        <f>MOD(A258,1000)</f>
        <v>80</v>
      </c>
      <c r="I258" t="s">
        <v>383</v>
      </c>
      <c r="J258">
        <f>VLOOKUP(D258,召唤物生存,12)</f>
        <v>10.64</v>
      </c>
    </row>
    <row r="259" spans="1:10" x14ac:dyDescent="0.15">
      <c r="A259" t="s">
        <v>156</v>
      </c>
      <c r="B259" t="s">
        <v>95</v>
      </c>
      <c r="C259" t="s">
        <v>177</v>
      </c>
      <c r="D259" t="s">
        <v>143</v>
      </c>
      <c r="E259" t="s">
        <v>182</v>
      </c>
      <c r="F259" t="s">
        <v>192</v>
      </c>
      <c r="G259" t="s">
        <v>193</v>
      </c>
      <c r="H259" t="s">
        <v>176</v>
      </c>
      <c r="I259" t="s">
        <v>205</v>
      </c>
      <c r="J259" t="s">
        <v>206</v>
      </c>
    </row>
    <row r="260" spans="1:10" x14ac:dyDescent="0.15">
      <c r="A260">
        <v>42</v>
      </c>
      <c r="B260" t="s">
        <v>35</v>
      </c>
      <c r="C260">
        <v>1</v>
      </c>
      <c r="D260">
        <f>VLOOKUP(A260,技能参数,4,FALSE)</f>
        <v>1</v>
      </c>
      <c r="E260">
        <f>IFERROR(VLOOKUP(A260*1000+D258,学习等级编码,2),0)</f>
        <v>4208</v>
      </c>
      <c r="F260">
        <f>IFERROR(INT(VLOOKUP($E260,技能升级,9,FALSE)*$C260*I260*J260),0)</f>
        <v>0</v>
      </c>
      <c r="G260">
        <f>IFERROR(INT(VLOOKUP($E260,技能升级,10,FALSE)*$C260*I260*J260),0)</f>
        <v>0</v>
      </c>
      <c r="H260">
        <f>INT(VLOOKUP($E260,技能升级,11,FALSE)*$C260*I260*J260)</f>
        <v>0</v>
      </c>
      <c r="I260">
        <v>1</v>
      </c>
      <c r="J260">
        <v>1</v>
      </c>
    </row>
    <row r="261" spans="1:10" x14ac:dyDescent="0.15">
      <c r="A261">
        <v>43</v>
      </c>
      <c r="B261" t="s">
        <v>36</v>
      </c>
      <c r="C261">
        <v>1</v>
      </c>
      <c r="D261">
        <f>VLOOKUP(A261,技能参数,4,FALSE)</f>
        <v>1</v>
      </c>
      <c r="E261">
        <f>IFERROR(VLOOKUP(A261*1000+D258,学习等级编码,2),0)</f>
        <v>4308</v>
      </c>
      <c r="F261">
        <f t="shared" ref="F261" si="37">IFERROR(INT(VLOOKUP($E261,技能升级,9,FALSE)*$C261*I261*J261),0)</f>
        <v>0</v>
      </c>
      <c r="G261">
        <f t="shared" ref="G261" si="38">IFERROR(INT(VLOOKUP($E261,技能升级,10,FALSE)*$C261*I261*J261),0)</f>
        <v>0</v>
      </c>
      <c r="H261">
        <f>INT(VLOOKUP($E261,技能升级,11,FALSE)*$C261*I261*J261)</f>
        <v>0</v>
      </c>
      <c r="I261">
        <v>1</v>
      </c>
      <c r="J261">
        <v>1</v>
      </c>
    </row>
    <row r="262" spans="1:10" x14ac:dyDescent="0.15">
      <c r="A262">
        <v>44</v>
      </c>
      <c r="B262" t="s">
        <v>38</v>
      </c>
      <c r="C262">
        <v>1</v>
      </c>
      <c r="D262">
        <f>IFERROR(INT(VLOOKUP($E262,技能升级,13,FALSE)),0)</f>
        <v>5</v>
      </c>
      <c r="E262">
        <f>IFERROR(VLOOKUP(A262*1000+D258,学习等级编码,2),0)</f>
        <v>4408</v>
      </c>
      <c r="F262">
        <f>IFERROR(INT(VLOOKUP($E262,技能升级,9,FALSE)*$C262*I262*J262),0)</f>
        <v>0</v>
      </c>
      <c r="G262">
        <f>IFERROR(INT(VLOOKUP($E262,技能升级,10,FALSE)*$D262*I262*J262),0)</f>
        <v>7289</v>
      </c>
      <c r="H262">
        <f>INT(VLOOKUP($E262,技能升级,11,FALSE)*$D262*I262*J262)</f>
        <v>1776</v>
      </c>
      <c r="I262">
        <v>1</v>
      </c>
      <c r="J262">
        <f>VLOOKUP(A258,$A$2:$H$21,7,FALSE)</f>
        <v>0.74</v>
      </c>
    </row>
    <row r="263" spans="1:10" x14ac:dyDescent="0.15">
      <c r="A263">
        <v>45</v>
      </c>
      <c r="B263" t="s">
        <v>37</v>
      </c>
      <c r="C263">
        <v>1</v>
      </c>
      <c r="D263">
        <f>VLOOKUP(A263,技能参数,4,FALSE)</f>
        <v>2</v>
      </c>
      <c r="E263">
        <f>IFERROR(VLOOKUP(A263*1000+D258,学习等级编码,2),0)</f>
        <v>4505</v>
      </c>
      <c r="F263">
        <f>IFERROR(INT(VLOOKUP($E263,技能升级,9,FALSE)*$C263*I263*J263),0)</f>
        <v>0</v>
      </c>
      <c r="G263">
        <f t="shared" ref="G263:G264" si="39">IFERROR(INT(VLOOKUP($E263,技能升级,10,FALSE)*$C263*I263*J263),0)</f>
        <v>0</v>
      </c>
      <c r="H263">
        <f>INT(VLOOKUP($E263,技能升级,11,FALSE)*$C263*I263*J263)</f>
        <v>0</v>
      </c>
      <c r="I263">
        <f>INT(VLOOKUP($E263,技能升级,13,FALSE)*$C263)</f>
        <v>12372</v>
      </c>
      <c r="J263">
        <v>1</v>
      </c>
    </row>
    <row r="264" spans="1:10" x14ac:dyDescent="0.15">
      <c r="A264">
        <v>41</v>
      </c>
      <c r="B264" t="s">
        <v>361</v>
      </c>
      <c r="C264">
        <f>IF(INT((C258-C260*D260-C261*D261-C262*D262-C263*D263-C267-C268)/D264)&gt;0,INT((C258-C260*D260-C261*D261-C262*D262-C263*D263-C267-C268)/D264),0)</f>
        <v>0</v>
      </c>
      <c r="D264">
        <f>VLOOKUP(A264,技能参数,4,FALSE)</f>
        <v>1.2</v>
      </c>
      <c r="E264">
        <f>IFERROR(VLOOKUP(A264*1000+D258,学习等级编码,2),0)</f>
        <v>4112</v>
      </c>
      <c r="F264">
        <f>IFERROR(INT(VLOOKUP($E264,技能升级,9,FALSE)*$C264*I264*J264),0)</f>
        <v>0</v>
      </c>
      <c r="G264">
        <f t="shared" si="39"/>
        <v>0</v>
      </c>
      <c r="H264">
        <f>INT(VLOOKUP($E264,技能升级,11,FALSE)*$C264*I264*J264)</f>
        <v>0</v>
      </c>
      <c r="I264">
        <v>1</v>
      </c>
      <c r="J264">
        <f>VLOOKUP(A258,$A$2:$H$21,7,FALSE)</f>
        <v>0.74</v>
      </c>
    </row>
    <row r="265" spans="1:10" x14ac:dyDescent="0.15">
      <c r="A265">
        <f>VLOOKUP(E260,技能升级,13,FALSE)</f>
        <v>108</v>
      </c>
      <c r="B265" t="s">
        <v>375</v>
      </c>
      <c r="C265">
        <f>C258+C258-3.5-C268*2</f>
        <v>22.5</v>
      </c>
      <c r="G265">
        <f>INT((VLOOKUP(A265,召唤物属性,7,FALSE)-
IF($B258&gt;10000,VLOOKUP($B258,实战属性,15,FALSE),VLOOKUP($B258,总基本属性,9,FALSE))*$L$13)*I265*J265)</f>
        <v>2078</v>
      </c>
      <c r="I265">
        <f>VLOOKUP($E260,技能升级,14,FALSE)</f>
        <v>2</v>
      </c>
      <c r="J265">
        <v>1</v>
      </c>
    </row>
    <row r="266" spans="1:10" x14ac:dyDescent="0.15">
      <c r="A266">
        <f>VLOOKUP(E261,技能升级,13,FALSE)</f>
        <v>208</v>
      </c>
      <c r="B266" t="s">
        <v>374</v>
      </c>
      <c r="C266">
        <f>C258+C258-3.5-C268*2</f>
        <v>22.5</v>
      </c>
      <c r="F266">
        <f>INT((VLOOKUP(A266,召唤物属性,6,FALSE)-
IF($B258&gt;10000,VLOOKUP($B258,实战属性,15,FALSE),VLOOKUP($B258,总基本属性,9,FALSE))*$L$13)*I266*J266)</f>
        <v>2355</v>
      </c>
      <c r="I266">
        <f>VLOOKUP($E261,技能升级,14,FALSE)</f>
        <v>4</v>
      </c>
      <c r="J266">
        <f>VLOOKUP(A258,$A$2:$H$21,8,FALSE)</f>
        <v>0.79699999999999993</v>
      </c>
    </row>
    <row r="267" spans="1:10" x14ac:dyDescent="0.15">
      <c r="A267">
        <v>204</v>
      </c>
      <c r="B267" t="s">
        <v>338</v>
      </c>
      <c r="C267">
        <v>3</v>
      </c>
    </row>
    <row r="268" spans="1:10" x14ac:dyDescent="0.15">
      <c r="B268" t="s">
        <v>342</v>
      </c>
      <c r="C268">
        <v>6</v>
      </c>
    </row>
    <row r="269" spans="1:10" x14ac:dyDescent="0.15">
      <c r="E269" t="s">
        <v>194</v>
      </c>
      <c r="F269">
        <f>SUM(F260:F264)/1000</f>
        <v>0</v>
      </c>
      <c r="G269">
        <f>SUM(G260:G264)/1000</f>
        <v>7.2889999999999997</v>
      </c>
      <c r="H269">
        <f>SUM(H260:H263)</f>
        <v>1776</v>
      </c>
      <c r="I269" t="s">
        <v>196</v>
      </c>
      <c r="J269" t="s">
        <v>197</v>
      </c>
    </row>
    <row r="270" spans="1:10" x14ac:dyDescent="0.15">
      <c r="E270" t="s">
        <v>195</v>
      </c>
      <c r="F270">
        <f>INT((IF($A258&gt;10000,VLOOKUP($A258,实战属性,13,FALSE),VLOOKUP($A258,总基本属性,7,FALSE))-
IF($B258&gt;10000,VLOOKUP($B258,实战属性,15,FALSE),VLOOKUP($B258,总基本属性,9,FALSE))*$L$13)*F269)</f>
        <v>0</v>
      </c>
      <c r="G270">
        <f>INT((IF($A258&gt;10000,VLOOKUP($A258,实战属性,14,FALSE),VLOOKUP($A258,总基本属性,8,FALSE))-
IF($B258&gt;10000,VLOOKUP($B258,实战属性,16,FALSE),VLOOKUP($B258,总基本属性,10,FALSE))*$L$13)*G269)</f>
        <v>23419</v>
      </c>
      <c r="H270">
        <f>H269+F270+G270</f>
        <v>25195</v>
      </c>
      <c r="I270">
        <f>IF($B258&gt;10000,VLOOKUP($B258,实战属性,12,FALSE),VLOOKUP($B258,总基本属性,6,FALSE))</f>
        <v>122796</v>
      </c>
      <c r="J270">
        <f>ROUND(I270/H271,2)</f>
        <v>0.98</v>
      </c>
    </row>
    <row r="271" spans="1:10" x14ac:dyDescent="0.15">
      <c r="E271" t="s">
        <v>376</v>
      </c>
      <c r="F271">
        <f>INT(F266*C266)</f>
        <v>52987</v>
      </c>
      <c r="G271">
        <f>INT(G265*C265)</f>
        <v>46755</v>
      </c>
      <c r="H271">
        <f>F271+G271+H270</f>
        <v>124937</v>
      </c>
    </row>
    <row r="275" spans="1:10" x14ac:dyDescent="0.15">
      <c r="A275" s="8" t="s">
        <v>4</v>
      </c>
      <c r="B275" s="8" t="s">
        <v>5</v>
      </c>
      <c r="C275" s="8" t="s">
        <v>178</v>
      </c>
      <c r="D275" s="8" t="s">
        <v>0</v>
      </c>
    </row>
    <row r="276" spans="1:10" x14ac:dyDescent="0.15">
      <c r="A276">
        <f>A245+10</f>
        <v>3090</v>
      </c>
      <c r="B276">
        <f>B245+10</f>
        <v>4090</v>
      </c>
      <c r="C276">
        <v>16</v>
      </c>
      <c r="D276">
        <f>MOD(A276,1000)</f>
        <v>90</v>
      </c>
    </row>
    <row r="277" spans="1:10" x14ac:dyDescent="0.15">
      <c r="A277" t="s">
        <v>156</v>
      </c>
      <c r="B277" t="s">
        <v>95</v>
      </c>
      <c r="C277" t="s">
        <v>142</v>
      </c>
      <c r="D277" t="s">
        <v>143</v>
      </c>
      <c r="E277" t="s">
        <v>182</v>
      </c>
      <c r="F277" t="s">
        <v>192</v>
      </c>
      <c r="G277" t="s">
        <v>193</v>
      </c>
      <c r="H277" t="s">
        <v>176</v>
      </c>
      <c r="I277" t="s">
        <v>205</v>
      </c>
      <c r="J277" t="s">
        <v>206</v>
      </c>
    </row>
    <row r="278" spans="1:10" x14ac:dyDescent="0.15">
      <c r="A278">
        <v>32</v>
      </c>
      <c r="B278" t="s">
        <v>26</v>
      </c>
      <c r="C278">
        <f>INT(C276/(VLOOKUP(A278,技能参数,5,FALSE)+2*VLOOKUP(A278,技能参数,4,FALSE))+3)</f>
        <v>3</v>
      </c>
      <c r="D278">
        <f>VLOOKUP(A278,技能参数,4,FALSE)</f>
        <v>1</v>
      </c>
      <c r="E278">
        <f>IFERROR(VLOOKUP(A278*1000+D276,学习等级编码,2),0)</f>
        <v>3209</v>
      </c>
      <c r="F278">
        <f>IFERROR(INT(VLOOKUP($E278,技能升级,9,FALSE)*$C278*I278*J278),0)</f>
        <v>0</v>
      </c>
      <c r="G278">
        <f>IFERROR(INT(VLOOKUP($E278,技能升级,10,FALSE)*$C278*I278*J278),0)</f>
        <v>4710</v>
      </c>
      <c r="H278">
        <f>INT(VLOOKUP($E278,技能升级,11,FALSE)*$C278*I278*J278)</f>
        <v>1656</v>
      </c>
      <c r="I278">
        <v>1</v>
      </c>
      <c r="J278">
        <v>1</v>
      </c>
    </row>
    <row r="279" spans="1:10" x14ac:dyDescent="0.15">
      <c r="A279">
        <v>34</v>
      </c>
      <c r="B279" t="s">
        <v>34</v>
      </c>
      <c r="C279">
        <f>INT(C276/(VLOOKUP(A279,技能参数,5,FALSE)+2*VLOOKUP(A279,技能参数,4,FALSE))+1)</f>
        <v>1</v>
      </c>
      <c r="D279">
        <f>VLOOKUP(A279,技能参数,4,FALSE)</f>
        <v>1.5</v>
      </c>
      <c r="E279">
        <f>IFERROR(VLOOKUP(A279*1000+D276,学习等级编码,2),0)</f>
        <v>3409</v>
      </c>
      <c r="F279">
        <f>IFERROR(INT(VLOOKUP($E279,技能升级,9,FALSE)*$C279*I279*J279),0)</f>
        <v>2170</v>
      </c>
      <c r="G279">
        <f>IFERROR(INT(VLOOKUP($E279,技能升级,10,FALSE)*$C279*I279*J279),0)</f>
        <v>0</v>
      </c>
      <c r="H279">
        <f>INT(VLOOKUP($E279,技能升级,11,FALSE)*$C279*I279*J279)</f>
        <v>615</v>
      </c>
      <c r="I279">
        <v>1</v>
      </c>
      <c r="J279">
        <v>1</v>
      </c>
    </row>
    <row r="280" spans="1:10" x14ac:dyDescent="0.15">
      <c r="A280">
        <v>35</v>
      </c>
      <c r="B280" t="s">
        <v>28</v>
      </c>
      <c r="C280">
        <v>3</v>
      </c>
      <c r="D280">
        <f>VLOOKUP(A280,技能参数,4,FALSE)</f>
        <v>2</v>
      </c>
      <c r="E280">
        <f>IFERROR(VLOOKUP(A280*1000+D276,学习等级编码,2),0)</f>
        <v>3506</v>
      </c>
      <c r="F280">
        <f>IFERROR(INT(VLOOKUP($E280,技能升级,9,FALSE)*$C280*I280*J280),0)</f>
        <v>8490</v>
      </c>
      <c r="G280">
        <f>IFERROR(INT(VLOOKUP($E280,技能升级,10,FALSE)*$C280*I280*J280),0)</f>
        <v>0</v>
      </c>
      <c r="H280">
        <f>INT(VLOOKUP($E280,技能升级,11,FALSE)*$C280*I280*J280)</f>
        <v>1836</v>
      </c>
      <c r="I280">
        <v>1</v>
      </c>
      <c r="J280">
        <v>1</v>
      </c>
    </row>
    <row r="281" spans="1:10" x14ac:dyDescent="0.15">
      <c r="A281">
        <v>31</v>
      </c>
      <c r="B281" t="s">
        <v>91</v>
      </c>
      <c r="C281">
        <f>INT((C276-C278*D278-C279*D279-C280*D280-C283-C284)/D281)</f>
        <v>6</v>
      </c>
      <c r="D281">
        <f>VLOOKUP(A281,技能参数,4,FALSE)</f>
        <v>0.8</v>
      </c>
      <c r="E281">
        <f>IFERROR(VLOOKUP(A281*1000+D276,学习等级编码,2),0)</f>
        <v>3114</v>
      </c>
      <c r="F281">
        <f>IFERROR(INT(VLOOKUP($E281,技能升级,9,FALSE)*$C281*I281*J281),0)</f>
        <v>7680</v>
      </c>
      <c r="G281">
        <f>IFERROR(INT(VLOOKUP($E281,技能升级,10,FALSE)*$C281*I281*J281),0)</f>
        <v>0</v>
      </c>
      <c r="H281">
        <f>INT(VLOOKUP($E281,技能升级,11,FALSE)*$C281*I281*J281)</f>
        <v>4002</v>
      </c>
      <c r="I281">
        <v>1</v>
      </c>
      <c r="J281">
        <v>1</v>
      </c>
    </row>
    <row r="282" spans="1:10" x14ac:dyDescent="0.15">
      <c r="A282">
        <v>203</v>
      </c>
      <c r="B282" t="s">
        <v>340</v>
      </c>
      <c r="C282">
        <f>INT((C276)/3)</f>
        <v>5</v>
      </c>
      <c r="D282">
        <v>0</v>
      </c>
      <c r="E282">
        <f>IFERROR(VLOOKUP(A282*1000+D276,学习等级编码,2),0)</f>
        <v>20309</v>
      </c>
      <c r="F282">
        <f>IFERROR(INT(VLOOKUP($E282,技能升级,9,FALSE)*$C282*I282*J282),0)</f>
        <v>0</v>
      </c>
      <c r="G282">
        <f>IFERROR(INT(VLOOKUP($E282,技能升级,10,FALSE)*$C282*I282*J282),0)</f>
        <v>0</v>
      </c>
      <c r="H282">
        <f>INT((VLOOKUP(E282,技能升级,13,FALSE)*(VLOOKUP(C282,中毒数据,4)+MOD(C276,3)*VLOOKUP(C282+1,中毒数据,3))+VLOOKUP(E282,技能升级,14,FALSE)/1000*C282*IF($B276&gt;10000,VLOOKUP($B276,实战属性,12,FALSE),VLOOKUP($B276,总基本属性,6,FALSE)))*I282*J282)</f>
        <v>34101</v>
      </c>
      <c r="I282">
        <v>1</v>
      </c>
      <c r="J282">
        <v>1</v>
      </c>
    </row>
    <row r="283" spans="1:10" x14ac:dyDescent="0.15">
      <c r="E283" t="s">
        <v>194</v>
      </c>
      <c r="F283">
        <f>SUM(F278:F282)/1000</f>
        <v>18.34</v>
      </c>
      <c r="G283">
        <f>SUM(G278:G282)/1000</f>
        <v>4.71</v>
      </c>
      <c r="H283">
        <f>SUM(H278:H282)</f>
        <v>42210</v>
      </c>
      <c r="I283" t="s">
        <v>196</v>
      </c>
      <c r="J283" t="s">
        <v>197</v>
      </c>
    </row>
    <row r="284" spans="1:10" x14ac:dyDescent="0.15">
      <c r="E284" t="s">
        <v>195</v>
      </c>
      <c r="F284">
        <f>INT((IF($A276&gt;10000,VLOOKUP($A276,实战属性,13,FALSE),VLOOKUP($A276,总基本属性,7,FALSE))-
IF($B276&gt;10000,VLOOKUP($B276,实战属性,15,FALSE),VLOOKUP($B276,总基本属性,9,FALSE))*$L$13)*F283)</f>
        <v>67775</v>
      </c>
      <c r="G284">
        <f>INT((IF($A276&gt;10000,VLOOKUP($A276,实战属性,14,FALSE),VLOOKUP($A276,总基本属性,8,FALSE))-
IF($B276&gt;10000,VLOOKUP($B276,实战属性,16,FALSE),VLOOKUP($B276,总基本属性,10,FALSE))*$L$13)*G283)</f>
        <v>17405</v>
      </c>
      <c r="H284">
        <f>H283+F284+G284</f>
        <v>127390</v>
      </c>
      <c r="I284">
        <f>IF($B276&gt;10000,VLOOKUP($B276,实战属性,12,FALSE),VLOOKUP($B276,总基本属性,6,FALSE))</f>
        <v>128610</v>
      </c>
      <c r="J284">
        <f>ROUND(I284/H284,2)</f>
        <v>1.01</v>
      </c>
    </row>
    <row r="288" spans="1:10" x14ac:dyDescent="0.15">
      <c r="A288" s="9" t="s">
        <v>5</v>
      </c>
      <c r="B288" s="9" t="s">
        <v>4</v>
      </c>
      <c r="C288" s="9" t="s">
        <v>178</v>
      </c>
      <c r="D288" s="9" t="s">
        <v>0</v>
      </c>
      <c r="G288" t="s">
        <v>445</v>
      </c>
      <c r="H288">
        <f>INT(I301/J301/C289)</f>
        <v>8122</v>
      </c>
      <c r="I288" t="s">
        <v>446</v>
      </c>
      <c r="J288">
        <f>ROUND(I294/H288,1)</f>
        <v>2.6</v>
      </c>
    </row>
    <row r="289" spans="1:10" x14ac:dyDescent="0.15">
      <c r="A289">
        <f t="shared" ref="A289:B289" si="40">A258+10</f>
        <v>4090</v>
      </c>
      <c r="B289">
        <f t="shared" si="40"/>
        <v>3090</v>
      </c>
      <c r="C289">
        <v>19</v>
      </c>
      <c r="D289">
        <f>MOD(A289,1000)</f>
        <v>90</v>
      </c>
      <c r="I289" t="s">
        <v>383</v>
      </c>
      <c r="J289">
        <f>VLOOKUP(D289,召唤物生存,12)</f>
        <v>10.72</v>
      </c>
    </row>
    <row r="290" spans="1:10" x14ac:dyDescent="0.15">
      <c r="A290" t="s">
        <v>156</v>
      </c>
      <c r="B290" t="s">
        <v>95</v>
      </c>
      <c r="C290" t="s">
        <v>177</v>
      </c>
      <c r="D290" t="s">
        <v>143</v>
      </c>
      <c r="E290" t="s">
        <v>182</v>
      </c>
      <c r="F290" t="s">
        <v>192</v>
      </c>
      <c r="G290" t="s">
        <v>193</v>
      </c>
      <c r="H290" t="s">
        <v>176</v>
      </c>
      <c r="I290" t="s">
        <v>205</v>
      </c>
      <c r="J290" t="s">
        <v>206</v>
      </c>
    </row>
    <row r="291" spans="1:10" x14ac:dyDescent="0.15">
      <c r="A291">
        <v>42</v>
      </c>
      <c r="B291" t="s">
        <v>35</v>
      </c>
      <c r="C291">
        <v>1</v>
      </c>
      <c r="D291">
        <f>VLOOKUP(A291,技能参数,4,FALSE)</f>
        <v>1</v>
      </c>
      <c r="E291">
        <f>IFERROR(VLOOKUP(A291*1000+D289,学习等级编码,2),0)</f>
        <v>4209</v>
      </c>
      <c r="F291">
        <f>IFERROR(INT(VLOOKUP($E291,技能升级,9,FALSE)*$C291*I291*J291),0)</f>
        <v>0</v>
      </c>
      <c r="G291">
        <f>IFERROR(INT(VLOOKUP($E291,技能升级,10,FALSE)*$C291*I291*J291),0)</f>
        <v>0</v>
      </c>
      <c r="H291">
        <f>INT(VLOOKUP($E291,技能升级,11,FALSE)*$C291*I291*J291)</f>
        <v>0</v>
      </c>
      <c r="I291">
        <v>1</v>
      </c>
      <c r="J291">
        <v>1</v>
      </c>
    </row>
    <row r="292" spans="1:10" x14ac:dyDescent="0.15">
      <c r="A292">
        <v>43</v>
      </c>
      <c r="B292" t="s">
        <v>36</v>
      </c>
      <c r="C292">
        <v>1</v>
      </c>
      <c r="D292">
        <f>VLOOKUP(A292,技能参数,4,FALSE)</f>
        <v>1</v>
      </c>
      <c r="E292">
        <f>IFERROR(VLOOKUP(A292*1000+D289,学习等级编码,2),0)</f>
        <v>4309</v>
      </c>
      <c r="F292">
        <f t="shared" ref="F292" si="41">IFERROR(INT(VLOOKUP($E292,技能升级,9,FALSE)*$C292*I292*J292),0)</f>
        <v>0</v>
      </c>
      <c r="G292">
        <f t="shared" ref="G292" si="42">IFERROR(INT(VLOOKUP($E292,技能升级,10,FALSE)*$C292*I292*J292),0)</f>
        <v>0</v>
      </c>
      <c r="H292">
        <f>INT(VLOOKUP($E292,技能升级,11,FALSE)*$C292*I292*J292)</f>
        <v>0</v>
      </c>
      <c r="I292">
        <v>1</v>
      </c>
      <c r="J292">
        <v>1</v>
      </c>
    </row>
    <row r="293" spans="1:10" x14ac:dyDescent="0.15">
      <c r="A293">
        <v>44</v>
      </c>
      <c r="B293" t="s">
        <v>38</v>
      </c>
      <c r="C293">
        <v>1</v>
      </c>
      <c r="D293">
        <f>IFERROR(INT(VLOOKUP($E293,技能升级,13,FALSE)),0)</f>
        <v>6</v>
      </c>
      <c r="E293">
        <f>IFERROR(VLOOKUP(A293*1000+D289,学习等级编码,2),0)</f>
        <v>4409</v>
      </c>
      <c r="F293">
        <f>IFERROR(INT(VLOOKUP($E293,技能升级,9,FALSE)*$C293*I293*J293),0)</f>
        <v>0</v>
      </c>
      <c r="G293">
        <f>IFERROR(INT(VLOOKUP($E293,技能升级,10,FALSE)*$D293*I293*J293),0)</f>
        <v>8160</v>
      </c>
      <c r="H293">
        <f>INT(VLOOKUP($E293,技能升级,11,FALSE)*$D293*I293*J293)</f>
        <v>2432</v>
      </c>
      <c r="I293">
        <v>1</v>
      </c>
      <c r="J293">
        <f>VLOOKUP(A289,$A$2:$H$21,7,FALSE)</f>
        <v>0.67</v>
      </c>
    </row>
    <row r="294" spans="1:10" x14ac:dyDescent="0.15">
      <c r="A294">
        <v>45</v>
      </c>
      <c r="B294" t="s">
        <v>37</v>
      </c>
      <c r="C294">
        <v>1</v>
      </c>
      <c r="D294">
        <f>VLOOKUP(A294,技能参数,4,FALSE)</f>
        <v>2</v>
      </c>
      <c r="E294">
        <f>IFERROR(VLOOKUP(A294*1000+D289,学习等级编码,2),0)</f>
        <v>4506</v>
      </c>
      <c r="F294">
        <f>IFERROR(INT(VLOOKUP($E294,技能升级,9,FALSE)*$C294*I294*J294),0)</f>
        <v>0</v>
      </c>
      <c r="G294">
        <f t="shared" ref="G294:G295" si="43">IFERROR(INT(VLOOKUP($E294,技能升级,10,FALSE)*$C294*I294*J294),0)</f>
        <v>0</v>
      </c>
      <c r="H294">
        <f>INT(VLOOKUP($E294,技能升级,11,FALSE)*$C294*I294*J294)</f>
        <v>0</v>
      </c>
      <c r="I294">
        <f>INT(VLOOKUP($E294,技能升级,13,FALSE)*$C294)</f>
        <v>21066</v>
      </c>
      <c r="J294">
        <v>1</v>
      </c>
    </row>
    <row r="295" spans="1:10" x14ac:dyDescent="0.15">
      <c r="A295">
        <v>41</v>
      </c>
      <c r="B295" t="s">
        <v>361</v>
      </c>
      <c r="C295">
        <f>IF(INT((C289-C291*D291-C292*D292-C293*D293-C294*D294-C298-C299)/D295)&gt;0,INT((C289-C291*D291-C292*D292-C293*D293-C294*D294-C298-C299)/D295),0)</f>
        <v>0</v>
      </c>
      <c r="D295">
        <f>VLOOKUP(A295,技能参数,4,FALSE)</f>
        <v>1.2</v>
      </c>
      <c r="E295">
        <f>IFERROR(VLOOKUP(A295*1000+D289,学习等级编码,2),0)</f>
        <v>4114</v>
      </c>
      <c r="F295">
        <f>IFERROR(INT(VLOOKUP($E295,技能升级,9,FALSE)*$C295*I295*J295),0)</f>
        <v>0</v>
      </c>
      <c r="G295">
        <f t="shared" si="43"/>
        <v>0</v>
      </c>
      <c r="H295">
        <f>INT(VLOOKUP($E295,技能升级,11,FALSE)*$C295*I295*J295)</f>
        <v>0</v>
      </c>
      <c r="I295">
        <v>1</v>
      </c>
      <c r="J295">
        <f>VLOOKUP(A289,$A$2:$H$21,7,FALSE)</f>
        <v>0.67</v>
      </c>
    </row>
    <row r="296" spans="1:10" x14ac:dyDescent="0.15">
      <c r="A296">
        <f>VLOOKUP(E291,技能升级,13,FALSE)</f>
        <v>109</v>
      </c>
      <c r="B296" t="s">
        <v>375</v>
      </c>
      <c r="C296">
        <f>C289+C289-3.5-C299*2</f>
        <v>22.5</v>
      </c>
      <c r="G296">
        <f>INT((VLOOKUP(A296,召唤物属性,7,FALSE)-
IF($B289&gt;10000,VLOOKUP($B289,实战属性,15,FALSE),VLOOKUP($B289,总基本属性,9,FALSE))*$L$13)*I296*J296)</f>
        <v>2497</v>
      </c>
      <c r="I296">
        <f>VLOOKUP($E291,技能升级,14,FALSE)</f>
        <v>2</v>
      </c>
      <c r="J296">
        <v>1</v>
      </c>
    </row>
    <row r="297" spans="1:10" x14ac:dyDescent="0.15">
      <c r="A297">
        <f>VLOOKUP(E292,技能升级,13,FALSE)</f>
        <v>209</v>
      </c>
      <c r="B297" t="s">
        <v>374</v>
      </c>
      <c r="C297">
        <f>C289+C289-3.5-C299*2</f>
        <v>22.5</v>
      </c>
      <c r="F297">
        <f>INT((VLOOKUP(A297,召唤物属性,6,FALSE)-
IF($B289&gt;10000,VLOOKUP($B289,实战属性,15,FALSE),VLOOKUP($B289,总基本属性,9,FALSE))*$L$13)*I297*J297)</f>
        <v>2811</v>
      </c>
      <c r="I297">
        <f>VLOOKUP($E292,技能升级,14,FALSE)</f>
        <v>4</v>
      </c>
      <c r="J297">
        <f>VLOOKUP(A289,$A$2:$H$21,8,FALSE)</f>
        <v>0.74099999999999999</v>
      </c>
    </row>
    <row r="298" spans="1:10" x14ac:dyDescent="0.15">
      <c r="A298">
        <v>204</v>
      </c>
      <c r="B298" t="s">
        <v>338</v>
      </c>
      <c r="C298">
        <v>3</v>
      </c>
    </row>
    <row r="299" spans="1:10" x14ac:dyDescent="0.15">
      <c r="B299" t="s">
        <v>342</v>
      </c>
      <c r="C299">
        <v>6</v>
      </c>
    </row>
    <row r="300" spans="1:10" x14ac:dyDescent="0.15">
      <c r="E300" t="s">
        <v>194</v>
      </c>
      <c r="F300">
        <f>SUM(F291:F295)/1000</f>
        <v>0</v>
      </c>
      <c r="G300">
        <f>SUM(G291:G295)/1000</f>
        <v>8.16</v>
      </c>
      <c r="H300">
        <f>SUM(H291:H294)</f>
        <v>2432</v>
      </c>
      <c r="I300" t="s">
        <v>196</v>
      </c>
      <c r="J300" t="s">
        <v>197</v>
      </c>
    </row>
    <row r="301" spans="1:10" x14ac:dyDescent="0.15">
      <c r="E301" t="s">
        <v>195</v>
      </c>
      <c r="F301">
        <f>INT((IF($A289&gt;10000,VLOOKUP($A289,实战属性,13,FALSE),VLOOKUP($A289,总基本属性,7,FALSE))-
IF($B289&gt;10000,VLOOKUP($B289,实战属性,15,FALSE),VLOOKUP($B289,总基本属性,9,FALSE))*$L$13)*F300)</f>
        <v>0</v>
      </c>
      <c r="G301">
        <f>INT((IF($A289&gt;10000,VLOOKUP($A289,实战属性,14,FALSE),VLOOKUP($A289,总基本属性,8,FALSE))-
IF($B289&gt;10000,VLOOKUP($B289,实战属性,16,FALSE),VLOOKUP($B289,总基本属性,10,FALSE))*$L$13)*G300)</f>
        <v>32848</v>
      </c>
      <c r="H301">
        <f>H300+F301+G301</f>
        <v>35280</v>
      </c>
      <c r="I301">
        <f>IF($B289&gt;10000,VLOOKUP($B289,实战属性,12,FALSE),VLOOKUP($B289,总基本属性,6,FALSE))</f>
        <v>154332</v>
      </c>
      <c r="J301">
        <f>ROUND(I301/H302,2)</f>
        <v>1</v>
      </c>
    </row>
    <row r="302" spans="1:10" x14ac:dyDescent="0.15">
      <c r="E302" t="s">
        <v>376</v>
      </c>
      <c r="F302">
        <f>INT(F297*C297)</f>
        <v>63247</v>
      </c>
      <c r="G302">
        <f>INT(G296*C296)</f>
        <v>56182</v>
      </c>
      <c r="H302">
        <f>F302+G302+H301</f>
        <v>154709</v>
      </c>
    </row>
    <row r="306" spans="1:10" x14ac:dyDescent="0.15">
      <c r="A306" s="8" t="s">
        <v>4</v>
      </c>
      <c r="B306" s="8" t="s">
        <v>5</v>
      </c>
      <c r="C306" s="8" t="s">
        <v>178</v>
      </c>
      <c r="D306" s="8" t="s">
        <v>0</v>
      </c>
    </row>
    <row r="307" spans="1:10" x14ac:dyDescent="0.15">
      <c r="A307">
        <f>A276+10</f>
        <v>3100</v>
      </c>
      <c r="B307">
        <f>B276+10</f>
        <v>4100</v>
      </c>
      <c r="C307">
        <v>16</v>
      </c>
      <c r="D307">
        <f>MOD(A307,1000)</f>
        <v>100</v>
      </c>
    </row>
    <row r="308" spans="1:10" x14ac:dyDescent="0.15">
      <c r="A308" t="s">
        <v>156</v>
      </c>
      <c r="B308" t="s">
        <v>95</v>
      </c>
      <c r="C308" t="s">
        <v>142</v>
      </c>
      <c r="D308" t="s">
        <v>143</v>
      </c>
      <c r="E308" t="s">
        <v>182</v>
      </c>
      <c r="F308" t="s">
        <v>192</v>
      </c>
      <c r="G308" t="s">
        <v>193</v>
      </c>
      <c r="H308" t="s">
        <v>176</v>
      </c>
      <c r="I308" t="s">
        <v>205</v>
      </c>
      <c r="J308" t="s">
        <v>206</v>
      </c>
    </row>
    <row r="309" spans="1:10" x14ac:dyDescent="0.15">
      <c r="A309">
        <v>32</v>
      </c>
      <c r="B309" t="s">
        <v>26</v>
      </c>
      <c r="C309">
        <f>INT(C307/(VLOOKUP(A309,技能参数,5,FALSE)+2*VLOOKUP(A309,技能参数,4,FALSE))+3)</f>
        <v>3</v>
      </c>
      <c r="D309">
        <f>VLOOKUP(A309,技能参数,4,FALSE)</f>
        <v>1</v>
      </c>
      <c r="E309">
        <f>IFERROR(VLOOKUP(A309*1000+D307,学习等级编码,2),0)</f>
        <v>3210</v>
      </c>
      <c r="F309">
        <f>IFERROR(INT(VLOOKUP($E309,技能升级,9,FALSE)*$C309*I309*J309),0)</f>
        <v>0</v>
      </c>
      <c r="G309">
        <f>IFERROR(INT(VLOOKUP($E309,技能升级,10,FALSE)*$C309*I309*J309),0)</f>
        <v>4860</v>
      </c>
      <c r="H309">
        <f>INT(VLOOKUP($E309,技能升级,11,FALSE)*$C309*I309*J309)</f>
        <v>2058</v>
      </c>
      <c r="I309">
        <v>1</v>
      </c>
      <c r="J309">
        <v>1</v>
      </c>
    </row>
    <row r="310" spans="1:10" x14ac:dyDescent="0.15">
      <c r="A310">
        <v>34</v>
      </c>
      <c r="B310" t="s">
        <v>34</v>
      </c>
      <c r="C310">
        <f>INT(C307/(VLOOKUP(A310,技能参数,5,FALSE)+2*VLOOKUP(A310,技能参数,4,FALSE))+1)</f>
        <v>1</v>
      </c>
      <c r="D310">
        <f>VLOOKUP(A310,技能参数,4,FALSE)</f>
        <v>1.5</v>
      </c>
      <c r="E310">
        <f>IFERROR(VLOOKUP(A310*1000+D307,学习等级编码,2),0)</f>
        <v>3410</v>
      </c>
      <c r="F310">
        <f>IFERROR(INT(VLOOKUP($E310,技能升级,9,FALSE)*$C310*I310*J310),0)</f>
        <v>2250</v>
      </c>
      <c r="G310">
        <f>IFERROR(INT(VLOOKUP($E310,技能升级,10,FALSE)*$C310*I310*J310),0)</f>
        <v>0</v>
      </c>
      <c r="H310">
        <f>INT(VLOOKUP($E310,技能升级,11,FALSE)*$C310*I310*J310)</f>
        <v>755</v>
      </c>
      <c r="I310">
        <v>1</v>
      </c>
      <c r="J310">
        <v>1</v>
      </c>
    </row>
    <row r="311" spans="1:10" x14ac:dyDescent="0.15">
      <c r="A311">
        <v>35</v>
      </c>
      <c r="B311" t="s">
        <v>28</v>
      </c>
      <c r="C311">
        <v>3</v>
      </c>
      <c r="D311">
        <f>VLOOKUP(A311,技能参数,4,FALSE)</f>
        <v>2</v>
      </c>
      <c r="E311">
        <f>IFERROR(VLOOKUP(A311*1000+D307,学习等级编码,2),0)</f>
        <v>3507</v>
      </c>
      <c r="F311">
        <f>IFERROR(INT(VLOOKUP($E311,技能升级,9,FALSE)*$C311*I311*J311),0)</f>
        <v>9000</v>
      </c>
      <c r="G311">
        <f>IFERROR(INT(VLOOKUP($E311,技能升级,10,FALSE)*$C311*I311*J311),0)</f>
        <v>0</v>
      </c>
      <c r="H311">
        <f>INT(VLOOKUP($E311,技能升级,11,FALSE)*$C311*I311*J311)</f>
        <v>2517</v>
      </c>
      <c r="I311">
        <v>1</v>
      </c>
      <c r="J311">
        <v>1</v>
      </c>
    </row>
    <row r="312" spans="1:10" x14ac:dyDescent="0.15">
      <c r="A312">
        <v>31</v>
      </c>
      <c r="B312" t="s">
        <v>91</v>
      </c>
      <c r="C312">
        <f>INT((C307-C309*D309-C310*D310-C311*D311-C314-C315)/D312)</f>
        <v>6</v>
      </c>
      <c r="D312">
        <f>VLOOKUP(A312,技能参数,4,FALSE)</f>
        <v>0.8</v>
      </c>
      <c r="E312">
        <f>IFERROR(VLOOKUP(A312*1000+D307,学习等级编码,2),0)</f>
        <v>3115</v>
      </c>
      <c r="F312">
        <f>IFERROR(INT(VLOOKUP($E312,技能升级,9,FALSE)*$C312*I312*J312),0)</f>
        <v>7800</v>
      </c>
      <c r="G312">
        <f>IFERROR(INT(VLOOKUP($E312,技能升级,10,FALSE)*$C312*I312*J312),0)</f>
        <v>0</v>
      </c>
      <c r="H312">
        <f>INT(VLOOKUP($E312,技能升级,11,FALSE)*$C312*I312*J312)</f>
        <v>4614</v>
      </c>
      <c r="I312">
        <v>1</v>
      </c>
      <c r="J312">
        <v>1</v>
      </c>
    </row>
    <row r="313" spans="1:10" x14ac:dyDescent="0.15">
      <c r="A313">
        <v>203</v>
      </c>
      <c r="B313" t="s">
        <v>340</v>
      </c>
      <c r="C313">
        <f>INT((C307)/3)</f>
        <v>5</v>
      </c>
      <c r="D313">
        <v>0</v>
      </c>
      <c r="E313">
        <f>IFERROR(VLOOKUP(A313*1000+D307,学习等级编码,2),0)</f>
        <v>20310</v>
      </c>
      <c r="F313">
        <f>IFERROR(INT(VLOOKUP($E313,技能升级,9,FALSE)*$C313*I313*J313),0)</f>
        <v>0</v>
      </c>
      <c r="G313">
        <f>IFERROR(INT(VLOOKUP($E313,技能升级,10,FALSE)*$C313*I313*J313),0)</f>
        <v>0</v>
      </c>
      <c r="H313">
        <f>INT((VLOOKUP(E313,技能升级,13,FALSE)*(VLOOKUP(C313,中毒数据,4)+MOD(C307,3)*VLOOKUP(C313+1,中毒数据,3))+VLOOKUP(E313,技能升级,14,FALSE)/1000*C313*IF($B307&gt;10000,VLOOKUP($B307,实战属性,12,FALSE),VLOOKUP($B307,总基本属性,6,FALSE)))*I313*J313)</f>
        <v>44977</v>
      </c>
      <c r="I313">
        <v>1</v>
      </c>
      <c r="J313">
        <v>1</v>
      </c>
    </row>
    <row r="314" spans="1:10" x14ac:dyDescent="0.15">
      <c r="E314" t="s">
        <v>194</v>
      </c>
      <c r="F314">
        <f>SUM(F309:F313)/1000</f>
        <v>19.05</v>
      </c>
      <c r="G314">
        <f>SUM(G309:G313)/1000</f>
        <v>4.8600000000000003</v>
      </c>
      <c r="H314">
        <f>SUM(H309:H313)</f>
        <v>54921</v>
      </c>
      <c r="I314" t="s">
        <v>196</v>
      </c>
      <c r="J314" t="s">
        <v>197</v>
      </c>
    </row>
    <row r="315" spans="1:10" x14ac:dyDescent="0.15">
      <c r="E315" t="s">
        <v>195</v>
      </c>
      <c r="F315">
        <f>INT((IF($A307&gt;10000,VLOOKUP($A307,实战属性,13,FALSE),VLOOKUP($A307,总基本属性,7,FALSE))-
IF($B307&gt;10000,VLOOKUP($B307,实战属性,15,FALSE),VLOOKUP($B307,总基本属性,9,FALSE))*$L$13)*F314)</f>
        <v>86201</v>
      </c>
      <c r="G315">
        <f>INT((IF($A307&gt;10000,VLOOKUP($A307,实战属性,14,FALSE),VLOOKUP($A307,总基本属性,8,FALSE))-
IF($B307&gt;10000,VLOOKUP($B307,实战属性,16,FALSE),VLOOKUP($B307,总基本属性,10,FALSE))*$L$13)*G314)</f>
        <v>21991</v>
      </c>
      <c r="H315">
        <f>H314+F315+G315</f>
        <v>163113</v>
      </c>
      <c r="I315">
        <f>IF($B307&gt;10000,VLOOKUP($B307,实战属性,12,FALSE),VLOOKUP($B307,总基本属性,6,FALSE))</f>
        <v>157860</v>
      </c>
      <c r="J315">
        <f>ROUND(I315/H315,2)</f>
        <v>0.97</v>
      </c>
    </row>
    <row r="319" spans="1:10" x14ac:dyDescent="0.15">
      <c r="A319" s="9" t="s">
        <v>5</v>
      </c>
      <c r="B319" s="9" t="s">
        <v>4</v>
      </c>
      <c r="C319" s="9" t="s">
        <v>178</v>
      </c>
      <c r="D319" s="9" t="s">
        <v>0</v>
      </c>
      <c r="G319" t="s">
        <v>445</v>
      </c>
      <c r="H319">
        <f>INT(I332/J332/C320)</f>
        <v>9567</v>
      </c>
      <c r="I319" t="s">
        <v>446</v>
      </c>
      <c r="J319">
        <f>ROUND(I325/H319,1)</f>
        <v>3.4</v>
      </c>
    </row>
    <row r="320" spans="1:10" x14ac:dyDescent="0.15">
      <c r="A320">
        <f t="shared" ref="A320:B320" si="44">A289+10</f>
        <v>4100</v>
      </c>
      <c r="B320">
        <f t="shared" si="44"/>
        <v>3100</v>
      </c>
      <c r="C320">
        <v>20</v>
      </c>
      <c r="D320">
        <f>MOD(A320,1000)</f>
        <v>100</v>
      </c>
      <c r="I320" t="s">
        <v>383</v>
      </c>
      <c r="J320">
        <f>VLOOKUP(D320,召唤物生存,12)</f>
        <v>10.86</v>
      </c>
    </row>
    <row r="321" spans="1:10" x14ac:dyDescent="0.15">
      <c r="A321" t="s">
        <v>156</v>
      </c>
      <c r="B321" t="s">
        <v>95</v>
      </c>
      <c r="C321" t="s">
        <v>177</v>
      </c>
      <c r="D321" t="s">
        <v>143</v>
      </c>
      <c r="E321" t="s">
        <v>182</v>
      </c>
      <c r="F321" t="s">
        <v>192</v>
      </c>
      <c r="G321" t="s">
        <v>193</v>
      </c>
      <c r="H321" t="s">
        <v>176</v>
      </c>
      <c r="I321" t="s">
        <v>205</v>
      </c>
      <c r="J321" t="s">
        <v>206</v>
      </c>
    </row>
    <row r="322" spans="1:10" x14ac:dyDescent="0.15">
      <c r="A322">
        <v>42</v>
      </c>
      <c r="B322" t="s">
        <v>35</v>
      </c>
      <c r="C322">
        <v>1</v>
      </c>
      <c r="D322">
        <f>VLOOKUP(A322,技能参数,4,FALSE)</f>
        <v>1</v>
      </c>
      <c r="E322">
        <f>IFERROR(VLOOKUP(A322*1000+D320,学习等级编码,2),0)</f>
        <v>4210</v>
      </c>
      <c r="F322">
        <f>IFERROR(INT(VLOOKUP($E322,技能升级,9,FALSE)*$C322*I322*J322),0)</f>
        <v>0</v>
      </c>
      <c r="G322">
        <f>IFERROR(INT(VLOOKUP($E322,技能升级,10,FALSE)*$C322*I322*J322),0)</f>
        <v>0</v>
      </c>
      <c r="H322">
        <f>INT(VLOOKUP($E322,技能升级,11,FALSE)*$C322*I322*J322)</f>
        <v>0</v>
      </c>
      <c r="I322">
        <v>1</v>
      </c>
      <c r="J322">
        <v>1</v>
      </c>
    </row>
    <row r="323" spans="1:10" x14ac:dyDescent="0.15">
      <c r="A323">
        <v>43</v>
      </c>
      <c r="B323" t="s">
        <v>36</v>
      </c>
      <c r="C323">
        <v>1</v>
      </c>
      <c r="D323">
        <f>VLOOKUP(A323,技能参数,4,FALSE)</f>
        <v>1</v>
      </c>
      <c r="E323">
        <f>IFERROR(VLOOKUP(A323*1000+D320,学习等级编码,2),0)</f>
        <v>4310</v>
      </c>
      <c r="F323">
        <f t="shared" ref="F323" si="45">IFERROR(INT(VLOOKUP($E323,技能升级,9,FALSE)*$C323*I323*J323),0)</f>
        <v>0</v>
      </c>
      <c r="G323">
        <f t="shared" ref="G323" si="46">IFERROR(INT(VLOOKUP($E323,技能升级,10,FALSE)*$C323*I323*J323),0)</f>
        <v>0</v>
      </c>
      <c r="H323">
        <f>INT(VLOOKUP($E323,技能升级,11,FALSE)*$C323*I323*J323)</f>
        <v>0</v>
      </c>
      <c r="I323">
        <v>1</v>
      </c>
      <c r="J323">
        <v>1</v>
      </c>
    </row>
    <row r="324" spans="1:10" x14ac:dyDescent="0.15">
      <c r="A324">
        <v>44</v>
      </c>
      <c r="B324" t="s">
        <v>38</v>
      </c>
      <c r="C324">
        <v>1</v>
      </c>
      <c r="D324">
        <f>IFERROR(INT(VLOOKUP($E324,技能升级,13,FALSE)),0)</f>
        <v>6</v>
      </c>
      <c r="E324">
        <f>IFERROR(VLOOKUP(A324*1000+D320,学习等级编码,2),0)</f>
        <v>4410</v>
      </c>
      <c r="F324">
        <f>IFERROR(INT(VLOOKUP($E324,技能升级,9,FALSE)*$C324*I324*J324),0)</f>
        <v>0</v>
      </c>
      <c r="G324">
        <f>IFERROR(INT(VLOOKUP($E324,技能升级,10,FALSE)*$D324*I324*J324),0)</f>
        <v>7371</v>
      </c>
      <c r="H324">
        <f>INT(VLOOKUP($E324,技能升级,11,FALSE)*$D324*I324*J324)</f>
        <v>2614</v>
      </c>
      <c r="I324">
        <v>1</v>
      </c>
      <c r="J324">
        <f>VLOOKUP(A320,$A$2:$H$21,7,FALSE)</f>
        <v>0.58499999999999996</v>
      </c>
    </row>
    <row r="325" spans="1:10" x14ac:dyDescent="0.15">
      <c r="A325">
        <v>45</v>
      </c>
      <c r="B325" t="s">
        <v>37</v>
      </c>
      <c r="C325">
        <v>1</v>
      </c>
      <c r="D325">
        <f>VLOOKUP(A325,技能参数,4,FALSE)</f>
        <v>2</v>
      </c>
      <c r="E325">
        <f>IFERROR(VLOOKUP(A325*1000+D320,学习等级编码,2),0)</f>
        <v>4507</v>
      </c>
      <c r="F325">
        <f>IFERROR(INT(VLOOKUP($E325,技能升级,9,FALSE)*$C325*I325*J325),0)</f>
        <v>0</v>
      </c>
      <c r="G325">
        <f t="shared" ref="G325:G326" si="47">IFERROR(INT(VLOOKUP($E325,技能升级,10,FALSE)*$C325*I325*J325),0)</f>
        <v>0</v>
      </c>
      <c r="H325">
        <f>INT(VLOOKUP($E325,技能升级,11,FALSE)*$C325*I325*J325)</f>
        <v>0</v>
      </c>
      <c r="I325">
        <f>INT(VLOOKUP($E325,技能升级,13,FALSE)*$C325)</f>
        <v>32172</v>
      </c>
      <c r="J325">
        <v>1</v>
      </c>
    </row>
    <row r="326" spans="1:10" x14ac:dyDescent="0.15">
      <c r="A326">
        <v>41</v>
      </c>
      <c r="B326" t="s">
        <v>361</v>
      </c>
      <c r="C326">
        <f>IF(INT((C320-C322*D322-C323*D323-C324*D324-C325*D325-C329-C330)/D326)&gt;0,INT((C320-C322*D322-C323*D323-C324*D324-C325*D325-C329-C330)/D326),0)</f>
        <v>0</v>
      </c>
      <c r="D326">
        <f>VLOOKUP(A326,技能参数,4,FALSE)</f>
        <v>1.2</v>
      </c>
      <c r="E326">
        <f>IFERROR(VLOOKUP(A326*1000+D320,学习等级编码,2),0)</f>
        <v>4115</v>
      </c>
      <c r="F326">
        <f>IFERROR(INT(VLOOKUP($E326,技能升级,9,FALSE)*$C326*I326*J326),0)</f>
        <v>0</v>
      </c>
      <c r="G326">
        <f t="shared" si="47"/>
        <v>0</v>
      </c>
      <c r="H326">
        <f>INT(VLOOKUP($E326,技能升级,11,FALSE)*$C326*I326*J326)</f>
        <v>0</v>
      </c>
      <c r="I326">
        <v>1</v>
      </c>
      <c r="J326">
        <f>VLOOKUP(A320,$A$2:$H$21,7,FALSE)</f>
        <v>0.58499999999999996</v>
      </c>
    </row>
    <row r="327" spans="1:10" x14ac:dyDescent="0.15">
      <c r="A327">
        <f>VLOOKUP(E322,技能升级,13,FALSE)</f>
        <v>110</v>
      </c>
      <c r="B327" t="s">
        <v>375</v>
      </c>
      <c r="C327">
        <f>C320+C320-3.5-C330*2</f>
        <v>24.5</v>
      </c>
      <c r="G327">
        <f>INT((VLOOKUP(A327,召唤物属性,7,FALSE)-
IF($B320&gt;10000,VLOOKUP($B320,实战属性,15,FALSE),VLOOKUP($B320,总基本属性,9,FALSE))*$L$13)*I327*J327)</f>
        <v>2921</v>
      </c>
      <c r="I327">
        <f>VLOOKUP($E322,技能升级,14,FALSE)</f>
        <v>2</v>
      </c>
      <c r="J327">
        <v>1</v>
      </c>
    </row>
    <row r="328" spans="1:10" x14ac:dyDescent="0.15">
      <c r="A328">
        <f>VLOOKUP(E323,技能升级,13,FALSE)</f>
        <v>210</v>
      </c>
      <c r="B328" t="s">
        <v>374</v>
      </c>
      <c r="C328">
        <f>C320+C320-3.5-C330*2</f>
        <v>24.5</v>
      </c>
      <c r="F328">
        <f>INT((VLOOKUP(A328,召唤物属性,6,FALSE)-
IF($B320&gt;10000,VLOOKUP($B320,实战属性,15,FALSE),VLOOKUP($B320,总基本属性,9,FALSE))*$L$13)*I328*J328)</f>
        <v>3212</v>
      </c>
      <c r="I328">
        <f>VLOOKUP($E323,技能升级,14,FALSE)</f>
        <v>4</v>
      </c>
      <c r="J328">
        <f>VLOOKUP(A320,$A$2:$H$21,8,FALSE)</f>
        <v>0.69200000000000017</v>
      </c>
    </row>
    <row r="329" spans="1:10" x14ac:dyDescent="0.15">
      <c r="A329">
        <v>204</v>
      </c>
      <c r="B329" t="s">
        <v>338</v>
      </c>
      <c r="C329">
        <v>3</v>
      </c>
    </row>
    <row r="330" spans="1:10" x14ac:dyDescent="0.15">
      <c r="B330" t="s">
        <v>342</v>
      </c>
      <c r="C330">
        <v>6</v>
      </c>
    </row>
    <row r="331" spans="1:10" x14ac:dyDescent="0.15">
      <c r="E331" t="s">
        <v>194</v>
      </c>
      <c r="F331">
        <f>SUM(F322:F326)/1000</f>
        <v>0</v>
      </c>
      <c r="G331">
        <f>SUM(G322:G326)/1000</f>
        <v>7.3710000000000004</v>
      </c>
      <c r="H331">
        <f>SUM(H322:H325)</f>
        <v>2614</v>
      </c>
      <c r="I331" t="s">
        <v>196</v>
      </c>
      <c r="J331" t="s">
        <v>197</v>
      </c>
    </row>
    <row r="332" spans="1:10" x14ac:dyDescent="0.15">
      <c r="E332" t="s">
        <v>195</v>
      </c>
      <c r="F332">
        <f>INT((IF($A320&gt;10000,VLOOKUP($A320,实战属性,13,FALSE),VLOOKUP($A320,总基本属性,7,FALSE))-
IF($B320&gt;10000,VLOOKUP($B320,实战属性,15,FALSE),VLOOKUP($B320,总基本属性,9,FALSE))*$L$13)*F331)</f>
        <v>0</v>
      </c>
      <c r="G332">
        <f>INT((IF($A320&gt;10000,VLOOKUP($A320,实战属性,14,FALSE),VLOOKUP($A320,总基本属性,8,FALSE))-
IF($B320&gt;10000,VLOOKUP($B320,实战属性,16,FALSE),VLOOKUP($B320,总基本属性,10,FALSE))*$L$13)*G331)</f>
        <v>38185</v>
      </c>
      <c r="H332">
        <f>H331+F332+G332</f>
        <v>40799</v>
      </c>
      <c r="I332">
        <f>IF($B320&gt;10000,VLOOKUP($B320,实战属性,12,FALSE),VLOOKUP($B320,总基本属性,6,FALSE))</f>
        <v>189432</v>
      </c>
      <c r="J332">
        <f>ROUND(I332/H333,2)</f>
        <v>0.99</v>
      </c>
    </row>
    <row r="333" spans="1:10" x14ac:dyDescent="0.15">
      <c r="E333" t="s">
        <v>376</v>
      </c>
      <c r="F333">
        <f>INT(F328*C328)</f>
        <v>78694</v>
      </c>
      <c r="G333">
        <f>INT(G327*C327)</f>
        <v>71564</v>
      </c>
      <c r="H333">
        <f>F333+G333+H332</f>
        <v>191057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E23" sqref="E23"/>
    </sheetView>
  </sheetViews>
  <sheetFormatPr defaultRowHeight="13.5" x14ac:dyDescent="0.15"/>
  <cols>
    <col min="3" max="3" width="17.375" style="2" customWidth="1"/>
    <col min="4" max="4" width="19.375" bestFit="1" customWidth="1"/>
    <col min="5" max="5" width="20.5" bestFit="1" customWidth="1"/>
    <col min="6" max="6" width="53.875" customWidth="1"/>
    <col min="7" max="7" width="18.5" bestFit="1" customWidth="1"/>
    <col min="8" max="8" width="12.25" bestFit="1" customWidth="1"/>
  </cols>
  <sheetData>
    <row r="1" spans="1:9" x14ac:dyDescent="0.15">
      <c r="B1" t="s">
        <v>1</v>
      </c>
      <c r="C1" s="2" t="s">
        <v>75</v>
      </c>
    </row>
    <row r="2" spans="1:9" x14ac:dyDescent="0.15">
      <c r="A2">
        <v>1</v>
      </c>
      <c r="B2" t="s">
        <v>2</v>
      </c>
      <c r="C2" s="2">
        <v>100</v>
      </c>
      <c r="E2" t="s">
        <v>137</v>
      </c>
      <c r="F2" t="s">
        <v>138</v>
      </c>
    </row>
    <row r="3" spans="1:9" x14ac:dyDescent="0.15">
      <c r="A3">
        <v>2</v>
      </c>
      <c r="B3" t="s">
        <v>3</v>
      </c>
      <c r="C3" s="2">
        <v>0</v>
      </c>
      <c r="F3" t="s">
        <v>139</v>
      </c>
    </row>
    <row r="4" spans="1:9" x14ac:dyDescent="0.15">
      <c r="A4">
        <v>3</v>
      </c>
      <c r="B4" t="s">
        <v>4</v>
      </c>
      <c r="C4" s="2">
        <v>0</v>
      </c>
      <c r="F4" t="s">
        <v>140</v>
      </c>
    </row>
    <row r="5" spans="1:9" x14ac:dyDescent="0.15">
      <c r="A5">
        <v>4</v>
      </c>
      <c r="B5" t="s">
        <v>5</v>
      </c>
      <c r="C5" s="2">
        <v>150</v>
      </c>
    </row>
    <row r="6" spans="1:9" x14ac:dyDescent="0.15">
      <c r="A6">
        <v>5</v>
      </c>
      <c r="B6" t="s">
        <v>6</v>
      </c>
      <c r="C6" s="2">
        <v>80</v>
      </c>
    </row>
    <row r="11" spans="1:9" x14ac:dyDescent="0.15">
      <c r="A11" t="s">
        <v>8</v>
      </c>
      <c r="B11" t="s">
        <v>13</v>
      </c>
      <c r="C11" s="2" t="s">
        <v>56</v>
      </c>
      <c r="D11" t="s">
        <v>55</v>
      </c>
      <c r="E11" t="s">
        <v>79</v>
      </c>
      <c r="F11" t="s">
        <v>65</v>
      </c>
      <c r="G11" t="s">
        <v>57</v>
      </c>
      <c r="H11" t="s">
        <v>58</v>
      </c>
      <c r="I11" t="s">
        <v>214</v>
      </c>
    </row>
    <row r="12" spans="1:9" x14ac:dyDescent="0.15">
      <c r="A12">
        <v>1</v>
      </c>
      <c r="B12" t="s">
        <v>9</v>
      </c>
      <c r="C12" s="2" t="s">
        <v>64</v>
      </c>
      <c r="E12" t="s">
        <v>73</v>
      </c>
    </row>
    <row r="13" spans="1:9" x14ac:dyDescent="0.15">
      <c r="A13">
        <v>2</v>
      </c>
      <c r="B13" t="s">
        <v>10</v>
      </c>
      <c r="C13" s="2" t="s">
        <v>63</v>
      </c>
      <c r="D13" t="s">
        <v>59</v>
      </c>
      <c r="E13" t="s">
        <v>76</v>
      </c>
      <c r="F13" t="s">
        <v>89</v>
      </c>
      <c r="G13" t="s">
        <v>213</v>
      </c>
      <c r="H13" t="s">
        <v>66</v>
      </c>
      <c r="I13" t="s">
        <v>215</v>
      </c>
    </row>
    <row r="14" spans="1:9" x14ac:dyDescent="0.15">
      <c r="A14">
        <v>3</v>
      </c>
      <c r="B14" t="s">
        <v>11</v>
      </c>
      <c r="C14" s="2" t="s">
        <v>62</v>
      </c>
      <c r="G14" t="s">
        <v>212</v>
      </c>
      <c r="H14" t="s">
        <v>211</v>
      </c>
      <c r="I14" t="s">
        <v>247</v>
      </c>
    </row>
    <row r="15" spans="1:9" x14ac:dyDescent="0.15">
      <c r="A15">
        <v>4</v>
      </c>
      <c r="B15" t="s">
        <v>12</v>
      </c>
      <c r="C15" s="2" t="s">
        <v>63</v>
      </c>
      <c r="D15" t="s">
        <v>68</v>
      </c>
      <c r="E15" t="s">
        <v>80</v>
      </c>
      <c r="G15" t="s">
        <v>239</v>
      </c>
      <c r="H15" t="s">
        <v>240</v>
      </c>
    </row>
    <row r="16" spans="1:9" ht="30" customHeight="1" x14ac:dyDescent="0.15">
      <c r="B16" t="s">
        <v>81</v>
      </c>
      <c r="C16" s="10" t="s">
        <v>268</v>
      </c>
      <c r="D16" s="10"/>
      <c r="E16" s="10"/>
      <c r="F16" s="10"/>
      <c r="G16" s="10"/>
      <c r="H16" s="10"/>
    </row>
    <row r="21" spans="1:8" x14ac:dyDescent="0.15">
      <c r="A21" t="s">
        <v>18</v>
      </c>
      <c r="B21" t="s">
        <v>13</v>
      </c>
      <c r="C21" s="2" t="s">
        <v>56</v>
      </c>
      <c r="D21" t="s">
        <v>55</v>
      </c>
      <c r="E21" t="s">
        <v>79</v>
      </c>
      <c r="F21" t="s">
        <v>65</v>
      </c>
      <c r="G21" t="s">
        <v>57</v>
      </c>
      <c r="H21" t="s">
        <v>58</v>
      </c>
    </row>
    <row r="22" spans="1:8" x14ac:dyDescent="0.15">
      <c r="A22">
        <v>1</v>
      </c>
      <c r="B22" t="s">
        <v>22</v>
      </c>
      <c r="C22" s="2" t="s">
        <v>63</v>
      </c>
      <c r="D22" t="s">
        <v>60</v>
      </c>
      <c r="E22" t="s">
        <v>82</v>
      </c>
      <c r="F22" t="s">
        <v>84</v>
      </c>
    </row>
    <row r="23" spans="1:8" x14ac:dyDescent="0.15">
      <c r="A23">
        <v>2</v>
      </c>
      <c r="B23" t="s">
        <v>24</v>
      </c>
      <c r="C23" s="2" t="s">
        <v>63</v>
      </c>
      <c r="D23" t="s">
        <v>61</v>
      </c>
      <c r="E23" t="s">
        <v>82</v>
      </c>
      <c r="F23" t="s">
        <v>85</v>
      </c>
      <c r="G23" t="s">
        <v>408</v>
      </c>
    </row>
    <row r="24" spans="1:8" ht="27" x14ac:dyDescent="0.15">
      <c r="A24">
        <v>3</v>
      </c>
      <c r="B24" t="s">
        <v>25</v>
      </c>
      <c r="C24" s="2" t="s">
        <v>62</v>
      </c>
      <c r="F24" s="2" t="s">
        <v>255</v>
      </c>
    </row>
    <row r="25" spans="1:8" x14ac:dyDescent="0.15">
      <c r="A25">
        <v>4</v>
      </c>
      <c r="B25" t="s">
        <v>23</v>
      </c>
      <c r="C25" s="2" t="s">
        <v>63</v>
      </c>
      <c r="D25" t="s">
        <v>68</v>
      </c>
      <c r="E25" t="s">
        <v>82</v>
      </c>
      <c r="F25" t="s">
        <v>83</v>
      </c>
      <c r="G25" t="s">
        <v>409</v>
      </c>
    </row>
    <row r="26" spans="1:8" ht="28.5" customHeight="1" x14ac:dyDescent="0.15">
      <c r="B26" t="s">
        <v>81</v>
      </c>
      <c r="C26" s="10" t="s">
        <v>410</v>
      </c>
      <c r="D26" s="10"/>
      <c r="E26" s="10"/>
      <c r="F26" s="10"/>
      <c r="G26" s="10"/>
      <c r="H26" s="10"/>
    </row>
    <row r="31" spans="1:8" x14ac:dyDescent="0.15">
      <c r="A31" t="s">
        <v>19</v>
      </c>
      <c r="B31" t="s">
        <v>13</v>
      </c>
      <c r="C31" s="2" t="s">
        <v>56</v>
      </c>
      <c r="D31" t="s">
        <v>55</v>
      </c>
      <c r="E31" t="s">
        <v>79</v>
      </c>
      <c r="F31" t="s">
        <v>65</v>
      </c>
      <c r="G31" t="s">
        <v>57</v>
      </c>
      <c r="H31" t="s">
        <v>58</v>
      </c>
    </row>
    <row r="32" spans="1:8" x14ac:dyDescent="0.15">
      <c r="A32">
        <v>1</v>
      </c>
      <c r="B32" t="s">
        <v>26</v>
      </c>
      <c r="C32" s="2" t="s">
        <v>63</v>
      </c>
      <c r="D32" t="s">
        <v>71</v>
      </c>
      <c r="E32" t="s">
        <v>77</v>
      </c>
      <c r="G32" t="s">
        <v>129</v>
      </c>
    </row>
    <row r="33" spans="1:8" x14ac:dyDescent="0.15">
      <c r="A33">
        <v>2</v>
      </c>
      <c r="B33" t="s">
        <v>29</v>
      </c>
      <c r="C33" s="2" t="s">
        <v>62</v>
      </c>
      <c r="D33" t="s">
        <v>122</v>
      </c>
      <c r="F33" t="s">
        <v>123</v>
      </c>
      <c r="G33" t="s">
        <v>125</v>
      </c>
      <c r="H33" t="s">
        <v>403</v>
      </c>
    </row>
    <row r="34" spans="1:8" x14ac:dyDescent="0.15">
      <c r="A34">
        <v>3</v>
      </c>
      <c r="B34" t="s">
        <v>34</v>
      </c>
      <c r="C34" s="2" t="s">
        <v>63</v>
      </c>
      <c r="D34" t="s">
        <v>69</v>
      </c>
      <c r="E34" t="s">
        <v>80</v>
      </c>
      <c r="G34" t="s">
        <v>130</v>
      </c>
    </row>
    <row r="35" spans="1:8" x14ac:dyDescent="0.15">
      <c r="A35">
        <v>4</v>
      </c>
      <c r="B35" t="s">
        <v>28</v>
      </c>
      <c r="C35" s="2" t="s">
        <v>63</v>
      </c>
      <c r="D35" t="s">
        <v>70</v>
      </c>
      <c r="E35" t="s">
        <v>78</v>
      </c>
    </row>
    <row r="36" spans="1:8" ht="28.5" customHeight="1" x14ac:dyDescent="0.15">
      <c r="B36" t="s">
        <v>81</v>
      </c>
      <c r="C36" s="10" t="s">
        <v>127</v>
      </c>
      <c r="D36" s="10"/>
      <c r="E36" s="10"/>
      <c r="F36" s="10"/>
      <c r="G36" s="10"/>
      <c r="H36" s="10"/>
    </row>
    <row r="41" spans="1:8" x14ac:dyDescent="0.15">
      <c r="A41" t="s">
        <v>20</v>
      </c>
      <c r="B41" t="s">
        <v>13</v>
      </c>
      <c r="C41" s="2" t="s">
        <v>56</v>
      </c>
      <c r="D41" t="s">
        <v>55</v>
      </c>
      <c r="E41" t="s">
        <v>79</v>
      </c>
      <c r="F41" t="s">
        <v>65</v>
      </c>
      <c r="G41" t="s">
        <v>57</v>
      </c>
      <c r="H41" t="s">
        <v>58</v>
      </c>
    </row>
    <row r="42" spans="1:8" x14ac:dyDescent="0.15">
      <c r="A42">
        <v>1</v>
      </c>
      <c r="B42" t="s">
        <v>35</v>
      </c>
      <c r="C42" s="2" t="s">
        <v>63</v>
      </c>
      <c r="D42" t="s">
        <v>371</v>
      </c>
      <c r="E42" t="s">
        <v>88</v>
      </c>
      <c r="F42" t="s">
        <v>357</v>
      </c>
    </row>
    <row r="43" spans="1:8" x14ac:dyDescent="0.15">
      <c r="A43">
        <v>2</v>
      </c>
      <c r="B43" t="s">
        <v>36</v>
      </c>
      <c r="C43" s="2" t="s">
        <v>63</v>
      </c>
      <c r="D43" t="s">
        <v>371</v>
      </c>
      <c r="E43" t="s">
        <v>88</v>
      </c>
      <c r="F43" t="s">
        <v>357</v>
      </c>
    </row>
    <row r="44" spans="1:8" x14ac:dyDescent="0.15">
      <c r="A44">
        <v>3</v>
      </c>
      <c r="B44" t="s">
        <v>38</v>
      </c>
      <c r="C44" s="2" t="s">
        <v>64</v>
      </c>
      <c r="D44" t="s">
        <v>438</v>
      </c>
      <c r="E44" t="s">
        <v>86</v>
      </c>
      <c r="F44" t="s">
        <v>136</v>
      </c>
      <c r="G44" t="s">
        <v>126</v>
      </c>
    </row>
    <row r="45" spans="1:8" x14ac:dyDescent="0.15">
      <c r="A45">
        <v>4</v>
      </c>
      <c r="B45" t="s">
        <v>37</v>
      </c>
      <c r="C45" s="2" t="s">
        <v>63</v>
      </c>
      <c r="D45" t="s">
        <v>68</v>
      </c>
      <c r="E45" t="s">
        <v>87</v>
      </c>
      <c r="G45" t="s">
        <v>124</v>
      </c>
    </row>
    <row r="46" spans="1:8" ht="27" customHeight="1" x14ac:dyDescent="0.15">
      <c r="B46" t="s">
        <v>81</v>
      </c>
      <c r="C46" s="10" t="s">
        <v>372</v>
      </c>
      <c r="D46" s="10"/>
      <c r="E46" s="10"/>
      <c r="F46" s="10"/>
      <c r="G46" s="10"/>
      <c r="H46" s="10"/>
    </row>
    <row r="51" spans="1:8" x14ac:dyDescent="0.15">
      <c r="A51" t="s">
        <v>21</v>
      </c>
      <c r="B51" t="s">
        <v>13</v>
      </c>
      <c r="C51" s="2" t="s">
        <v>56</v>
      </c>
      <c r="D51" t="s">
        <v>55</v>
      </c>
      <c r="E51" t="s">
        <v>79</v>
      </c>
      <c r="F51" t="s">
        <v>65</v>
      </c>
      <c r="G51" t="s">
        <v>57</v>
      </c>
      <c r="H51" t="s">
        <v>58</v>
      </c>
    </row>
    <row r="52" spans="1:8" x14ac:dyDescent="0.15">
      <c r="A52">
        <v>1</v>
      </c>
      <c r="B52" t="s">
        <v>44</v>
      </c>
      <c r="C52" s="2" t="s">
        <v>63</v>
      </c>
      <c r="D52" t="s">
        <v>128</v>
      </c>
      <c r="E52" t="s">
        <v>131</v>
      </c>
      <c r="G52" t="s">
        <v>428</v>
      </c>
    </row>
    <row r="53" spans="1:8" x14ac:dyDescent="0.15">
      <c r="A53">
        <v>2</v>
      </c>
      <c r="B53" t="s">
        <v>39</v>
      </c>
      <c r="C53" s="2" t="s">
        <v>62</v>
      </c>
    </row>
    <row r="54" spans="1:8" x14ac:dyDescent="0.15">
      <c r="A54">
        <v>3</v>
      </c>
      <c r="B54" t="s">
        <v>40</v>
      </c>
      <c r="C54" s="2" t="s">
        <v>63</v>
      </c>
      <c r="D54" t="s">
        <v>72</v>
      </c>
      <c r="E54" t="s">
        <v>132</v>
      </c>
      <c r="G54" t="s">
        <v>427</v>
      </c>
    </row>
    <row r="55" spans="1:8" x14ac:dyDescent="0.15">
      <c r="A55">
        <v>4</v>
      </c>
      <c r="B55" t="s">
        <v>46</v>
      </c>
      <c r="C55" s="2" t="s">
        <v>62</v>
      </c>
      <c r="G55" t="s">
        <v>261</v>
      </c>
      <c r="H55" t="s">
        <v>262</v>
      </c>
    </row>
    <row r="56" spans="1:8" ht="28.5" customHeight="1" x14ac:dyDescent="0.15">
      <c r="B56" t="s">
        <v>81</v>
      </c>
      <c r="C56" s="10" t="s">
        <v>267</v>
      </c>
      <c r="D56" s="10"/>
      <c r="E56" s="10"/>
      <c r="F56" s="10"/>
      <c r="G56" s="10"/>
      <c r="H56" s="10"/>
    </row>
  </sheetData>
  <mergeCells count="5">
    <mergeCell ref="C16:H16"/>
    <mergeCell ref="C26:H26"/>
    <mergeCell ref="C36:H36"/>
    <mergeCell ref="C46:H46"/>
    <mergeCell ref="C56:H5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H20" sqref="H20"/>
    </sheetView>
  </sheetViews>
  <sheetFormatPr defaultRowHeight="13.5" x14ac:dyDescent="0.15"/>
  <cols>
    <col min="3" max="3" width="48.625" customWidth="1"/>
    <col min="4" max="4" width="12.125" bestFit="1" customWidth="1"/>
    <col min="5" max="5" width="9.25" customWidth="1"/>
  </cols>
  <sheetData>
    <row r="1" spans="1:19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2" spans="1:19" x14ac:dyDescent="0.15">
      <c r="A2" t="s">
        <v>164</v>
      </c>
      <c r="B2" t="s">
        <v>95</v>
      </c>
      <c r="C2" t="s">
        <v>97</v>
      </c>
      <c r="D2" t="s">
        <v>96</v>
      </c>
      <c r="E2" t="s">
        <v>134</v>
      </c>
      <c r="F2" t="s">
        <v>133</v>
      </c>
      <c r="G2" t="s">
        <v>165</v>
      </c>
      <c r="H2" t="s">
        <v>166</v>
      </c>
      <c r="I2" s="1" t="s">
        <v>162</v>
      </c>
      <c r="J2" s="1" t="s">
        <v>163</v>
      </c>
      <c r="K2" s="1" t="s">
        <v>150</v>
      </c>
      <c r="L2" s="1" t="s">
        <v>336</v>
      </c>
      <c r="M2" s="1" t="s">
        <v>168</v>
      </c>
      <c r="N2" s="1" t="s">
        <v>170</v>
      </c>
      <c r="O2" s="1" t="s">
        <v>171</v>
      </c>
      <c r="P2" s="1" t="s">
        <v>172</v>
      </c>
      <c r="Q2" s="1" t="s">
        <v>232</v>
      </c>
      <c r="R2" s="1" t="s">
        <v>251</v>
      </c>
      <c r="S2" s="1" t="s">
        <v>169</v>
      </c>
    </row>
    <row r="3" spans="1:19" x14ac:dyDescent="0.15">
      <c r="A3">
        <v>11</v>
      </c>
      <c r="B3" t="s">
        <v>94</v>
      </c>
      <c r="C3" t="s">
        <v>249</v>
      </c>
      <c r="D3">
        <v>1</v>
      </c>
      <c r="E3">
        <v>0</v>
      </c>
      <c r="F3">
        <v>15</v>
      </c>
      <c r="G3">
        <v>1</v>
      </c>
      <c r="H3">
        <v>97</v>
      </c>
      <c r="I3">
        <v>1000</v>
      </c>
      <c r="J3">
        <v>0</v>
      </c>
      <c r="K3">
        <v>5</v>
      </c>
      <c r="L3">
        <v>0.3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9" x14ac:dyDescent="0.15">
      <c r="A4">
        <v>12</v>
      </c>
      <c r="B4" t="s">
        <v>9</v>
      </c>
      <c r="C4" t="s">
        <v>98</v>
      </c>
      <c r="D4">
        <v>0.6</v>
      </c>
      <c r="E4">
        <v>0</v>
      </c>
      <c r="F4">
        <v>10</v>
      </c>
      <c r="G4">
        <v>1</v>
      </c>
      <c r="H4">
        <v>91</v>
      </c>
      <c r="I4">
        <v>0</v>
      </c>
      <c r="J4">
        <v>1000</v>
      </c>
      <c r="K4">
        <v>10</v>
      </c>
      <c r="L4">
        <v>0.3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9" x14ac:dyDescent="0.15">
      <c r="A5">
        <v>13</v>
      </c>
      <c r="B5" t="s">
        <v>10</v>
      </c>
      <c r="C5" t="s">
        <v>99</v>
      </c>
      <c r="D5">
        <v>0.8</v>
      </c>
      <c r="E5">
        <v>30</v>
      </c>
      <c r="F5">
        <v>10</v>
      </c>
      <c r="G5">
        <v>3</v>
      </c>
      <c r="H5">
        <v>93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0.2</v>
      </c>
      <c r="P5">
        <v>0.15</v>
      </c>
      <c r="Q5">
        <v>0</v>
      </c>
      <c r="R5">
        <v>0</v>
      </c>
      <c r="S5" t="s">
        <v>248</v>
      </c>
    </row>
    <row r="6" spans="1:19" x14ac:dyDescent="0.15">
      <c r="A6">
        <v>14</v>
      </c>
      <c r="B6" t="s">
        <v>241</v>
      </c>
      <c r="C6" t="s">
        <v>103</v>
      </c>
      <c r="D6">
        <v>0</v>
      </c>
      <c r="E6">
        <v>0</v>
      </c>
      <c r="F6">
        <v>10</v>
      </c>
      <c r="G6">
        <v>5</v>
      </c>
      <c r="H6">
        <v>95</v>
      </c>
      <c r="I6">
        <v>0</v>
      </c>
      <c r="J6">
        <v>0</v>
      </c>
      <c r="K6">
        <v>0</v>
      </c>
      <c r="L6">
        <v>0</v>
      </c>
      <c r="M6">
        <v>201</v>
      </c>
      <c r="N6">
        <v>0</v>
      </c>
      <c r="O6">
        <v>0</v>
      </c>
      <c r="P6">
        <v>0</v>
      </c>
      <c r="Q6">
        <v>0</v>
      </c>
      <c r="R6">
        <v>0</v>
      </c>
    </row>
    <row r="7" spans="1:19" x14ac:dyDescent="0.15">
      <c r="A7">
        <v>15</v>
      </c>
      <c r="B7" t="s">
        <v>12</v>
      </c>
      <c r="C7" t="s">
        <v>121</v>
      </c>
      <c r="D7">
        <v>1.5</v>
      </c>
      <c r="E7">
        <v>150</v>
      </c>
      <c r="F7">
        <v>7</v>
      </c>
      <c r="G7">
        <v>6</v>
      </c>
      <c r="H7">
        <v>100</v>
      </c>
      <c r="I7">
        <v>0</v>
      </c>
      <c r="J7">
        <v>0</v>
      </c>
      <c r="K7">
        <v>0</v>
      </c>
      <c r="L7">
        <v>0</v>
      </c>
      <c r="M7">
        <v>0</v>
      </c>
      <c r="N7">
        <v>400</v>
      </c>
      <c r="O7">
        <v>15</v>
      </c>
      <c r="P7">
        <v>0.1</v>
      </c>
      <c r="Q7">
        <v>0.1</v>
      </c>
      <c r="R7">
        <v>0</v>
      </c>
    </row>
    <row r="8" spans="1:19" x14ac:dyDescent="0.15">
      <c r="A8">
        <f>A3+10</f>
        <v>21</v>
      </c>
      <c r="B8" t="s">
        <v>90</v>
      </c>
      <c r="C8" t="s">
        <v>100</v>
      </c>
      <c r="D8">
        <v>1</v>
      </c>
      <c r="E8">
        <v>0</v>
      </c>
      <c r="F8">
        <f>F3</f>
        <v>15</v>
      </c>
      <c r="G8">
        <f>G3</f>
        <v>1</v>
      </c>
      <c r="H8">
        <f>H3</f>
        <v>97</v>
      </c>
      <c r="I8">
        <v>1000</v>
      </c>
      <c r="J8">
        <v>0</v>
      </c>
      <c r="K8">
        <v>5</v>
      </c>
      <c r="L8">
        <v>0.5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9" x14ac:dyDescent="0.15">
      <c r="A9">
        <f t="shared" ref="A9:A27" si="0">A4+10</f>
        <v>22</v>
      </c>
      <c r="B9" t="s">
        <v>22</v>
      </c>
      <c r="C9" t="s">
        <v>101</v>
      </c>
      <c r="D9">
        <v>1.5</v>
      </c>
      <c r="E9">
        <v>10</v>
      </c>
      <c r="F9">
        <f t="shared" ref="F9:F30" si="1">F4</f>
        <v>10</v>
      </c>
      <c r="G9">
        <f t="shared" ref="G9:H27" si="2">G4</f>
        <v>1</v>
      </c>
      <c r="H9">
        <f t="shared" si="2"/>
        <v>91</v>
      </c>
      <c r="I9">
        <v>2700</v>
      </c>
      <c r="J9">
        <v>0</v>
      </c>
      <c r="K9">
        <v>40</v>
      </c>
      <c r="L9">
        <v>0.2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9" x14ac:dyDescent="0.15">
      <c r="A10">
        <f t="shared" si="0"/>
        <v>23</v>
      </c>
      <c r="B10" t="s">
        <v>24</v>
      </c>
      <c r="C10" t="s">
        <v>102</v>
      </c>
      <c r="D10">
        <v>1</v>
      </c>
      <c r="E10">
        <v>15</v>
      </c>
      <c r="F10">
        <f t="shared" si="1"/>
        <v>10</v>
      </c>
      <c r="G10">
        <f t="shared" si="2"/>
        <v>3</v>
      </c>
      <c r="H10">
        <f t="shared" si="2"/>
        <v>93</v>
      </c>
      <c r="I10">
        <v>1000</v>
      </c>
      <c r="J10">
        <v>0</v>
      </c>
      <c r="K10">
        <v>10</v>
      </c>
      <c r="L10">
        <v>0.3</v>
      </c>
      <c r="M10">
        <v>202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9" x14ac:dyDescent="0.15">
      <c r="A11">
        <f t="shared" si="0"/>
        <v>24</v>
      </c>
      <c r="B11" t="s">
        <v>25</v>
      </c>
      <c r="C11" t="s">
        <v>104</v>
      </c>
      <c r="E11">
        <v>0</v>
      </c>
      <c r="F11">
        <f t="shared" si="1"/>
        <v>10</v>
      </c>
      <c r="G11">
        <f t="shared" si="2"/>
        <v>5</v>
      </c>
      <c r="H11">
        <f t="shared" si="2"/>
        <v>95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9" x14ac:dyDescent="0.15">
      <c r="A12">
        <f t="shared" si="0"/>
        <v>25</v>
      </c>
      <c r="B12" t="s">
        <v>23</v>
      </c>
      <c r="C12" t="s">
        <v>105</v>
      </c>
      <c r="D12">
        <v>2</v>
      </c>
      <c r="E12">
        <v>150</v>
      </c>
      <c r="F12">
        <f t="shared" si="1"/>
        <v>7</v>
      </c>
      <c r="G12">
        <f t="shared" si="2"/>
        <v>6</v>
      </c>
      <c r="H12">
        <f t="shared" si="2"/>
        <v>100</v>
      </c>
      <c r="I12">
        <v>5000</v>
      </c>
      <c r="J12">
        <v>0</v>
      </c>
      <c r="K12">
        <v>50</v>
      </c>
      <c r="L12">
        <v>0.3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9" x14ac:dyDescent="0.15">
      <c r="A13">
        <f t="shared" si="0"/>
        <v>31</v>
      </c>
      <c r="B13" t="s">
        <v>91</v>
      </c>
      <c r="C13" t="s">
        <v>106</v>
      </c>
      <c r="D13">
        <v>0.8</v>
      </c>
      <c r="E13">
        <v>0</v>
      </c>
      <c r="F13">
        <f t="shared" si="1"/>
        <v>15</v>
      </c>
      <c r="G13">
        <f t="shared" si="2"/>
        <v>1</v>
      </c>
      <c r="H13">
        <f t="shared" si="2"/>
        <v>97</v>
      </c>
      <c r="I13">
        <v>1000</v>
      </c>
      <c r="J13">
        <v>0</v>
      </c>
      <c r="K13">
        <v>5</v>
      </c>
      <c r="L13">
        <v>0.3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9" x14ac:dyDescent="0.15">
      <c r="A14">
        <f t="shared" si="0"/>
        <v>32</v>
      </c>
      <c r="B14" t="s">
        <v>26</v>
      </c>
      <c r="C14" t="s">
        <v>107</v>
      </c>
      <c r="D14">
        <v>1</v>
      </c>
      <c r="E14">
        <v>20</v>
      </c>
      <c r="F14">
        <f t="shared" si="1"/>
        <v>10</v>
      </c>
      <c r="G14">
        <f t="shared" si="2"/>
        <v>1</v>
      </c>
      <c r="H14">
        <f t="shared" si="2"/>
        <v>91</v>
      </c>
      <c r="I14">
        <v>0</v>
      </c>
      <c r="J14">
        <v>1200</v>
      </c>
      <c r="K14">
        <v>10</v>
      </c>
      <c r="L14">
        <v>0.35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9" x14ac:dyDescent="0.15">
      <c r="A15">
        <f t="shared" si="0"/>
        <v>33</v>
      </c>
      <c r="B15" t="s">
        <v>29</v>
      </c>
      <c r="C15" t="s">
        <v>108</v>
      </c>
      <c r="D15">
        <v>0</v>
      </c>
      <c r="E15">
        <v>3</v>
      </c>
      <c r="F15">
        <f t="shared" si="1"/>
        <v>10</v>
      </c>
      <c r="G15">
        <f t="shared" si="2"/>
        <v>3</v>
      </c>
      <c r="H15">
        <f t="shared" si="2"/>
        <v>93</v>
      </c>
      <c r="I15">
        <v>0</v>
      </c>
      <c r="J15">
        <v>0</v>
      </c>
      <c r="K15">
        <v>0</v>
      </c>
      <c r="L15">
        <v>0</v>
      </c>
      <c r="M15">
        <v>203</v>
      </c>
      <c r="N15">
        <v>3</v>
      </c>
      <c r="O15">
        <v>0</v>
      </c>
      <c r="P15">
        <v>0</v>
      </c>
      <c r="Q15">
        <v>0</v>
      </c>
      <c r="R15">
        <v>0</v>
      </c>
    </row>
    <row r="16" spans="1:19" x14ac:dyDescent="0.15">
      <c r="A16">
        <f t="shared" si="0"/>
        <v>34</v>
      </c>
      <c r="B16" t="s">
        <v>34</v>
      </c>
      <c r="C16" t="s">
        <v>109</v>
      </c>
      <c r="D16">
        <v>1.5</v>
      </c>
      <c r="E16">
        <v>20</v>
      </c>
      <c r="F16">
        <f t="shared" si="1"/>
        <v>10</v>
      </c>
      <c r="G16">
        <f t="shared" si="2"/>
        <v>5</v>
      </c>
      <c r="H16">
        <f t="shared" si="2"/>
        <v>95</v>
      </c>
      <c r="I16">
        <v>1500</v>
      </c>
      <c r="J16">
        <v>0</v>
      </c>
      <c r="K16">
        <v>20</v>
      </c>
      <c r="L16">
        <v>0.5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9" x14ac:dyDescent="0.15">
      <c r="A17">
        <f t="shared" si="0"/>
        <v>35</v>
      </c>
      <c r="B17" t="s">
        <v>28</v>
      </c>
      <c r="C17" t="s">
        <v>110</v>
      </c>
      <c r="D17">
        <v>2</v>
      </c>
      <c r="E17">
        <v>60</v>
      </c>
      <c r="F17">
        <f t="shared" si="1"/>
        <v>7</v>
      </c>
      <c r="G17">
        <f t="shared" si="2"/>
        <v>6</v>
      </c>
      <c r="H17">
        <f t="shared" si="2"/>
        <v>100</v>
      </c>
      <c r="I17">
        <v>2000</v>
      </c>
      <c r="J17">
        <v>0</v>
      </c>
      <c r="K17">
        <v>30</v>
      </c>
      <c r="L17">
        <v>0.5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9" x14ac:dyDescent="0.15">
      <c r="A18">
        <f t="shared" si="0"/>
        <v>41</v>
      </c>
      <c r="B18" t="s">
        <v>92</v>
      </c>
      <c r="C18" t="s">
        <v>111</v>
      </c>
      <c r="D18">
        <v>1.2</v>
      </c>
      <c r="E18">
        <v>0</v>
      </c>
      <c r="F18">
        <f t="shared" si="1"/>
        <v>15</v>
      </c>
      <c r="G18">
        <f t="shared" si="2"/>
        <v>1</v>
      </c>
      <c r="H18">
        <f t="shared" si="2"/>
        <v>97</v>
      </c>
      <c r="I18">
        <v>0</v>
      </c>
      <c r="J18">
        <v>1000</v>
      </c>
      <c r="K18">
        <v>5</v>
      </c>
      <c r="L18">
        <v>0.6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9" x14ac:dyDescent="0.15">
      <c r="A19">
        <f t="shared" si="0"/>
        <v>42</v>
      </c>
      <c r="B19" t="s">
        <v>35</v>
      </c>
      <c r="C19" t="s">
        <v>112</v>
      </c>
      <c r="D19">
        <v>1</v>
      </c>
      <c r="E19">
        <v>60</v>
      </c>
      <c r="F19">
        <f t="shared" si="1"/>
        <v>10</v>
      </c>
      <c r="G19">
        <f t="shared" si="2"/>
        <v>1</v>
      </c>
      <c r="H19">
        <f t="shared" si="2"/>
        <v>91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9" x14ac:dyDescent="0.15">
      <c r="A20">
        <f t="shared" si="0"/>
        <v>43</v>
      </c>
      <c r="B20" t="s">
        <v>36</v>
      </c>
      <c r="C20" t="s">
        <v>113</v>
      </c>
      <c r="D20">
        <v>1</v>
      </c>
      <c r="E20">
        <v>60</v>
      </c>
      <c r="F20">
        <f t="shared" si="1"/>
        <v>10</v>
      </c>
      <c r="G20">
        <f t="shared" si="2"/>
        <v>3</v>
      </c>
      <c r="H20">
        <f t="shared" si="2"/>
        <v>93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9" x14ac:dyDescent="0.15">
      <c r="A21">
        <f t="shared" si="0"/>
        <v>44</v>
      </c>
      <c r="B21" t="s">
        <v>38</v>
      </c>
      <c r="C21" t="s">
        <v>114</v>
      </c>
      <c r="E21">
        <v>90</v>
      </c>
      <c r="F21">
        <f t="shared" si="1"/>
        <v>10</v>
      </c>
      <c r="G21">
        <f t="shared" si="2"/>
        <v>5</v>
      </c>
      <c r="H21">
        <f t="shared" si="2"/>
        <v>95</v>
      </c>
      <c r="I21">
        <v>0</v>
      </c>
      <c r="J21">
        <v>1500</v>
      </c>
      <c r="K21">
        <v>10</v>
      </c>
      <c r="L21">
        <v>0.4</v>
      </c>
      <c r="M21">
        <v>0</v>
      </c>
      <c r="N21">
        <v>4</v>
      </c>
      <c r="O21">
        <v>0</v>
      </c>
      <c r="P21">
        <v>0</v>
      </c>
      <c r="Q21">
        <v>0</v>
      </c>
      <c r="R21">
        <v>0</v>
      </c>
      <c r="S21" t="s">
        <v>174</v>
      </c>
    </row>
    <row r="22" spans="1:19" x14ac:dyDescent="0.15">
      <c r="A22">
        <f t="shared" si="0"/>
        <v>45</v>
      </c>
      <c r="B22" t="s">
        <v>37</v>
      </c>
      <c r="C22" t="s">
        <v>115</v>
      </c>
      <c r="D22">
        <v>2</v>
      </c>
      <c r="E22">
        <v>150</v>
      </c>
      <c r="F22">
        <f t="shared" si="1"/>
        <v>7</v>
      </c>
      <c r="G22">
        <f t="shared" si="2"/>
        <v>6</v>
      </c>
      <c r="H22">
        <f t="shared" si="2"/>
        <v>100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9" x14ac:dyDescent="0.15">
      <c r="A23">
        <f t="shared" si="0"/>
        <v>51</v>
      </c>
      <c r="B23" t="s">
        <v>93</v>
      </c>
      <c r="C23" t="s">
        <v>116</v>
      </c>
      <c r="D23">
        <v>0.9</v>
      </c>
      <c r="E23">
        <v>0</v>
      </c>
      <c r="F23">
        <f t="shared" si="1"/>
        <v>15</v>
      </c>
      <c r="G23">
        <f t="shared" si="2"/>
        <v>1</v>
      </c>
      <c r="H23">
        <f t="shared" si="2"/>
        <v>97</v>
      </c>
      <c r="I23">
        <v>1250</v>
      </c>
      <c r="J23">
        <v>0</v>
      </c>
      <c r="K23">
        <v>5</v>
      </c>
      <c r="L23">
        <v>0.25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9" x14ac:dyDescent="0.15">
      <c r="A24">
        <f t="shared" si="0"/>
        <v>52</v>
      </c>
      <c r="B24" t="s">
        <v>44</v>
      </c>
      <c r="C24" t="s">
        <v>117</v>
      </c>
      <c r="D24">
        <v>1.5</v>
      </c>
      <c r="E24">
        <v>12</v>
      </c>
      <c r="F24">
        <f t="shared" si="1"/>
        <v>10</v>
      </c>
      <c r="G24">
        <f t="shared" si="2"/>
        <v>1</v>
      </c>
      <c r="H24">
        <f t="shared" si="2"/>
        <v>91</v>
      </c>
      <c r="I24">
        <v>2500</v>
      </c>
      <c r="J24">
        <v>0</v>
      </c>
      <c r="K24">
        <v>20</v>
      </c>
      <c r="L24">
        <v>0.3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9" x14ac:dyDescent="0.15">
      <c r="A25">
        <f t="shared" si="0"/>
        <v>53</v>
      </c>
      <c r="B25" t="s">
        <v>39</v>
      </c>
      <c r="C25" t="s">
        <v>118</v>
      </c>
      <c r="D25">
        <v>0</v>
      </c>
      <c r="E25">
        <v>0</v>
      </c>
      <c r="F25">
        <f t="shared" si="1"/>
        <v>10</v>
      </c>
      <c r="G25">
        <f t="shared" si="2"/>
        <v>3</v>
      </c>
      <c r="H25">
        <f t="shared" si="2"/>
        <v>93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9" x14ac:dyDescent="0.15">
      <c r="A26">
        <f t="shared" si="0"/>
        <v>54</v>
      </c>
      <c r="B26" t="s">
        <v>40</v>
      </c>
      <c r="C26" t="s">
        <v>119</v>
      </c>
      <c r="D26">
        <v>1.2</v>
      </c>
      <c r="E26">
        <v>20</v>
      </c>
      <c r="F26">
        <f t="shared" si="1"/>
        <v>10</v>
      </c>
      <c r="G26">
        <f t="shared" si="2"/>
        <v>5</v>
      </c>
      <c r="H26">
        <f t="shared" si="2"/>
        <v>95</v>
      </c>
      <c r="I26">
        <v>2000</v>
      </c>
      <c r="J26">
        <v>0</v>
      </c>
      <c r="K26">
        <v>20</v>
      </c>
      <c r="L26">
        <v>0.3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9" x14ac:dyDescent="0.15">
      <c r="A27">
        <f t="shared" si="0"/>
        <v>55</v>
      </c>
      <c r="B27" t="s">
        <v>46</v>
      </c>
      <c r="C27" t="s">
        <v>120</v>
      </c>
      <c r="D27">
        <v>0</v>
      </c>
      <c r="E27">
        <v>0</v>
      </c>
      <c r="F27">
        <f t="shared" si="1"/>
        <v>7</v>
      </c>
      <c r="G27">
        <f t="shared" si="2"/>
        <v>6</v>
      </c>
      <c r="H27">
        <f t="shared" si="2"/>
        <v>100</v>
      </c>
      <c r="I27">
        <v>400</v>
      </c>
      <c r="J27">
        <v>0</v>
      </c>
      <c r="K27">
        <v>0</v>
      </c>
      <c r="L27">
        <v>0.35</v>
      </c>
      <c r="M27">
        <v>0</v>
      </c>
      <c r="N27">
        <v>400</v>
      </c>
      <c r="O27">
        <v>0</v>
      </c>
      <c r="P27">
        <v>0</v>
      </c>
      <c r="Q27">
        <v>0</v>
      </c>
      <c r="R27">
        <v>0</v>
      </c>
    </row>
    <row r="28" spans="1:19" x14ac:dyDescent="0.15">
      <c r="A28">
        <v>201</v>
      </c>
      <c r="B28" t="s">
        <v>242</v>
      </c>
      <c r="D28">
        <v>0</v>
      </c>
      <c r="E28">
        <v>0</v>
      </c>
      <c r="F28">
        <v>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9" x14ac:dyDescent="0.15">
      <c r="A29">
        <v>202</v>
      </c>
      <c r="B29" t="s">
        <v>250</v>
      </c>
      <c r="D29">
        <v>0</v>
      </c>
      <c r="E29">
        <v>0</v>
      </c>
      <c r="F29">
        <f t="shared" si="1"/>
        <v>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9" x14ac:dyDescent="0.15">
      <c r="A30">
        <v>203</v>
      </c>
      <c r="B30" t="s">
        <v>173</v>
      </c>
      <c r="D30">
        <v>0</v>
      </c>
      <c r="E30">
        <v>0</v>
      </c>
      <c r="F30">
        <f t="shared" si="1"/>
        <v>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9" x14ac:dyDescent="0.15">
      <c r="A31">
        <v>204</v>
      </c>
      <c r="B31" t="s">
        <v>341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9" x14ac:dyDescent="0.15">
      <c r="A32">
        <v>205</v>
      </c>
      <c r="B32" t="s">
        <v>432</v>
      </c>
      <c r="D32">
        <v>0</v>
      </c>
      <c r="E32">
        <v>0</v>
      </c>
      <c r="F32">
        <v>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15">
      <c r="A33">
        <v>206</v>
      </c>
      <c r="B33" t="s">
        <v>433</v>
      </c>
      <c r="D33">
        <v>0</v>
      </c>
      <c r="E33">
        <v>0</v>
      </c>
      <c r="F33">
        <v>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0" sqref="F10"/>
    </sheetView>
  </sheetViews>
  <sheetFormatPr defaultRowHeight="13.5" x14ac:dyDescent="0.15"/>
  <cols>
    <col min="5" max="5" width="13" bestFit="1" customWidth="1"/>
    <col min="6" max="6" width="9.25" customWidth="1"/>
  </cols>
  <sheetData>
    <row r="1" spans="1:25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25" x14ac:dyDescent="0.15">
      <c r="A2" s="3" t="s">
        <v>145</v>
      </c>
      <c r="B2" s="4" t="s">
        <v>146</v>
      </c>
      <c r="C2" s="4" t="s">
        <v>187</v>
      </c>
      <c r="D2" s="4" t="s">
        <v>189</v>
      </c>
      <c r="E2" s="1" t="s">
        <v>147</v>
      </c>
      <c r="F2" s="1" t="s">
        <v>265</v>
      </c>
      <c r="G2" s="5" t="s">
        <v>148</v>
      </c>
      <c r="H2" s="5" t="s">
        <v>149</v>
      </c>
      <c r="I2" s="1" t="s">
        <v>162</v>
      </c>
      <c r="J2" s="1" t="s">
        <v>163</v>
      </c>
      <c r="K2" s="1" t="s">
        <v>150</v>
      </c>
      <c r="L2" s="1" t="s">
        <v>230</v>
      </c>
      <c r="M2" s="1" t="s">
        <v>170</v>
      </c>
      <c r="N2" s="1" t="s">
        <v>171</v>
      </c>
      <c r="O2" s="1" t="s">
        <v>172</v>
      </c>
      <c r="P2" s="1" t="s">
        <v>232</v>
      </c>
      <c r="Q2" s="1" t="s">
        <v>251</v>
      </c>
      <c r="R2" s="1" t="s">
        <v>169</v>
      </c>
    </row>
    <row r="3" spans="1:25" x14ac:dyDescent="0.15">
      <c r="A3" s="6" t="s">
        <v>156</v>
      </c>
      <c r="B3" s="1" t="s">
        <v>155</v>
      </c>
      <c r="C3" s="1" t="s">
        <v>188</v>
      </c>
      <c r="D3" s="1" t="s">
        <v>190</v>
      </c>
      <c r="E3" s="1" t="s">
        <v>154</v>
      </c>
      <c r="F3" s="1" t="s">
        <v>266</v>
      </c>
      <c r="G3" s="5" t="s">
        <v>157</v>
      </c>
      <c r="H3" s="5" t="s">
        <v>158</v>
      </c>
      <c r="I3" s="1" t="s">
        <v>159</v>
      </c>
      <c r="J3" s="1" t="s">
        <v>160</v>
      </c>
      <c r="K3" s="1" t="s">
        <v>161</v>
      </c>
      <c r="L3" s="1" t="s">
        <v>231</v>
      </c>
      <c r="M3" s="1" t="s">
        <v>183</v>
      </c>
      <c r="N3" s="1" t="s">
        <v>184</v>
      </c>
      <c r="O3" s="1" t="s">
        <v>185</v>
      </c>
      <c r="P3" s="1" t="s">
        <v>233</v>
      </c>
      <c r="Q3" s="1" t="s">
        <v>252</v>
      </c>
      <c r="R3" s="1" t="s">
        <v>186</v>
      </c>
      <c r="T3" t="s">
        <v>0</v>
      </c>
      <c r="U3" t="s">
        <v>175</v>
      </c>
      <c r="V3" t="s">
        <v>0</v>
      </c>
      <c r="W3" t="s">
        <v>175</v>
      </c>
      <c r="X3" t="s">
        <v>180</v>
      </c>
      <c r="Y3" t="s">
        <v>181</v>
      </c>
    </row>
    <row r="4" spans="1:25" x14ac:dyDescent="0.15">
      <c r="A4" s="6" t="s">
        <v>151</v>
      </c>
      <c r="B4" s="1" t="s">
        <v>151</v>
      </c>
      <c r="C4" s="1" t="s">
        <v>151</v>
      </c>
      <c r="D4" s="1" t="s">
        <v>151</v>
      </c>
      <c r="E4" s="1" t="s">
        <v>152</v>
      </c>
      <c r="F4" s="1" t="s">
        <v>151</v>
      </c>
      <c r="G4" s="1" t="s">
        <v>151</v>
      </c>
      <c r="H4" s="1" t="s">
        <v>151</v>
      </c>
      <c r="I4" s="1" t="s">
        <v>151</v>
      </c>
      <c r="J4" s="1" t="s">
        <v>151</v>
      </c>
      <c r="K4" s="1" t="s">
        <v>151</v>
      </c>
      <c r="L4" s="1" t="s">
        <v>151</v>
      </c>
      <c r="M4" s="1" t="s">
        <v>151</v>
      </c>
      <c r="N4" s="1" t="s">
        <v>151</v>
      </c>
      <c r="O4" s="1" t="s">
        <v>151</v>
      </c>
      <c r="P4" s="1" t="s">
        <v>151</v>
      </c>
      <c r="Q4" s="1" t="s">
        <v>151</v>
      </c>
      <c r="R4" s="1" t="s">
        <v>152</v>
      </c>
      <c r="T4">
        <v>1</v>
      </c>
      <c r="U4">
        <f>VLOOKUP(T4,$V$4:$W$14,2,FALSE)</f>
        <v>15</v>
      </c>
      <c r="V4">
        <f>[1]属性设计!A24</f>
        <v>1</v>
      </c>
      <c r="W4">
        <f>INT([1]属性设计!C24/4+10)</f>
        <v>15</v>
      </c>
      <c r="X4">
        <f>B6*1000+H6</f>
        <v>11001</v>
      </c>
      <c r="Y4">
        <f>A6</f>
        <v>1101</v>
      </c>
    </row>
    <row r="5" spans="1:25" x14ac:dyDescent="0.15">
      <c r="A5" s="6" t="s">
        <v>153</v>
      </c>
      <c r="B5" s="1" t="s">
        <v>153</v>
      </c>
      <c r="C5" s="1" t="s">
        <v>179</v>
      </c>
      <c r="D5" s="1" t="s">
        <v>191</v>
      </c>
      <c r="E5" s="1" t="s">
        <v>153</v>
      </c>
      <c r="F5" s="1" t="s">
        <v>153</v>
      </c>
      <c r="G5" s="1" t="s">
        <v>153</v>
      </c>
      <c r="H5" s="1" t="s">
        <v>153</v>
      </c>
      <c r="I5" s="1" t="s">
        <v>167</v>
      </c>
      <c r="J5" s="1" t="s">
        <v>167</v>
      </c>
      <c r="K5" s="4" t="s">
        <v>153</v>
      </c>
      <c r="L5" s="1" t="s">
        <v>153</v>
      </c>
      <c r="M5" s="1" t="s">
        <v>153</v>
      </c>
      <c r="N5" s="1" t="s">
        <v>153</v>
      </c>
      <c r="O5" s="1" t="s">
        <v>153</v>
      </c>
      <c r="P5" s="1" t="s">
        <v>153</v>
      </c>
      <c r="Q5" s="1" t="s">
        <v>153</v>
      </c>
      <c r="R5" s="1" t="s">
        <v>153</v>
      </c>
      <c r="T5">
        <v>2</v>
      </c>
      <c r="U5">
        <f>INT((VLOOKUP(10,$V$4:$W$14,2,FALSE)-VLOOKUP(1,$V$4:$W$14,2,FALSE))/9*(T5-1)+VLOOKUP(1,$V$4:$W$14,2,FALSE))</f>
        <v>16</v>
      </c>
      <c r="V5">
        <f>[1]属性设计!A25</f>
        <v>10</v>
      </c>
      <c r="W5">
        <f>INT([1]属性设计!C25/4+10)</f>
        <v>27</v>
      </c>
      <c r="X5">
        <f t="shared" ref="X5:X68" si="0">B7*1000+H7</f>
        <v>11007</v>
      </c>
      <c r="Y5">
        <f t="shared" ref="Y5:Y68" si="1">A7</f>
        <v>1102</v>
      </c>
    </row>
    <row r="6" spans="1:25" x14ac:dyDescent="0.15">
      <c r="A6">
        <v>1101</v>
      </c>
      <c r="B6">
        <f>INT(A6/100)</f>
        <v>11</v>
      </c>
      <c r="C6">
        <f>IF(MOD(B6,10)=1,1,IF(MOD(B6,10)=5,3,2))</f>
        <v>1</v>
      </c>
      <c r="D6">
        <f>IF(AND(I6&gt;0,J6=0),1,IF(AND(I6=0,J6&gt;0),2,3))</f>
        <v>1</v>
      </c>
      <c r="E6" t="str">
        <f t="shared" ref="E6:E69" si="2">VLOOKUP(B6,技能参数,2,FALSE)</f>
        <v>力士普攻</v>
      </c>
      <c r="F6">
        <v>0</v>
      </c>
      <c r="G6">
        <f>MOD(A6,100)</f>
        <v>1</v>
      </c>
      <c r="H6">
        <f t="shared" ref="H6:H69" si="3">IF(G6=1,VLOOKUP(B6,技能参数,7,FALSE),
INT((VLOOKUP(B6,技能参数,8,FALSE)-VLOOKUP(B6,技能参数,7,FALSE))/(VLOOKUP(B6,技能参数,6,FALSE)-1)*(G6-1))
+VLOOKUP(B6,技能参数,7,FALSE)
)</f>
        <v>1</v>
      </c>
      <c r="I6">
        <f t="shared" ref="I6:I69" si="4">IF(VLOOKUP($B6,技能参数,9,FALSE)=0,0,
ROUND(VLOOKUP($B6,技能参数,9,FALSE)*(1+(VLOOKUP($B6,技能参数,12,FALSE)/(VLOOKUP($B6,技能参数,6,FALSE)-1))*(G6-1)),-1))</f>
        <v>1000</v>
      </c>
      <c r="J6">
        <f t="shared" ref="J6:J69" si="5">IF(VLOOKUP($B6,技能参数,10,FALSE)=0,0,
ROUND(VLOOKUP($B6,技能参数,10,FALSE)*(1+(VLOOKUP($B6,技能参数,12,FALSE)/(VLOOKUP($B6,技能参数,6,FALSE)-1))*(G6-1)),-1))</f>
        <v>0</v>
      </c>
      <c r="K6">
        <f>IF(VLOOKUP($B6,技能参数,11,FALSE)=0,0,
VLOOKUP($B6,技能参数,11,FALSE)-5+VLOOKUP(H6,$T$4:$U$103,2,FALSE))</f>
        <v>15</v>
      </c>
      <c r="T6">
        <v>3</v>
      </c>
      <c r="U6">
        <f t="shared" ref="U6:U12" si="6">INT((VLOOKUP(10,$V$4:$W$14,2,FALSE)-VLOOKUP(1,$V$4:$W$14,2,FALSE))/9*(T6-1)+VLOOKUP(1,$V$4:$W$14,2,FALSE))</f>
        <v>17</v>
      </c>
      <c r="V6">
        <f>[1]属性设计!A26</f>
        <v>20</v>
      </c>
      <c r="W6">
        <f>INT([1]属性设计!C26/4+10)</f>
        <v>54</v>
      </c>
      <c r="X6">
        <f t="shared" si="0"/>
        <v>11014</v>
      </c>
      <c r="Y6">
        <f t="shared" si="1"/>
        <v>1103</v>
      </c>
    </row>
    <row r="7" spans="1:25" x14ac:dyDescent="0.15">
      <c r="A7">
        <v>1102</v>
      </c>
      <c r="B7">
        <f t="shared" ref="B7:B70" si="7">INT(A7/100)</f>
        <v>11</v>
      </c>
      <c r="C7">
        <f t="shared" ref="C7:C70" si="8">IF(MOD(B7,10)=1,1,IF(MOD(B7,10)=5,3,2))</f>
        <v>1</v>
      </c>
      <c r="D7">
        <f t="shared" ref="D7:D70" si="9">IF(AND(I7&gt;0,J7=0),1,IF(AND(I7=0,J7&gt;0),2,3))</f>
        <v>1</v>
      </c>
      <c r="E7" t="str">
        <f t="shared" si="2"/>
        <v>力士普攻</v>
      </c>
      <c r="F7">
        <v>0</v>
      </c>
      <c r="G7">
        <f t="shared" ref="G7:G70" si="10">MOD(A7,100)</f>
        <v>2</v>
      </c>
      <c r="H7">
        <f t="shared" si="3"/>
        <v>7</v>
      </c>
      <c r="I7">
        <f t="shared" si="4"/>
        <v>1020</v>
      </c>
      <c r="J7">
        <f t="shared" si="5"/>
        <v>0</v>
      </c>
      <c r="K7">
        <f t="shared" ref="K7:K37" si="11">IF(VLOOKUP($B7,技能参数,11,FALSE)=0,0,
VLOOKUP($B7,技能参数,11,FALSE)-5+VLOOKUP(H7,$T$4:$U$103,2,FALSE))</f>
        <v>23</v>
      </c>
      <c r="T7">
        <v>4</v>
      </c>
      <c r="U7">
        <f t="shared" si="6"/>
        <v>19</v>
      </c>
      <c r="V7">
        <f>[1]属性设计!A27</f>
        <v>30</v>
      </c>
      <c r="W7">
        <f>INT([1]属性设计!C27/4+10)</f>
        <v>97</v>
      </c>
      <c r="X7">
        <f t="shared" si="0"/>
        <v>11021</v>
      </c>
      <c r="Y7">
        <f t="shared" si="1"/>
        <v>1104</v>
      </c>
    </row>
    <row r="8" spans="1:25" x14ac:dyDescent="0.15">
      <c r="A8">
        <v>1103</v>
      </c>
      <c r="B8">
        <f t="shared" si="7"/>
        <v>11</v>
      </c>
      <c r="C8">
        <f t="shared" si="8"/>
        <v>1</v>
      </c>
      <c r="D8">
        <f t="shared" si="9"/>
        <v>1</v>
      </c>
      <c r="E8" t="str">
        <f t="shared" si="2"/>
        <v>力士普攻</v>
      </c>
      <c r="F8">
        <v>0</v>
      </c>
      <c r="G8">
        <f t="shared" si="10"/>
        <v>3</v>
      </c>
      <c r="H8">
        <f t="shared" si="3"/>
        <v>14</v>
      </c>
      <c r="I8">
        <f t="shared" si="4"/>
        <v>1040</v>
      </c>
      <c r="J8">
        <f t="shared" si="5"/>
        <v>0</v>
      </c>
      <c r="K8">
        <f t="shared" si="11"/>
        <v>37</v>
      </c>
      <c r="T8">
        <v>5</v>
      </c>
      <c r="U8">
        <f t="shared" si="6"/>
        <v>20</v>
      </c>
      <c r="V8">
        <f>[1]属性设计!A28</f>
        <v>40</v>
      </c>
      <c r="W8">
        <f>INT([1]属性设计!C28/4+10)</f>
        <v>154</v>
      </c>
      <c r="X8">
        <f t="shared" si="0"/>
        <v>11028</v>
      </c>
      <c r="Y8">
        <f t="shared" si="1"/>
        <v>1105</v>
      </c>
    </row>
    <row r="9" spans="1:25" x14ac:dyDescent="0.15">
      <c r="A9">
        <v>1104</v>
      </c>
      <c r="B9">
        <f t="shared" si="7"/>
        <v>11</v>
      </c>
      <c r="C9">
        <f t="shared" si="8"/>
        <v>1</v>
      </c>
      <c r="D9">
        <f t="shared" si="9"/>
        <v>1</v>
      </c>
      <c r="E9" t="str">
        <f t="shared" si="2"/>
        <v>力士普攻</v>
      </c>
      <c r="F9">
        <v>0</v>
      </c>
      <c r="G9">
        <f t="shared" si="10"/>
        <v>4</v>
      </c>
      <c r="H9">
        <f t="shared" si="3"/>
        <v>21</v>
      </c>
      <c r="I9">
        <f t="shared" si="4"/>
        <v>1060</v>
      </c>
      <c r="J9">
        <f t="shared" si="5"/>
        <v>0</v>
      </c>
      <c r="K9">
        <f t="shared" si="11"/>
        <v>58</v>
      </c>
      <c r="T9">
        <v>6</v>
      </c>
      <c r="U9">
        <f t="shared" si="6"/>
        <v>21</v>
      </c>
      <c r="V9">
        <f>[1]属性设计!A29</f>
        <v>50</v>
      </c>
      <c r="W9">
        <f>INT([1]属性设计!C29/4+10)</f>
        <v>227</v>
      </c>
      <c r="X9">
        <f t="shared" si="0"/>
        <v>11035</v>
      </c>
      <c r="Y9">
        <f t="shared" si="1"/>
        <v>1106</v>
      </c>
    </row>
    <row r="10" spans="1:25" x14ac:dyDescent="0.15">
      <c r="A10">
        <v>1105</v>
      </c>
      <c r="B10">
        <f t="shared" si="7"/>
        <v>11</v>
      </c>
      <c r="C10">
        <f t="shared" si="8"/>
        <v>1</v>
      </c>
      <c r="D10">
        <f t="shared" si="9"/>
        <v>1</v>
      </c>
      <c r="E10" t="str">
        <f t="shared" si="2"/>
        <v>力士普攻</v>
      </c>
      <c r="F10">
        <v>0</v>
      </c>
      <c r="G10">
        <f t="shared" si="10"/>
        <v>5</v>
      </c>
      <c r="H10">
        <f t="shared" si="3"/>
        <v>28</v>
      </c>
      <c r="I10">
        <f t="shared" si="4"/>
        <v>1090</v>
      </c>
      <c r="J10">
        <f t="shared" si="5"/>
        <v>0</v>
      </c>
      <c r="K10">
        <f t="shared" si="11"/>
        <v>88</v>
      </c>
      <c r="T10">
        <v>7</v>
      </c>
      <c r="U10">
        <f t="shared" si="6"/>
        <v>23</v>
      </c>
      <c r="V10">
        <f>[1]属性设计!A30</f>
        <v>60</v>
      </c>
      <c r="W10">
        <f>INT([1]属性设计!C30/4+10)</f>
        <v>314</v>
      </c>
      <c r="X10">
        <f t="shared" si="0"/>
        <v>11042</v>
      </c>
      <c r="Y10">
        <f t="shared" si="1"/>
        <v>1107</v>
      </c>
    </row>
    <row r="11" spans="1:25" x14ac:dyDescent="0.15">
      <c r="A11">
        <v>1106</v>
      </c>
      <c r="B11">
        <f t="shared" si="7"/>
        <v>11</v>
      </c>
      <c r="C11">
        <f t="shared" si="8"/>
        <v>1</v>
      </c>
      <c r="D11">
        <f t="shared" si="9"/>
        <v>1</v>
      </c>
      <c r="E11" t="str">
        <f t="shared" si="2"/>
        <v>力士普攻</v>
      </c>
      <c r="F11">
        <v>0</v>
      </c>
      <c r="G11">
        <f t="shared" si="10"/>
        <v>6</v>
      </c>
      <c r="H11">
        <f t="shared" si="3"/>
        <v>35</v>
      </c>
      <c r="I11">
        <f t="shared" si="4"/>
        <v>1110</v>
      </c>
      <c r="J11">
        <f t="shared" si="5"/>
        <v>0</v>
      </c>
      <c r="K11">
        <f t="shared" si="11"/>
        <v>125</v>
      </c>
      <c r="T11">
        <v>8</v>
      </c>
      <c r="U11">
        <f t="shared" si="6"/>
        <v>24</v>
      </c>
      <c r="V11">
        <f>[1]属性设计!A31</f>
        <v>70</v>
      </c>
      <c r="W11">
        <f>INT([1]属性设计!C31/4+10)</f>
        <v>417</v>
      </c>
      <c r="X11">
        <f t="shared" si="0"/>
        <v>11049</v>
      </c>
      <c r="Y11">
        <f t="shared" si="1"/>
        <v>1108</v>
      </c>
    </row>
    <row r="12" spans="1:25" x14ac:dyDescent="0.15">
      <c r="A12">
        <v>1107</v>
      </c>
      <c r="B12">
        <f t="shared" si="7"/>
        <v>11</v>
      </c>
      <c r="C12">
        <f t="shared" si="8"/>
        <v>1</v>
      </c>
      <c r="D12">
        <f t="shared" si="9"/>
        <v>1</v>
      </c>
      <c r="E12" t="str">
        <f t="shared" si="2"/>
        <v>力士普攻</v>
      </c>
      <c r="F12">
        <v>0</v>
      </c>
      <c r="G12">
        <f t="shared" si="10"/>
        <v>7</v>
      </c>
      <c r="H12">
        <f t="shared" si="3"/>
        <v>42</v>
      </c>
      <c r="I12">
        <f t="shared" si="4"/>
        <v>1130</v>
      </c>
      <c r="J12">
        <f t="shared" si="5"/>
        <v>0</v>
      </c>
      <c r="K12">
        <f t="shared" si="11"/>
        <v>168</v>
      </c>
      <c r="T12">
        <v>9</v>
      </c>
      <c r="U12">
        <f t="shared" si="6"/>
        <v>25</v>
      </c>
      <c r="V12">
        <f>[1]属性设计!A32</f>
        <v>80</v>
      </c>
      <c r="W12">
        <f>INT([1]属性设计!C32/4+10)</f>
        <v>534</v>
      </c>
      <c r="X12">
        <f>B14*1000+H14</f>
        <v>11055</v>
      </c>
      <c r="Y12">
        <f t="shared" si="1"/>
        <v>1109</v>
      </c>
    </row>
    <row r="13" spans="1:25" x14ac:dyDescent="0.15">
      <c r="A13">
        <v>1108</v>
      </c>
      <c r="B13">
        <f t="shared" si="7"/>
        <v>11</v>
      </c>
      <c r="C13">
        <f t="shared" si="8"/>
        <v>1</v>
      </c>
      <c r="D13">
        <f t="shared" si="9"/>
        <v>1</v>
      </c>
      <c r="E13" t="str">
        <f t="shared" si="2"/>
        <v>力士普攻</v>
      </c>
      <c r="F13">
        <v>0</v>
      </c>
      <c r="G13">
        <f t="shared" si="10"/>
        <v>8</v>
      </c>
      <c r="H13">
        <f t="shared" si="3"/>
        <v>49</v>
      </c>
      <c r="I13">
        <f t="shared" si="4"/>
        <v>1150</v>
      </c>
      <c r="J13">
        <f t="shared" si="5"/>
        <v>0</v>
      </c>
      <c r="K13">
        <f t="shared" si="11"/>
        <v>219</v>
      </c>
      <c r="T13">
        <v>10</v>
      </c>
      <c r="U13">
        <f>VLOOKUP(T13,$V$4:$W$14,2,FALSE)</f>
        <v>27</v>
      </c>
      <c r="V13">
        <f>[1]属性设计!A33</f>
        <v>90</v>
      </c>
      <c r="W13">
        <f>INT([1]属性设计!C33/4+10)</f>
        <v>667</v>
      </c>
      <c r="X13">
        <f t="shared" si="0"/>
        <v>11062</v>
      </c>
      <c r="Y13">
        <f t="shared" si="1"/>
        <v>1110</v>
      </c>
    </row>
    <row r="14" spans="1:25" x14ac:dyDescent="0.15">
      <c r="A14">
        <v>1109</v>
      </c>
      <c r="B14">
        <f t="shared" si="7"/>
        <v>11</v>
      </c>
      <c r="C14">
        <f t="shared" si="8"/>
        <v>1</v>
      </c>
      <c r="D14">
        <f t="shared" si="9"/>
        <v>1</v>
      </c>
      <c r="E14" t="str">
        <f t="shared" si="2"/>
        <v>力士普攻</v>
      </c>
      <c r="F14">
        <v>0</v>
      </c>
      <c r="G14">
        <f t="shared" si="10"/>
        <v>9</v>
      </c>
      <c r="H14">
        <f t="shared" si="3"/>
        <v>55</v>
      </c>
      <c r="I14">
        <f t="shared" si="4"/>
        <v>1170</v>
      </c>
      <c r="J14">
        <f t="shared" si="5"/>
        <v>0</v>
      </c>
      <c r="K14">
        <f t="shared" si="11"/>
        <v>270</v>
      </c>
      <c r="T14">
        <v>11</v>
      </c>
      <c r="U14">
        <f t="shared" ref="U14:U21" si="12">INT((VLOOKUP(INT(T14/10)*10+10,$V$4:$W$14,2,FALSE)-VLOOKUP(INT(T14/10)*10,$V$4:$W$14,2,FALSE))/10*MOD(T14,10)+VLOOKUP(INT(T14/10)*10,$V$4:$W$14,2,FALSE))</f>
        <v>29</v>
      </c>
      <c r="V14">
        <f>[1]属性设计!A34</f>
        <v>100</v>
      </c>
      <c r="W14">
        <f>INT([1]属性设计!C34/4+10)</f>
        <v>814</v>
      </c>
      <c r="X14">
        <f t="shared" si="0"/>
        <v>11069</v>
      </c>
      <c r="Y14">
        <f t="shared" si="1"/>
        <v>1111</v>
      </c>
    </row>
    <row r="15" spans="1:25" x14ac:dyDescent="0.15">
      <c r="A15">
        <v>1110</v>
      </c>
      <c r="B15">
        <f t="shared" si="7"/>
        <v>11</v>
      </c>
      <c r="C15">
        <f t="shared" si="8"/>
        <v>1</v>
      </c>
      <c r="D15">
        <f t="shared" si="9"/>
        <v>1</v>
      </c>
      <c r="E15" t="str">
        <f t="shared" si="2"/>
        <v>力士普攻</v>
      </c>
      <c r="F15">
        <v>0</v>
      </c>
      <c r="G15">
        <f t="shared" si="10"/>
        <v>10</v>
      </c>
      <c r="H15">
        <f t="shared" si="3"/>
        <v>62</v>
      </c>
      <c r="I15">
        <f t="shared" si="4"/>
        <v>1190</v>
      </c>
      <c r="J15">
        <f t="shared" si="5"/>
        <v>0</v>
      </c>
      <c r="K15">
        <f t="shared" si="11"/>
        <v>334</v>
      </c>
      <c r="T15">
        <v>12</v>
      </c>
      <c r="U15">
        <f t="shared" si="12"/>
        <v>32</v>
      </c>
      <c r="X15">
        <f t="shared" si="0"/>
        <v>11076</v>
      </c>
      <c r="Y15">
        <f t="shared" si="1"/>
        <v>1112</v>
      </c>
    </row>
    <row r="16" spans="1:25" x14ac:dyDescent="0.15">
      <c r="A16">
        <v>1111</v>
      </c>
      <c r="B16">
        <f t="shared" si="7"/>
        <v>11</v>
      </c>
      <c r="C16">
        <f t="shared" si="8"/>
        <v>1</v>
      </c>
      <c r="D16">
        <f t="shared" si="9"/>
        <v>1</v>
      </c>
      <c r="E16" t="str">
        <f t="shared" si="2"/>
        <v>力士普攻</v>
      </c>
      <c r="F16">
        <v>0</v>
      </c>
      <c r="G16">
        <f t="shared" si="10"/>
        <v>11</v>
      </c>
      <c r="H16">
        <f t="shared" si="3"/>
        <v>69</v>
      </c>
      <c r="I16">
        <f t="shared" si="4"/>
        <v>1210</v>
      </c>
      <c r="J16">
        <f t="shared" si="5"/>
        <v>0</v>
      </c>
      <c r="K16">
        <f t="shared" si="11"/>
        <v>406</v>
      </c>
      <c r="T16">
        <v>13</v>
      </c>
      <c r="U16">
        <f t="shared" si="12"/>
        <v>35</v>
      </c>
      <c r="X16">
        <f t="shared" si="0"/>
        <v>11083</v>
      </c>
      <c r="Y16">
        <f t="shared" si="1"/>
        <v>1113</v>
      </c>
    </row>
    <row r="17" spans="1:25" x14ac:dyDescent="0.15">
      <c r="A17">
        <v>1112</v>
      </c>
      <c r="B17">
        <f t="shared" si="7"/>
        <v>11</v>
      </c>
      <c r="C17">
        <f t="shared" si="8"/>
        <v>1</v>
      </c>
      <c r="D17">
        <f t="shared" si="9"/>
        <v>1</v>
      </c>
      <c r="E17" t="str">
        <f t="shared" si="2"/>
        <v>力士普攻</v>
      </c>
      <c r="F17">
        <v>0</v>
      </c>
      <c r="G17">
        <f t="shared" si="10"/>
        <v>12</v>
      </c>
      <c r="H17">
        <f t="shared" si="3"/>
        <v>76</v>
      </c>
      <c r="I17">
        <f t="shared" si="4"/>
        <v>1240</v>
      </c>
      <c r="J17">
        <f t="shared" si="5"/>
        <v>0</v>
      </c>
      <c r="K17">
        <f t="shared" si="11"/>
        <v>487</v>
      </c>
      <c r="T17">
        <v>14</v>
      </c>
      <c r="U17">
        <f t="shared" si="12"/>
        <v>37</v>
      </c>
      <c r="X17">
        <f t="shared" si="0"/>
        <v>11090</v>
      </c>
      <c r="Y17">
        <f t="shared" si="1"/>
        <v>1114</v>
      </c>
    </row>
    <row r="18" spans="1:25" x14ac:dyDescent="0.15">
      <c r="A18">
        <v>1113</v>
      </c>
      <c r="B18">
        <f t="shared" si="7"/>
        <v>11</v>
      </c>
      <c r="C18">
        <f t="shared" si="8"/>
        <v>1</v>
      </c>
      <c r="D18">
        <f t="shared" si="9"/>
        <v>1</v>
      </c>
      <c r="E18" t="str">
        <f t="shared" si="2"/>
        <v>力士普攻</v>
      </c>
      <c r="F18">
        <v>0</v>
      </c>
      <c r="G18">
        <f t="shared" si="10"/>
        <v>13</v>
      </c>
      <c r="H18">
        <f t="shared" si="3"/>
        <v>83</v>
      </c>
      <c r="I18">
        <f t="shared" si="4"/>
        <v>1260</v>
      </c>
      <c r="J18">
        <f t="shared" si="5"/>
        <v>0</v>
      </c>
      <c r="K18">
        <f>IF(VLOOKUP($B18,技能参数,11,FALSE)=0,0,
VLOOKUP($B18,技能参数,11,FALSE)-5+VLOOKUP(H18,$T$4:$U$103,2,FALSE))</f>
        <v>573</v>
      </c>
      <c r="T18">
        <v>15</v>
      </c>
      <c r="U18">
        <f t="shared" si="12"/>
        <v>40</v>
      </c>
      <c r="X18">
        <f t="shared" si="0"/>
        <v>11097</v>
      </c>
      <c r="Y18">
        <f t="shared" si="1"/>
        <v>1115</v>
      </c>
    </row>
    <row r="19" spans="1:25" x14ac:dyDescent="0.15">
      <c r="A19">
        <v>1114</v>
      </c>
      <c r="B19">
        <f t="shared" si="7"/>
        <v>11</v>
      </c>
      <c r="C19">
        <f t="shared" si="8"/>
        <v>1</v>
      </c>
      <c r="D19">
        <f t="shared" si="9"/>
        <v>1</v>
      </c>
      <c r="E19" t="str">
        <f t="shared" si="2"/>
        <v>力士普攻</v>
      </c>
      <c r="F19">
        <v>0</v>
      </c>
      <c r="G19">
        <f t="shared" si="10"/>
        <v>14</v>
      </c>
      <c r="H19">
        <f t="shared" si="3"/>
        <v>90</v>
      </c>
      <c r="I19">
        <f t="shared" si="4"/>
        <v>1280</v>
      </c>
      <c r="J19">
        <f t="shared" si="5"/>
        <v>0</v>
      </c>
      <c r="K19">
        <f t="shared" si="11"/>
        <v>667</v>
      </c>
      <c r="T19">
        <v>16</v>
      </c>
      <c r="U19">
        <f t="shared" si="12"/>
        <v>43</v>
      </c>
      <c r="X19">
        <f t="shared" si="0"/>
        <v>12001</v>
      </c>
      <c r="Y19">
        <f t="shared" si="1"/>
        <v>1201</v>
      </c>
    </row>
    <row r="20" spans="1:25" x14ac:dyDescent="0.15">
      <c r="A20">
        <v>1115</v>
      </c>
      <c r="B20">
        <f t="shared" si="7"/>
        <v>11</v>
      </c>
      <c r="C20">
        <f t="shared" si="8"/>
        <v>1</v>
      </c>
      <c r="D20">
        <f t="shared" si="9"/>
        <v>1</v>
      </c>
      <c r="E20" t="str">
        <f t="shared" si="2"/>
        <v>力士普攻</v>
      </c>
      <c r="F20">
        <v>0</v>
      </c>
      <c r="G20">
        <f t="shared" si="10"/>
        <v>15</v>
      </c>
      <c r="H20">
        <f t="shared" si="3"/>
        <v>97</v>
      </c>
      <c r="I20">
        <f t="shared" si="4"/>
        <v>1300</v>
      </c>
      <c r="J20">
        <f t="shared" si="5"/>
        <v>0</v>
      </c>
      <c r="K20">
        <f t="shared" si="11"/>
        <v>769</v>
      </c>
      <c r="T20">
        <v>17</v>
      </c>
      <c r="U20">
        <f t="shared" si="12"/>
        <v>45</v>
      </c>
      <c r="X20">
        <f t="shared" si="0"/>
        <v>12011</v>
      </c>
      <c r="Y20">
        <f t="shared" si="1"/>
        <v>1202</v>
      </c>
    </row>
    <row r="21" spans="1:25" x14ac:dyDescent="0.15">
      <c r="A21">
        <f>A6+100</f>
        <v>1201</v>
      </c>
      <c r="B21">
        <f t="shared" si="7"/>
        <v>12</v>
      </c>
      <c r="C21">
        <f t="shared" si="8"/>
        <v>2</v>
      </c>
      <c r="D21">
        <f t="shared" si="9"/>
        <v>2</v>
      </c>
      <c r="E21" t="str">
        <f t="shared" si="2"/>
        <v>火焰呼吸</v>
      </c>
      <c r="F21">
        <v>5</v>
      </c>
      <c r="G21">
        <f t="shared" si="10"/>
        <v>1</v>
      </c>
      <c r="H21">
        <f t="shared" si="3"/>
        <v>1</v>
      </c>
      <c r="I21">
        <f t="shared" si="4"/>
        <v>0</v>
      </c>
      <c r="J21">
        <f t="shared" si="5"/>
        <v>1000</v>
      </c>
      <c r="K21">
        <f>IF(VLOOKUP($B21,技能参数,11,FALSE)=0,0,
VLOOKUP($B21,技能参数,11,FALSE)-5+VLOOKUP(H21,$T$4:$U$103,2,FALSE))</f>
        <v>20</v>
      </c>
      <c r="T21">
        <v>18</v>
      </c>
      <c r="U21">
        <f t="shared" si="12"/>
        <v>48</v>
      </c>
      <c r="X21">
        <f t="shared" si="0"/>
        <v>12021</v>
      </c>
      <c r="Y21">
        <f t="shared" si="1"/>
        <v>1203</v>
      </c>
    </row>
    <row r="22" spans="1:25" x14ac:dyDescent="0.15">
      <c r="A22">
        <f t="shared" ref="A22:A30" si="13">A7+100</f>
        <v>1202</v>
      </c>
      <c r="B22">
        <f t="shared" si="7"/>
        <v>12</v>
      </c>
      <c r="C22">
        <f t="shared" si="8"/>
        <v>2</v>
      </c>
      <c r="D22">
        <f t="shared" si="9"/>
        <v>2</v>
      </c>
      <c r="E22" t="str">
        <f t="shared" si="2"/>
        <v>火焰呼吸</v>
      </c>
      <c r="F22">
        <v>6</v>
      </c>
      <c r="G22">
        <f t="shared" si="10"/>
        <v>2</v>
      </c>
      <c r="H22">
        <f t="shared" si="3"/>
        <v>11</v>
      </c>
      <c r="I22">
        <f t="shared" si="4"/>
        <v>0</v>
      </c>
      <c r="J22">
        <f t="shared" si="5"/>
        <v>1030</v>
      </c>
      <c r="K22">
        <f t="shared" si="11"/>
        <v>34</v>
      </c>
      <c r="T22">
        <v>19</v>
      </c>
      <c r="U22">
        <f>INT((VLOOKUP(INT(T22/10)*10+10,$V$4:$W$14,2,FALSE)-VLOOKUP(INT(T22/10)*10,$V$4:$W$14,2,FALSE))/10*MOD(T22,10)+VLOOKUP(INT(T22/10)*10,$V$4:$W$14,2,FALSE))</f>
        <v>51</v>
      </c>
      <c r="X22">
        <f t="shared" si="0"/>
        <v>12031</v>
      </c>
      <c r="Y22">
        <f t="shared" si="1"/>
        <v>1204</v>
      </c>
    </row>
    <row r="23" spans="1:25" x14ac:dyDescent="0.15">
      <c r="A23">
        <f t="shared" si="13"/>
        <v>1203</v>
      </c>
      <c r="B23">
        <f t="shared" si="7"/>
        <v>12</v>
      </c>
      <c r="C23">
        <f t="shared" si="8"/>
        <v>2</v>
      </c>
      <c r="D23">
        <f t="shared" si="9"/>
        <v>2</v>
      </c>
      <c r="E23" t="str">
        <f t="shared" si="2"/>
        <v>火焰呼吸</v>
      </c>
      <c r="F23">
        <v>7</v>
      </c>
      <c r="G23">
        <f t="shared" si="10"/>
        <v>3</v>
      </c>
      <c r="H23">
        <f t="shared" si="3"/>
        <v>21</v>
      </c>
      <c r="I23">
        <f t="shared" si="4"/>
        <v>0</v>
      </c>
      <c r="J23">
        <f t="shared" si="5"/>
        <v>1070</v>
      </c>
      <c r="K23">
        <f t="shared" si="11"/>
        <v>63</v>
      </c>
      <c r="T23">
        <v>20</v>
      </c>
      <c r="U23">
        <f>VLOOKUP(T23,$V$4:$W$14,2,FALSE)</f>
        <v>54</v>
      </c>
      <c r="X23">
        <f t="shared" si="0"/>
        <v>12041</v>
      </c>
      <c r="Y23">
        <f t="shared" si="1"/>
        <v>1205</v>
      </c>
    </row>
    <row r="24" spans="1:25" x14ac:dyDescent="0.15">
      <c r="A24">
        <f t="shared" si="13"/>
        <v>1204</v>
      </c>
      <c r="B24">
        <f t="shared" si="7"/>
        <v>12</v>
      </c>
      <c r="C24">
        <f t="shared" si="8"/>
        <v>2</v>
      </c>
      <c r="D24">
        <f t="shared" si="9"/>
        <v>2</v>
      </c>
      <c r="E24" t="str">
        <f t="shared" si="2"/>
        <v>火焰呼吸</v>
      </c>
      <c r="F24">
        <v>8</v>
      </c>
      <c r="G24">
        <f t="shared" si="10"/>
        <v>4</v>
      </c>
      <c r="H24">
        <f t="shared" si="3"/>
        <v>31</v>
      </c>
      <c r="I24">
        <f t="shared" si="4"/>
        <v>0</v>
      </c>
      <c r="J24">
        <f t="shared" si="5"/>
        <v>1100</v>
      </c>
      <c r="K24">
        <f t="shared" si="11"/>
        <v>107</v>
      </c>
      <c r="T24">
        <v>21</v>
      </c>
      <c r="U24">
        <f t="shared" ref="U24:U87" si="14">INT((VLOOKUP(INT(T24/10)*10+10,$V$4:$W$14,2,FALSE)-VLOOKUP(INT(T24/10)*10,$V$4:$W$14,2,FALSE))/10*MOD(T24,10)+VLOOKUP(INT(T24/10)*10,$V$4:$W$14,2,FALSE))</f>
        <v>58</v>
      </c>
      <c r="X24">
        <f t="shared" si="0"/>
        <v>12051</v>
      </c>
      <c r="Y24">
        <f t="shared" si="1"/>
        <v>1206</v>
      </c>
    </row>
    <row r="25" spans="1:25" x14ac:dyDescent="0.15">
      <c r="A25">
        <f t="shared" si="13"/>
        <v>1205</v>
      </c>
      <c r="B25">
        <f t="shared" si="7"/>
        <v>12</v>
      </c>
      <c r="C25">
        <f t="shared" si="8"/>
        <v>2</v>
      </c>
      <c r="D25">
        <f t="shared" si="9"/>
        <v>2</v>
      </c>
      <c r="E25" t="str">
        <f t="shared" si="2"/>
        <v>火焰呼吸</v>
      </c>
      <c r="F25">
        <v>9</v>
      </c>
      <c r="G25">
        <f t="shared" si="10"/>
        <v>5</v>
      </c>
      <c r="H25">
        <f t="shared" si="3"/>
        <v>41</v>
      </c>
      <c r="I25">
        <f t="shared" si="4"/>
        <v>0</v>
      </c>
      <c r="J25">
        <f t="shared" si="5"/>
        <v>1130</v>
      </c>
      <c r="K25">
        <f t="shared" si="11"/>
        <v>166</v>
      </c>
      <c r="T25">
        <v>22</v>
      </c>
      <c r="U25">
        <f t="shared" si="14"/>
        <v>62</v>
      </c>
      <c r="X25">
        <f t="shared" si="0"/>
        <v>12061</v>
      </c>
      <c r="Y25">
        <f t="shared" si="1"/>
        <v>1207</v>
      </c>
    </row>
    <row r="26" spans="1:25" x14ac:dyDescent="0.15">
      <c r="A26">
        <f t="shared" si="13"/>
        <v>1206</v>
      </c>
      <c r="B26">
        <f t="shared" si="7"/>
        <v>12</v>
      </c>
      <c r="C26">
        <f t="shared" si="8"/>
        <v>2</v>
      </c>
      <c r="D26">
        <f t="shared" si="9"/>
        <v>2</v>
      </c>
      <c r="E26" t="str">
        <f t="shared" si="2"/>
        <v>火焰呼吸</v>
      </c>
      <c r="F26">
        <v>10</v>
      </c>
      <c r="G26">
        <f t="shared" si="10"/>
        <v>6</v>
      </c>
      <c r="H26">
        <f t="shared" si="3"/>
        <v>51</v>
      </c>
      <c r="I26">
        <f t="shared" si="4"/>
        <v>0</v>
      </c>
      <c r="J26">
        <f t="shared" si="5"/>
        <v>1170</v>
      </c>
      <c r="K26">
        <f t="shared" si="11"/>
        <v>240</v>
      </c>
      <c r="T26">
        <v>23</v>
      </c>
      <c r="U26">
        <f t="shared" si="14"/>
        <v>66</v>
      </c>
      <c r="X26">
        <f t="shared" si="0"/>
        <v>12071</v>
      </c>
      <c r="Y26">
        <f t="shared" si="1"/>
        <v>1208</v>
      </c>
    </row>
    <row r="27" spans="1:25" x14ac:dyDescent="0.15">
      <c r="A27">
        <f t="shared" si="13"/>
        <v>1207</v>
      </c>
      <c r="B27">
        <f t="shared" si="7"/>
        <v>12</v>
      </c>
      <c r="C27">
        <f t="shared" si="8"/>
        <v>2</v>
      </c>
      <c r="D27">
        <f t="shared" si="9"/>
        <v>2</v>
      </c>
      <c r="E27" t="str">
        <f t="shared" si="2"/>
        <v>火焰呼吸</v>
      </c>
      <c r="F27">
        <v>11</v>
      </c>
      <c r="G27">
        <f t="shared" si="10"/>
        <v>7</v>
      </c>
      <c r="H27">
        <f t="shared" si="3"/>
        <v>61</v>
      </c>
      <c r="I27">
        <f t="shared" si="4"/>
        <v>0</v>
      </c>
      <c r="J27">
        <f t="shared" si="5"/>
        <v>1200</v>
      </c>
      <c r="K27">
        <f t="shared" si="11"/>
        <v>329</v>
      </c>
      <c r="T27">
        <v>24</v>
      </c>
      <c r="U27">
        <f t="shared" si="14"/>
        <v>71</v>
      </c>
      <c r="X27">
        <f t="shared" si="0"/>
        <v>12081</v>
      </c>
      <c r="Y27">
        <f t="shared" si="1"/>
        <v>1209</v>
      </c>
    </row>
    <row r="28" spans="1:25" x14ac:dyDescent="0.15">
      <c r="A28">
        <f t="shared" si="13"/>
        <v>1208</v>
      </c>
      <c r="B28">
        <f t="shared" si="7"/>
        <v>12</v>
      </c>
      <c r="C28">
        <f t="shared" si="8"/>
        <v>2</v>
      </c>
      <c r="D28">
        <f t="shared" si="9"/>
        <v>2</v>
      </c>
      <c r="E28" t="str">
        <f t="shared" si="2"/>
        <v>火焰呼吸</v>
      </c>
      <c r="F28">
        <v>12</v>
      </c>
      <c r="G28">
        <f t="shared" si="10"/>
        <v>8</v>
      </c>
      <c r="H28">
        <f t="shared" si="3"/>
        <v>71</v>
      </c>
      <c r="I28">
        <f t="shared" si="4"/>
        <v>0</v>
      </c>
      <c r="J28">
        <f t="shared" si="5"/>
        <v>1230</v>
      </c>
      <c r="K28">
        <f t="shared" si="11"/>
        <v>433</v>
      </c>
      <c r="T28">
        <v>25</v>
      </c>
      <c r="U28">
        <f t="shared" si="14"/>
        <v>75</v>
      </c>
      <c r="X28">
        <f t="shared" si="0"/>
        <v>12091</v>
      </c>
      <c r="Y28">
        <f t="shared" si="1"/>
        <v>1210</v>
      </c>
    </row>
    <row r="29" spans="1:25" x14ac:dyDescent="0.15">
      <c r="A29">
        <f t="shared" si="13"/>
        <v>1209</v>
      </c>
      <c r="B29">
        <f t="shared" si="7"/>
        <v>12</v>
      </c>
      <c r="C29">
        <f t="shared" si="8"/>
        <v>2</v>
      </c>
      <c r="D29">
        <f t="shared" si="9"/>
        <v>2</v>
      </c>
      <c r="E29" t="str">
        <f t="shared" si="2"/>
        <v>火焰呼吸</v>
      </c>
      <c r="F29">
        <v>13</v>
      </c>
      <c r="G29">
        <f t="shared" si="10"/>
        <v>9</v>
      </c>
      <c r="H29">
        <f t="shared" si="3"/>
        <v>81</v>
      </c>
      <c r="I29">
        <f t="shared" si="4"/>
        <v>0</v>
      </c>
      <c r="J29">
        <f t="shared" si="5"/>
        <v>1270</v>
      </c>
      <c r="K29">
        <f t="shared" si="11"/>
        <v>552</v>
      </c>
      <c r="T29">
        <v>26</v>
      </c>
      <c r="U29">
        <f t="shared" si="14"/>
        <v>79</v>
      </c>
      <c r="X29">
        <f t="shared" si="0"/>
        <v>13003</v>
      </c>
      <c r="Y29">
        <f t="shared" si="1"/>
        <v>1301</v>
      </c>
    </row>
    <row r="30" spans="1:25" x14ac:dyDescent="0.15">
      <c r="A30">
        <f t="shared" si="13"/>
        <v>1210</v>
      </c>
      <c r="B30">
        <f t="shared" si="7"/>
        <v>12</v>
      </c>
      <c r="C30">
        <f t="shared" si="8"/>
        <v>2</v>
      </c>
      <c r="D30">
        <f t="shared" si="9"/>
        <v>2</v>
      </c>
      <c r="E30" t="str">
        <f t="shared" si="2"/>
        <v>火焰呼吸</v>
      </c>
      <c r="F30">
        <v>14</v>
      </c>
      <c r="G30">
        <f t="shared" si="10"/>
        <v>10</v>
      </c>
      <c r="H30">
        <f t="shared" si="3"/>
        <v>91</v>
      </c>
      <c r="I30">
        <f t="shared" si="4"/>
        <v>0</v>
      </c>
      <c r="J30">
        <f t="shared" si="5"/>
        <v>1300</v>
      </c>
      <c r="K30">
        <f t="shared" si="11"/>
        <v>686</v>
      </c>
      <c r="T30">
        <v>27</v>
      </c>
      <c r="U30">
        <f t="shared" si="14"/>
        <v>84</v>
      </c>
      <c r="X30">
        <f t="shared" si="0"/>
        <v>13013</v>
      </c>
      <c r="Y30">
        <f t="shared" si="1"/>
        <v>1302</v>
      </c>
    </row>
    <row r="31" spans="1:25" x14ac:dyDescent="0.15">
      <c r="A31">
        <f>A21+100</f>
        <v>1301</v>
      </c>
      <c r="B31">
        <f t="shared" si="7"/>
        <v>13</v>
      </c>
      <c r="C31">
        <f t="shared" si="8"/>
        <v>2</v>
      </c>
      <c r="D31">
        <f t="shared" si="9"/>
        <v>3</v>
      </c>
      <c r="E31" t="str">
        <f t="shared" si="2"/>
        <v>离子化</v>
      </c>
      <c r="F31">
        <v>20</v>
      </c>
      <c r="G31">
        <f t="shared" si="10"/>
        <v>1</v>
      </c>
      <c r="H31">
        <f t="shared" si="3"/>
        <v>3</v>
      </c>
      <c r="I31">
        <f t="shared" si="4"/>
        <v>0</v>
      </c>
      <c r="J31">
        <f t="shared" si="5"/>
        <v>0</v>
      </c>
      <c r="K31">
        <f t="shared" si="11"/>
        <v>0</v>
      </c>
      <c r="T31">
        <v>28</v>
      </c>
      <c r="U31">
        <f t="shared" si="14"/>
        <v>88</v>
      </c>
      <c r="X31">
        <f t="shared" si="0"/>
        <v>13023</v>
      </c>
      <c r="Y31">
        <f t="shared" si="1"/>
        <v>1303</v>
      </c>
    </row>
    <row r="32" spans="1:25" x14ac:dyDescent="0.15">
      <c r="A32">
        <f t="shared" ref="A32:A57" si="15">A22+100</f>
        <v>1302</v>
      </c>
      <c r="B32">
        <f t="shared" si="7"/>
        <v>13</v>
      </c>
      <c r="C32">
        <f t="shared" si="8"/>
        <v>2</v>
      </c>
      <c r="D32">
        <f t="shared" si="9"/>
        <v>3</v>
      </c>
      <c r="E32" t="str">
        <f t="shared" si="2"/>
        <v>离子化</v>
      </c>
      <c r="F32">
        <v>25</v>
      </c>
      <c r="G32">
        <f t="shared" si="10"/>
        <v>2</v>
      </c>
      <c r="H32">
        <f t="shared" si="3"/>
        <v>13</v>
      </c>
      <c r="I32">
        <f t="shared" si="4"/>
        <v>0</v>
      </c>
      <c r="J32">
        <f t="shared" si="5"/>
        <v>0</v>
      </c>
      <c r="K32">
        <f t="shared" si="11"/>
        <v>0</v>
      </c>
      <c r="T32">
        <v>29</v>
      </c>
      <c r="U32">
        <f t="shared" si="14"/>
        <v>92</v>
      </c>
      <c r="X32">
        <f t="shared" si="0"/>
        <v>13033</v>
      </c>
      <c r="Y32">
        <f t="shared" si="1"/>
        <v>1304</v>
      </c>
    </row>
    <row r="33" spans="1:25" x14ac:dyDescent="0.15">
      <c r="A33">
        <f t="shared" si="15"/>
        <v>1303</v>
      </c>
      <c r="B33">
        <f t="shared" si="7"/>
        <v>13</v>
      </c>
      <c r="C33">
        <f t="shared" si="8"/>
        <v>2</v>
      </c>
      <c r="D33">
        <f t="shared" si="9"/>
        <v>3</v>
      </c>
      <c r="E33" t="str">
        <f t="shared" si="2"/>
        <v>离子化</v>
      </c>
      <c r="F33">
        <v>30</v>
      </c>
      <c r="G33">
        <f t="shared" si="10"/>
        <v>3</v>
      </c>
      <c r="H33">
        <f t="shared" si="3"/>
        <v>23</v>
      </c>
      <c r="I33">
        <f t="shared" si="4"/>
        <v>0</v>
      </c>
      <c r="J33">
        <f t="shared" si="5"/>
        <v>0</v>
      </c>
      <c r="K33">
        <f t="shared" si="11"/>
        <v>0</v>
      </c>
      <c r="T33">
        <v>30</v>
      </c>
      <c r="U33">
        <f t="shared" ref="U33" si="16">VLOOKUP(T33,$V$4:$W$14,2,FALSE)</f>
        <v>97</v>
      </c>
      <c r="X33">
        <f t="shared" si="0"/>
        <v>13043</v>
      </c>
      <c r="Y33">
        <f t="shared" si="1"/>
        <v>1305</v>
      </c>
    </row>
    <row r="34" spans="1:25" x14ac:dyDescent="0.15">
      <c r="A34">
        <f t="shared" si="15"/>
        <v>1304</v>
      </c>
      <c r="B34">
        <f t="shared" si="7"/>
        <v>13</v>
      </c>
      <c r="C34">
        <f t="shared" si="8"/>
        <v>2</v>
      </c>
      <c r="D34">
        <f t="shared" si="9"/>
        <v>3</v>
      </c>
      <c r="E34" t="str">
        <f t="shared" si="2"/>
        <v>离子化</v>
      </c>
      <c r="F34">
        <v>35</v>
      </c>
      <c r="G34">
        <f t="shared" si="10"/>
        <v>4</v>
      </c>
      <c r="H34">
        <f t="shared" si="3"/>
        <v>33</v>
      </c>
      <c r="I34">
        <f t="shared" si="4"/>
        <v>0</v>
      </c>
      <c r="J34">
        <f t="shared" si="5"/>
        <v>0</v>
      </c>
      <c r="K34">
        <f t="shared" si="11"/>
        <v>0</v>
      </c>
      <c r="T34">
        <v>31</v>
      </c>
      <c r="U34">
        <f t="shared" si="14"/>
        <v>102</v>
      </c>
      <c r="X34">
        <f t="shared" si="0"/>
        <v>13053</v>
      </c>
      <c r="Y34">
        <f t="shared" si="1"/>
        <v>1306</v>
      </c>
    </row>
    <row r="35" spans="1:25" x14ac:dyDescent="0.15">
      <c r="A35">
        <f t="shared" si="15"/>
        <v>1305</v>
      </c>
      <c r="B35">
        <f t="shared" si="7"/>
        <v>13</v>
      </c>
      <c r="C35">
        <f t="shared" si="8"/>
        <v>2</v>
      </c>
      <c r="D35">
        <f t="shared" si="9"/>
        <v>3</v>
      </c>
      <c r="E35" t="str">
        <f t="shared" si="2"/>
        <v>离子化</v>
      </c>
      <c r="F35">
        <v>40</v>
      </c>
      <c r="G35">
        <f t="shared" si="10"/>
        <v>5</v>
      </c>
      <c r="H35">
        <f t="shared" si="3"/>
        <v>43</v>
      </c>
      <c r="I35">
        <f t="shared" si="4"/>
        <v>0</v>
      </c>
      <c r="J35">
        <f t="shared" si="5"/>
        <v>0</v>
      </c>
      <c r="K35">
        <f t="shared" si="11"/>
        <v>0</v>
      </c>
      <c r="T35">
        <v>32</v>
      </c>
      <c r="U35">
        <f t="shared" si="14"/>
        <v>108</v>
      </c>
      <c r="X35">
        <f t="shared" si="0"/>
        <v>13063</v>
      </c>
      <c r="Y35">
        <f t="shared" si="1"/>
        <v>1307</v>
      </c>
    </row>
    <row r="36" spans="1:25" x14ac:dyDescent="0.15">
      <c r="A36">
        <f t="shared" si="15"/>
        <v>1306</v>
      </c>
      <c r="B36">
        <f t="shared" si="7"/>
        <v>13</v>
      </c>
      <c r="C36">
        <f t="shared" si="8"/>
        <v>2</v>
      </c>
      <c r="D36">
        <f t="shared" si="9"/>
        <v>3</v>
      </c>
      <c r="E36" t="str">
        <f t="shared" si="2"/>
        <v>离子化</v>
      </c>
      <c r="F36">
        <v>45</v>
      </c>
      <c r="G36">
        <f t="shared" si="10"/>
        <v>6</v>
      </c>
      <c r="H36">
        <f t="shared" si="3"/>
        <v>53</v>
      </c>
      <c r="I36">
        <f t="shared" si="4"/>
        <v>0</v>
      </c>
      <c r="J36">
        <f t="shared" si="5"/>
        <v>0</v>
      </c>
      <c r="K36">
        <f t="shared" si="11"/>
        <v>0</v>
      </c>
      <c r="T36">
        <v>33</v>
      </c>
      <c r="U36">
        <f t="shared" si="14"/>
        <v>114</v>
      </c>
      <c r="X36">
        <f t="shared" si="0"/>
        <v>13073</v>
      </c>
      <c r="Y36">
        <f t="shared" si="1"/>
        <v>1308</v>
      </c>
    </row>
    <row r="37" spans="1:25" x14ac:dyDescent="0.15">
      <c r="A37">
        <f t="shared" si="15"/>
        <v>1307</v>
      </c>
      <c r="B37">
        <f t="shared" si="7"/>
        <v>13</v>
      </c>
      <c r="C37">
        <f t="shared" si="8"/>
        <v>2</v>
      </c>
      <c r="D37">
        <f t="shared" si="9"/>
        <v>3</v>
      </c>
      <c r="E37" t="str">
        <f t="shared" si="2"/>
        <v>离子化</v>
      </c>
      <c r="F37">
        <v>50</v>
      </c>
      <c r="G37">
        <f t="shared" si="10"/>
        <v>7</v>
      </c>
      <c r="H37">
        <f t="shared" si="3"/>
        <v>63</v>
      </c>
      <c r="I37">
        <f t="shared" si="4"/>
        <v>0</v>
      </c>
      <c r="J37">
        <f t="shared" si="5"/>
        <v>0</v>
      </c>
      <c r="K37">
        <f t="shared" si="11"/>
        <v>0</v>
      </c>
      <c r="T37">
        <v>34</v>
      </c>
      <c r="U37">
        <f t="shared" si="14"/>
        <v>119</v>
      </c>
      <c r="X37">
        <f t="shared" si="0"/>
        <v>13083</v>
      </c>
      <c r="Y37">
        <f t="shared" si="1"/>
        <v>1309</v>
      </c>
    </row>
    <row r="38" spans="1:25" x14ac:dyDescent="0.15">
      <c r="A38">
        <f t="shared" si="15"/>
        <v>1308</v>
      </c>
      <c r="B38">
        <f t="shared" si="7"/>
        <v>13</v>
      </c>
      <c r="C38">
        <f t="shared" si="8"/>
        <v>2</v>
      </c>
      <c r="D38">
        <f t="shared" si="9"/>
        <v>3</v>
      </c>
      <c r="E38" t="str">
        <f t="shared" si="2"/>
        <v>离子化</v>
      </c>
      <c r="F38">
        <v>55</v>
      </c>
      <c r="G38">
        <f t="shared" si="10"/>
        <v>8</v>
      </c>
      <c r="H38">
        <f t="shared" si="3"/>
        <v>73</v>
      </c>
      <c r="I38">
        <f t="shared" si="4"/>
        <v>0</v>
      </c>
      <c r="J38">
        <f t="shared" si="5"/>
        <v>0</v>
      </c>
      <c r="K38">
        <f t="shared" ref="K38:K69" si="17">IF(VLOOKUP($B38,技能参数,11,FALSE)=0,0,
VLOOKUP($B38,技能参数,11,FALSE)-5+VLOOKUP(H38,$T$4:$U$103,2,FALSE))</f>
        <v>0</v>
      </c>
      <c r="T38">
        <v>35</v>
      </c>
      <c r="U38">
        <f t="shared" si="14"/>
        <v>125</v>
      </c>
      <c r="X38">
        <f t="shared" si="0"/>
        <v>13093</v>
      </c>
      <c r="Y38">
        <f t="shared" si="1"/>
        <v>1310</v>
      </c>
    </row>
    <row r="39" spans="1:25" x14ac:dyDescent="0.15">
      <c r="A39">
        <f t="shared" si="15"/>
        <v>1309</v>
      </c>
      <c r="B39">
        <f t="shared" si="7"/>
        <v>13</v>
      </c>
      <c r="C39">
        <f t="shared" si="8"/>
        <v>2</v>
      </c>
      <c r="D39">
        <f t="shared" si="9"/>
        <v>3</v>
      </c>
      <c r="E39" t="str">
        <f t="shared" si="2"/>
        <v>离子化</v>
      </c>
      <c r="F39">
        <v>60</v>
      </c>
      <c r="G39">
        <f t="shared" si="10"/>
        <v>9</v>
      </c>
      <c r="H39">
        <f t="shared" si="3"/>
        <v>83</v>
      </c>
      <c r="I39">
        <f t="shared" si="4"/>
        <v>0</v>
      </c>
      <c r="J39">
        <f t="shared" si="5"/>
        <v>0</v>
      </c>
      <c r="K39">
        <f t="shared" si="17"/>
        <v>0</v>
      </c>
      <c r="T39">
        <v>36</v>
      </c>
      <c r="U39">
        <f t="shared" si="14"/>
        <v>131</v>
      </c>
      <c r="X39">
        <f t="shared" si="0"/>
        <v>14005</v>
      </c>
      <c r="Y39">
        <f t="shared" si="1"/>
        <v>1401</v>
      </c>
    </row>
    <row r="40" spans="1:25" x14ac:dyDescent="0.15">
      <c r="A40">
        <f t="shared" si="15"/>
        <v>1310</v>
      </c>
      <c r="B40">
        <f t="shared" si="7"/>
        <v>13</v>
      </c>
      <c r="C40">
        <f t="shared" si="8"/>
        <v>2</v>
      </c>
      <c r="D40">
        <f t="shared" si="9"/>
        <v>3</v>
      </c>
      <c r="E40" t="str">
        <f t="shared" si="2"/>
        <v>离子化</v>
      </c>
      <c r="F40">
        <v>65</v>
      </c>
      <c r="G40">
        <f t="shared" si="10"/>
        <v>10</v>
      </c>
      <c r="H40">
        <f t="shared" si="3"/>
        <v>93</v>
      </c>
      <c r="I40">
        <f t="shared" si="4"/>
        <v>0</v>
      </c>
      <c r="J40">
        <f t="shared" si="5"/>
        <v>0</v>
      </c>
      <c r="K40">
        <f t="shared" si="17"/>
        <v>0</v>
      </c>
      <c r="T40">
        <v>37</v>
      </c>
      <c r="U40">
        <f t="shared" si="14"/>
        <v>136</v>
      </c>
      <c r="X40">
        <f t="shared" si="0"/>
        <v>14015</v>
      </c>
      <c r="Y40">
        <f t="shared" si="1"/>
        <v>1402</v>
      </c>
    </row>
    <row r="41" spans="1:25" x14ac:dyDescent="0.15">
      <c r="A41">
        <f t="shared" si="15"/>
        <v>1401</v>
      </c>
      <c r="B41">
        <f t="shared" si="7"/>
        <v>14</v>
      </c>
      <c r="C41">
        <f t="shared" si="8"/>
        <v>2</v>
      </c>
      <c r="D41">
        <f t="shared" si="9"/>
        <v>3</v>
      </c>
      <c r="E41" t="str">
        <f t="shared" si="2"/>
        <v>天官赐福</v>
      </c>
      <c r="F41">
        <v>0</v>
      </c>
      <c r="G41">
        <f t="shared" si="10"/>
        <v>1</v>
      </c>
      <c r="H41">
        <f t="shared" si="3"/>
        <v>5</v>
      </c>
      <c r="I41">
        <f t="shared" si="4"/>
        <v>0</v>
      </c>
      <c r="J41">
        <f t="shared" si="5"/>
        <v>0</v>
      </c>
      <c r="K41">
        <f t="shared" si="17"/>
        <v>0</v>
      </c>
      <c r="L41">
        <v>20101</v>
      </c>
      <c r="T41">
        <v>38</v>
      </c>
      <c r="U41">
        <f t="shared" si="14"/>
        <v>142</v>
      </c>
      <c r="X41">
        <f t="shared" si="0"/>
        <v>14025</v>
      </c>
      <c r="Y41">
        <f t="shared" si="1"/>
        <v>1403</v>
      </c>
    </row>
    <row r="42" spans="1:25" x14ac:dyDescent="0.15">
      <c r="A42">
        <f t="shared" si="15"/>
        <v>1402</v>
      </c>
      <c r="B42">
        <f t="shared" si="7"/>
        <v>14</v>
      </c>
      <c r="C42">
        <f t="shared" si="8"/>
        <v>2</v>
      </c>
      <c r="D42">
        <f t="shared" si="9"/>
        <v>3</v>
      </c>
      <c r="E42" t="str">
        <f t="shared" si="2"/>
        <v>天官赐福</v>
      </c>
      <c r="F42">
        <v>0</v>
      </c>
      <c r="G42">
        <f t="shared" si="10"/>
        <v>2</v>
      </c>
      <c r="H42">
        <f t="shared" si="3"/>
        <v>15</v>
      </c>
      <c r="I42">
        <f t="shared" si="4"/>
        <v>0</v>
      </c>
      <c r="J42">
        <f t="shared" si="5"/>
        <v>0</v>
      </c>
      <c r="K42">
        <f t="shared" si="17"/>
        <v>0</v>
      </c>
      <c r="L42">
        <v>20102</v>
      </c>
      <c r="T42">
        <v>39</v>
      </c>
      <c r="U42">
        <f t="shared" si="14"/>
        <v>148</v>
      </c>
      <c r="X42">
        <f t="shared" si="0"/>
        <v>14035</v>
      </c>
      <c r="Y42">
        <f t="shared" si="1"/>
        <v>1404</v>
      </c>
    </row>
    <row r="43" spans="1:25" x14ac:dyDescent="0.15">
      <c r="A43">
        <f t="shared" si="15"/>
        <v>1403</v>
      </c>
      <c r="B43">
        <f t="shared" si="7"/>
        <v>14</v>
      </c>
      <c r="C43">
        <f t="shared" si="8"/>
        <v>2</v>
      </c>
      <c r="D43">
        <f t="shared" si="9"/>
        <v>3</v>
      </c>
      <c r="E43" t="str">
        <f t="shared" si="2"/>
        <v>天官赐福</v>
      </c>
      <c r="F43">
        <v>0</v>
      </c>
      <c r="G43">
        <f t="shared" si="10"/>
        <v>3</v>
      </c>
      <c r="H43">
        <f t="shared" si="3"/>
        <v>25</v>
      </c>
      <c r="I43">
        <f t="shared" si="4"/>
        <v>0</v>
      </c>
      <c r="J43">
        <f t="shared" si="5"/>
        <v>0</v>
      </c>
      <c r="K43">
        <f t="shared" si="17"/>
        <v>0</v>
      </c>
      <c r="L43">
        <v>20103</v>
      </c>
      <c r="T43">
        <v>40</v>
      </c>
      <c r="U43">
        <f t="shared" ref="U43" si="18">VLOOKUP(T43,$V$4:$W$14,2,FALSE)</f>
        <v>154</v>
      </c>
      <c r="X43">
        <f t="shared" si="0"/>
        <v>14045</v>
      </c>
      <c r="Y43">
        <f t="shared" si="1"/>
        <v>1405</v>
      </c>
    </row>
    <row r="44" spans="1:25" x14ac:dyDescent="0.15">
      <c r="A44">
        <f t="shared" si="15"/>
        <v>1404</v>
      </c>
      <c r="B44">
        <f t="shared" si="7"/>
        <v>14</v>
      </c>
      <c r="C44">
        <f t="shared" si="8"/>
        <v>2</v>
      </c>
      <c r="D44">
        <f t="shared" si="9"/>
        <v>3</v>
      </c>
      <c r="E44" t="str">
        <f t="shared" si="2"/>
        <v>天官赐福</v>
      </c>
      <c r="F44">
        <v>0</v>
      </c>
      <c r="G44">
        <f t="shared" si="10"/>
        <v>4</v>
      </c>
      <c r="H44">
        <f t="shared" si="3"/>
        <v>35</v>
      </c>
      <c r="I44">
        <f t="shared" si="4"/>
        <v>0</v>
      </c>
      <c r="J44">
        <f t="shared" si="5"/>
        <v>0</v>
      </c>
      <c r="K44">
        <f t="shared" si="17"/>
        <v>0</v>
      </c>
      <c r="L44">
        <v>20104</v>
      </c>
      <c r="T44">
        <v>41</v>
      </c>
      <c r="U44">
        <f t="shared" si="14"/>
        <v>161</v>
      </c>
      <c r="X44">
        <f t="shared" si="0"/>
        <v>14055</v>
      </c>
      <c r="Y44">
        <f t="shared" si="1"/>
        <v>1406</v>
      </c>
    </row>
    <row r="45" spans="1:25" x14ac:dyDescent="0.15">
      <c r="A45">
        <f t="shared" si="15"/>
        <v>1405</v>
      </c>
      <c r="B45">
        <f t="shared" si="7"/>
        <v>14</v>
      </c>
      <c r="C45">
        <f t="shared" si="8"/>
        <v>2</v>
      </c>
      <c r="D45">
        <f t="shared" si="9"/>
        <v>3</v>
      </c>
      <c r="E45" t="str">
        <f t="shared" si="2"/>
        <v>天官赐福</v>
      </c>
      <c r="F45">
        <v>0</v>
      </c>
      <c r="G45">
        <f t="shared" si="10"/>
        <v>5</v>
      </c>
      <c r="H45">
        <f t="shared" si="3"/>
        <v>45</v>
      </c>
      <c r="I45">
        <f t="shared" si="4"/>
        <v>0</v>
      </c>
      <c r="J45">
        <f t="shared" si="5"/>
        <v>0</v>
      </c>
      <c r="K45">
        <f t="shared" si="17"/>
        <v>0</v>
      </c>
      <c r="L45">
        <v>20105</v>
      </c>
      <c r="T45">
        <v>42</v>
      </c>
      <c r="U45">
        <f t="shared" si="14"/>
        <v>168</v>
      </c>
      <c r="X45">
        <f t="shared" si="0"/>
        <v>14065</v>
      </c>
      <c r="Y45">
        <f t="shared" si="1"/>
        <v>1407</v>
      </c>
    </row>
    <row r="46" spans="1:25" x14ac:dyDescent="0.15">
      <c r="A46">
        <f t="shared" si="15"/>
        <v>1406</v>
      </c>
      <c r="B46">
        <f t="shared" si="7"/>
        <v>14</v>
      </c>
      <c r="C46">
        <f t="shared" si="8"/>
        <v>2</v>
      </c>
      <c r="D46">
        <f t="shared" si="9"/>
        <v>3</v>
      </c>
      <c r="E46" t="str">
        <f t="shared" si="2"/>
        <v>天官赐福</v>
      </c>
      <c r="F46">
        <v>0</v>
      </c>
      <c r="G46">
        <f t="shared" si="10"/>
        <v>6</v>
      </c>
      <c r="H46">
        <f t="shared" si="3"/>
        <v>55</v>
      </c>
      <c r="I46">
        <f t="shared" si="4"/>
        <v>0</v>
      </c>
      <c r="J46">
        <f t="shared" si="5"/>
        <v>0</v>
      </c>
      <c r="K46">
        <f t="shared" si="17"/>
        <v>0</v>
      </c>
      <c r="L46">
        <v>20106</v>
      </c>
      <c r="T46">
        <v>43</v>
      </c>
      <c r="U46">
        <f t="shared" si="14"/>
        <v>175</v>
      </c>
      <c r="X46">
        <f t="shared" si="0"/>
        <v>14075</v>
      </c>
      <c r="Y46">
        <f t="shared" si="1"/>
        <v>1408</v>
      </c>
    </row>
    <row r="47" spans="1:25" x14ac:dyDescent="0.15">
      <c r="A47">
        <f t="shared" si="15"/>
        <v>1407</v>
      </c>
      <c r="B47">
        <f t="shared" si="7"/>
        <v>14</v>
      </c>
      <c r="C47">
        <f t="shared" si="8"/>
        <v>2</v>
      </c>
      <c r="D47">
        <f t="shared" si="9"/>
        <v>3</v>
      </c>
      <c r="E47" t="str">
        <f t="shared" si="2"/>
        <v>天官赐福</v>
      </c>
      <c r="F47">
        <v>0</v>
      </c>
      <c r="G47">
        <f t="shared" si="10"/>
        <v>7</v>
      </c>
      <c r="H47">
        <f t="shared" si="3"/>
        <v>65</v>
      </c>
      <c r="I47">
        <f t="shared" si="4"/>
        <v>0</v>
      </c>
      <c r="J47">
        <f t="shared" si="5"/>
        <v>0</v>
      </c>
      <c r="K47">
        <f t="shared" si="17"/>
        <v>0</v>
      </c>
      <c r="L47">
        <v>20107</v>
      </c>
      <c r="T47">
        <v>44</v>
      </c>
      <c r="U47">
        <f t="shared" si="14"/>
        <v>183</v>
      </c>
      <c r="X47">
        <f t="shared" si="0"/>
        <v>14085</v>
      </c>
      <c r="Y47">
        <f t="shared" si="1"/>
        <v>1409</v>
      </c>
    </row>
    <row r="48" spans="1:25" x14ac:dyDescent="0.15">
      <c r="A48">
        <f t="shared" si="15"/>
        <v>1408</v>
      </c>
      <c r="B48">
        <f t="shared" si="7"/>
        <v>14</v>
      </c>
      <c r="C48">
        <f t="shared" si="8"/>
        <v>2</v>
      </c>
      <c r="D48">
        <f t="shared" si="9"/>
        <v>3</v>
      </c>
      <c r="E48" t="str">
        <f t="shared" si="2"/>
        <v>天官赐福</v>
      </c>
      <c r="F48">
        <v>0</v>
      </c>
      <c r="G48">
        <f t="shared" si="10"/>
        <v>8</v>
      </c>
      <c r="H48">
        <f t="shared" si="3"/>
        <v>75</v>
      </c>
      <c r="I48">
        <f t="shared" si="4"/>
        <v>0</v>
      </c>
      <c r="J48">
        <f t="shared" si="5"/>
        <v>0</v>
      </c>
      <c r="K48">
        <f t="shared" si="17"/>
        <v>0</v>
      </c>
      <c r="L48">
        <v>20108</v>
      </c>
      <c r="T48">
        <v>45</v>
      </c>
      <c r="U48">
        <f t="shared" si="14"/>
        <v>190</v>
      </c>
      <c r="X48">
        <f t="shared" si="0"/>
        <v>14095</v>
      </c>
      <c r="Y48">
        <f t="shared" si="1"/>
        <v>1410</v>
      </c>
    </row>
    <row r="49" spans="1:25" x14ac:dyDescent="0.15">
      <c r="A49">
        <f t="shared" si="15"/>
        <v>1409</v>
      </c>
      <c r="B49">
        <f t="shared" si="7"/>
        <v>14</v>
      </c>
      <c r="C49">
        <f t="shared" si="8"/>
        <v>2</v>
      </c>
      <c r="D49">
        <f t="shared" si="9"/>
        <v>3</v>
      </c>
      <c r="E49" t="str">
        <f t="shared" si="2"/>
        <v>天官赐福</v>
      </c>
      <c r="F49">
        <v>0</v>
      </c>
      <c r="G49">
        <f t="shared" si="10"/>
        <v>9</v>
      </c>
      <c r="H49">
        <f t="shared" si="3"/>
        <v>85</v>
      </c>
      <c r="I49">
        <f t="shared" si="4"/>
        <v>0</v>
      </c>
      <c r="J49">
        <f t="shared" si="5"/>
        <v>0</v>
      </c>
      <c r="K49">
        <f t="shared" si="17"/>
        <v>0</v>
      </c>
      <c r="L49">
        <v>20109</v>
      </c>
      <c r="T49">
        <v>46</v>
      </c>
      <c r="U49">
        <f t="shared" si="14"/>
        <v>197</v>
      </c>
      <c r="X49">
        <f t="shared" si="0"/>
        <v>15006</v>
      </c>
      <c r="Y49">
        <f t="shared" si="1"/>
        <v>1501</v>
      </c>
    </row>
    <row r="50" spans="1:25" x14ac:dyDescent="0.15">
      <c r="A50">
        <f t="shared" si="15"/>
        <v>1410</v>
      </c>
      <c r="B50">
        <f t="shared" si="7"/>
        <v>14</v>
      </c>
      <c r="C50">
        <f t="shared" si="8"/>
        <v>2</v>
      </c>
      <c r="D50">
        <f t="shared" si="9"/>
        <v>3</v>
      </c>
      <c r="E50" t="str">
        <f t="shared" si="2"/>
        <v>天官赐福</v>
      </c>
      <c r="F50">
        <v>0</v>
      </c>
      <c r="G50">
        <f t="shared" si="10"/>
        <v>10</v>
      </c>
      <c r="H50">
        <f t="shared" si="3"/>
        <v>95</v>
      </c>
      <c r="I50">
        <f t="shared" si="4"/>
        <v>0</v>
      </c>
      <c r="J50">
        <f t="shared" si="5"/>
        <v>0</v>
      </c>
      <c r="K50">
        <f t="shared" si="17"/>
        <v>0</v>
      </c>
      <c r="L50">
        <v>20110</v>
      </c>
      <c r="T50">
        <v>47</v>
      </c>
      <c r="U50">
        <f t="shared" si="14"/>
        <v>205</v>
      </c>
      <c r="X50">
        <f t="shared" si="0"/>
        <v>15021</v>
      </c>
      <c r="Y50">
        <f t="shared" si="1"/>
        <v>1502</v>
      </c>
    </row>
    <row r="51" spans="1:25" x14ac:dyDescent="0.15">
      <c r="A51">
        <f t="shared" si="15"/>
        <v>1501</v>
      </c>
      <c r="B51">
        <f t="shared" si="7"/>
        <v>15</v>
      </c>
      <c r="C51">
        <f t="shared" si="8"/>
        <v>3</v>
      </c>
      <c r="D51">
        <f t="shared" si="9"/>
        <v>3</v>
      </c>
      <c r="E51" t="str">
        <f t="shared" si="2"/>
        <v>天官下凡</v>
      </c>
      <c r="F51">
        <v>0</v>
      </c>
      <c r="G51">
        <f t="shared" si="10"/>
        <v>1</v>
      </c>
      <c r="H51">
        <f t="shared" si="3"/>
        <v>6</v>
      </c>
      <c r="I51">
        <f t="shared" si="4"/>
        <v>0</v>
      </c>
      <c r="J51">
        <f t="shared" si="5"/>
        <v>0</v>
      </c>
      <c r="K51">
        <f t="shared" si="17"/>
        <v>0</v>
      </c>
      <c r="M51">
        <f>VLOOKUP($H51,$T$4:$U$103,2,FALSE)*17+94</f>
        <v>451</v>
      </c>
      <c r="N51">
        <f>INT(VLOOKUP($H51,$T$4:$U$103,2,FALSE)/6)+12</f>
        <v>15</v>
      </c>
      <c r="O51">
        <v>100</v>
      </c>
      <c r="P51">
        <v>100</v>
      </c>
      <c r="R51" t="s">
        <v>236</v>
      </c>
      <c r="T51">
        <v>48</v>
      </c>
      <c r="U51">
        <f t="shared" si="14"/>
        <v>212</v>
      </c>
      <c r="X51">
        <f t="shared" si="0"/>
        <v>15037</v>
      </c>
      <c r="Y51">
        <f t="shared" si="1"/>
        <v>1503</v>
      </c>
    </row>
    <row r="52" spans="1:25" x14ac:dyDescent="0.15">
      <c r="A52">
        <f t="shared" si="15"/>
        <v>1502</v>
      </c>
      <c r="B52">
        <f t="shared" si="7"/>
        <v>15</v>
      </c>
      <c r="C52">
        <f t="shared" si="8"/>
        <v>3</v>
      </c>
      <c r="D52">
        <f t="shared" si="9"/>
        <v>3</v>
      </c>
      <c r="E52" t="str">
        <f t="shared" si="2"/>
        <v>天官下凡</v>
      </c>
      <c r="F52">
        <v>0</v>
      </c>
      <c r="G52">
        <f t="shared" si="10"/>
        <v>2</v>
      </c>
      <c r="H52">
        <f t="shared" si="3"/>
        <v>21</v>
      </c>
      <c r="I52">
        <f t="shared" si="4"/>
        <v>0</v>
      </c>
      <c r="J52">
        <f t="shared" si="5"/>
        <v>0</v>
      </c>
      <c r="K52">
        <f t="shared" si="17"/>
        <v>0</v>
      </c>
      <c r="M52">
        <f>VLOOKUP($H52,$T$4:$U$103,2,FALSE)*17+94</f>
        <v>1080</v>
      </c>
      <c r="N52">
        <f>INT(VLOOKUP($H52,$T$4:$U$103,2,FALSE)/6)+12</f>
        <v>21</v>
      </c>
      <c r="O52">
        <v>100</v>
      </c>
      <c r="P52">
        <v>100</v>
      </c>
      <c r="T52">
        <v>49</v>
      </c>
      <c r="U52">
        <f t="shared" si="14"/>
        <v>219</v>
      </c>
      <c r="X52">
        <f t="shared" si="0"/>
        <v>15053</v>
      </c>
      <c r="Y52">
        <f t="shared" si="1"/>
        <v>1504</v>
      </c>
    </row>
    <row r="53" spans="1:25" x14ac:dyDescent="0.15">
      <c r="A53">
        <f t="shared" si="15"/>
        <v>1503</v>
      </c>
      <c r="B53">
        <f t="shared" si="7"/>
        <v>15</v>
      </c>
      <c r="C53">
        <f t="shared" si="8"/>
        <v>3</v>
      </c>
      <c r="D53">
        <f t="shared" si="9"/>
        <v>3</v>
      </c>
      <c r="E53" t="str">
        <f t="shared" si="2"/>
        <v>天官下凡</v>
      </c>
      <c r="F53">
        <v>0</v>
      </c>
      <c r="G53">
        <f t="shared" si="10"/>
        <v>3</v>
      </c>
      <c r="H53">
        <f t="shared" si="3"/>
        <v>37</v>
      </c>
      <c r="I53">
        <f t="shared" si="4"/>
        <v>0</v>
      </c>
      <c r="J53">
        <f t="shared" si="5"/>
        <v>0</v>
      </c>
      <c r="K53">
        <f t="shared" si="17"/>
        <v>0</v>
      </c>
      <c r="M53">
        <f>VLOOKUP($H53,$T$4:$U$103,2,FALSE)*17+94</f>
        <v>2406</v>
      </c>
      <c r="N53">
        <f t="shared" ref="N53:N57" si="19">INT(VLOOKUP($H53,$T$4:$U$103,2,FALSE)/6)+12</f>
        <v>34</v>
      </c>
      <c r="O53">
        <v>100</v>
      </c>
      <c r="P53">
        <v>100</v>
      </c>
      <c r="T53">
        <v>50</v>
      </c>
      <c r="U53">
        <f t="shared" ref="U53" si="20">VLOOKUP(T53,$V$4:$W$14,2,FALSE)</f>
        <v>227</v>
      </c>
      <c r="X53">
        <f t="shared" si="0"/>
        <v>15068</v>
      </c>
      <c r="Y53">
        <f t="shared" si="1"/>
        <v>1505</v>
      </c>
    </row>
    <row r="54" spans="1:25" x14ac:dyDescent="0.15">
      <c r="A54">
        <f t="shared" si="15"/>
        <v>1504</v>
      </c>
      <c r="B54">
        <f t="shared" si="7"/>
        <v>15</v>
      </c>
      <c r="C54">
        <f t="shared" si="8"/>
        <v>3</v>
      </c>
      <c r="D54">
        <f t="shared" si="9"/>
        <v>3</v>
      </c>
      <c r="E54" t="str">
        <f t="shared" si="2"/>
        <v>天官下凡</v>
      </c>
      <c r="F54">
        <v>0</v>
      </c>
      <c r="G54">
        <f t="shared" si="10"/>
        <v>4</v>
      </c>
      <c r="H54">
        <f t="shared" si="3"/>
        <v>53</v>
      </c>
      <c r="I54">
        <f t="shared" si="4"/>
        <v>0</v>
      </c>
      <c r="J54">
        <f t="shared" si="5"/>
        <v>0</v>
      </c>
      <c r="K54">
        <f t="shared" si="17"/>
        <v>0</v>
      </c>
      <c r="M54">
        <f>VLOOKUP($H54,$T$4:$U$103,2,FALSE)*17+94</f>
        <v>4395</v>
      </c>
      <c r="N54">
        <f t="shared" si="19"/>
        <v>54</v>
      </c>
      <c r="O54">
        <v>100</v>
      </c>
      <c r="P54">
        <v>100</v>
      </c>
      <c r="T54">
        <v>51</v>
      </c>
      <c r="U54">
        <f t="shared" si="14"/>
        <v>235</v>
      </c>
      <c r="X54">
        <f t="shared" si="0"/>
        <v>15084</v>
      </c>
      <c r="Y54">
        <f t="shared" si="1"/>
        <v>1506</v>
      </c>
    </row>
    <row r="55" spans="1:25" x14ac:dyDescent="0.15">
      <c r="A55">
        <f t="shared" si="15"/>
        <v>1505</v>
      </c>
      <c r="B55">
        <f t="shared" si="7"/>
        <v>15</v>
      </c>
      <c r="C55">
        <f t="shared" si="8"/>
        <v>3</v>
      </c>
      <c r="D55">
        <f t="shared" si="9"/>
        <v>3</v>
      </c>
      <c r="E55" t="str">
        <f t="shared" si="2"/>
        <v>天官下凡</v>
      </c>
      <c r="F55">
        <v>0</v>
      </c>
      <c r="G55">
        <f t="shared" si="10"/>
        <v>5</v>
      </c>
      <c r="H55">
        <f t="shared" si="3"/>
        <v>68</v>
      </c>
      <c r="I55">
        <f t="shared" si="4"/>
        <v>0</v>
      </c>
      <c r="J55">
        <f t="shared" si="5"/>
        <v>0</v>
      </c>
      <c r="K55">
        <f t="shared" si="17"/>
        <v>0</v>
      </c>
      <c r="M55">
        <f t="shared" ref="M55:M56" si="21">VLOOKUP($H55,$T$4:$U$103,2,FALSE)*17+94</f>
        <v>6826</v>
      </c>
      <c r="N55">
        <f t="shared" si="19"/>
        <v>78</v>
      </c>
      <c r="O55">
        <v>100</v>
      </c>
      <c r="P55">
        <v>100</v>
      </c>
      <c r="T55">
        <v>52</v>
      </c>
      <c r="U55">
        <f t="shared" si="14"/>
        <v>244</v>
      </c>
      <c r="X55">
        <f t="shared" si="0"/>
        <v>15100</v>
      </c>
      <c r="Y55">
        <f t="shared" si="1"/>
        <v>1507</v>
      </c>
    </row>
    <row r="56" spans="1:25" x14ac:dyDescent="0.15">
      <c r="A56">
        <f t="shared" si="15"/>
        <v>1506</v>
      </c>
      <c r="B56">
        <f t="shared" si="7"/>
        <v>15</v>
      </c>
      <c r="C56">
        <f t="shared" si="8"/>
        <v>3</v>
      </c>
      <c r="D56">
        <f t="shared" si="9"/>
        <v>3</v>
      </c>
      <c r="E56" t="str">
        <f t="shared" si="2"/>
        <v>天官下凡</v>
      </c>
      <c r="F56">
        <v>0</v>
      </c>
      <c r="G56">
        <f t="shared" si="10"/>
        <v>6</v>
      </c>
      <c r="H56">
        <f t="shared" si="3"/>
        <v>84</v>
      </c>
      <c r="I56">
        <f t="shared" si="4"/>
        <v>0</v>
      </c>
      <c r="J56">
        <f t="shared" si="5"/>
        <v>0</v>
      </c>
      <c r="K56">
        <f t="shared" si="17"/>
        <v>0</v>
      </c>
      <c r="M56">
        <f t="shared" si="21"/>
        <v>10073</v>
      </c>
      <c r="N56">
        <f t="shared" si="19"/>
        <v>109</v>
      </c>
      <c r="O56">
        <v>150</v>
      </c>
      <c r="P56">
        <v>100</v>
      </c>
      <c r="T56">
        <v>53</v>
      </c>
      <c r="U56">
        <f t="shared" si="14"/>
        <v>253</v>
      </c>
      <c r="X56">
        <f t="shared" si="0"/>
        <v>21001</v>
      </c>
      <c r="Y56">
        <f t="shared" si="1"/>
        <v>2101</v>
      </c>
    </row>
    <row r="57" spans="1:25" x14ac:dyDescent="0.15">
      <c r="A57">
        <f t="shared" si="15"/>
        <v>1507</v>
      </c>
      <c r="B57">
        <f t="shared" si="7"/>
        <v>15</v>
      </c>
      <c r="C57">
        <f t="shared" si="8"/>
        <v>3</v>
      </c>
      <c r="D57">
        <f t="shared" si="9"/>
        <v>3</v>
      </c>
      <c r="E57" t="str">
        <f t="shared" si="2"/>
        <v>天官下凡</v>
      </c>
      <c r="F57">
        <v>0</v>
      </c>
      <c r="G57">
        <f t="shared" si="10"/>
        <v>7</v>
      </c>
      <c r="H57">
        <f t="shared" si="3"/>
        <v>100</v>
      </c>
      <c r="I57">
        <f t="shared" si="4"/>
        <v>0</v>
      </c>
      <c r="J57">
        <f t="shared" si="5"/>
        <v>0</v>
      </c>
      <c r="K57">
        <f t="shared" si="17"/>
        <v>0</v>
      </c>
      <c r="M57">
        <f>VLOOKUP($H57,$T$4:$U$103,2,FALSE)*22+94</f>
        <v>18002</v>
      </c>
      <c r="N57">
        <f t="shared" si="19"/>
        <v>147</v>
      </c>
      <c r="O57">
        <v>200</v>
      </c>
      <c r="P57">
        <v>100</v>
      </c>
      <c r="T57">
        <v>54</v>
      </c>
      <c r="U57">
        <f t="shared" si="14"/>
        <v>261</v>
      </c>
      <c r="X57">
        <f t="shared" si="0"/>
        <v>21007</v>
      </c>
      <c r="Y57">
        <f t="shared" si="1"/>
        <v>2102</v>
      </c>
    </row>
    <row r="58" spans="1:25" x14ac:dyDescent="0.15">
      <c r="A58">
        <f>A6+1000</f>
        <v>2101</v>
      </c>
      <c r="B58">
        <f t="shared" si="7"/>
        <v>21</v>
      </c>
      <c r="C58">
        <f t="shared" si="8"/>
        <v>1</v>
      </c>
      <c r="D58">
        <f t="shared" si="9"/>
        <v>1</v>
      </c>
      <c r="E58" t="str">
        <f t="shared" si="2"/>
        <v>修罗普攻</v>
      </c>
      <c r="G58">
        <f t="shared" si="10"/>
        <v>1</v>
      </c>
      <c r="H58">
        <f t="shared" si="3"/>
        <v>1</v>
      </c>
      <c r="I58">
        <f t="shared" si="4"/>
        <v>1000</v>
      </c>
      <c r="J58">
        <f t="shared" si="5"/>
        <v>0</v>
      </c>
      <c r="K58">
        <f t="shared" si="17"/>
        <v>15</v>
      </c>
      <c r="T58">
        <v>55</v>
      </c>
      <c r="U58">
        <f t="shared" si="14"/>
        <v>270</v>
      </c>
      <c r="X58">
        <f t="shared" si="0"/>
        <v>21014</v>
      </c>
      <c r="Y58">
        <f t="shared" si="1"/>
        <v>2103</v>
      </c>
    </row>
    <row r="59" spans="1:25" x14ac:dyDescent="0.15">
      <c r="A59">
        <f t="shared" ref="A59:A122" si="22">A7+1000</f>
        <v>2102</v>
      </c>
      <c r="B59">
        <f t="shared" si="7"/>
        <v>21</v>
      </c>
      <c r="C59">
        <f t="shared" si="8"/>
        <v>1</v>
      </c>
      <c r="D59">
        <f t="shared" si="9"/>
        <v>1</v>
      </c>
      <c r="E59" t="str">
        <f t="shared" si="2"/>
        <v>修罗普攻</v>
      </c>
      <c r="G59">
        <f t="shared" si="10"/>
        <v>2</v>
      </c>
      <c r="H59">
        <f t="shared" si="3"/>
        <v>7</v>
      </c>
      <c r="I59">
        <f t="shared" si="4"/>
        <v>1040</v>
      </c>
      <c r="J59">
        <f t="shared" si="5"/>
        <v>0</v>
      </c>
      <c r="K59">
        <f t="shared" si="17"/>
        <v>23</v>
      </c>
      <c r="T59">
        <v>56</v>
      </c>
      <c r="U59">
        <f t="shared" si="14"/>
        <v>279</v>
      </c>
      <c r="X59">
        <f t="shared" si="0"/>
        <v>21021</v>
      </c>
      <c r="Y59">
        <f t="shared" si="1"/>
        <v>2104</v>
      </c>
    </row>
    <row r="60" spans="1:25" x14ac:dyDescent="0.15">
      <c r="A60">
        <f t="shared" si="22"/>
        <v>2103</v>
      </c>
      <c r="B60">
        <f t="shared" si="7"/>
        <v>21</v>
      </c>
      <c r="C60">
        <f t="shared" si="8"/>
        <v>1</v>
      </c>
      <c r="D60">
        <f t="shared" si="9"/>
        <v>1</v>
      </c>
      <c r="E60" t="str">
        <f t="shared" si="2"/>
        <v>修罗普攻</v>
      </c>
      <c r="G60">
        <f t="shared" si="10"/>
        <v>3</v>
      </c>
      <c r="H60">
        <f t="shared" si="3"/>
        <v>14</v>
      </c>
      <c r="I60">
        <f t="shared" si="4"/>
        <v>1070</v>
      </c>
      <c r="J60">
        <f t="shared" si="5"/>
        <v>0</v>
      </c>
      <c r="K60">
        <f t="shared" si="17"/>
        <v>37</v>
      </c>
      <c r="T60">
        <v>57</v>
      </c>
      <c r="U60">
        <f t="shared" si="14"/>
        <v>287</v>
      </c>
      <c r="X60">
        <f t="shared" si="0"/>
        <v>21028</v>
      </c>
      <c r="Y60">
        <f t="shared" si="1"/>
        <v>2105</v>
      </c>
    </row>
    <row r="61" spans="1:25" x14ac:dyDescent="0.15">
      <c r="A61">
        <f t="shared" si="22"/>
        <v>2104</v>
      </c>
      <c r="B61">
        <f t="shared" si="7"/>
        <v>21</v>
      </c>
      <c r="C61">
        <f t="shared" si="8"/>
        <v>1</v>
      </c>
      <c r="D61">
        <f t="shared" si="9"/>
        <v>1</v>
      </c>
      <c r="E61" t="str">
        <f t="shared" si="2"/>
        <v>修罗普攻</v>
      </c>
      <c r="G61">
        <f t="shared" si="10"/>
        <v>4</v>
      </c>
      <c r="H61">
        <f t="shared" si="3"/>
        <v>21</v>
      </c>
      <c r="I61">
        <f t="shared" si="4"/>
        <v>1110</v>
      </c>
      <c r="J61">
        <f t="shared" si="5"/>
        <v>0</v>
      </c>
      <c r="K61">
        <f t="shared" si="17"/>
        <v>58</v>
      </c>
      <c r="T61">
        <v>58</v>
      </c>
      <c r="U61">
        <f t="shared" si="14"/>
        <v>296</v>
      </c>
      <c r="X61">
        <f t="shared" si="0"/>
        <v>21035</v>
      </c>
      <c r="Y61">
        <f t="shared" si="1"/>
        <v>2106</v>
      </c>
    </row>
    <row r="62" spans="1:25" x14ac:dyDescent="0.15">
      <c r="A62">
        <f t="shared" si="22"/>
        <v>2105</v>
      </c>
      <c r="B62">
        <f t="shared" si="7"/>
        <v>21</v>
      </c>
      <c r="C62">
        <f t="shared" si="8"/>
        <v>1</v>
      </c>
      <c r="D62">
        <f t="shared" si="9"/>
        <v>1</v>
      </c>
      <c r="E62" t="str">
        <f t="shared" si="2"/>
        <v>修罗普攻</v>
      </c>
      <c r="G62">
        <f t="shared" si="10"/>
        <v>5</v>
      </c>
      <c r="H62">
        <f t="shared" si="3"/>
        <v>28</v>
      </c>
      <c r="I62">
        <f t="shared" si="4"/>
        <v>1140</v>
      </c>
      <c r="J62">
        <f t="shared" si="5"/>
        <v>0</v>
      </c>
      <c r="K62">
        <f t="shared" si="17"/>
        <v>88</v>
      </c>
      <c r="T62">
        <v>59</v>
      </c>
      <c r="U62">
        <f t="shared" si="14"/>
        <v>305</v>
      </c>
      <c r="X62">
        <f t="shared" si="0"/>
        <v>21042</v>
      </c>
      <c r="Y62">
        <f t="shared" si="1"/>
        <v>2107</v>
      </c>
    </row>
    <row r="63" spans="1:25" x14ac:dyDescent="0.15">
      <c r="A63">
        <f t="shared" si="22"/>
        <v>2106</v>
      </c>
      <c r="B63">
        <f t="shared" si="7"/>
        <v>21</v>
      </c>
      <c r="C63">
        <f t="shared" si="8"/>
        <v>1</v>
      </c>
      <c r="D63">
        <f t="shared" si="9"/>
        <v>1</v>
      </c>
      <c r="E63" t="str">
        <f t="shared" si="2"/>
        <v>修罗普攻</v>
      </c>
      <c r="G63">
        <f t="shared" si="10"/>
        <v>6</v>
      </c>
      <c r="H63">
        <f t="shared" si="3"/>
        <v>35</v>
      </c>
      <c r="I63">
        <f t="shared" si="4"/>
        <v>1180</v>
      </c>
      <c r="J63">
        <f t="shared" si="5"/>
        <v>0</v>
      </c>
      <c r="K63">
        <f t="shared" si="17"/>
        <v>125</v>
      </c>
      <c r="T63">
        <v>60</v>
      </c>
      <c r="U63">
        <f t="shared" ref="U63" si="23">VLOOKUP(T63,$V$4:$W$14,2,FALSE)</f>
        <v>314</v>
      </c>
      <c r="X63">
        <f t="shared" si="0"/>
        <v>21049</v>
      </c>
      <c r="Y63">
        <f t="shared" si="1"/>
        <v>2108</v>
      </c>
    </row>
    <row r="64" spans="1:25" x14ac:dyDescent="0.15">
      <c r="A64">
        <f t="shared" si="22"/>
        <v>2107</v>
      </c>
      <c r="B64">
        <f t="shared" si="7"/>
        <v>21</v>
      </c>
      <c r="C64">
        <f t="shared" si="8"/>
        <v>1</v>
      </c>
      <c r="D64">
        <f t="shared" si="9"/>
        <v>1</v>
      </c>
      <c r="E64" t="str">
        <f t="shared" si="2"/>
        <v>修罗普攻</v>
      </c>
      <c r="G64">
        <f t="shared" si="10"/>
        <v>7</v>
      </c>
      <c r="H64">
        <f t="shared" si="3"/>
        <v>42</v>
      </c>
      <c r="I64">
        <f t="shared" si="4"/>
        <v>1210</v>
      </c>
      <c r="J64">
        <f t="shared" si="5"/>
        <v>0</v>
      </c>
      <c r="K64">
        <f t="shared" si="17"/>
        <v>168</v>
      </c>
      <c r="T64">
        <v>61</v>
      </c>
      <c r="U64">
        <f t="shared" si="14"/>
        <v>324</v>
      </c>
      <c r="X64">
        <f t="shared" si="0"/>
        <v>21055</v>
      </c>
      <c r="Y64">
        <f t="shared" si="1"/>
        <v>2109</v>
      </c>
    </row>
    <row r="65" spans="1:25" x14ac:dyDescent="0.15">
      <c r="A65">
        <f t="shared" si="22"/>
        <v>2108</v>
      </c>
      <c r="B65">
        <f t="shared" si="7"/>
        <v>21</v>
      </c>
      <c r="C65">
        <f t="shared" si="8"/>
        <v>1</v>
      </c>
      <c r="D65">
        <f t="shared" si="9"/>
        <v>1</v>
      </c>
      <c r="E65" t="str">
        <f t="shared" si="2"/>
        <v>修罗普攻</v>
      </c>
      <c r="G65">
        <f t="shared" si="10"/>
        <v>8</v>
      </c>
      <c r="H65">
        <f t="shared" si="3"/>
        <v>49</v>
      </c>
      <c r="I65">
        <f t="shared" si="4"/>
        <v>1250</v>
      </c>
      <c r="J65">
        <f t="shared" si="5"/>
        <v>0</v>
      </c>
      <c r="K65">
        <f t="shared" si="17"/>
        <v>219</v>
      </c>
      <c r="T65">
        <v>62</v>
      </c>
      <c r="U65">
        <f t="shared" si="14"/>
        <v>334</v>
      </c>
      <c r="X65">
        <f t="shared" si="0"/>
        <v>21062</v>
      </c>
      <c r="Y65">
        <f t="shared" si="1"/>
        <v>2110</v>
      </c>
    </row>
    <row r="66" spans="1:25" x14ac:dyDescent="0.15">
      <c r="A66">
        <f t="shared" si="22"/>
        <v>2109</v>
      </c>
      <c r="B66">
        <f t="shared" si="7"/>
        <v>21</v>
      </c>
      <c r="C66">
        <f t="shared" si="8"/>
        <v>1</v>
      </c>
      <c r="D66">
        <f t="shared" si="9"/>
        <v>1</v>
      </c>
      <c r="E66" t="str">
        <f t="shared" si="2"/>
        <v>修罗普攻</v>
      </c>
      <c r="G66">
        <f t="shared" si="10"/>
        <v>9</v>
      </c>
      <c r="H66">
        <f t="shared" si="3"/>
        <v>55</v>
      </c>
      <c r="I66">
        <f t="shared" si="4"/>
        <v>1290</v>
      </c>
      <c r="J66">
        <f t="shared" si="5"/>
        <v>0</v>
      </c>
      <c r="K66">
        <f t="shared" si="17"/>
        <v>270</v>
      </c>
      <c r="T66">
        <v>63</v>
      </c>
      <c r="U66">
        <f t="shared" si="14"/>
        <v>344</v>
      </c>
      <c r="X66">
        <f t="shared" si="0"/>
        <v>21069</v>
      </c>
      <c r="Y66">
        <f t="shared" si="1"/>
        <v>2111</v>
      </c>
    </row>
    <row r="67" spans="1:25" x14ac:dyDescent="0.15">
      <c r="A67">
        <f t="shared" si="22"/>
        <v>2110</v>
      </c>
      <c r="B67">
        <f t="shared" si="7"/>
        <v>21</v>
      </c>
      <c r="C67">
        <f t="shared" si="8"/>
        <v>1</v>
      </c>
      <c r="D67">
        <f t="shared" si="9"/>
        <v>1</v>
      </c>
      <c r="E67" t="str">
        <f t="shared" si="2"/>
        <v>修罗普攻</v>
      </c>
      <c r="G67">
        <f t="shared" si="10"/>
        <v>10</v>
      </c>
      <c r="H67">
        <f t="shared" si="3"/>
        <v>62</v>
      </c>
      <c r="I67">
        <f t="shared" si="4"/>
        <v>1320</v>
      </c>
      <c r="J67">
        <f t="shared" si="5"/>
        <v>0</v>
      </c>
      <c r="K67">
        <f t="shared" si="17"/>
        <v>334</v>
      </c>
      <c r="T67">
        <v>64</v>
      </c>
      <c r="U67">
        <f t="shared" si="14"/>
        <v>355</v>
      </c>
      <c r="X67">
        <f t="shared" si="0"/>
        <v>21076</v>
      </c>
      <c r="Y67">
        <f t="shared" si="1"/>
        <v>2112</v>
      </c>
    </row>
    <row r="68" spans="1:25" x14ac:dyDescent="0.15">
      <c r="A68">
        <f t="shared" si="22"/>
        <v>2111</v>
      </c>
      <c r="B68">
        <f t="shared" si="7"/>
        <v>21</v>
      </c>
      <c r="C68">
        <f t="shared" si="8"/>
        <v>1</v>
      </c>
      <c r="D68">
        <f t="shared" si="9"/>
        <v>1</v>
      </c>
      <c r="E68" t="str">
        <f t="shared" si="2"/>
        <v>修罗普攻</v>
      </c>
      <c r="G68">
        <f t="shared" si="10"/>
        <v>11</v>
      </c>
      <c r="H68">
        <f t="shared" si="3"/>
        <v>69</v>
      </c>
      <c r="I68">
        <f t="shared" si="4"/>
        <v>1360</v>
      </c>
      <c r="J68">
        <f t="shared" si="5"/>
        <v>0</v>
      </c>
      <c r="K68">
        <f t="shared" si="17"/>
        <v>406</v>
      </c>
      <c r="T68">
        <v>65</v>
      </c>
      <c r="U68">
        <f t="shared" si="14"/>
        <v>365</v>
      </c>
      <c r="X68">
        <f t="shared" si="0"/>
        <v>21083</v>
      </c>
      <c r="Y68">
        <f t="shared" si="1"/>
        <v>2113</v>
      </c>
    </row>
    <row r="69" spans="1:25" x14ac:dyDescent="0.15">
      <c r="A69">
        <f t="shared" si="22"/>
        <v>2112</v>
      </c>
      <c r="B69">
        <f t="shared" si="7"/>
        <v>21</v>
      </c>
      <c r="C69">
        <f t="shared" si="8"/>
        <v>1</v>
      </c>
      <c r="D69">
        <f t="shared" si="9"/>
        <v>1</v>
      </c>
      <c r="E69" t="str">
        <f t="shared" si="2"/>
        <v>修罗普攻</v>
      </c>
      <c r="G69">
        <f t="shared" si="10"/>
        <v>12</v>
      </c>
      <c r="H69">
        <f t="shared" si="3"/>
        <v>76</v>
      </c>
      <c r="I69">
        <f t="shared" si="4"/>
        <v>1390</v>
      </c>
      <c r="J69">
        <f t="shared" si="5"/>
        <v>0</v>
      </c>
      <c r="K69">
        <f t="shared" si="17"/>
        <v>487</v>
      </c>
      <c r="T69">
        <v>66</v>
      </c>
      <c r="U69">
        <f t="shared" si="14"/>
        <v>375</v>
      </c>
      <c r="X69">
        <f t="shared" ref="X69:X103" si="24">B71*1000+H71</f>
        <v>21090</v>
      </c>
      <c r="Y69">
        <f t="shared" ref="Y69:Y103" si="25">A71</f>
        <v>2114</v>
      </c>
    </row>
    <row r="70" spans="1:25" x14ac:dyDescent="0.15">
      <c r="A70">
        <f t="shared" si="22"/>
        <v>2113</v>
      </c>
      <c r="B70">
        <f t="shared" si="7"/>
        <v>21</v>
      </c>
      <c r="C70">
        <f t="shared" si="8"/>
        <v>1</v>
      </c>
      <c r="D70">
        <f t="shared" si="9"/>
        <v>1</v>
      </c>
      <c r="E70" t="str">
        <f t="shared" ref="E70:E133" si="26">VLOOKUP(B70,技能参数,2,FALSE)</f>
        <v>修罗普攻</v>
      </c>
      <c r="G70">
        <f t="shared" si="10"/>
        <v>13</v>
      </c>
      <c r="H70">
        <f t="shared" ref="H70:H133" si="27">IF(G70=1,VLOOKUP(B70,技能参数,7,FALSE),
INT((VLOOKUP(B70,技能参数,8,FALSE)-VLOOKUP(B70,技能参数,7,FALSE))/(VLOOKUP(B70,技能参数,6,FALSE)-1)*(G70-1))
+VLOOKUP(B70,技能参数,7,FALSE)
)</f>
        <v>83</v>
      </c>
      <c r="I70">
        <f t="shared" ref="I70:I133" si="28">IF(VLOOKUP($B70,技能参数,9,FALSE)=0,0,
ROUND(VLOOKUP($B70,技能参数,9,FALSE)*(1+(VLOOKUP($B70,技能参数,12,FALSE)/(VLOOKUP($B70,技能参数,6,FALSE)-1))*(G70-1)),-1))</f>
        <v>1430</v>
      </c>
      <c r="J70">
        <f t="shared" ref="J70:J133" si="29">IF(VLOOKUP($B70,技能参数,10,FALSE)=0,0,
ROUND(VLOOKUP($B70,技能参数,10,FALSE)*(1+(VLOOKUP($B70,技能参数,12,FALSE)/(VLOOKUP($B70,技能参数,6,FALSE)-1))*(G70-1)),-1))</f>
        <v>0</v>
      </c>
      <c r="K70">
        <f t="shared" ref="K70:K133" si="30">IF(VLOOKUP($B70,技能参数,11,FALSE)=0,0,
VLOOKUP($B70,技能参数,11,FALSE)-5+VLOOKUP(H70,$T$4:$U$103,2,FALSE))</f>
        <v>573</v>
      </c>
      <c r="T70">
        <v>67</v>
      </c>
      <c r="U70">
        <f t="shared" si="14"/>
        <v>386</v>
      </c>
      <c r="X70">
        <f t="shared" si="24"/>
        <v>21097</v>
      </c>
      <c r="Y70">
        <f t="shared" si="25"/>
        <v>2115</v>
      </c>
    </row>
    <row r="71" spans="1:25" x14ac:dyDescent="0.15">
      <c r="A71">
        <f t="shared" si="22"/>
        <v>2114</v>
      </c>
      <c r="B71">
        <f t="shared" ref="B71:B134" si="31">INT(A71/100)</f>
        <v>21</v>
      </c>
      <c r="C71">
        <f t="shared" ref="C71:C134" si="32">IF(MOD(B71,10)=1,1,IF(MOD(B71,10)=5,3,2))</f>
        <v>1</v>
      </c>
      <c r="D71">
        <f t="shared" ref="D71:D134" si="33">IF(AND(I71&gt;0,J71=0),1,IF(AND(I71=0,J71&gt;0),2,3))</f>
        <v>1</v>
      </c>
      <c r="E71" t="str">
        <f t="shared" si="26"/>
        <v>修罗普攻</v>
      </c>
      <c r="G71">
        <f t="shared" ref="G71:G134" si="34">MOD(A71,100)</f>
        <v>14</v>
      </c>
      <c r="H71">
        <f t="shared" si="27"/>
        <v>90</v>
      </c>
      <c r="I71">
        <f t="shared" si="28"/>
        <v>1460</v>
      </c>
      <c r="J71">
        <f t="shared" si="29"/>
        <v>0</v>
      </c>
      <c r="K71">
        <f t="shared" si="30"/>
        <v>667</v>
      </c>
      <c r="T71">
        <v>68</v>
      </c>
      <c r="U71">
        <f t="shared" si="14"/>
        <v>396</v>
      </c>
      <c r="X71">
        <f t="shared" si="24"/>
        <v>22001</v>
      </c>
      <c r="Y71">
        <f t="shared" si="25"/>
        <v>2201</v>
      </c>
    </row>
    <row r="72" spans="1:25" x14ac:dyDescent="0.15">
      <c r="A72">
        <f t="shared" si="22"/>
        <v>2115</v>
      </c>
      <c r="B72">
        <f t="shared" si="31"/>
        <v>21</v>
      </c>
      <c r="C72">
        <f t="shared" si="32"/>
        <v>1</v>
      </c>
      <c r="D72">
        <f t="shared" si="33"/>
        <v>1</v>
      </c>
      <c r="E72" t="str">
        <f t="shared" si="26"/>
        <v>修罗普攻</v>
      </c>
      <c r="G72">
        <f t="shared" si="34"/>
        <v>15</v>
      </c>
      <c r="H72">
        <f t="shared" si="27"/>
        <v>97</v>
      </c>
      <c r="I72">
        <f t="shared" si="28"/>
        <v>1500</v>
      </c>
      <c r="J72">
        <f t="shared" si="29"/>
        <v>0</v>
      </c>
      <c r="K72">
        <f t="shared" si="30"/>
        <v>769</v>
      </c>
      <c r="T72">
        <v>69</v>
      </c>
      <c r="U72">
        <f t="shared" si="14"/>
        <v>406</v>
      </c>
      <c r="X72">
        <f t="shared" si="24"/>
        <v>22011</v>
      </c>
      <c r="Y72">
        <f t="shared" si="25"/>
        <v>2202</v>
      </c>
    </row>
    <row r="73" spans="1:25" x14ac:dyDescent="0.15">
      <c r="A73">
        <f t="shared" si="22"/>
        <v>2201</v>
      </c>
      <c r="B73">
        <f t="shared" si="31"/>
        <v>22</v>
      </c>
      <c r="C73">
        <f t="shared" si="32"/>
        <v>2</v>
      </c>
      <c r="D73">
        <f t="shared" si="33"/>
        <v>1</v>
      </c>
      <c r="E73" t="str">
        <f t="shared" si="26"/>
        <v>贪狼刀法</v>
      </c>
      <c r="G73">
        <f t="shared" si="34"/>
        <v>1</v>
      </c>
      <c r="H73">
        <f t="shared" si="27"/>
        <v>1</v>
      </c>
      <c r="I73">
        <f t="shared" si="28"/>
        <v>2700</v>
      </c>
      <c r="J73">
        <f t="shared" si="29"/>
        <v>0</v>
      </c>
      <c r="K73">
        <f t="shared" si="30"/>
        <v>50</v>
      </c>
      <c r="T73">
        <v>70</v>
      </c>
      <c r="U73">
        <f t="shared" ref="U73" si="35">VLOOKUP(T73,$V$4:$W$14,2,FALSE)</f>
        <v>417</v>
      </c>
      <c r="X73">
        <f t="shared" si="24"/>
        <v>22021</v>
      </c>
      <c r="Y73">
        <f t="shared" si="25"/>
        <v>2203</v>
      </c>
    </row>
    <row r="74" spans="1:25" x14ac:dyDescent="0.15">
      <c r="A74">
        <f t="shared" si="22"/>
        <v>2202</v>
      </c>
      <c r="B74">
        <f t="shared" si="31"/>
        <v>22</v>
      </c>
      <c r="C74">
        <f t="shared" si="32"/>
        <v>2</v>
      </c>
      <c r="D74">
        <f t="shared" si="33"/>
        <v>1</v>
      </c>
      <c r="E74" t="str">
        <f t="shared" si="26"/>
        <v>贪狼刀法</v>
      </c>
      <c r="G74">
        <f t="shared" si="34"/>
        <v>2</v>
      </c>
      <c r="H74">
        <f t="shared" si="27"/>
        <v>11</v>
      </c>
      <c r="I74">
        <f t="shared" si="28"/>
        <v>2760</v>
      </c>
      <c r="J74">
        <f t="shared" si="29"/>
        <v>0</v>
      </c>
      <c r="K74">
        <f t="shared" si="30"/>
        <v>64</v>
      </c>
      <c r="T74">
        <v>71</v>
      </c>
      <c r="U74">
        <f t="shared" si="14"/>
        <v>428</v>
      </c>
      <c r="X74">
        <f t="shared" si="24"/>
        <v>22031</v>
      </c>
      <c r="Y74">
        <f t="shared" si="25"/>
        <v>2204</v>
      </c>
    </row>
    <row r="75" spans="1:25" x14ac:dyDescent="0.15">
      <c r="A75">
        <f t="shared" si="22"/>
        <v>2203</v>
      </c>
      <c r="B75">
        <f t="shared" si="31"/>
        <v>22</v>
      </c>
      <c r="C75">
        <f t="shared" si="32"/>
        <v>2</v>
      </c>
      <c r="D75">
        <f t="shared" si="33"/>
        <v>1</v>
      </c>
      <c r="E75" t="str">
        <f t="shared" si="26"/>
        <v>贪狼刀法</v>
      </c>
      <c r="G75">
        <f t="shared" si="34"/>
        <v>3</v>
      </c>
      <c r="H75">
        <f t="shared" si="27"/>
        <v>21</v>
      </c>
      <c r="I75">
        <f t="shared" si="28"/>
        <v>2820</v>
      </c>
      <c r="J75">
        <f t="shared" si="29"/>
        <v>0</v>
      </c>
      <c r="K75">
        <f t="shared" si="30"/>
        <v>93</v>
      </c>
      <c r="T75">
        <v>72</v>
      </c>
      <c r="U75">
        <f t="shared" si="14"/>
        <v>440</v>
      </c>
      <c r="X75">
        <f t="shared" si="24"/>
        <v>22041</v>
      </c>
      <c r="Y75">
        <f t="shared" si="25"/>
        <v>2205</v>
      </c>
    </row>
    <row r="76" spans="1:25" x14ac:dyDescent="0.15">
      <c r="A76">
        <f t="shared" si="22"/>
        <v>2204</v>
      </c>
      <c r="B76">
        <f t="shared" si="31"/>
        <v>22</v>
      </c>
      <c r="C76">
        <f t="shared" si="32"/>
        <v>2</v>
      </c>
      <c r="D76">
        <f t="shared" si="33"/>
        <v>1</v>
      </c>
      <c r="E76" t="str">
        <f t="shared" si="26"/>
        <v>贪狼刀法</v>
      </c>
      <c r="G76">
        <f t="shared" si="34"/>
        <v>4</v>
      </c>
      <c r="H76">
        <f t="shared" si="27"/>
        <v>31</v>
      </c>
      <c r="I76">
        <f t="shared" si="28"/>
        <v>2880</v>
      </c>
      <c r="J76">
        <f t="shared" si="29"/>
        <v>0</v>
      </c>
      <c r="K76">
        <f t="shared" si="30"/>
        <v>137</v>
      </c>
      <c r="T76">
        <v>73</v>
      </c>
      <c r="U76">
        <f t="shared" si="14"/>
        <v>452</v>
      </c>
      <c r="X76">
        <f t="shared" si="24"/>
        <v>22051</v>
      </c>
      <c r="Y76">
        <f t="shared" si="25"/>
        <v>2206</v>
      </c>
    </row>
    <row r="77" spans="1:25" x14ac:dyDescent="0.15">
      <c r="A77">
        <f t="shared" si="22"/>
        <v>2205</v>
      </c>
      <c r="B77">
        <f t="shared" si="31"/>
        <v>22</v>
      </c>
      <c r="C77">
        <f t="shared" si="32"/>
        <v>2</v>
      </c>
      <c r="D77">
        <f t="shared" si="33"/>
        <v>1</v>
      </c>
      <c r="E77" t="str">
        <f t="shared" si="26"/>
        <v>贪狼刀法</v>
      </c>
      <c r="G77">
        <f t="shared" si="34"/>
        <v>5</v>
      </c>
      <c r="H77">
        <f t="shared" si="27"/>
        <v>41</v>
      </c>
      <c r="I77">
        <f t="shared" si="28"/>
        <v>2940</v>
      </c>
      <c r="J77">
        <f t="shared" si="29"/>
        <v>0</v>
      </c>
      <c r="K77">
        <f t="shared" si="30"/>
        <v>196</v>
      </c>
      <c r="T77">
        <v>74</v>
      </c>
      <c r="U77">
        <f t="shared" si="14"/>
        <v>463</v>
      </c>
      <c r="X77">
        <f t="shared" si="24"/>
        <v>22061</v>
      </c>
      <c r="Y77">
        <f t="shared" si="25"/>
        <v>2207</v>
      </c>
    </row>
    <row r="78" spans="1:25" x14ac:dyDescent="0.15">
      <c r="A78">
        <f t="shared" si="22"/>
        <v>2206</v>
      </c>
      <c r="B78">
        <f t="shared" si="31"/>
        <v>22</v>
      </c>
      <c r="C78">
        <f t="shared" si="32"/>
        <v>2</v>
      </c>
      <c r="D78">
        <f t="shared" si="33"/>
        <v>1</v>
      </c>
      <c r="E78" t="str">
        <f t="shared" si="26"/>
        <v>贪狼刀法</v>
      </c>
      <c r="G78">
        <f t="shared" si="34"/>
        <v>6</v>
      </c>
      <c r="H78">
        <f t="shared" si="27"/>
        <v>51</v>
      </c>
      <c r="I78">
        <f t="shared" si="28"/>
        <v>3000</v>
      </c>
      <c r="J78">
        <f t="shared" si="29"/>
        <v>0</v>
      </c>
      <c r="K78">
        <f t="shared" si="30"/>
        <v>270</v>
      </c>
      <c r="T78">
        <v>75</v>
      </c>
      <c r="U78">
        <f t="shared" si="14"/>
        <v>475</v>
      </c>
      <c r="X78">
        <f t="shared" si="24"/>
        <v>22071</v>
      </c>
      <c r="Y78">
        <f t="shared" si="25"/>
        <v>2208</v>
      </c>
    </row>
    <row r="79" spans="1:25" x14ac:dyDescent="0.15">
      <c r="A79">
        <f t="shared" si="22"/>
        <v>2207</v>
      </c>
      <c r="B79">
        <f t="shared" si="31"/>
        <v>22</v>
      </c>
      <c r="C79">
        <f t="shared" si="32"/>
        <v>2</v>
      </c>
      <c r="D79">
        <f t="shared" si="33"/>
        <v>1</v>
      </c>
      <c r="E79" t="str">
        <f t="shared" si="26"/>
        <v>贪狼刀法</v>
      </c>
      <c r="G79">
        <f t="shared" si="34"/>
        <v>7</v>
      </c>
      <c r="H79">
        <f t="shared" si="27"/>
        <v>61</v>
      </c>
      <c r="I79">
        <f t="shared" si="28"/>
        <v>3060</v>
      </c>
      <c r="J79">
        <f t="shared" si="29"/>
        <v>0</v>
      </c>
      <c r="K79">
        <f t="shared" si="30"/>
        <v>359</v>
      </c>
      <c r="T79">
        <v>76</v>
      </c>
      <c r="U79">
        <f t="shared" si="14"/>
        <v>487</v>
      </c>
      <c r="X79">
        <f t="shared" si="24"/>
        <v>22081</v>
      </c>
      <c r="Y79">
        <f t="shared" si="25"/>
        <v>2209</v>
      </c>
    </row>
    <row r="80" spans="1:25" x14ac:dyDescent="0.15">
      <c r="A80">
        <f t="shared" si="22"/>
        <v>2208</v>
      </c>
      <c r="B80">
        <f t="shared" si="31"/>
        <v>22</v>
      </c>
      <c r="C80">
        <f t="shared" si="32"/>
        <v>2</v>
      </c>
      <c r="D80">
        <f t="shared" si="33"/>
        <v>1</v>
      </c>
      <c r="E80" t="str">
        <f t="shared" si="26"/>
        <v>贪狼刀法</v>
      </c>
      <c r="G80">
        <f t="shared" si="34"/>
        <v>8</v>
      </c>
      <c r="H80">
        <f t="shared" si="27"/>
        <v>71</v>
      </c>
      <c r="I80">
        <f t="shared" si="28"/>
        <v>3120</v>
      </c>
      <c r="J80">
        <f t="shared" si="29"/>
        <v>0</v>
      </c>
      <c r="K80">
        <f t="shared" si="30"/>
        <v>463</v>
      </c>
      <c r="T80">
        <v>77</v>
      </c>
      <c r="U80">
        <f t="shared" si="14"/>
        <v>498</v>
      </c>
      <c r="X80">
        <f t="shared" si="24"/>
        <v>22091</v>
      </c>
      <c r="Y80">
        <f t="shared" si="25"/>
        <v>2210</v>
      </c>
    </row>
    <row r="81" spans="1:25" x14ac:dyDescent="0.15">
      <c r="A81">
        <f t="shared" si="22"/>
        <v>2209</v>
      </c>
      <c r="B81">
        <f t="shared" si="31"/>
        <v>22</v>
      </c>
      <c r="C81">
        <f t="shared" si="32"/>
        <v>2</v>
      </c>
      <c r="D81">
        <f t="shared" si="33"/>
        <v>1</v>
      </c>
      <c r="E81" t="str">
        <f t="shared" si="26"/>
        <v>贪狼刀法</v>
      </c>
      <c r="G81">
        <f t="shared" si="34"/>
        <v>9</v>
      </c>
      <c r="H81">
        <f t="shared" si="27"/>
        <v>81</v>
      </c>
      <c r="I81">
        <f t="shared" si="28"/>
        <v>3180</v>
      </c>
      <c r="J81">
        <f t="shared" si="29"/>
        <v>0</v>
      </c>
      <c r="K81">
        <f t="shared" si="30"/>
        <v>582</v>
      </c>
      <c r="T81">
        <v>78</v>
      </c>
      <c r="U81">
        <f t="shared" si="14"/>
        <v>510</v>
      </c>
      <c r="X81">
        <f t="shared" si="24"/>
        <v>23003</v>
      </c>
      <c r="Y81">
        <f t="shared" si="25"/>
        <v>2301</v>
      </c>
    </row>
    <row r="82" spans="1:25" x14ac:dyDescent="0.15">
      <c r="A82">
        <f t="shared" si="22"/>
        <v>2210</v>
      </c>
      <c r="B82">
        <f t="shared" si="31"/>
        <v>22</v>
      </c>
      <c r="C82">
        <f t="shared" si="32"/>
        <v>2</v>
      </c>
      <c r="D82">
        <f t="shared" si="33"/>
        <v>1</v>
      </c>
      <c r="E82" t="str">
        <f t="shared" si="26"/>
        <v>贪狼刀法</v>
      </c>
      <c r="G82">
        <f t="shared" si="34"/>
        <v>10</v>
      </c>
      <c r="H82">
        <f t="shared" si="27"/>
        <v>91</v>
      </c>
      <c r="I82">
        <f t="shared" si="28"/>
        <v>3240</v>
      </c>
      <c r="J82">
        <f t="shared" si="29"/>
        <v>0</v>
      </c>
      <c r="K82">
        <f t="shared" si="30"/>
        <v>716</v>
      </c>
      <c r="T82">
        <v>79</v>
      </c>
      <c r="U82">
        <f t="shared" si="14"/>
        <v>522</v>
      </c>
      <c r="X82">
        <f t="shared" si="24"/>
        <v>23013</v>
      </c>
      <c r="Y82">
        <f t="shared" si="25"/>
        <v>2302</v>
      </c>
    </row>
    <row r="83" spans="1:25" x14ac:dyDescent="0.15">
      <c r="A83">
        <f t="shared" si="22"/>
        <v>2301</v>
      </c>
      <c r="B83">
        <f t="shared" si="31"/>
        <v>23</v>
      </c>
      <c r="C83">
        <f t="shared" si="32"/>
        <v>2</v>
      </c>
      <c r="D83">
        <f t="shared" si="33"/>
        <v>1</v>
      </c>
      <c r="E83" t="str">
        <f t="shared" si="26"/>
        <v>血吼</v>
      </c>
      <c r="G83">
        <f t="shared" si="34"/>
        <v>1</v>
      </c>
      <c r="H83">
        <f t="shared" si="27"/>
        <v>3</v>
      </c>
      <c r="I83">
        <f t="shared" si="28"/>
        <v>1000</v>
      </c>
      <c r="J83">
        <f t="shared" si="29"/>
        <v>0</v>
      </c>
      <c r="K83">
        <f t="shared" si="30"/>
        <v>22</v>
      </c>
      <c r="L83">
        <v>20201</v>
      </c>
      <c r="T83">
        <v>80</v>
      </c>
      <c r="U83">
        <f t="shared" ref="U83" si="36">VLOOKUP(T83,$V$4:$W$14,2,FALSE)</f>
        <v>534</v>
      </c>
      <c r="X83">
        <f t="shared" si="24"/>
        <v>23023</v>
      </c>
      <c r="Y83">
        <f t="shared" si="25"/>
        <v>2303</v>
      </c>
    </row>
    <row r="84" spans="1:25" x14ac:dyDescent="0.15">
      <c r="A84">
        <f t="shared" si="22"/>
        <v>2302</v>
      </c>
      <c r="B84">
        <f t="shared" si="31"/>
        <v>23</v>
      </c>
      <c r="C84">
        <f t="shared" si="32"/>
        <v>2</v>
      </c>
      <c r="D84">
        <f t="shared" si="33"/>
        <v>1</v>
      </c>
      <c r="E84" t="str">
        <f t="shared" si="26"/>
        <v>血吼</v>
      </c>
      <c r="G84">
        <f t="shared" si="34"/>
        <v>2</v>
      </c>
      <c r="H84">
        <f t="shared" si="27"/>
        <v>13</v>
      </c>
      <c r="I84">
        <f t="shared" si="28"/>
        <v>1030</v>
      </c>
      <c r="J84">
        <f t="shared" si="29"/>
        <v>0</v>
      </c>
      <c r="K84">
        <f t="shared" si="30"/>
        <v>40</v>
      </c>
      <c r="L84">
        <v>20202</v>
      </c>
      <c r="T84">
        <v>81</v>
      </c>
      <c r="U84">
        <f t="shared" si="14"/>
        <v>547</v>
      </c>
      <c r="X84">
        <f t="shared" si="24"/>
        <v>23033</v>
      </c>
      <c r="Y84">
        <f t="shared" si="25"/>
        <v>2304</v>
      </c>
    </row>
    <row r="85" spans="1:25" x14ac:dyDescent="0.15">
      <c r="A85">
        <f t="shared" si="22"/>
        <v>2303</v>
      </c>
      <c r="B85">
        <f t="shared" si="31"/>
        <v>23</v>
      </c>
      <c r="C85">
        <f t="shared" si="32"/>
        <v>2</v>
      </c>
      <c r="D85">
        <f t="shared" si="33"/>
        <v>1</v>
      </c>
      <c r="E85" t="str">
        <f t="shared" si="26"/>
        <v>血吼</v>
      </c>
      <c r="G85">
        <f t="shared" si="34"/>
        <v>3</v>
      </c>
      <c r="H85">
        <f t="shared" si="27"/>
        <v>23</v>
      </c>
      <c r="I85">
        <f t="shared" si="28"/>
        <v>1070</v>
      </c>
      <c r="J85">
        <f t="shared" si="29"/>
        <v>0</v>
      </c>
      <c r="K85">
        <f t="shared" si="30"/>
        <v>71</v>
      </c>
      <c r="L85">
        <v>20203</v>
      </c>
      <c r="T85">
        <v>82</v>
      </c>
      <c r="U85">
        <f t="shared" si="14"/>
        <v>560</v>
      </c>
      <c r="X85">
        <f t="shared" si="24"/>
        <v>23043</v>
      </c>
      <c r="Y85">
        <f t="shared" si="25"/>
        <v>2305</v>
      </c>
    </row>
    <row r="86" spans="1:25" x14ac:dyDescent="0.15">
      <c r="A86">
        <f t="shared" si="22"/>
        <v>2304</v>
      </c>
      <c r="B86">
        <f t="shared" si="31"/>
        <v>23</v>
      </c>
      <c r="C86">
        <f t="shared" si="32"/>
        <v>2</v>
      </c>
      <c r="D86">
        <f t="shared" si="33"/>
        <v>1</v>
      </c>
      <c r="E86" t="str">
        <f t="shared" si="26"/>
        <v>血吼</v>
      </c>
      <c r="G86">
        <f t="shared" si="34"/>
        <v>4</v>
      </c>
      <c r="H86">
        <f t="shared" si="27"/>
        <v>33</v>
      </c>
      <c r="I86">
        <f t="shared" si="28"/>
        <v>1100</v>
      </c>
      <c r="J86">
        <f t="shared" si="29"/>
        <v>0</v>
      </c>
      <c r="K86">
        <f t="shared" si="30"/>
        <v>119</v>
      </c>
      <c r="L86">
        <v>20204</v>
      </c>
      <c r="T86">
        <v>83</v>
      </c>
      <c r="U86">
        <f t="shared" si="14"/>
        <v>573</v>
      </c>
      <c r="X86">
        <f t="shared" si="24"/>
        <v>23053</v>
      </c>
      <c r="Y86">
        <f t="shared" si="25"/>
        <v>2306</v>
      </c>
    </row>
    <row r="87" spans="1:25" x14ac:dyDescent="0.15">
      <c r="A87">
        <f t="shared" si="22"/>
        <v>2305</v>
      </c>
      <c r="B87">
        <f t="shared" si="31"/>
        <v>23</v>
      </c>
      <c r="C87">
        <f t="shared" si="32"/>
        <v>2</v>
      </c>
      <c r="D87">
        <f t="shared" si="33"/>
        <v>1</v>
      </c>
      <c r="E87" t="str">
        <f t="shared" si="26"/>
        <v>血吼</v>
      </c>
      <c r="G87">
        <f t="shared" si="34"/>
        <v>5</v>
      </c>
      <c r="H87">
        <f t="shared" si="27"/>
        <v>43</v>
      </c>
      <c r="I87">
        <f t="shared" si="28"/>
        <v>1130</v>
      </c>
      <c r="J87">
        <f t="shared" si="29"/>
        <v>0</v>
      </c>
      <c r="K87">
        <f t="shared" si="30"/>
        <v>180</v>
      </c>
      <c r="L87">
        <v>20205</v>
      </c>
      <c r="T87">
        <v>84</v>
      </c>
      <c r="U87">
        <f t="shared" si="14"/>
        <v>587</v>
      </c>
      <c r="X87">
        <f t="shared" si="24"/>
        <v>23063</v>
      </c>
      <c r="Y87">
        <f t="shared" si="25"/>
        <v>2307</v>
      </c>
    </row>
    <row r="88" spans="1:25" x14ac:dyDescent="0.15">
      <c r="A88">
        <f t="shared" si="22"/>
        <v>2306</v>
      </c>
      <c r="B88">
        <f t="shared" si="31"/>
        <v>23</v>
      </c>
      <c r="C88">
        <f t="shared" si="32"/>
        <v>2</v>
      </c>
      <c r="D88">
        <f t="shared" si="33"/>
        <v>1</v>
      </c>
      <c r="E88" t="str">
        <f t="shared" si="26"/>
        <v>血吼</v>
      </c>
      <c r="G88">
        <f t="shared" si="34"/>
        <v>6</v>
      </c>
      <c r="H88">
        <f t="shared" si="27"/>
        <v>53</v>
      </c>
      <c r="I88">
        <f t="shared" si="28"/>
        <v>1170</v>
      </c>
      <c r="J88">
        <f t="shared" si="29"/>
        <v>0</v>
      </c>
      <c r="K88">
        <f t="shared" si="30"/>
        <v>258</v>
      </c>
      <c r="L88">
        <v>20206</v>
      </c>
      <c r="T88">
        <v>85</v>
      </c>
      <c r="U88">
        <f t="shared" ref="U88:U102" si="37">INT((VLOOKUP(INT(T88/10)*10+10,$V$4:$W$14,2,FALSE)-VLOOKUP(INT(T88/10)*10,$V$4:$W$14,2,FALSE))/10*MOD(T88,10)+VLOOKUP(INT(T88/10)*10,$V$4:$W$14,2,FALSE))</f>
        <v>600</v>
      </c>
      <c r="X88">
        <f t="shared" si="24"/>
        <v>23073</v>
      </c>
      <c r="Y88">
        <f t="shared" si="25"/>
        <v>2308</v>
      </c>
    </row>
    <row r="89" spans="1:25" x14ac:dyDescent="0.15">
      <c r="A89">
        <f t="shared" si="22"/>
        <v>2307</v>
      </c>
      <c r="B89">
        <f t="shared" si="31"/>
        <v>23</v>
      </c>
      <c r="C89">
        <f t="shared" si="32"/>
        <v>2</v>
      </c>
      <c r="D89">
        <f t="shared" si="33"/>
        <v>1</v>
      </c>
      <c r="E89" t="str">
        <f t="shared" si="26"/>
        <v>血吼</v>
      </c>
      <c r="G89">
        <f t="shared" si="34"/>
        <v>7</v>
      </c>
      <c r="H89">
        <f t="shared" si="27"/>
        <v>63</v>
      </c>
      <c r="I89">
        <f t="shared" si="28"/>
        <v>1200</v>
      </c>
      <c r="J89">
        <f t="shared" si="29"/>
        <v>0</v>
      </c>
      <c r="K89">
        <f t="shared" si="30"/>
        <v>349</v>
      </c>
      <c r="L89">
        <v>20207</v>
      </c>
      <c r="T89">
        <v>86</v>
      </c>
      <c r="U89">
        <f t="shared" si="37"/>
        <v>613</v>
      </c>
      <c r="X89">
        <f t="shared" si="24"/>
        <v>23083</v>
      </c>
      <c r="Y89">
        <f t="shared" si="25"/>
        <v>2309</v>
      </c>
    </row>
    <row r="90" spans="1:25" x14ac:dyDescent="0.15">
      <c r="A90">
        <f t="shared" si="22"/>
        <v>2308</v>
      </c>
      <c r="B90">
        <f t="shared" si="31"/>
        <v>23</v>
      </c>
      <c r="C90">
        <f t="shared" si="32"/>
        <v>2</v>
      </c>
      <c r="D90">
        <f t="shared" si="33"/>
        <v>1</v>
      </c>
      <c r="E90" t="str">
        <f t="shared" si="26"/>
        <v>血吼</v>
      </c>
      <c r="G90">
        <f t="shared" si="34"/>
        <v>8</v>
      </c>
      <c r="H90">
        <f t="shared" si="27"/>
        <v>73</v>
      </c>
      <c r="I90">
        <f t="shared" si="28"/>
        <v>1230</v>
      </c>
      <c r="J90">
        <f t="shared" si="29"/>
        <v>0</v>
      </c>
      <c r="K90">
        <f t="shared" si="30"/>
        <v>457</v>
      </c>
      <c r="L90">
        <v>20208</v>
      </c>
      <c r="T90">
        <v>87</v>
      </c>
      <c r="U90">
        <f t="shared" si="37"/>
        <v>627</v>
      </c>
      <c r="X90">
        <f t="shared" si="24"/>
        <v>23093</v>
      </c>
      <c r="Y90">
        <f t="shared" si="25"/>
        <v>2310</v>
      </c>
    </row>
    <row r="91" spans="1:25" x14ac:dyDescent="0.15">
      <c r="A91">
        <f t="shared" si="22"/>
        <v>2309</v>
      </c>
      <c r="B91">
        <f t="shared" si="31"/>
        <v>23</v>
      </c>
      <c r="C91">
        <f t="shared" si="32"/>
        <v>2</v>
      </c>
      <c r="D91">
        <f t="shared" si="33"/>
        <v>1</v>
      </c>
      <c r="E91" t="str">
        <f t="shared" si="26"/>
        <v>血吼</v>
      </c>
      <c r="G91">
        <f t="shared" si="34"/>
        <v>9</v>
      </c>
      <c r="H91">
        <f t="shared" si="27"/>
        <v>83</v>
      </c>
      <c r="I91">
        <f t="shared" si="28"/>
        <v>1270</v>
      </c>
      <c r="J91">
        <f t="shared" si="29"/>
        <v>0</v>
      </c>
      <c r="K91">
        <f t="shared" si="30"/>
        <v>578</v>
      </c>
      <c r="L91">
        <v>20209</v>
      </c>
      <c r="T91">
        <v>88</v>
      </c>
      <c r="U91">
        <f t="shared" si="37"/>
        <v>640</v>
      </c>
      <c r="X91">
        <f t="shared" si="24"/>
        <v>24005</v>
      </c>
      <c r="Y91">
        <f t="shared" si="25"/>
        <v>2401</v>
      </c>
    </row>
    <row r="92" spans="1:25" x14ac:dyDescent="0.15">
      <c r="A92">
        <f t="shared" si="22"/>
        <v>2310</v>
      </c>
      <c r="B92">
        <f t="shared" si="31"/>
        <v>23</v>
      </c>
      <c r="C92">
        <f t="shared" si="32"/>
        <v>2</v>
      </c>
      <c r="D92">
        <f t="shared" si="33"/>
        <v>1</v>
      </c>
      <c r="E92" t="str">
        <f t="shared" si="26"/>
        <v>血吼</v>
      </c>
      <c r="G92">
        <f t="shared" si="34"/>
        <v>10</v>
      </c>
      <c r="H92">
        <f t="shared" si="27"/>
        <v>93</v>
      </c>
      <c r="I92">
        <f t="shared" si="28"/>
        <v>1300</v>
      </c>
      <c r="J92">
        <f t="shared" si="29"/>
        <v>0</v>
      </c>
      <c r="K92">
        <f t="shared" si="30"/>
        <v>716</v>
      </c>
      <c r="L92">
        <v>20210</v>
      </c>
      <c r="T92">
        <v>89</v>
      </c>
      <c r="U92">
        <f t="shared" si="37"/>
        <v>653</v>
      </c>
      <c r="X92">
        <f t="shared" si="24"/>
        <v>24015</v>
      </c>
      <c r="Y92">
        <f t="shared" si="25"/>
        <v>2402</v>
      </c>
    </row>
    <row r="93" spans="1:25" x14ac:dyDescent="0.15">
      <c r="A93">
        <f t="shared" si="22"/>
        <v>2401</v>
      </c>
      <c r="B93">
        <f t="shared" si="31"/>
        <v>24</v>
      </c>
      <c r="C93">
        <f t="shared" si="32"/>
        <v>2</v>
      </c>
      <c r="D93">
        <f t="shared" si="33"/>
        <v>3</v>
      </c>
      <c r="E93" t="str">
        <f t="shared" si="26"/>
        <v>杀意</v>
      </c>
      <c r="G93">
        <f t="shared" si="34"/>
        <v>1</v>
      </c>
      <c r="H93">
        <f t="shared" si="27"/>
        <v>5</v>
      </c>
      <c r="I93">
        <f t="shared" si="28"/>
        <v>0</v>
      </c>
      <c r="J93">
        <f t="shared" si="29"/>
        <v>0</v>
      </c>
      <c r="K93">
        <f t="shared" si="30"/>
        <v>0</v>
      </c>
      <c r="M93">
        <v>3</v>
      </c>
      <c r="N93">
        <v>200</v>
      </c>
      <c r="O93">
        <v>2</v>
      </c>
      <c r="R93" t="s">
        <v>362</v>
      </c>
      <c r="T93">
        <v>90</v>
      </c>
      <c r="U93">
        <f t="shared" ref="U93" si="38">VLOOKUP(T93,$V$4:$W$14,2,FALSE)</f>
        <v>667</v>
      </c>
      <c r="X93">
        <f t="shared" si="24"/>
        <v>24025</v>
      </c>
      <c r="Y93">
        <f t="shared" si="25"/>
        <v>2403</v>
      </c>
    </row>
    <row r="94" spans="1:25" x14ac:dyDescent="0.15">
      <c r="A94">
        <f t="shared" si="22"/>
        <v>2402</v>
      </c>
      <c r="B94">
        <f t="shared" si="31"/>
        <v>24</v>
      </c>
      <c r="C94">
        <f t="shared" si="32"/>
        <v>2</v>
      </c>
      <c r="D94">
        <f t="shared" si="33"/>
        <v>3</v>
      </c>
      <c r="E94" t="str">
        <f t="shared" si="26"/>
        <v>杀意</v>
      </c>
      <c r="G94">
        <f t="shared" si="34"/>
        <v>2</v>
      </c>
      <c r="H94">
        <f t="shared" si="27"/>
        <v>15</v>
      </c>
      <c r="I94">
        <f t="shared" si="28"/>
        <v>0</v>
      </c>
      <c r="J94">
        <f t="shared" si="29"/>
        <v>0</v>
      </c>
      <c r="K94">
        <f t="shared" si="30"/>
        <v>0</v>
      </c>
      <c r="M94">
        <v>3</v>
      </c>
      <c r="N94">
        <v>200</v>
      </c>
      <c r="O94">
        <v>2</v>
      </c>
      <c r="T94">
        <v>91</v>
      </c>
      <c r="U94">
        <f t="shared" si="37"/>
        <v>681</v>
      </c>
      <c r="X94">
        <f t="shared" si="24"/>
        <v>24035</v>
      </c>
      <c r="Y94">
        <f t="shared" si="25"/>
        <v>2404</v>
      </c>
    </row>
    <row r="95" spans="1:25" x14ac:dyDescent="0.15">
      <c r="A95">
        <f t="shared" si="22"/>
        <v>2403</v>
      </c>
      <c r="B95">
        <f t="shared" si="31"/>
        <v>24</v>
      </c>
      <c r="C95">
        <f t="shared" si="32"/>
        <v>2</v>
      </c>
      <c r="D95">
        <f t="shared" si="33"/>
        <v>3</v>
      </c>
      <c r="E95" t="str">
        <f t="shared" si="26"/>
        <v>杀意</v>
      </c>
      <c r="G95">
        <f t="shared" si="34"/>
        <v>3</v>
      </c>
      <c r="H95">
        <f t="shared" si="27"/>
        <v>25</v>
      </c>
      <c r="I95">
        <f t="shared" si="28"/>
        <v>0</v>
      </c>
      <c r="J95">
        <f t="shared" si="29"/>
        <v>0</v>
      </c>
      <c r="K95">
        <f t="shared" si="30"/>
        <v>0</v>
      </c>
      <c r="M95">
        <v>3</v>
      </c>
      <c r="N95">
        <v>200</v>
      </c>
      <c r="O95">
        <v>2</v>
      </c>
      <c r="T95">
        <v>92</v>
      </c>
      <c r="U95">
        <f t="shared" si="37"/>
        <v>696</v>
      </c>
      <c r="X95">
        <f t="shared" si="24"/>
        <v>24045</v>
      </c>
      <c r="Y95">
        <f t="shared" si="25"/>
        <v>2405</v>
      </c>
    </row>
    <row r="96" spans="1:25" x14ac:dyDescent="0.15">
      <c r="A96">
        <f t="shared" si="22"/>
        <v>2404</v>
      </c>
      <c r="B96">
        <f t="shared" si="31"/>
        <v>24</v>
      </c>
      <c r="C96">
        <f t="shared" si="32"/>
        <v>2</v>
      </c>
      <c r="D96">
        <f t="shared" si="33"/>
        <v>3</v>
      </c>
      <c r="E96" t="str">
        <f t="shared" si="26"/>
        <v>杀意</v>
      </c>
      <c r="G96">
        <f t="shared" si="34"/>
        <v>4</v>
      </c>
      <c r="H96">
        <f t="shared" si="27"/>
        <v>35</v>
      </c>
      <c r="I96">
        <f t="shared" si="28"/>
        <v>0</v>
      </c>
      <c r="J96">
        <f t="shared" si="29"/>
        <v>0</v>
      </c>
      <c r="K96">
        <f t="shared" si="30"/>
        <v>0</v>
      </c>
      <c r="M96">
        <v>3</v>
      </c>
      <c r="N96">
        <v>200</v>
      </c>
      <c r="O96">
        <v>2</v>
      </c>
      <c r="T96">
        <v>93</v>
      </c>
      <c r="U96">
        <f t="shared" si="37"/>
        <v>711</v>
      </c>
      <c r="X96">
        <f t="shared" si="24"/>
        <v>24055</v>
      </c>
      <c r="Y96">
        <f t="shared" si="25"/>
        <v>2406</v>
      </c>
    </row>
    <row r="97" spans="1:25" x14ac:dyDescent="0.15">
      <c r="A97">
        <f t="shared" si="22"/>
        <v>2405</v>
      </c>
      <c r="B97">
        <f t="shared" si="31"/>
        <v>24</v>
      </c>
      <c r="C97">
        <f t="shared" si="32"/>
        <v>2</v>
      </c>
      <c r="D97">
        <f t="shared" si="33"/>
        <v>3</v>
      </c>
      <c r="E97" t="str">
        <f t="shared" si="26"/>
        <v>杀意</v>
      </c>
      <c r="G97">
        <f t="shared" si="34"/>
        <v>5</v>
      </c>
      <c r="H97">
        <f t="shared" si="27"/>
        <v>45</v>
      </c>
      <c r="I97">
        <f t="shared" si="28"/>
        <v>0</v>
      </c>
      <c r="J97">
        <f t="shared" si="29"/>
        <v>0</v>
      </c>
      <c r="K97">
        <f t="shared" si="30"/>
        <v>0</v>
      </c>
      <c r="M97">
        <v>3</v>
      </c>
      <c r="N97">
        <v>200</v>
      </c>
      <c r="O97">
        <v>2</v>
      </c>
      <c r="T97">
        <v>94</v>
      </c>
      <c r="U97">
        <f t="shared" si="37"/>
        <v>725</v>
      </c>
      <c r="X97">
        <f t="shared" si="24"/>
        <v>24065</v>
      </c>
      <c r="Y97">
        <f t="shared" si="25"/>
        <v>2407</v>
      </c>
    </row>
    <row r="98" spans="1:25" x14ac:dyDescent="0.15">
      <c r="A98">
        <f t="shared" si="22"/>
        <v>2406</v>
      </c>
      <c r="B98">
        <f t="shared" si="31"/>
        <v>24</v>
      </c>
      <c r="C98">
        <f t="shared" si="32"/>
        <v>2</v>
      </c>
      <c r="D98">
        <f t="shared" si="33"/>
        <v>3</v>
      </c>
      <c r="E98" t="str">
        <f t="shared" si="26"/>
        <v>杀意</v>
      </c>
      <c r="G98">
        <f t="shared" si="34"/>
        <v>6</v>
      </c>
      <c r="H98">
        <f t="shared" si="27"/>
        <v>55</v>
      </c>
      <c r="I98">
        <f t="shared" si="28"/>
        <v>0</v>
      </c>
      <c r="J98">
        <f t="shared" si="29"/>
        <v>0</v>
      </c>
      <c r="K98">
        <f t="shared" si="30"/>
        <v>0</v>
      </c>
      <c r="M98">
        <v>3</v>
      </c>
      <c r="N98">
        <v>200</v>
      </c>
      <c r="O98">
        <v>2</v>
      </c>
      <c r="T98">
        <v>95</v>
      </c>
      <c r="U98">
        <f t="shared" si="37"/>
        <v>740</v>
      </c>
      <c r="X98">
        <f t="shared" si="24"/>
        <v>24075</v>
      </c>
      <c r="Y98">
        <f t="shared" si="25"/>
        <v>2408</v>
      </c>
    </row>
    <row r="99" spans="1:25" x14ac:dyDescent="0.15">
      <c r="A99">
        <f t="shared" si="22"/>
        <v>2407</v>
      </c>
      <c r="B99">
        <f t="shared" si="31"/>
        <v>24</v>
      </c>
      <c r="C99">
        <f t="shared" si="32"/>
        <v>2</v>
      </c>
      <c r="D99">
        <f t="shared" si="33"/>
        <v>3</v>
      </c>
      <c r="E99" t="str">
        <f t="shared" si="26"/>
        <v>杀意</v>
      </c>
      <c r="G99">
        <f t="shared" si="34"/>
        <v>7</v>
      </c>
      <c r="H99">
        <f t="shared" si="27"/>
        <v>65</v>
      </c>
      <c r="I99">
        <f t="shared" si="28"/>
        <v>0</v>
      </c>
      <c r="J99">
        <f t="shared" si="29"/>
        <v>0</v>
      </c>
      <c r="K99">
        <f t="shared" si="30"/>
        <v>0</v>
      </c>
      <c r="M99">
        <v>3</v>
      </c>
      <c r="N99">
        <v>200</v>
      </c>
      <c r="O99">
        <v>2</v>
      </c>
      <c r="T99">
        <v>96</v>
      </c>
      <c r="U99">
        <f t="shared" si="37"/>
        <v>755</v>
      </c>
      <c r="X99">
        <f t="shared" si="24"/>
        <v>24085</v>
      </c>
      <c r="Y99">
        <f t="shared" si="25"/>
        <v>2409</v>
      </c>
    </row>
    <row r="100" spans="1:25" x14ac:dyDescent="0.15">
      <c r="A100">
        <f t="shared" si="22"/>
        <v>2408</v>
      </c>
      <c r="B100">
        <f t="shared" si="31"/>
        <v>24</v>
      </c>
      <c r="C100">
        <f t="shared" si="32"/>
        <v>2</v>
      </c>
      <c r="D100">
        <f t="shared" si="33"/>
        <v>3</v>
      </c>
      <c r="E100" t="str">
        <f t="shared" si="26"/>
        <v>杀意</v>
      </c>
      <c r="G100">
        <f t="shared" si="34"/>
        <v>8</v>
      </c>
      <c r="H100">
        <f t="shared" si="27"/>
        <v>75</v>
      </c>
      <c r="I100">
        <f t="shared" si="28"/>
        <v>0</v>
      </c>
      <c r="J100">
        <f t="shared" si="29"/>
        <v>0</v>
      </c>
      <c r="K100">
        <f t="shared" si="30"/>
        <v>0</v>
      </c>
      <c r="M100">
        <v>3</v>
      </c>
      <c r="N100">
        <v>200</v>
      </c>
      <c r="O100">
        <v>2</v>
      </c>
      <c r="T100">
        <v>97</v>
      </c>
      <c r="U100">
        <f t="shared" si="37"/>
        <v>769</v>
      </c>
      <c r="X100">
        <f t="shared" si="24"/>
        <v>24095</v>
      </c>
      <c r="Y100">
        <f t="shared" si="25"/>
        <v>2410</v>
      </c>
    </row>
    <row r="101" spans="1:25" x14ac:dyDescent="0.15">
      <c r="A101">
        <f t="shared" si="22"/>
        <v>2409</v>
      </c>
      <c r="B101">
        <f t="shared" si="31"/>
        <v>24</v>
      </c>
      <c r="C101">
        <f t="shared" si="32"/>
        <v>2</v>
      </c>
      <c r="D101">
        <f t="shared" si="33"/>
        <v>3</v>
      </c>
      <c r="E101" t="str">
        <f t="shared" si="26"/>
        <v>杀意</v>
      </c>
      <c r="G101">
        <f t="shared" si="34"/>
        <v>9</v>
      </c>
      <c r="H101">
        <f t="shared" si="27"/>
        <v>85</v>
      </c>
      <c r="I101">
        <f t="shared" si="28"/>
        <v>0</v>
      </c>
      <c r="J101">
        <f t="shared" si="29"/>
        <v>0</v>
      </c>
      <c r="K101">
        <f t="shared" si="30"/>
        <v>0</v>
      </c>
      <c r="M101">
        <v>3</v>
      </c>
      <c r="N101">
        <v>200</v>
      </c>
      <c r="O101">
        <v>2</v>
      </c>
      <c r="T101">
        <v>98</v>
      </c>
      <c r="U101">
        <f t="shared" si="37"/>
        <v>784</v>
      </c>
      <c r="X101">
        <f t="shared" si="24"/>
        <v>25006</v>
      </c>
      <c r="Y101">
        <f t="shared" si="25"/>
        <v>2501</v>
      </c>
    </row>
    <row r="102" spans="1:25" x14ac:dyDescent="0.15">
      <c r="A102">
        <f t="shared" si="22"/>
        <v>2410</v>
      </c>
      <c r="B102">
        <f t="shared" si="31"/>
        <v>24</v>
      </c>
      <c r="C102">
        <f t="shared" si="32"/>
        <v>2</v>
      </c>
      <c r="D102">
        <f t="shared" si="33"/>
        <v>3</v>
      </c>
      <c r="E102" t="str">
        <f t="shared" si="26"/>
        <v>杀意</v>
      </c>
      <c r="G102">
        <f t="shared" si="34"/>
        <v>10</v>
      </c>
      <c r="H102">
        <f t="shared" si="27"/>
        <v>95</v>
      </c>
      <c r="I102">
        <f t="shared" si="28"/>
        <v>0</v>
      </c>
      <c r="J102">
        <f t="shared" si="29"/>
        <v>0</v>
      </c>
      <c r="K102">
        <f t="shared" si="30"/>
        <v>0</v>
      </c>
      <c r="M102">
        <v>3</v>
      </c>
      <c r="N102">
        <v>200</v>
      </c>
      <c r="O102">
        <v>2</v>
      </c>
      <c r="T102">
        <v>99</v>
      </c>
      <c r="U102">
        <f t="shared" si="37"/>
        <v>799</v>
      </c>
      <c r="X102">
        <f t="shared" si="24"/>
        <v>25021</v>
      </c>
      <c r="Y102">
        <f t="shared" si="25"/>
        <v>2502</v>
      </c>
    </row>
    <row r="103" spans="1:25" x14ac:dyDescent="0.15">
      <c r="A103">
        <f t="shared" si="22"/>
        <v>2501</v>
      </c>
      <c r="B103">
        <f t="shared" si="31"/>
        <v>25</v>
      </c>
      <c r="C103">
        <f t="shared" si="32"/>
        <v>3</v>
      </c>
      <c r="D103">
        <f t="shared" si="33"/>
        <v>1</v>
      </c>
      <c r="E103" t="str">
        <f t="shared" si="26"/>
        <v>修罗之怒</v>
      </c>
      <c r="G103">
        <f t="shared" si="34"/>
        <v>1</v>
      </c>
      <c r="H103">
        <f t="shared" si="27"/>
        <v>6</v>
      </c>
      <c r="I103">
        <f t="shared" si="28"/>
        <v>5000</v>
      </c>
      <c r="J103">
        <f t="shared" si="29"/>
        <v>0</v>
      </c>
      <c r="K103">
        <f>IF(VLOOKUP($B103,技能参数,11,FALSE)=0,0,
VLOOKUP($B103,技能参数,11,FALSE)-5+VLOOKUP(H103,$T$4:$U$103,2,FALSE))</f>
        <v>66</v>
      </c>
      <c r="M103">
        <v>6</v>
      </c>
      <c r="R103" t="s">
        <v>256</v>
      </c>
      <c r="T103">
        <v>100</v>
      </c>
      <c r="U103">
        <f t="shared" ref="U103" si="39">VLOOKUP(T103,$V$4:$W$14,2,FALSE)</f>
        <v>814</v>
      </c>
      <c r="X103">
        <f t="shared" si="24"/>
        <v>25037</v>
      </c>
      <c r="Y103">
        <f t="shared" si="25"/>
        <v>2503</v>
      </c>
    </row>
    <row r="104" spans="1:25" x14ac:dyDescent="0.15">
      <c r="A104">
        <f t="shared" si="22"/>
        <v>2502</v>
      </c>
      <c r="B104">
        <f t="shared" si="31"/>
        <v>25</v>
      </c>
      <c r="C104">
        <f t="shared" si="32"/>
        <v>3</v>
      </c>
      <c r="D104">
        <f t="shared" si="33"/>
        <v>1</v>
      </c>
      <c r="E104" t="str">
        <f t="shared" si="26"/>
        <v>修罗之怒</v>
      </c>
      <c r="G104">
        <f t="shared" si="34"/>
        <v>2</v>
      </c>
      <c r="H104">
        <f t="shared" si="27"/>
        <v>21</v>
      </c>
      <c r="I104">
        <f t="shared" si="28"/>
        <v>5250</v>
      </c>
      <c r="J104">
        <f t="shared" si="29"/>
        <v>0</v>
      </c>
      <c r="K104">
        <f t="shared" si="30"/>
        <v>103</v>
      </c>
      <c r="M104">
        <v>6</v>
      </c>
      <c r="X104">
        <f t="shared" ref="X104:X167" si="40">B106*1000+H106</f>
        <v>25053</v>
      </c>
      <c r="Y104">
        <f t="shared" ref="Y104:Y167" si="41">A106</f>
        <v>2504</v>
      </c>
    </row>
    <row r="105" spans="1:25" x14ac:dyDescent="0.15">
      <c r="A105">
        <f t="shared" si="22"/>
        <v>2503</v>
      </c>
      <c r="B105">
        <f t="shared" si="31"/>
        <v>25</v>
      </c>
      <c r="C105">
        <f t="shared" si="32"/>
        <v>3</v>
      </c>
      <c r="D105">
        <f t="shared" si="33"/>
        <v>1</v>
      </c>
      <c r="E105" t="str">
        <f t="shared" si="26"/>
        <v>修罗之怒</v>
      </c>
      <c r="G105">
        <f t="shared" si="34"/>
        <v>3</v>
      </c>
      <c r="H105">
        <f t="shared" si="27"/>
        <v>37</v>
      </c>
      <c r="I105">
        <f t="shared" si="28"/>
        <v>5500</v>
      </c>
      <c r="J105">
        <f t="shared" si="29"/>
        <v>0</v>
      </c>
      <c r="K105">
        <f>IF(VLOOKUP($B105,技能参数,11,FALSE)=0,0,
VLOOKUP($B105,技能参数,11,FALSE)-5+VLOOKUP(H105,$T$4:$U$103,2,FALSE))</f>
        <v>181</v>
      </c>
      <c r="M105">
        <v>6</v>
      </c>
      <c r="X105">
        <f t="shared" si="40"/>
        <v>25068</v>
      </c>
      <c r="Y105">
        <f t="shared" si="41"/>
        <v>2505</v>
      </c>
    </row>
    <row r="106" spans="1:25" x14ac:dyDescent="0.15">
      <c r="A106">
        <f t="shared" si="22"/>
        <v>2504</v>
      </c>
      <c r="B106">
        <f t="shared" si="31"/>
        <v>25</v>
      </c>
      <c r="C106">
        <f t="shared" si="32"/>
        <v>3</v>
      </c>
      <c r="D106">
        <f t="shared" si="33"/>
        <v>1</v>
      </c>
      <c r="E106" t="str">
        <f t="shared" si="26"/>
        <v>修罗之怒</v>
      </c>
      <c r="G106">
        <f t="shared" si="34"/>
        <v>4</v>
      </c>
      <c r="H106">
        <f t="shared" si="27"/>
        <v>53</v>
      </c>
      <c r="I106">
        <f t="shared" si="28"/>
        <v>5750</v>
      </c>
      <c r="J106">
        <f t="shared" si="29"/>
        <v>0</v>
      </c>
      <c r="K106">
        <f t="shared" si="30"/>
        <v>298</v>
      </c>
      <c r="M106">
        <v>6</v>
      </c>
      <c r="X106">
        <f t="shared" si="40"/>
        <v>25084</v>
      </c>
      <c r="Y106">
        <f t="shared" si="41"/>
        <v>2506</v>
      </c>
    </row>
    <row r="107" spans="1:25" x14ac:dyDescent="0.15">
      <c r="A107">
        <f t="shared" si="22"/>
        <v>2505</v>
      </c>
      <c r="B107">
        <f t="shared" si="31"/>
        <v>25</v>
      </c>
      <c r="C107">
        <f t="shared" si="32"/>
        <v>3</v>
      </c>
      <c r="D107">
        <f t="shared" si="33"/>
        <v>1</v>
      </c>
      <c r="E107" t="str">
        <f t="shared" si="26"/>
        <v>修罗之怒</v>
      </c>
      <c r="G107">
        <f t="shared" si="34"/>
        <v>5</v>
      </c>
      <c r="H107">
        <f t="shared" si="27"/>
        <v>68</v>
      </c>
      <c r="I107">
        <f t="shared" si="28"/>
        <v>6000</v>
      </c>
      <c r="J107">
        <f t="shared" si="29"/>
        <v>0</v>
      </c>
      <c r="K107">
        <f t="shared" si="30"/>
        <v>441</v>
      </c>
      <c r="M107">
        <v>6</v>
      </c>
      <c r="X107">
        <f t="shared" si="40"/>
        <v>25100</v>
      </c>
      <c r="Y107">
        <f t="shared" si="41"/>
        <v>2507</v>
      </c>
    </row>
    <row r="108" spans="1:25" x14ac:dyDescent="0.15">
      <c r="A108">
        <f t="shared" si="22"/>
        <v>2506</v>
      </c>
      <c r="B108">
        <f t="shared" si="31"/>
        <v>25</v>
      </c>
      <c r="C108">
        <f t="shared" si="32"/>
        <v>3</v>
      </c>
      <c r="D108">
        <f t="shared" si="33"/>
        <v>1</v>
      </c>
      <c r="E108" t="str">
        <f t="shared" si="26"/>
        <v>修罗之怒</v>
      </c>
      <c r="G108">
        <f t="shared" si="34"/>
        <v>6</v>
      </c>
      <c r="H108">
        <f t="shared" si="27"/>
        <v>84</v>
      </c>
      <c r="I108">
        <f t="shared" si="28"/>
        <v>6250</v>
      </c>
      <c r="J108">
        <f t="shared" si="29"/>
        <v>0</v>
      </c>
      <c r="K108">
        <f t="shared" si="30"/>
        <v>632</v>
      </c>
      <c r="M108">
        <v>6</v>
      </c>
      <c r="X108">
        <f t="shared" si="40"/>
        <v>31001</v>
      </c>
      <c r="Y108">
        <f t="shared" si="41"/>
        <v>3101</v>
      </c>
    </row>
    <row r="109" spans="1:25" x14ac:dyDescent="0.15">
      <c r="A109">
        <f t="shared" si="22"/>
        <v>2507</v>
      </c>
      <c r="B109">
        <f t="shared" si="31"/>
        <v>25</v>
      </c>
      <c r="C109">
        <f t="shared" si="32"/>
        <v>3</v>
      </c>
      <c r="D109">
        <f t="shared" si="33"/>
        <v>1</v>
      </c>
      <c r="E109" t="str">
        <f t="shared" si="26"/>
        <v>修罗之怒</v>
      </c>
      <c r="G109">
        <f t="shared" si="34"/>
        <v>7</v>
      </c>
      <c r="H109">
        <f t="shared" si="27"/>
        <v>100</v>
      </c>
      <c r="I109">
        <f t="shared" si="28"/>
        <v>6500</v>
      </c>
      <c r="J109">
        <f t="shared" si="29"/>
        <v>0</v>
      </c>
      <c r="K109">
        <f>IF(VLOOKUP($B109,技能参数,11,FALSE)=0,0,
VLOOKUP($B109,技能参数,11,FALSE)-5+VLOOKUP(H109,$T$4:$U$103,2,FALSE))</f>
        <v>859</v>
      </c>
      <c r="M109">
        <v>6</v>
      </c>
      <c r="X109">
        <f t="shared" si="40"/>
        <v>31007</v>
      </c>
      <c r="Y109">
        <f t="shared" si="41"/>
        <v>3102</v>
      </c>
    </row>
    <row r="110" spans="1:25" x14ac:dyDescent="0.15">
      <c r="A110">
        <f t="shared" si="22"/>
        <v>3101</v>
      </c>
      <c r="B110">
        <f t="shared" si="31"/>
        <v>31</v>
      </c>
      <c r="C110">
        <f t="shared" si="32"/>
        <v>1</v>
      </c>
      <c r="D110">
        <f t="shared" si="33"/>
        <v>1</v>
      </c>
      <c r="E110" t="str">
        <f t="shared" si="26"/>
        <v>夜叉普攻</v>
      </c>
      <c r="G110">
        <f t="shared" si="34"/>
        <v>1</v>
      </c>
      <c r="H110">
        <f t="shared" si="27"/>
        <v>1</v>
      </c>
      <c r="I110">
        <f t="shared" si="28"/>
        <v>1000</v>
      </c>
      <c r="J110">
        <f t="shared" si="29"/>
        <v>0</v>
      </c>
      <c r="K110">
        <f t="shared" si="30"/>
        <v>15</v>
      </c>
      <c r="X110">
        <f t="shared" si="40"/>
        <v>31014</v>
      </c>
      <c r="Y110">
        <f t="shared" si="41"/>
        <v>3103</v>
      </c>
    </row>
    <row r="111" spans="1:25" x14ac:dyDescent="0.15">
      <c r="A111">
        <f t="shared" si="22"/>
        <v>3102</v>
      </c>
      <c r="B111">
        <f t="shared" si="31"/>
        <v>31</v>
      </c>
      <c r="C111">
        <f t="shared" si="32"/>
        <v>1</v>
      </c>
      <c r="D111">
        <f t="shared" si="33"/>
        <v>1</v>
      </c>
      <c r="E111" t="str">
        <f t="shared" si="26"/>
        <v>夜叉普攻</v>
      </c>
      <c r="G111">
        <f t="shared" si="34"/>
        <v>2</v>
      </c>
      <c r="H111">
        <f t="shared" si="27"/>
        <v>7</v>
      </c>
      <c r="I111">
        <f t="shared" si="28"/>
        <v>1020</v>
      </c>
      <c r="J111">
        <f t="shared" si="29"/>
        <v>0</v>
      </c>
      <c r="K111">
        <f t="shared" si="30"/>
        <v>23</v>
      </c>
      <c r="X111">
        <f t="shared" si="40"/>
        <v>31021</v>
      </c>
      <c r="Y111">
        <f t="shared" si="41"/>
        <v>3104</v>
      </c>
    </row>
    <row r="112" spans="1:25" x14ac:dyDescent="0.15">
      <c r="A112">
        <f t="shared" si="22"/>
        <v>3103</v>
      </c>
      <c r="B112">
        <f t="shared" si="31"/>
        <v>31</v>
      </c>
      <c r="C112">
        <f t="shared" si="32"/>
        <v>1</v>
      </c>
      <c r="D112">
        <f t="shared" si="33"/>
        <v>1</v>
      </c>
      <c r="E112" t="str">
        <f t="shared" si="26"/>
        <v>夜叉普攻</v>
      </c>
      <c r="G112">
        <f t="shared" si="34"/>
        <v>3</v>
      </c>
      <c r="H112">
        <f t="shared" si="27"/>
        <v>14</v>
      </c>
      <c r="I112">
        <f t="shared" si="28"/>
        <v>1040</v>
      </c>
      <c r="J112">
        <f t="shared" si="29"/>
        <v>0</v>
      </c>
      <c r="K112">
        <f t="shared" si="30"/>
        <v>37</v>
      </c>
      <c r="X112">
        <f t="shared" si="40"/>
        <v>31028</v>
      </c>
      <c r="Y112">
        <f t="shared" si="41"/>
        <v>3105</v>
      </c>
    </row>
    <row r="113" spans="1:25" x14ac:dyDescent="0.15">
      <c r="A113">
        <f t="shared" si="22"/>
        <v>3104</v>
      </c>
      <c r="B113">
        <f t="shared" si="31"/>
        <v>31</v>
      </c>
      <c r="C113">
        <f t="shared" si="32"/>
        <v>1</v>
      </c>
      <c r="D113">
        <f t="shared" si="33"/>
        <v>1</v>
      </c>
      <c r="E113" t="str">
        <f t="shared" si="26"/>
        <v>夜叉普攻</v>
      </c>
      <c r="G113">
        <f t="shared" si="34"/>
        <v>4</v>
      </c>
      <c r="H113">
        <f t="shared" si="27"/>
        <v>21</v>
      </c>
      <c r="I113">
        <f t="shared" si="28"/>
        <v>1060</v>
      </c>
      <c r="J113">
        <f t="shared" si="29"/>
        <v>0</v>
      </c>
      <c r="K113">
        <f t="shared" si="30"/>
        <v>58</v>
      </c>
      <c r="X113">
        <f t="shared" si="40"/>
        <v>31035</v>
      </c>
      <c r="Y113">
        <f t="shared" si="41"/>
        <v>3106</v>
      </c>
    </row>
    <row r="114" spans="1:25" x14ac:dyDescent="0.15">
      <c r="A114">
        <f t="shared" si="22"/>
        <v>3105</v>
      </c>
      <c r="B114">
        <f t="shared" si="31"/>
        <v>31</v>
      </c>
      <c r="C114">
        <f t="shared" si="32"/>
        <v>1</v>
      </c>
      <c r="D114">
        <f t="shared" si="33"/>
        <v>1</v>
      </c>
      <c r="E114" t="str">
        <f t="shared" si="26"/>
        <v>夜叉普攻</v>
      </c>
      <c r="G114">
        <f t="shared" si="34"/>
        <v>5</v>
      </c>
      <c r="H114">
        <f t="shared" si="27"/>
        <v>28</v>
      </c>
      <c r="I114">
        <f t="shared" si="28"/>
        <v>1090</v>
      </c>
      <c r="J114">
        <f t="shared" si="29"/>
        <v>0</v>
      </c>
      <c r="K114">
        <f t="shared" si="30"/>
        <v>88</v>
      </c>
      <c r="X114">
        <f t="shared" si="40"/>
        <v>31042</v>
      </c>
      <c r="Y114">
        <f t="shared" si="41"/>
        <v>3107</v>
      </c>
    </row>
    <row r="115" spans="1:25" x14ac:dyDescent="0.15">
      <c r="A115">
        <f t="shared" si="22"/>
        <v>3106</v>
      </c>
      <c r="B115">
        <f t="shared" si="31"/>
        <v>31</v>
      </c>
      <c r="C115">
        <f t="shared" si="32"/>
        <v>1</v>
      </c>
      <c r="D115">
        <f t="shared" si="33"/>
        <v>1</v>
      </c>
      <c r="E115" t="str">
        <f t="shared" si="26"/>
        <v>夜叉普攻</v>
      </c>
      <c r="G115">
        <f t="shared" si="34"/>
        <v>6</v>
      </c>
      <c r="H115">
        <f t="shared" si="27"/>
        <v>35</v>
      </c>
      <c r="I115">
        <f t="shared" si="28"/>
        <v>1110</v>
      </c>
      <c r="J115">
        <f t="shared" si="29"/>
        <v>0</v>
      </c>
      <c r="K115">
        <f t="shared" si="30"/>
        <v>125</v>
      </c>
      <c r="X115">
        <f t="shared" si="40"/>
        <v>31049</v>
      </c>
      <c r="Y115">
        <f t="shared" si="41"/>
        <v>3108</v>
      </c>
    </row>
    <row r="116" spans="1:25" x14ac:dyDescent="0.15">
      <c r="A116">
        <f t="shared" si="22"/>
        <v>3107</v>
      </c>
      <c r="B116">
        <f t="shared" si="31"/>
        <v>31</v>
      </c>
      <c r="C116">
        <f t="shared" si="32"/>
        <v>1</v>
      </c>
      <c r="D116">
        <f t="shared" si="33"/>
        <v>1</v>
      </c>
      <c r="E116" t="str">
        <f t="shared" si="26"/>
        <v>夜叉普攻</v>
      </c>
      <c r="G116">
        <f t="shared" si="34"/>
        <v>7</v>
      </c>
      <c r="H116">
        <f t="shared" si="27"/>
        <v>42</v>
      </c>
      <c r="I116">
        <f t="shared" si="28"/>
        <v>1130</v>
      </c>
      <c r="J116">
        <f t="shared" si="29"/>
        <v>0</v>
      </c>
      <c r="K116">
        <f t="shared" si="30"/>
        <v>168</v>
      </c>
      <c r="X116">
        <f t="shared" si="40"/>
        <v>31055</v>
      </c>
      <c r="Y116">
        <f t="shared" si="41"/>
        <v>3109</v>
      </c>
    </row>
    <row r="117" spans="1:25" x14ac:dyDescent="0.15">
      <c r="A117">
        <f t="shared" si="22"/>
        <v>3108</v>
      </c>
      <c r="B117">
        <f t="shared" si="31"/>
        <v>31</v>
      </c>
      <c r="C117">
        <f t="shared" si="32"/>
        <v>1</v>
      </c>
      <c r="D117">
        <f t="shared" si="33"/>
        <v>1</v>
      </c>
      <c r="E117" t="str">
        <f t="shared" si="26"/>
        <v>夜叉普攻</v>
      </c>
      <c r="G117">
        <f t="shared" si="34"/>
        <v>8</v>
      </c>
      <c r="H117">
        <f t="shared" si="27"/>
        <v>49</v>
      </c>
      <c r="I117">
        <f t="shared" si="28"/>
        <v>1150</v>
      </c>
      <c r="J117">
        <f t="shared" si="29"/>
        <v>0</v>
      </c>
      <c r="K117">
        <f t="shared" si="30"/>
        <v>219</v>
      </c>
      <c r="X117">
        <f t="shared" si="40"/>
        <v>31062</v>
      </c>
      <c r="Y117">
        <f t="shared" si="41"/>
        <v>3110</v>
      </c>
    </row>
    <row r="118" spans="1:25" x14ac:dyDescent="0.15">
      <c r="A118">
        <f t="shared" si="22"/>
        <v>3109</v>
      </c>
      <c r="B118">
        <f t="shared" si="31"/>
        <v>31</v>
      </c>
      <c r="C118">
        <f t="shared" si="32"/>
        <v>1</v>
      </c>
      <c r="D118">
        <f t="shared" si="33"/>
        <v>1</v>
      </c>
      <c r="E118" t="str">
        <f t="shared" si="26"/>
        <v>夜叉普攻</v>
      </c>
      <c r="G118">
        <f t="shared" si="34"/>
        <v>9</v>
      </c>
      <c r="H118">
        <f t="shared" si="27"/>
        <v>55</v>
      </c>
      <c r="I118">
        <f t="shared" si="28"/>
        <v>1170</v>
      </c>
      <c r="J118">
        <f t="shared" si="29"/>
        <v>0</v>
      </c>
      <c r="K118">
        <f t="shared" si="30"/>
        <v>270</v>
      </c>
      <c r="X118">
        <f t="shared" si="40"/>
        <v>31069</v>
      </c>
      <c r="Y118">
        <f t="shared" si="41"/>
        <v>3111</v>
      </c>
    </row>
    <row r="119" spans="1:25" x14ac:dyDescent="0.15">
      <c r="A119">
        <f t="shared" si="22"/>
        <v>3110</v>
      </c>
      <c r="B119">
        <f t="shared" si="31"/>
        <v>31</v>
      </c>
      <c r="C119">
        <f t="shared" si="32"/>
        <v>1</v>
      </c>
      <c r="D119">
        <f t="shared" si="33"/>
        <v>1</v>
      </c>
      <c r="E119" t="str">
        <f t="shared" si="26"/>
        <v>夜叉普攻</v>
      </c>
      <c r="G119">
        <f t="shared" si="34"/>
        <v>10</v>
      </c>
      <c r="H119">
        <f t="shared" si="27"/>
        <v>62</v>
      </c>
      <c r="I119">
        <f t="shared" si="28"/>
        <v>1190</v>
      </c>
      <c r="J119">
        <f t="shared" si="29"/>
        <v>0</v>
      </c>
      <c r="K119">
        <f t="shared" si="30"/>
        <v>334</v>
      </c>
      <c r="X119">
        <f t="shared" si="40"/>
        <v>31076</v>
      </c>
      <c r="Y119">
        <f t="shared" si="41"/>
        <v>3112</v>
      </c>
    </row>
    <row r="120" spans="1:25" x14ac:dyDescent="0.15">
      <c r="A120">
        <f t="shared" si="22"/>
        <v>3111</v>
      </c>
      <c r="B120">
        <f t="shared" si="31"/>
        <v>31</v>
      </c>
      <c r="C120">
        <f t="shared" si="32"/>
        <v>1</v>
      </c>
      <c r="D120">
        <f t="shared" si="33"/>
        <v>1</v>
      </c>
      <c r="E120" t="str">
        <f t="shared" si="26"/>
        <v>夜叉普攻</v>
      </c>
      <c r="G120">
        <f t="shared" si="34"/>
        <v>11</v>
      </c>
      <c r="H120">
        <f t="shared" si="27"/>
        <v>69</v>
      </c>
      <c r="I120">
        <f t="shared" si="28"/>
        <v>1210</v>
      </c>
      <c r="J120">
        <f t="shared" si="29"/>
        <v>0</v>
      </c>
      <c r="K120">
        <f t="shared" si="30"/>
        <v>406</v>
      </c>
      <c r="X120">
        <f t="shared" si="40"/>
        <v>31083</v>
      </c>
      <c r="Y120">
        <f t="shared" si="41"/>
        <v>3113</v>
      </c>
    </row>
    <row r="121" spans="1:25" x14ac:dyDescent="0.15">
      <c r="A121">
        <f t="shared" si="22"/>
        <v>3112</v>
      </c>
      <c r="B121">
        <f t="shared" si="31"/>
        <v>31</v>
      </c>
      <c r="C121">
        <f t="shared" si="32"/>
        <v>1</v>
      </c>
      <c r="D121">
        <f t="shared" si="33"/>
        <v>1</v>
      </c>
      <c r="E121" t="str">
        <f t="shared" si="26"/>
        <v>夜叉普攻</v>
      </c>
      <c r="G121">
        <f t="shared" si="34"/>
        <v>12</v>
      </c>
      <c r="H121">
        <f t="shared" si="27"/>
        <v>76</v>
      </c>
      <c r="I121">
        <f t="shared" si="28"/>
        <v>1240</v>
      </c>
      <c r="J121">
        <f t="shared" si="29"/>
        <v>0</v>
      </c>
      <c r="K121">
        <f t="shared" si="30"/>
        <v>487</v>
      </c>
      <c r="X121">
        <f t="shared" si="40"/>
        <v>31090</v>
      </c>
      <c r="Y121">
        <f t="shared" si="41"/>
        <v>3114</v>
      </c>
    </row>
    <row r="122" spans="1:25" x14ac:dyDescent="0.15">
      <c r="A122">
        <f t="shared" si="22"/>
        <v>3113</v>
      </c>
      <c r="B122">
        <f t="shared" si="31"/>
        <v>31</v>
      </c>
      <c r="C122">
        <f t="shared" si="32"/>
        <v>1</v>
      </c>
      <c r="D122">
        <f t="shared" si="33"/>
        <v>1</v>
      </c>
      <c r="E122" t="str">
        <f t="shared" si="26"/>
        <v>夜叉普攻</v>
      </c>
      <c r="G122">
        <f t="shared" si="34"/>
        <v>13</v>
      </c>
      <c r="H122">
        <f t="shared" si="27"/>
        <v>83</v>
      </c>
      <c r="I122">
        <f t="shared" si="28"/>
        <v>1260</v>
      </c>
      <c r="J122">
        <f t="shared" si="29"/>
        <v>0</v>
      </c>
      <c r="K122">
        <f t="shared" si="30"/>
        <v>573</v>
      </c>
      <c r="X122">
        <f t="shared" si="40"/>
        <v>31097</v>
      </c>
      <c r="Y122">
        <f t="shared" si="41"/>
        <v>3115</v>
      </c>
    </row>
    <row r="123" spans="1:25" x14ac:dyDescent="0.15">
      <c r="A123">
        <f t="shared" ref="A123:A186" si="42">A71+1000</f>
        <v>3114</v>
      </c>
      <c r="B123">
        <f t="shared" si="31"/>
        <v>31</v>
      </c>
      <c r="C123">
        <f t="shared" si="32"/>
        <v>1</v>
      </c>
      <c r="D123">
        <f t="shared" si="33"/>
        <v>1</v>
      </c>
      <c r="E123" t="str">
        <f t="shared" si="26"/>
        <v>夜叉普攻</v>
      </c>
      <c r="G123">
        <f t="shared" si="34"/>
        <v>14</v>
      </c>
      <c r="H123">
        <f t="shared" si="27"/>
        <v>90</v>
      </c>
      <c r="I123">
        <f t="shared" si="28"/>
        <v>1280</v>
      </c>
      <c r="J123">
        <f t="shared" si="29"/>
        <v>0</v>
      </c>
      <c r="K123">
        <f t="shared" si="30"/>
        <v>667</v>
      </c>
      <c r="X123">
        <f t="shared" si="40"/>
        <v>32001</v>
      </c>
      <c r="Y123">
        <f t="shared" si="41"/>
        <v>3201</v>
      </c>
    </row>
    <row r="124" spans="1:25" x14ac:dyDescent="0.15">
      <c r="A124">
        <f t="shared" si="42"/>
        <v>3115</v>
      </c>
      <c r="B124">
        <f t="shared" si="31"/>
        <v>31</v>
      </c>
      <c r="C124">
        <f t="shared" si="32"/>
        <v>1</v>
      </c>
      <c r="D124">
        <f t="shared" si="33"/>
        <v>1</v>
      </c>
      <c r="E124" t="str">
        <f t="shared" si="26"/>
        <v>夜叉普攻</v>
      </c>
      <c r="G124">
        <f t="shared" si="34"/>
        <v>15</v>
      </c>
      <c r="H124">
        <f t="shared" si="27"/>
        <v>97</v>
      </c>
      <c r="I124">
        <f t="shared" si="28"/>
        <v>1300</v>
      </c>
      <c r="J124">
        <f t="shared" si="29"/>
        <v>0</v>
      </c>
      <c r="K124">
        <f t="shared" si="30"/>
        <v>769</v>
      </c>
      <c r="X124">
        <f t="shared" si="40"/>
        <v>32011</v>
      </c>
      <c r="Y124">
        <f t="shared" si="41"/>
        <v>3202</v>
      </c>
    </row>
    <row r="125" spans="1:25" x14ac:dyDescent="0.15">
      <c r="A125">
        <f t="shared" si="42"/>
        <v>3201</v>
      </c>
      <c r="B125">
        <f t="shared" si="31"/>
        <v>32</v>
      </c>
      <c r="C125">
        <f t="shared" si="32"/>
        <v>2</v>
      </c>
      <c r="D125">
        <f t="shared" si="33"/>
        <v>2</v>
      </c>
      <c r="E125" t="str">
        <f t="shared" si="26"/>
        <v>勾魂</v>
      </c>
      <c r="G125">
        <f t="shared" si="34"/>
        <v>1</v>
      </c>
      <c r="H125">
        <f t="shared" si="27"/>
        <v>1</v>
      </c>
      <c r="I125">
        <f t="shared" si="28"/>
        <v>0</v>
      </c>
      <c r="J125">
        <f t="shared" si="29"/>
        <v>1200</v>
      </c>
      <c r="K125">
        <f t="shared" si="30"/>
        <v>20</v>
      </c>
      <c r="M125">
        <v>3</v>
      </c>
      <c r="N125">
        <v>1</v>
      </c>
      <c r="R125" t="s">
        <v>257</v>
      </c>
      <c r="X125">
        <f t="shared" si="40"/>
        <v>32021</v>
      </c>
      <c r="Y125">
        <f t="shared" si="41"/>
        <v>3203</v>
      </c>
    </row>
    <row r="126" spans="1:25" x14ac:dyDescent="0.15">
      <c r="A126">
        <f t="shared" si="42"/>
        <v>3202</v>
      </c>
      <c r="B126">
        <f t="shared" si="31"/>
        <v>32</v>
      </c>
      <c r="C126">
        <f t="shared" si="32"/>
        <v>2</v>
      </c>
      <c r="D126">
        <f t="shared" si="33"/>
        <v>2</v>
      </c>
      <c r="E126" t="str">
        <f t="shared" si="26"/>
        <v>勾魂</v>
      </c>
      <c r="G126">
        <f t="shared" si="34"/>
        <v>2</v>
      </c>
      <c r="H126">
        <f t="shared" si="27"/>
        <v>11</v>
      </c>
      <c r="I126">
        <f t="shared" si="28"/>
        <v>0</v>
      </c>
      <c r="J126">
        <f t="shared" si="29"/>
        <v>1250</v>
      </c>
      <c r="K126">
        <f t="shared" si="30"/>
        <v>34</v>
      </c>
      <c r="M126">
        <v>3</v>
      </c>
      <c r="N126">
        <v>1</v>
      </c>
      <c r="X126">
        <f t="shared" si="40"/>
        <v>32031</v>
      </c>
      <c r="Y126">
        <f t="shared" si="41"/>
        <v>3204</v>
      </c>
    </row>
    <row r="127" spans="1:25" x14ac:dyDescent="0.15">
      <c r="A127">
        <f t="shared" si="42"/>
        <v>3203</v>
      </c>
      <c r="B127">
        <f t="shared" si="31"/>
        <v>32</v>
      </c>
      <c r="C127">
        <f t="shared" si="32"/>
        <v>2</v>
      </c>
      <c r="D127">
        <f t="shared" si="33"/>
        <v>2</v>
      </c>
      <c r="E127" t="str">
        <f t="shared" si="26"/>
        <v>勾魂</v>
      </c>
      <c r="G127">
        <f t="shared" si="34"/>
        <v>3</v>
      </c>
      <c r="H127">
        <f t="shared" si="27"/>
        <v>21</v>
      </c>
      <c r="I127">
        <f t="shared" si="28"/>
        <v>0</v>
      </c>
      <c r="J127">
        <f t="shared" si="29"/>
        <v>1290</v>
      </c>
      <c r="K127">
        <f t="shared" si="30"/>
        <v>63</v>
      </c>
      <c r="M127">
        <v>3</v>
      </c>
      <c r="N127">
        <v>1</v>
      </c>
      <c r="X127">
        <f t="shared" si="40"/>
        <v>32041</v>
      </c>
      <c r="Y127">
        <f t="shared" si="41"/>
        <v>3205</v>
      </c>
    </row>
    <row r="128" spans="1:25" x14ac:dyDescent="0.15">
      <c r="A128">
        <f t="shared" si="42"/>
        <v>3204</v>
      </c>
      <c r="B128">
        <f t="shared" si="31"/>
        <v>32</v>
      </c>
      <c r="C128">
        <f t="shared" si="32"/>
        <v>2</v>
      </c>
      <c r="D128">
        <f t="shared" si="33"/>
        <v>2</v>
      </c>
      <c r="E128" t="str">
        <f t="shared" si="26"/>
        <v>勾魂</v>
      </c>
      <c r="G128">
        <f t="shared" si="34"/>
        <v>4</v>
      </c>
      <c r="H128">
        <f t="shared" si="27"/>
        <v>31</v>
      </c>
      <c r="I128">
        <f t="shared" si="28"/>
        <v>0</v>
      </c>
      <c r="J128">
        <f t="shared" si="29"/>
        <v>1340</v>
      </c>
      <c r="K128">
        <f t="shared" si="30"/>
        <v>107</v>
      </c>
      <c r="M128">
        <v>3</v>
      </c>
      <c r="N128">
        <v>1</v>
      </c>
      <c r="X128">
        <f t="shared" si="40"/>
        <v>32051</v>
      </c>
      <c r="Y128">
        <f t="shared" si="41"/>
        <v>3206</v>
      </c>
    </row>
    <row r="129" spans="1:25" x14ac:dyDescent="0.15">
      <c r="A129">
        <f t="shared" si="42"/>
        <v>3205</v>
      </c>
      <c r="B129">
        <f t="shared" si="31"/>
        <v>32</v>
      </c>
      <c r="C129">
        <f t="shared" si="32"/>
        <v>2</v>
      </c>
      <c r="D129">
        <f t="shared" si="33"/>
        <v>2</v>
      </c>
      <c r="E129" t="str">
        <f t="shared" si="26"/>
        <v>勾魂</v>
      </c>
      <c r="G129">
        <f t="shared" si="34"/>
        <v>5</v>
      </c>
      <c r="H129">
        <f t="shared" si="27"/>
        <v>41</v>
      </c>
      <c r="I129">
        <f t="shared" si="28"/>
        <v>0</v>
      </c>
      <c r="J129">
        <f t="shared" si="29"/>
        <v>1390</v>
      </c>
      <c r="K129">
        <f t="shared" si="30"/>
        <v>166</v>
      </c>
      <c r="M129">
        <v>3</v>
      </c>
      <c r="N129">
        <v>1</v>
      </c>
      <c r="X129">
        <f t="shared" si="40"/>
        <v>32061</v>
      </c>
      <c r="Y129">
        <f t="shared" si="41"/>
        <v>3207</v>
      </c>
    </row>
    <row r="130" spans="1:25" x14ac:dyDescent="0.15">
      <c r="A130">
        <f t="shared" si="42"/>
        <v>3206</v>
      </c>
      <c r="B130">
        <f t="shared" si="31"/>
        <v>32</v>
      </c>
      <c r="C130">
        <f t="shared" si="32"/>
        <v>2</v>
      </c>
      <c r="D130">
        <f t="shared" si="33"/>
        <v>2</v>
      </c>
      <c r="E130" t="str">
        <f t="shared" si="26"/>
        <v>勾魂</v>
      </c>
      <c r="G130">
        <f t="shared" si="34"/>
        <v>6</v>
      </c>
      <c r="H130">
        <f t="shared" si="27"/>
        <v>51</v>
      </c>
      <c r="I130">
        <f t="shared" si="28"/>
        <v>0</v>
      </c>
      <c r="J130">
        <f t="shared" si="29"/>
        <v>1430</v>
      </c>
      <c r="K130">
        <f t="shared" si="30"/>
        <v>240</v>
      </c>
      <c r="M130">
        <v>3</v>
      </c>
      <c r="N130">
        <v>1</v>
      </c>
      <c r="X130">
        <f t="shared" si="40"/>
        <v>32071</v>
      </c>
      <c r="Y130">
        <f t="shared" si="41"/>
        <v>3208</v>
      </c>
    </row>
    <row r="131" spans="1:25" x14ac:dyDescent="0.15">
      <c r="A131">
        <f t="shared" si="42"/>
        <v>3207</v>
      </c>
      <c r="B131">
        <f t="shared" si="31"/>
        <v>32</v>
      </c>
      <c r="C131">
        <f t="shared" si="32"/>
        <v>2</v>
      </c>
      <c r="D131">
        <f t="shared" si="33"/>
        <v>2</v>
      </c>
      <c r="E131" t="str">
        <f t="shared" si="26"/>
        <v>勾魂</v>
      </c>
      <c r="G131">
        <f t="shared" si="34"/>
        <v>7</v>
      </c>
      <c r="H131">
        <f t="shared" si="27"/>
        <v>61</v>
      </c>
      <c r="I131">
        <f t="shared" si="28"/>
        <v>0</v>
      </c>
      <c r="J131">
        <f t="shared" si="29"/>
        <v>1480</v>
      </c>
      <c r="K131">
        <f t="shared" si="30"/>
        <v>329</v>
      </c>
      <c r="M131">
        <v>3</v>
      </c>
      <c r="N131">
        <v>1</v>
      </c>
      <c r="X131">
        <f t="shared" si="40"/>
        <v>32081</v>
      </c>
      <c r="Y131">
        <f t="shared" si="41"/>
        <v>3209</v>
      </c>
    </row>
    <row r="132" spans="1:25" x14ac:dyDescent="0.15">
      <c r="A132">
        <f t="shared" si="42"/>
        <v>3208</v>
      </c>
      <c r="B132">
        <f t="shared" si="31"/>
        <v>32</v>
      </c>
      <c r="C132">
        <f t="shared" si="32"/>
        <v>2</v>
      </c>
      <c r="D132">
        <f t="shared" si="33"/>
        <v>2</v>
      </c>
      <c r="E132" t="str">
        <f t="shared" si="26"/>
        <v>勾魂</v>
      </c>
      <c r="G132">
        <f t="shared" si="34"/>
        <v>8</v>
      </c>
      <c r="H132">
        <f t="shared" si="27"/>
        <v>71</v>
      </c>
      <c r="I132">
        <f t="shared" si="28"/>
        <v>0</v>
      </c>
      <c r="J132">
        <f t="shared" si="29"/>
        <v>1530</v>
      </c>
      <c r="K132">
        <f t="shared" si="30"/>
        <v>433</v>
      </c>
      <c r="M132">
        <v>3</v>
      </c>
      <c r="N132">
        <v>1</v>
      </c>
      <c r="X132">
        <f t="shared" si="40"/>
        <v>32091</v>
      </c>
      <c r="Y132">
        <f t="shared" si="41"/>
        <v>3210</v>
      </c>
    </row>
    <row r="133" spans="1:25" x14ac:dyDescent="0.15">
      <c r="A133">
        <f t="shared" si="42"/>
        <v>3209</v>
      </c>
      <c r="B133">
        <f t="shared" si="31"/>
        <v>32</v>
      </c>
      <c r="C133">
        <f t="shared" si="32"/>
        <v>2</v>
      </c>
      <c r="D133">
        <f t="shared" si="33"/>
        <v>2</v>
      </c>
      <c r="E133" t="str">
        <f t="shared" si="26"/>
        <v>勾魂</v>
      </c>
      <c r="G133">
        <f t="shared" si="34"/>
        <v>9</v>
      </c>
      <c r="H133">
        <f t="shared" si="27"/>
        <v>81</v>
      </c>
      <c r="I133">
        <f t="shared" si="28"/>
        <v>0</v>
      </c>
      <c r="J133">
        <f t="shared" si="29"/>
        <v>1570</v>
      </c>
      <c r="K133">
        <f t="shared" si="30"/>
        <v>552</v>
      </c>
      <c r="M133">
        <v>3</v>
      </c>
      <c r="N133">
        <v>1</v>
      </c>
      <c r="X133">
        <f t="shared" si="40"/>
        <v>33003</v>
      </c>
      <c r="Y133">
        <f t="shared" si="41"/>
        <v>3301</v>
      </c>
    </row>
    <row r="134" spans="1:25" x14ac:dyDescent="0.15">
      <c r="A134">
        <f t="shared" si="42"/>
        <v>3210</v>
      </c>
      <c r="B134">
        <f t="shared" si="31"/>
        <v>32</v>
      </c>
      <c r="C134">
        <f t="shared" si="32"/>
        <v>2</v>
      </c>
      <c r="D134">
        <f t="shared" si="33"/>
        <v>2</v>
      </c>
      <c r="E134" t="str">
        <f t="shared" ref="E134:E197" si="43">VLOOKUP(B134,技能参数,2,FALSE)</f>
        <v>勾魂</v>
      </c>
      <c r="G134">
        <f t="shared" si="34"/>
        <v>10</v>
      </c>
      <c r="H134">
        <f t="shared" ref="H134:H197" si="44">IF(G134=1,VLOOKUP(B134,技能参数,7,FALSE),
INT((VLOOKUP(B134,技能参数,8,FALSE)-VLOOKUP(B134,技能参数,7,FALSE))/(VLOOKUP(B134,技能参数,6,FALSE)-1)*(G134-1))
+VLOOKUP(B134,技能参数,7,FALSE)
)</f>
        <v>91</v>
      </c>
      <c r="I134">
        <f t="shared" ref="I134:I197" si="45">IF(VLOOKUP($B134,技能参数,9,FALSE)=0,0,
ROUND(VLOOKUP($B134,技能参数,9,FALSE)*(1+(VLOOKUP($B134,技能参数,12,FALSE)/(VLOOKUP($B134,技能参数,6,FALSE)-1))*(G134-1)),-1))</f>
        <v>0</v>
      </c>
      <c r="J134">
        <f t="shared" ref="J134:J197" si="46">IF(VLOOKUP($B134,技能参数,10,FALSE)=0,0,
ROUND(VLOOKUP($B134,技能参数,10,FALSE)*(1+(VLOOKUP($B134,技能参数,12,FALSE)/(VLOOKUP($B134,技能参数,6,FALSE)-1))*(G134-1)),-1))</f>
        <v>1620</v>
      </c>
      <c r="K134">
        <f t="shared" ref="K134:K197" si="47">IF(VLOOKUP($B134,技能参数,11,FALSE)=0,0,
VLOOKUP($B134,技能参数,11,FALSE)-5+VLOOKUP(H134,$T$4:$U$103,2,FALSE))</f>
        <v>686</v>
      </c>
      <c r="M134">
        <v>3</v>
      </c>
      <c r="N134">
        <v>1</v>
      </c>
      <c r="X134">
        <f t="shared" si="40"/>
        <v>33013</v>
      </c>
      <c r="Y134">
        <f t="shared" si="41"/>
        <v>3302</v>
      </c>
    </row>
    <row r="135" spans="1:25" x14ac:dyDescent="0.15">
      <c r="A135">
        <f t="shared" si="42"/>
        <v>3301</v>
      </c>
      <c r="B135">
        <f t="shared" ref="B135:B198" si="48">INT(A135/100)</f>
        <v>33</v>
      </c>
      <c r="C135">
        <f t="shared" ref="C135:C198" si="49">IF(MOD(B135,10)=1,1,IF(MOD(B135,10)=5,3,2))</f>
        <v>2</v>
      </c>
      <c r="D135">
        <f t="shared" ref="D135:D198" si="50">IF(AND(I135&gt;0,J135=0),1,IF(AND(I135=0,J135&gt;0),2,3))</f>
        <v>3</v>
      </c>
      <c r="E135" t="str">
        <f t="shared" si="43"/>
        <v>毒刃</v>
      </c>
      <c r="G135">
        <f t="shared" ref="G135:G198" si="51">MOD(A135,100)</f>
        <v>1</v>
      </c>
      <c r="H135">
        <f t="shared" si="44"/>
        <v>3</v>
      </c>
      <c r="I135">
        <f t="shared" si="45"/>
        <v>0</v>
      </c>
      <c r="J135">
        <f t="shared" si="46"/>
        <v>0</v>
      </c>
      <c r="K135">
        <f t="shared" si="47"/>
        <v>0</v>
      </c>
      <c r="L135">
        <v>20301</v>
      </c>
      <c r="M135">
        <v>3</v>
      </c>
      <c r="R135" t="s">
        <v>347</v>
      </c>
      <c r="X135">
        <f t="shared" si="40"/>
        <v>33023</v>
      </c>
      <c r="Y135">
        <f t="shared" si="41"/>
        <v>3303</v>
      </c>
    </row>
    <row r="136" spans="1:25" x14ac:dyDescent="0.15">
      <c r="A136">
        <f t="shared" si="42"/>
        <v>3302</v>
      </c>
      <c r="B136">
        <f t="shared" si="48"/>
        <v>33</v>
      </c>
      <c r="C136">
        <f t="shared" si="49"/>
        <v>2</v>
      </c>
      <c r="D136">
        <f t="shared" si="50"/>
        <v>3</v>
      </c>
      <c r="E136" t="str">
        <f t="shared" si="43"/>
        <v>毒刃</v>
      </c>
      <c r="G136">
        <f t="shared" si="51"/>
        <v>2</v>
      </c>
      <c r="H136">
        <f t="shared" si="44"/>
        <v>13</v>
      </c>
      <c r="I136">
        <f t="shared" si="45"/>
        <v>0</v>
      </c>
      <c r="J136">
        <f t="shared" si="46"/>
        <v>0</v>
      </c>
      <c r="K136">
        <f t="shared" si="47"/>
        <v>0</v>
      </c>
      <c r="L136">
        <v>20302</v>
      </c>
      <c r="M136">
        <v>3</v>
      </c>
      <c r="X136">
        <f t="shared" si="40"/>
        <v>33033</v>
      </c>
      <c r="Y136">
        <f t="shared" si="41"/>
        <v>3304</v>
      </c>
    </row>
    <row r="137" spans="1:25" x14ac:dyDescent="0.15">
      <c r="A137">
        <f t="shared" si="42"/>
        <v>3303</v>
      </c>
      <c r="B137">
        <f t="shared" si="48"/>
        <v>33</v>
      </c>
      <c r="C137">
        <f t="shared" si="49"/>
        <v>2</v>
      </c>
      <c r="D137">
        <f t="shared" si="50"/>
        <v>3</v>
      </c>
      <c r="E137" t="str">
        <f t="shared" si="43"/>
        <v>毒刃</v>
      </c>
      <c r="G137">
        <f t="shared" si="51"/>
        <v>3</v>
      </c>
      <c r="H137">
        <f t="shared" si="44"/>
        <v>23</v>
      </c>
      <c r="I137">
        <f t="shared" si="45"/>
        <v>0</v>
      </c>
      <c r="J137">
        <f t="shared" si="46"/>
        <v>0</v>
      </c>
      <c r="K137">
        <f t="shared" si="47"/>
        <v>0</v>
      </c>
      <c r="L137">
        <v>20303</v>
      </c>
      <c r="M137">
        <v>3</v>
      </c>
      <c r="X137">
        <f t="shared" si="40"/>
        <v>33043</v>
      </c>
      <c r="Y137">
        <f t="shared" si="41"/>
        <v>3305</v>
      </c>
    </row>
    <row r="138" spans="1:25" x14ac:dyDescent="0.15">
      <c r="A138">
        <f t="shared" si="42"/>
        <v>3304</v>
      </c>
      <c r="B138">
        <f t="shared" si="48"/>
        <v>33</v>
      </c>
      <c r="C138">
        <f t="shared" si="49"/>
        <v>2</v>
      </c>
      <c r="D138">
        <f t="shared" si="50"/>
        <v>3</v>
      </c>
      <c r="E138" t="str">
        <f t="shared" si="43"/>
        <v>毒刃</v>
      </c>
      <c r="G138">
        <f t="shared" si="51"/>
        <v>4</v>
      </c>
      <c r="H138">
        <f t="shared" si="44"/>
        <v>33</v>
      </c>
      <c r="I138">
        <f t="shared" si="45"/>
        <v>0</v>
      </c>
      <c r="J138">
        <f t="shared" si="46"/>
        <v>0</v>
      </c>
      <c r="K138">
        <f t="shared" si="47"/>
        <v>0</v>
      </c>
      <c r="L138">
        <v>20304</v>
      </c>
      <c r="M138">
        <v>3</v>
      </c>
      <c r="X138">
        <f t="shared" si="40"/>
        <v>33053</v>
      </c>
      <c r="Y138">
        <f t="shared" si="41"/>
        <v>3306</v>
      </c>
    </row>
    <row r="139" spans="1:25" x14ac:dyDescent="0.15">
      <c r="A139">
        <f t="shared" si="42"/>
        <v>3305</v>
      </c>
      <c r="B139">
        <f t="shared" si="48"/>
        <v>33</v>
      </c>
      <c r="C139">
        <f t="shared" si="49"/>
        <v>2</v>
      </c>
      <c r="D139">
        <f t="shared" si="50"/>
        <v>3</v>
      </c>
      <c r="E139" t="str">
        <f t="shared" si="43"/>
        <v>毒刃</v>
      </c>
      <c r="G139">
        <f t="shared" si="51"/>
        <v>5</v>
      </c>
      <c r="H139">
        <f t="shared" si="44"/>
        <v>43</v>
      </c>
      <c r="I139">
        <f t="shared" si="45"/>
        <v>0</v>
      </c>
      <c r="J139">
        <f t="shared" si="46"/>
        <v>0</v>
      </c>
      <c r="K139">
        <f t="shared" si="47"/>
        <v>0</v>
      </c>
      <c r="L139">
        <v>20305</v>
      </c>
      <c r="M139">
        <v>3</v>
      </c>
      <c r="X139">
        <f t="shared" si="40"/>
        <v>33063</v>
      </c>
      <c r="Y139">
        <f t="shared" si="41"/>
        <v>3307</v>
      </c>
    </row>
    <row r="140" spans="1:25" x14ac:dyDescent="0.15">
      <c r="A140">
        <f t="shared" si="42"/>
        <v>3306</v>
      </c>
      <c r="B140">
        <f t="shared" si="48"/>
        <v>33</v>
      </c>
      <c r="C140">
        <f t="shared" si="49"/>
        <v>2</v>
      </c>
      <c r="D140">
        <f t="shared" si="50"/>
        <v>3</v>
      </c>
      <c r="E140" t="str">
        <f t="shared" si="43"/>
        <v>毒刃</v>
      </c>
      <c r="G140">
        <f t="shared" si="51"/>
        <v>6</v>
      </c>
      <c r="H140">
        <f t="shared" si="44"/>
        <v>53</v>
      </c>
      <c r="I140">
        <f t="shared" si="45"/>
        <v>0</v>
      </c>
      <c r="J140">
        <f t="shared" si="46"/>
        <v>0</v>
      </c>
      <c r="K140">
        <f t="shared" si="47"/>
        <v>0</v>
      </c>
      <c r="L140">
        <v>20306</v>
      </c>
      <c r="M140">
        <v>3</v>
      </c>
      <c r="X140">
        <f t="shared" si="40"/>
        <v>33073</v>
      </c>
      <c r="Y140">
        <f t="shared" si="41"/>
        <v>3308</v>
      </c>
    </row>
    <row r="141" spans="1:25" x14ac:dyDescent="0.15">
      <c r="A141">
        <f t="shared" si="42"/>
        <v>3307</v>
      </c>
      <c r="B141">
        <f t="shared" si="48"/>
        <v>33</v>
      </c>
      <c r="C141">
        <f t="shared" si="49"/>
        <v>2</v>
      </c>
      <c r="D141">
        <f t="shared" si="50"/>
        <v>3</v>
      </c>
      <c r="E141" t="str">
        <f t="shared" si="43"/>
        <v>毒刃</v>
      </c>
      <c r="G141">
        <f t="shared" si="51"/>
        <v>7</v>
      </c>
      <c r="H141">
        <f t="shared" si="44"/>
        <v>63</v>
      </c>
      <c r="I141">
        <f t="shared" si="45"/>
        <v>0</v>
      </c>
      <c r="J141">
        <f t="shared" si="46"/>
        <v>0</v>
      </c>
      <c r="K141">
        <f t="shared" si="47"/>
        <v>0</v>
      </c>
      <c r="L141">
        <v>20307</v>
      </c>
      <c r="M141">
        <v>3</v>
      </c>
      <c r="X141">
        <f t="shared" si="40"/>
        <v>33083</v>
      </c>
      <c r="Y141">
        <f t="shared" si="41"/>
        <v>3309</v>
      </c>
    </row>
    <row r="142" spans="1:25" x14ac:dyDescent="0.15">
      <c r="A142">
        <f t="shared" si="42"/>
        <v>3308</v>
      </c>
      <c r="B142">
        <f t="shared" si="48"/>
        <v>33</v>
      </c>
      <c r="C142">
        <f t="shared" si="49"/>
        <v>2</v>
      </c>
      <c r="D142">
        <f t="shared" si="50"/>
        <v>3</v>
      </c>
      <c r="E142" t="str">
        <f t="shared" si="43"/>
        <v>毒刃</v>
      </c>
      <c r="G142">
        <f t="shared" si="51"/>
        <v>8</v>
      </c>
      <c r="H142">
        <f t="shared" si="44"/>
        <v>73</v>
      </c>
      <c r="I142">
        <f t="shared" si="45"/>
        <v>0</v>
      </c>
      <c r="J142">
        <f t="shared" si="46"/>
        <v>0</v>
      </c>
      <c r="K142">
        <f t="shared" si="47"/>
        <v>0</v>
      </c>
      <c r="L142">
        <v>20308</v>
      </c>
      <c r="M142">
        <v>3</v>
      </c>
      <c r="X142">
        <f t="shared" si="40"/>
        <v>33093</v>
      </c>
      <c r="Y142">
        <f t="shared" si="41"/>
        <v>3310</v>
      </c>
    </row>
    <row r="143" spans="1:25" x14ac:dyDescent="0.15">
      <c r="A143">
        <f t="shared" si="42"/>
        <v>3309</v>
      </c>
      <c r="B143">
        <f t="shared" si="48"/>
        <v>33</v>
      </c>
      <c r="C143">
        <f t="shared" si="49"/>
        <v>2</v>
      </c>
      <c r="D143">
        <f t="shared" si="50"/>
        <v>3</v>
      </c>
      <c r="E143" t="str">
        <f t="shared" si="43"/>
        <v>毒刃</v>
      </c>
      <c r="G143">
        <f t="shared" si="51"/>
        <v>9</v>
      </c>
      <c r="H143">
        <f t="shared" si="44"/>
        <v>83</v>
      </c>
      <c r="I143">
        <f t="shared" si="45"/>
        <v>0</v>
      </c>
      <c r="J143">
        <f t="shared" si="46"/>
        <v>0</v>
      </c>
      <c r="K143">
        <f t="shared" si="47"/>
        <v>0</v>
      </c>
      <c r="L143">
        <v>20309</v>
      </c>
      <c r="M143">
        <v>3</v>
      </c>
      <c r="X143">
        <f t="shared" si="40"/>
        <v>34005</v>
      </c>
      <c r="Y143">
        <f t="shared" si="41"/>
        <v>3401</v>
      </c>
    </row>
    <row r="144" spans="1:25" x14ac:dyDescent="0.15">
      <c r="A144">
        <f t="shared" si="42"/>
        <v>3310</v>
      </c>
      <c r="B144">
        <f t="shared" si="48"/>
        <v>33</v>
      </c>
      <c r="C144">
        <f t="shared" si="49"/>
        <v>2</v>
      </c>
      <c r="D144">
        <f t="shared" si="50"/>
        <v>3</v>
      </c>
      <c r="E144" t="str">
        <f t="shared" si="43"/>
        <v>毒刃</v>
      </c>
      <c r="G144">
        <f t="shared" si="51"/>
        <v>10</v>
      </c>
      <c r="H144">
        <f t="shared" si="44"/>
        <v>93</v>
      </c>
      <c r="I144">
        <f t="shared" si="45"/>
        <v>0</v>
      </c>
      <c r="J144">
        <f t="shared" si="46"/>
        <v>0</v>
      </c>
      <c r="K144">
        <f t="shared" si="47"/>
        <v>0</v>
      </c>
      <c r="L144">
        <v>20310</v>
      </c>
      <c r="M144">
        <v>3</v>
      </c>
      <c r="X144">
        <f t="shared" si="40"/>
        <v>34015</v>
      </c>
      <c r="Y144">
        <f t="shared" si="41"/>
        <v>3402</v>
      </c>
    </row>
    <row r="145" spans="1:25" x14ac:dyDescent="0.15">
      <c r="A145">
        <f t="shared" si="42"/>
        <v>3401</v>
      </c>
      <c r="B145">
        <f t="shared" si="48"/>
        <v>34</v>
      </c>
      <c r="C145">
        <f t="shared" si="49"/>
        <v>2</v>
      </c>
      <c r="D145">
        <f t="shared" si="50"/>
        <v>1</v>
      </c>
      <c r="E145" t="str">
        <f t="shared" si="43"/>
        <v>刃轮</v>
      </c>
      <c r="G145">
        <f t="shared" si="51"/>
        <v>1</v>
      </c>
      <c r="H145">
        <f t="shared" si="44"/>
        <v>5</v>
      </c>
      <c r="I145">
        <f t="shared" si="45"/>
        <v>1500</v>
      </c>
      <c r="J145">
        <f t="shared" si="46"/>
        <v>0</v>
      </c>
      <c r="K145">
        <f t="shared" si="47"/>
        <v>35</v>
      </c>
      <c r="M145">
        <v>300</v>
      </c>
      <c r="R145" t="s">
        <v>258</v>
      </c>
      <c r="X145">
        <f t="shared" si="40"/>
        <v>34025</v>
      </c>
      <c r="Y145">
        <f t="shared" si="41"/>
        <v>3403</v>
      </c>
    </row>
    <row r="146" spans="1:25" x14ac:dyDescent="0.15">
      <c r="A146">
        <f t="shared" si="42"/>
        <v>3402</v>
      </c>
      <c r="B146">
        <f t="shared" si="48"/>
        <v>34</v>
      </c>
      <c r="C146">
        <f t="shared" si="49"/>
        <v>2</v>
      </c>
      <c r="D146">
        <f t="shared" si="50"/>
        <v>1</v>
      </c>
      <c r="E146" t="str">
        <f t="shared" si="43"/>
        <v>刃轮</v>
      </c>
      <c r="G146">
        <f t="shared" si="51"/>
        <v>2</v>
      </c>
      <c r="H146">
        <f t="shared" si="44"/>
        <v>15</v>
      </c>
      <c r="I146">
        <f t="shared" si="45"/>
        <v>1580</v>
      </c>
      <c r="J146">
        <f t="shared" si="46"/>
        <v>0</v>
      </c>
      <c r="K146">
        <f t="shared" si="47"/>
        <v>55</v>
      </c>
      <c r="M146">
        <v>300</v>
      </c>
      <c r="X146">
        <f t="shared" si="40"/>
        <v>34035</v>
      </c>
      <c r="Y146">
        <f t="shared" si="41"/>
        <v>3404</v>
      </c>
    </row>
    <row r="147" spans="1:25" x14ac:dyDescent="0.15">
      <c r="A147">
        <f t="shared" si="42"/>
        <v>3403</v>
      </c>
      <c r="B147">
        <f t="shared" si="48"/>
        <v>34</v>
      </c>
      <c r="C147">
        <f t="shared" si="49"/>
        <v>2</v>
      </c>
      <c r="D147">
        <f t="shared" si="50"/>
        <v>1</v>
      </c>
      <c r="E147" t="str">
        <f t="shared" si="43"/>
        <v>刃轮</v>
      </c>
      <c r="G147">
        <f t="shared" si="51"/>
        <v>3</v>
      </c>
      <c r="H147">
        <f t="shared" si="44"/>
        <v>25</v>
      </c>
      <c r="I147">
        <f t="shared" si="45"/>
        <v>1670</v>
      </c>
      <c r="J147">
        <f t="shared" si="46"/>
        <v>0</v>
      </c>
      <c r="K147">
        <f t="shared" si="47"/>
        <v>90</v>
      </c>
      <c r="M147">
        <v>300</v>
      </c>
      <c r="X147">
        <f t="shared" si="40"/>
        <v>34045</v>
      </c>
      <c r="Y147">
        <f t="shared" si="41"/>
        <v>3405</v>
      </c>
    </row>
    <row r="148" spans="1:25" x14ac:dyDescent="0.15">
      <c r="A148">
        <f t="shared" si="42"/>
        <v>3404</v>
      </c>
      <c r="B148">
        <f t="shared" si="48"/>
        <v>34</v>
      </c>
      <c r="C148">
        <f t="shared" si="49"/>
        <v>2</v>
      </c>
      <c r="D148">
        <f t="shared" si="50"/>
        <v>1</v>
      </c>
      <c r="E148" t="str">
        <f t="shared" si="43"/>
        <v>刃轮</v>
      </c>
      <c r="G148">
        <f t="shared" si="51"/>
        <v>4</v>
      </c>
      <c r="H148">
        <f t="shared" si="44"/>
        <v>35</v>
      </c>
      <c r="I148">
        <f t="shared" si="45"/>
        <v>1750</v>
      </c>
      <c r="J148">
        <f t="shared" si="46"/>
        <v>0</v>
      </c>
      <c r="K148">
        <f t="shared" si="47"/>
        <v>140</v>
      </c>
      <c r="M148">
        <v>300</v>
      </c>
      <c r="X148">
        <f t="shared" si="40"/>
        <v>34055</v>
      </c>
      <c r="Y148">
        <f t="shared" si="41"/>
        <v>3406</v>
      </c>
    </row>
    <row r="149" spans="1:25" x14ac:dyDescent="0.15">
      <c r="A149">
        <f t="shared" si="42"/>
        <v>3405</v>
      </c>
      <c r="B149">
        <f t="shared" si="48"/>
        <v>34</v>
      </c>
      <c r="C149">
        <f t="shared" si="49"/>
        <v>2</v>
      </c>
      <c r="D149">
        <f t="shared" si="50"/>
        <v>1</v>
      </c>
      <c r="E149" t="str">
        <f t="shared" si="43"/>
        <v>刃轮</v>
      </c>
      <c r="G149">
        <f t="shared" si="51"/>
        <v>5</v>
      </c>
      <c r="H149">
        <f t="shared" si="44"/>
        <v>45</v>
      </c>
      <c r="I149">
        <f t="shared" si="45"/>
        <v>1830</v>
      </c>
      <c r="J149">
        <f t="shared" si="46"/>
        <v>0</v>
      </c>
      <c r="K149">
        <f t="shared" si="47"/>
        <v>205</v>
      </c>
      <c r="M149">
        <v>300</v>
      </c>
      <c r="X149">
        <f t="shared" si="40"/>
        <v>34065</v>
      </c>
      <c r="Y149">
        <f t="shared" si="41"/>
        <v>3407</v>
      </c>
    </row>
    <row r="150" spans="1:25" x14ac:dyDescent="0.15">
      <c r="A150">
        <f t="shared" si="42"/>
        <v>3406</v>
      </c>
      <c r="B150">
        <f t="shared" si="48"/>
        <v>34</v>
      </c>
      <c r="C150">
        <f t="shared" si="49"/>
        <v>2</v>
      </c>
      <c r="D150">
        <f t="shared" si="50"/>
        <v>1</v>
      </c>
      <c r="E150" t="str">
        <f t="shared" si="43"/>
        <v>刃轮</v>
      </c>
      <c r="G150">
        <f t="shared" si="51"/>
        <v>6</v>
      </c>
      <c r="H150">
        <f t="shared" si="44"/>
        <v>55</v>
      </c>
      <c r="I150">
        <f t="shared" si="45"/>
        <v>1920</v>
      </c>
      <c r="J150">
        <f t="shared" si="46"/>
        <v>0</v>
      </c>
      <c r="K150">
        <f t="shared" si="47"/>
        <v>285</v>
      </c>
      <c r="M150">
        <v>300</v>
      </c>
      <c r="X150">
        <f t="shared" si="40"/>
        <v>34075</v>
      </c>
      <c r="Y150">
        <f t="shared" si="41"/>
        <v>3408</v>
      </c>
    </row>
    <row r="151" spans="1:25" x14ac:dyDescent="0.15">
      <c r="A151">
        <f t="shared" si="42"/>
        <v>3407</v>
      </c>
      <c r="B151">
        <f t="shared" si="48"/>
        <v>34</v>
      </c>
      <c r="C151">
        <f t="shared" si="49"/>
        <v>2</v>
      </c>
      <c r="D151">
        <f t="shared" si="50"/>
        <v>1</v>
      </c>
      <c r="E151" t="str">
        <f t="shared" si="43"/>
        <v>刃轮</v>
      </c>
      <c r="G151">
        <f t="shared" si="51"/>
        <v>7</v>
      </c>
      <c r="H151">
        <f t="shared" si="44"/>
        <v>65</v>
      </c>
      <c r="I151">
        <f t="shared" si="45"/>
        <v>2000</v>
      </c>
      <c r="J151">
        <f t="shared" si="46"/>
        <v>0</v>
      </c>
      <c r="K151">
        <f t="shared" si="47"/>
        <v>380</v>
      </c>
      <c r="M151">
        <v>300</v>
      </c>
      <c r="X151">
        <f t="shared" si="40"/>
        <v>34085</v>
      </c>
      <c r="Y151">
        <f t="shared" si="41"/>
        <v>3409</v>
      </c>
    </row>
    <row r="152" spans="1:25" x14ac:dyDescent="0.15">
      <c r="A152">
        <f t="shared" si="42"/>
        <v>3408</v>
      </c>
      <c r="B152">
        <f t="shared" si="48"/>
        <v>34</v>
      </c>
      <c r="C152">
        <f t="shared" si="49"/>
        <v>2</v>
      </c>
      <c r="D152">
        <f t="shared" si="50"/>
        <v>1</v>
      </c>
      <c r="E152" t="str">
        <f t="shared" si="43"/>
        <v>刃轮</v>
      </c>
      <c r="G152">
        <f t="shared" si="51"/>
        <v>8</v>
      </c>
      <c r="H152">
        <f t="shared" si="44"/>
        <v>75</v>
      </c>
      <c r="I152">
        <f t="shared" si="45"/>
        <v>2080</v>
      </c>
      <c r="J152">
        <f t="shared" si="46"/>
        <v>0</v>
      </c>
      <c r="K152">
        <f t="shared" si="47"/>
        <v>490</v>
      </c>
      <c r="M152">
        <v>300</v>
      </c>
      <c r="X152">
        <f t="shared" si="40"/>
        <v>34095</v>
      </c>
      <c r="Y152">
        <f t="shared" si="41"/>
        <v>3410</v>
      </c>
    </row>
    <row r="153" spans="1:25" x14ac:dyDescent="0.15">
      <c r="A153">
        <f t="shared" si="42"/>
        <v>3409</v>
      </c>
      <c r="B153">
        <f t="shared" si="48"/>
        <v>34</v>
      </c>
      <c r="C153">
        <f t="shared" si="49"/>
        <v>2</v>
      </c>
      <c r="D153">
        <f t="shared" si="50"/>
        <v>1</v>
      </c>
      <c r="E153" t="str">
        <f t="shared" si="43"/>
        <v>刃轮</v>
      </c>
      <c r="G153">
        <f t="shared" si="51"/>
        <v>9</v>
      </c>
      <c r="H153">
        <f t="shared" si="44"/>
        <v>85</v>
      </c>
      <c r="I153">
        <f t="shared" si="45"/>
        <v>2170</v>
      </c>
      <c r="J153">
        <f t="shared" si="46"/>
        <v>0</v>
      </c>
      <c r="K153">
        <f t="shared" si="47"/>
        <v>615</v>
      </c>
      <c r="M153">
        <v>300</v>
      </c>
      <c r="X153">
        <f t="shared" si="40"/>
        <v>35006</v>
      </c>
      <c r="Y153">
        <f t="shared" si="41"/>
        <v>3501</v>
      </c>
    </row>
    <row r="154" spans="1:25" x14ac:dyDescent="0.15">
      <c r="A154">
        <f t="shared" si="42"/>
        <v>3410</v>
      </c>
      <c r="B154">
        <f t="shared" si="48"/>
        <v>34</v>
      </c>
      <c r="C154">
        <f t="shared" si="49"/>
        <v>2</v>
      </c>
      <c r="D154">
        <f t="shared" si="50"/>
        <v>1</v>
      </c>
      <c r="E154" t="str">
        <f t="shared" si="43"/>
        <v>刃轮</v>
      </c>
      <c r="G154">
        <f t="shared" si="51"/>
        <v>10</v>
      </c>
      <c r="H154">
        <f t="shared" si="44"/>
        <v>95</v>
      </c>
      <c r="I154">
        <f t="shared" si="45"/>
        <v>2250</v>
      </c>
      <c r="J154">
        <f t="shared" si="46"/>
        <v>0</v>
      </c>
      <c r="K154">
        <f t="shared" si="47"/>
        <v>755</v>
      </c>
      <c r="M154">
        <v>300</v>
      </c>
      <c r="X154">
        <f t="shared" si="40"/>
        <v>35021</v>
      </c>
      <c r="Y154">
        <f t="shared" si="41"/>
        <v>3502</v>
      </c>
    </row>
    <row r="155" spans="1:25" x14ac:dyDescent="0.15">
      <c r="A155">
        <f t="shared" si="42"/>
        <v>3501</v>
      </c>
      <c r="B155">
        <f t="shared" si="48"/>
        <v>35</v>
      </c>
      <c r="C155">
        <f t="shared" si="49"/>
        <v>3</v>
      </c>
      <c r="D155">
        <f t="shared" si="50"/>
        <v>1</v>
      </c>
      <c r="E155" t="str">
        <f t="shared" si="43"/>
        <v>猎命</v>
      </c>
      <c r="G155">
        <f t="shared" si="51"/>
        <v>1</v>
      </c>
      <c r="H155">
        <f t="shared" si="44"/>
        <v>6</v>
      </c>
      <c r="I155">
        <f t="shared" si="45"/>
        <v>2000</v>
      </c>
      <c r="J155">
        <f t="shared" si="46"/>
        <v>0</v>
      </c>
      <c r="K155">
        <f t="shared" si="47"/>
        <v>46</v>
      </c>
      <c r="M155">
        <v>3</v>
      </c>
      <c r="R155" t="s">
        <v>259</v>
      </c>
      <c r="X155">
        <f t="shared" si="40"/>
        <v>35037</v>
      </c>
      <c r="Y155">
        <f t="shared" si="41"/>
        <v>3503</v>
      </c>
    </row>
    <row r="156" spans="1:25" x14ac:dyDescent="0.15">
      <c r="A156">
        <f t="shared" si="42"/>
        <v>3502</v>
      </c>
      <c r="B156">
        <f t="shared" si="48"/>
        <v>35</v>
      </c>
      <c r="C156">
        <f t="shared" si="49"/>
        <v>3</v>
      </c>
      <c r="D156">
        <f t="shared" si="50"/>
        <v>1</v>
      </c>
      <c r="E156" t="str">
        <f t="shared" si="43"/>
        <v>猎命</v>
      </c>
      <c r="G156">
        <f t="shared" si="51"/>
        <v>2</v>
      </c>
      <c r="H156">
        <f t="shared" si="44"/>
        <v>21</v>
      </c>
      <c r="I156">
        <f t="shared" si="45"/>
        <v>2170</v>
      </c>
      <c r="J156">
        <f t="shared" si="46"/>
        <v>0</v>
      </c>
      <c r="K156">
        <f t="shared" si="47"/>
        <v>83</v>
      </c>
      <c r="M156">
        <v>3</v>
      </c>
      <c r="X156">
        <f t="shared" si="40"/>
        <v>35053</v>
      </c>
      <c r="Y156">
        <f t="shared" si="41"/>
        <v>3504</v>
      </c>
    </row>
    <row r="157" spans="1:25" x14ac:dyDescent="0.15">
      <c r="A157">
        <f t="shared" si="42"/>
        <v>3503</v>
      </c>
      <c r="B157">
        <f t="shared" si="48"/>
        <v>35</v>
      </c>
      <c r="C157">
        <f t="shared" si="49"/>
        <v>3</v>
      </c>
      <c r="D157">
        <f t="shared" si="50"/>
        <v>1</v>
      </c>
      <c r="E157" t="str">
        <f t="shared" si="43"/>
        <v>猎命</v>
      </c>
      <c r="G157">
        <f t="shared" si="51"/>
        <v>3</v>
      </c>
      <c r="H157">
        <f t="shared" si="44"/>
        <v>37</v>
      </c>
      <c r="I157">
        <f t="shared" si="45"/>
        <v>2330</v>
      </c>
      <c r="J157">
        <f t="shared" si="46"/>
        <v>0</v>
      </c>
      <c r="K157">
        <f t="shared" si="47"/>
        <v>161</v>
      </c>
      <c r="M157">
        <v>3</v>
      </c>
      <c r="X157">
        <f t="shared" si="40"/>
        <v>35068</v>
      </c>
      <c r="Y157">
        <f t="shared" si="41"/>
        <v>3505</v>
      </c>
    </row>
    <row r="158" spans="1:25" x14ac:dyDescent="0.15">
      <c r="A158">
        <f t="shared" si="42"/>
        <v>3504</v>
      </c>
      <c r="B158">
        <f t="shared" si="48"/>
        <v>35</v>
      </c>
      <c r="C158">
        <f t="shared" si="49"/>
        <v>3</v>
      </c>
      <c r="D158">
        <f t="shared" si="50"/>
        <v>1</v>
      </c>
      <c r="E158" t="str">
        <f t="shared" si="43"/>
        <v>猎命</v>
      </c>
      <c r="G158">
        <f t="shared" si="51"/>
        <v>4</v>
      </c>
      <c r="H158">
        <f t="shared" si="44"/>
        <v>53</v>
      </c>
      <c r="I158">
        <f t="shared" si="45"/>
        <v>2500</v>
      </c>
      <c r="J158">
        <f t="shared" si="46"/>
        <v>0</v>
      </c>
      <c r="K158">
        <f t="shared" si="47"/>
        <v>278</v>
      </c>
      <c r="M158">
        <v>3</v>
      </c>
      <c r="X158">
        <f t="shared" si="40"/>
        <v>35084</v>
      </c>
      <c r="Y158">
        <f t="shared" si="41"/>
        <v>3506</v>
      </c>
    </row>
    <row r="159" spans="1:25" x14ac:dyDescent="0.15">
      <c r="A159">
        <f t="shared" si="42"/>
        <v>3505</v>
      </c>
      <c r="B159">
        <f t="shared" si="48"/>
        <v>35</v>
      </c>
      <c r="C159">
        <f t="shared" si="49"/>
        <v>3</v>
      </c>
      <c r="D159">
        <f t="shared" si="50"/>
        <v>1</v>
      </c>
      <c r="E159" t="str">
        <f t="shared" si="43"/>
        <v>猎命</v>
      </c>
      <c r="G159">
        <f t="shared" si="51"/>
        <v>5</v>
      </c>
      <c r="H159">
        <f t="shared" si="44"/>
        <v>68</v>
      </c>
      <c r="I159">
        <f t="shared" si="45"/>
        <v>2670</v>
      </c>
      <c r="J159">
        <f t="shared" si="46"/>
        <v>0</v>
      </c>
      <c r="K159">
        <f t="shared" si="47"/>
        <v>421</v>
      </c>
      <c r="M159">
        <v>3</v>
      </c>
      <c r="X159">
        <f t="shared" si="40"/>
        <v>35100</v>
      </c>
      <c r="Y159">
        <f t="shared" si="41"/>
        <v>3507</v>
      </c>
    </row>
    <row r="160" spans="1:25" x14ac:dyDescent="0.15">
      <c r="A160">
        <f t="shared" si="42"/>
        <v>3506</v>
      </c>
      <c r="B160">
        <f t="shared" si="48"/>
        <v>35</v>
      </c>
      <c r="C160">
        <f t="shared" si="49"/>
        <v>3</v>
      </c>
      <c r="D160">
        <f t="shared" si="50"/>
        <v>1</v>
      </c>
      <c r="E160" t="str">
        <f t="shared" si="43"/>
        <v>猎命</v>
      </c>
      <c r="G160">
        <f t="shared" si="51"/>
        <v>6</v>
      </c>
      <c r="H160">
        <f t="shared" si="44"/>
        <v>84</v>
      </c>
      <c r="I160">
        <f t="shared" si="45"/>
        <v>2830</v>
      </c>
      <c r="J160">
        <f t="shared" si="46"/>
        <v>0</v>
      </c>
      <c r="K160">
        <f t="shared" si="47"/>
        <v>612</v>
      </c>
      <c r="M160">
        <v>3</v>
      </c>
      <c r="X160">
        <f t="shared" si="40"/>
        <v>41001</v>
      </c>
      <c r="Y160">
        <f t="shared" si="41"/>
        <v>4101</v>
      </c>
    </row>
    <row r="161" spans="1:25" x14ac:dyDescent="0.15">
      <c r="A161">
        <f t="shared" si="42"/>
        <v>3507</v>
      </c>
      <c r="B161">
        <f t="shared" si="48"/>
        <v>35</v>
      </c>
      <c r="C161">
        <f t="shared" si="49"/>
        <v>3</v>
      </c>
      <c r="D161">
        <f t="shared" si="50"/>
        <v>1</v>
      </c>
      <c r="E161" t="str">
        <f t="shared" si="43"/>
        <v>猎命</v>
      </c>
      <c r="G161">
        <f t="shared" si="51"/>
        <v>7</v>
      </c>
      <c r="H161">
        <f t="shared" si="44"/>
        <v>100</v>
      </c>
      <c r="I161">
        <f t="shared" si="45"/>
        <v>3000</v>
      </c>
      <c r="J161">
        <f t="shared" si="46"/>
        <v>0</v>
      </c>
      <c r="K161">
        <f t="shared" si="47"/>
        <v>839</v>
      </c>
      <c r="M161">
        <v>3</v>
      </c>
      <c r="X161">
        <f t="shared" si="40"/>
        <v>41007</v>
      </c>
      <c r="Y161">
        <f t="shared" si="41"/>
        <v>4102</v>
      </c>
    </row>
    <row r="162" spans="1:25" x14ac:dyDescent="0.15">
      <c r="A162">
        <f t="shared" si="42"/>
        <v>4101</v>
      </c>
      <c r="B162">
        <f t="shared" si="48"/>
        <v>41</v>
      </c>
      <c r="C162">
        <f t="shared" si="49"/>
        <v>1</v>
      </c>
      <c r="D162">
        <f t="shared" si="50"/>
        <v>2</v>
      </c>
      <c r="E162" t="str">
        <f t="shared" si="43"/>
        <v>判官普攻</v>
      </c>
      <c r="G162">
        <f t="shared" si="51"/>
        <v>1</v>
      </c>
      <c r="H162">
        <f t="shared" si="44"/>
        <v>1</v>
      </c>
      <c r="I162">
        <f t="shared" si="45"/>
        <v>0</v>
      </c>
      <c r="J162">
        <f t="shared" si="46"/>
        <v>1000</v>
      </c>
      <c r="K162">
        <f t="shared" si="47"/>
        <v>15</v>
      </c>
      <c r="X162">
        <f t="shared" si="40"/>
        <v>41014</v>
      </c>
      <c r="Y162">
        <f t="shared" si="41"/>
        <v>4103</v>
      </c>
    </row>
    <row r="163" spans="1:25" x14ac:dyDescent="0.15">
      <c r="A163">
        <f t="shared" si="42"/>
        <v>4102</v>
      </c>
      <c r="B163">
        <f t="shared" si="48"/>
        <v>41</v>
      </c>
      <c r="C163">
        <f t="shared" si="49"/>
        <v>1</v>
      </c>
      <c r="D163">
        <f t="shared" si="50"/>
        <v>2</v>
      </c>
      <c r="E163" t="str">
        <f t="shared" si="43"/>
        <v>判官普攻</v>
      </c>
      <c r="G163">
        <f t="shared" si="51"/>
        <v>2</v>
      </c>
      <c r="H163">
        <f t="shared" si="44"/>
        <v>7</v>
      </c>
      <c r="I163">
        <f t="shared" si="45"/>
        <v>0</v>
      </c>
      <c r="J163">
        <f t="shared" si="46"/>
        <v>1040</v>
      </c>
      <c r="K163">
        <f t="shared" si="47"/>
        <v>23</v>
      </c>
      <c r="X163">
        <f t="shared" si="40"/>
        <v>41021</v>
      </c>
      <c r="Y163">
        <f t="shared" si="41"/>
        <v>4104</v>
      </c>
    </row>
    <row r="164" spans="1:25" x14ac:dyDescent="0.15">
      <c r="A164">
        <f t="shared" si="42"/>
        <v>4103</v>
      </c>
      <c r="B164">
        <f t="shared" si="48"/>
        <v>41</v>
      </c>
      <c r="C164">
        <f t="shared" si="49"/>
        <v>1</v>
      </c>
      <c r="D164">
        <f t="shared" si="50"/>
        <v>2</v>
      </c>
      <c r="E164" t="str">
        <f t="shared" si="43"/>
        <v>判官普攻</v>
      </c>
      <c r="G164">
        <f t="shared" si="51"/>
        <v>3</v>
      </c>
      <c r="H164">
        <f t="shared" si="44"/>
        <v>14</v>
      </c>
      <c r="I164">
        <f t="shared" si="45"/>
        <v>0</v>
      </c>
      <c r="J164">
        <f t="shared" si="46"/>
        <v>1090</v>
      </c>
      <c r="K164">
        <f t="shared" si="47"/>
        <v>37</v>
      </c>
      <c r="X164">
        <f t="shared" si="40"/>
        <v>41028</v>
      </c>
      <c r="Y164">
        <f t="shared" si="41"/>
        <v>4105</v>
      </c>
    </row>
    <row r="165" spans="1:25" x14ac:dyDescent="0.15">
      <c r="A165">
        <f t="shared" si="42"/>
        <v>4104</v>
      </c>
      <c r="B165">
        <f t="shared" si="48"/>
        <v>41</v>
      </c>
      <c r="C165">
        <f t="shared" si="49"/>
        <v>1</v>
      </c>
      <c r="D165">
        <f t="shared" si="50"/>
        <v>2</v>
      </c>
      <c r="E165" t="str">
        <f t="shared" si="43"/>
        <v>判官普攻</v>
      </c>
      <c r="G165">
        <f t="shared" si="51"/>
        <v>4</v>
      </c>
      <c r="H165">
        <f t="shared" si="44"/>
        <v>21</v>
      </c>
      <c r="I165">
        <f t="shared" si="45"/>
        <v>0</v>
      </c>
      <c r="J165">
        <f t="shared" si="46"/>
        <v>1130</v>
      </c>
      <c r="K165">
        <f t="shared" si="47"/>
        <v>58</v>
      </c>
      <c r="X165">
        <f t="shared" si="40"/>
        <v>41035</v>
      </c>
      <c r="Y165">
        <f t="shared" si="41"/>
        <v>4106</v>
      </c>
    </row>
    <row r="166" spans="1:25" x14ac:dyDescent="0.15">
      <c r="A166">
        <f t="shared" si="42"/>
        <v>4105</v>
      </c>
      <c r="B166">
        <f t="shared" si="48"/>
        <v>41</v>
      </c>
      <c r="C166">
        <f t="shared" si="49"/>
        <v>1</v>
      </c>
      <c r="D166">
        <f t="shared" si="50"/>
        <v>2</v>
      </c>
      <c r="E166" t="str">
        <f t="shared" si="43"/>
        <v>判官普攻</v>
      </c>
      <c r="G166">
        <f t="shared" si="51"/>
        <v>5</v>
      </c>
      <c r="H166">
        <f t="shared" si="44"/>
        <v>28</v>
      </c>
      <c r="I166">
        <f t="shared" si="45"/>
        <v>0</v>
      </c>
      <c r="J166">
        <f t="shared" si="46"/>
        <v>1170</v>
      </c>
      <c r="K166">
        <f t="shared" si="47"/>
        <v>88</v>
      </c>
      <c r="X166">
        <f t="shared" si="40"/>
        <v>41042</v>
      </c>
      <c r="Y166">
        <f t="shared" si="41"/>
        <v>4107</v>
      </c>
    </row>
    <row r="167" spans="1:25" x14ac:dyDescent="0.15">
      <c r="A167">
        <f t="shared" si="42"/>
        <v>4106</v>
      </c>
      <c r="B167">
        <f t="shared" si="48"/>
        <v>41</v>
      </c>
      <c r="C167">
        <f t="shared" si="49"/>
        <v>1</v>
      </c>
      <c r="D167">
        <f t="shared" si="50"/>
        <v>2</v>
      </c>
      <c r="E167" t="str">
        <f t="shared" si="43"/>
        <v>判官普攻</v>
      </c>
      <c r="G167">
        <f t="shared" si="51"/>
        <v>6</v>
      </c>
      <c r="H167">
        <f t="shared" si="44"/>
        <v>35</v>
      </c>
      <c r="I167">
        <f t="shared" si="45"/>
        <v>0</v>
      </c>
      <c r="J167">
        <f t="shared" si="46"/>
        <v>1210</v>
      </c>
      <c r="K167">
        <f t="shared" si="47"/>
        <v>125</v>
      </c>
      <c r="X167">
        <f t="shared" si="40"/>
        <v>41049</v>
      </c>
      <c r="Y167">
        <f t="shared" si="41"/>
        <v>4108</v>
      </c>
    </row>
    <row r="168" spans="1:25" x14ac:dyDescent="0.15">
      <c r="A168">
        <f t="shared" si="42"/>
        <v>4107</v>
      </c>
      <c r="B168">
        <f t="shared" si="48"/>
        <v>41</v>
      </c>
      <c r="C168">
        <f t="shared" si="49"/>
        <v>1</v>
      </c>
      <c r="D168">
        <f t="shared" si="50"/>
        <v>2</v>
      </c>
      <c r="E168" t="str">
        <f t="shared" si="43"/>
        <v>判官普攻</v>
      </c>
      <c r="G168">
        <f t="shared" si="51"/>
        <v>7</v>
      </c>
      <c r="H168">
        <f t="shared" si="44"/>
        <v>42</v>
      </c>
      <c r="I168">
        <f t="shared" si="45"/>
        <v>0</v>
      </c>
      <c r="J168">
        <f t="shared" si="46"/>
        <v>1260</v>
      </c>
      <c r="K168">
        <f t="shared" si="47"/>
        <v>168</v>
      </c>
      <c r="X168">
        <f t="shared" ref="X168:X231" si="52">B170*1000+H170</f>
        <v>41055</v>
      </c>
      <c r="Y168">
        <f t="shared" ref="Y168:Y231" si="53">A170</f>
        <v>4109</v>
      </c>
    </row>
    <row r="169" spans="1:25" x14ac:dyDescent="0.15">
      <c r="A169">
        <f t="shared" si="42"/>
        <v>4108</v>
      </c>
      <c r="B169">
        <f t="shared" si="48"/>
        <v>41</v>
      </c>
      <c r="C169">
        <f t="shared" si="49"/>
        <v>1</v>
      </c>
      <c r="D169">
        <f t="shared" si="50"/>
        <v>2</v>
      </c>
      <c r="E169" t="str">
        <f t="shared" si="43"/>
        <v>判官普攻</v>
      </c>
      <c r="G169">
        <f t="shared" si="51"/>
        <v>8</v>
      </c>
      <c r="H169">
        <f t="shared" si="44"/>
        <v>49</v>
      </c>
      <c r="I169">
        <f t="shared" si="45"/>
        <v>0</v>
      </c>
      <c r="J169">
        <f t="shared" si="46"/>
        <v>1300</v>
      </c>
      <c r="K169">
        <f t="shared" si="47"/>
        <v>219</v>
      </c>
      <c r="X169">
        <f t="shared" si="52"/>
        <v>41062</v>
      </c>
      <c r="Y169">
        <f t="shared" si="53"/>
        <v>4110</v>
      </c>
    </row>
    <row r="170" spans="1:25" x14ac:dyDescent="0.15">
      <c r="A170">
        <f t="shared" si="42"/>
        <v>4109</v>
      </c>
      <c r="B170">
        <f t="shared" si="48"/>
        <v>41</v>
      </c>
      <c r="C170">
        <f t="shared" si="49"/>
        <v>1</v>
      </c>
      <c r="D170">
        <f t="shared" si="50"/>
        <v>2</v>
      </c>
      <c r="E170" t="str">
        <f t="shared" si="43"/>
        <v>判官普攻</v>
      </c>
      <c r="G170">
        <f t="shared" si="51"/>
        <v>9</v>
      </c>
      <c r="H170">
        <f t="shared" si="44"/>
        <v>55</v>
      </c>
      <c r="I170">
        <f t="shared" si="45"/>
        <v>0</v>
      </c>
      <c r="J170">
        <f t="shared" si="46"/>
        <v>1340</v>
      </c>
      <c r="K170">
        <f t="shared" si="47"/>
        <v>270</v>
      </c>
      <c r="X170">
        <f t="shared" si="52"/>
        <v>41069</v>
      </c>
      <c r="Y170">
        <f t="shared" si="53"/>
        <v>4111</v>
      </c>
    </row>
    <row r="171" spans="1:25" x14ac:dyDescent="0.15">
      <c r="A171">
        <f t="shared" si="42"/>
        <v>4110</v>
      </c>
      <c r="B171">
        <f t="shared" si="48"/>
        <v>41</v>
      </c>
      <c r="C171">
        <f t="shared" si="49"/>
        <v>1</v>
      </c>
      <c r="D171">
        <f t="shared" si="50"/>
        <v>2</v>
      </c>
      <c r="E171" t="str">
        <f t="shared" si="43"/>
        <v>判官普攻</v>
      </c>
      <c r="G171">
        <f t="shared" si="51"/>
        <v>10</v>
      </c>
      <c r="H171">
        <f t="shared" si="44"/>
        <v>62</v>
      </c>
      <c r="I171">
        <f t="shared" si="45"/>
        <v>0</v>
      </c>
      <c r="J171">
        <f t="shared" si="46"/>
        <v>1390</v>
      </c>
      <c r="K171">
        <f t="shared" si="47"/>
        <v>334</v>
      </c>
      <c r="X171">
        <f t="shared" si="52"/>
        <v>41076</v>
      </c>
      <c r="Y171">
        <f t="shared" si="53"/>
        <v>4112</v>
      </c>
    </row>
    <row r="172" spans="1:25" x14ac:dyDescent="0.15">
      <c r="A172">
        <f t="shared" si="42"/>
        <v>4111</v>
      </c>
      <c r="B172">
        <f t="shared" si="48"/>
        <v>41</v>
      </c>
      <c r="C172">
        <f t="shared" si="49"/>
        <v>1</v>
      </c>
      <c r="D172">
        <f t="shared" si="50"/>
        <v>2</v>
      </c>
      <c r="E172" t="str">
        <f t="shared" si="43"/>
        <v>判官普攻</v>
      </c>
      <c r="G172">
        <f t="shared" si="51"/>
        <v>11</v>
      </c>
      <c r="H172">
        <f t="shared" si="44"/>
        <v>69</v>
      </c>
      <c r="I172">
        <f t="shared" si="45"/>
        <v>0</v>
      </c>
      <c r="J172">
        <f t="shared" si="46"/>
        <v>1430</v>
      </c>
      <c r="K172">
        <f t="shared" si="47"/>
        <v>406</v>
      </c>
      <c r="X172">
        <f t="shared" si="52"/>
        <v>41083</v>
      </c>
      <c r="Y172">
        <f t="shared" si="53"/>
        <v>4113</v>
      </c>
    </row>
    <row r="173" spans="1:25" x14ac:dyDescent="0.15">
      <c r="A173">
        <f t="shared" si="42"/>
        <v>4112</v>
      </c>
      <c r="B173">
        <f t="shared" si="48"/>
        <v>41</v>
      </c>
      <c r="C173">
        <f t="shared" si="49"/>
        <v>1</v>
      </c>
      <c r="D173">
        <f t="shared" si="50"/>
        <v>2</v>
      </c>
      <c r="E173" t="str">
        <f t="shared" si="43"/>
        <v>判官普攻</v>
      </c>
      <c r="G173">
        <f t="shared" si="51"/>
        <v>12</v>
      </c>
      <c r="H173">
        <f t="shared" si="44"/>
        <v>76</v>
      </c>
      <c r="I173">
        <f t="shared" si="45"/>
        <v>0</v>
      </c>
      <c r="J173">
        <f t="shared" si="46"/>
        <v>1470</v>
      </c>
      <c r="K173">
        <f t="shared" si="47"/>
        <v>487</v>
      </c>
      <c r="X173">
        <f t="shared" si="52"/>
        <v>41090</v>
      </c>
      <c r="Y173">
        <f t="shared" si="53"/>
        <v>4114</v>
      </c>
    </row>
    <row r="174" spans="1:25" x14ac:dyDescent="0.15">
      <c r="A174">
        <f t="shared" si="42"/>
        <v>4113</v>
      </c>
      <c r="B174">
        <f t="shared" si="48"/>
        <v>41</v>
      </c>
      <c r="C174">
        <f t="shared" si="49"/>
        <v>1</v>
      </c>
      <c r="D174">
        <f t="shared" si="50"/>
        <v>2</v>
      </c>
      <c r="E174" t="str">
        <f t="shared" si="43"/>
        <v>判官普攻</v>
      </c>
      <c r="G174">
        <f t="shared" si="51"/>
        <v>13</v>
      </c>
      <c r="H174">
        <f t="shared" si="44"/>
        <v>83</v>
      </c>
      <c r="I174">
        <f t="shared" si="45"/>
        <v>0</v>
      </c>
      <c r="J174">
        <f t="shared" si="46"/>
        <v>1510</v>
      </c>
      <c r="K174">
        <f>IF(VLOOKUP($B174,技能参数,11,FALSE)=0,0,
VLOOKUP($B174,技能参数,11,FALSE)-5+VLOOKUP(H174,$T$4:$U$103,2,FALSE))</f>
        <v>573</v>
      </c>
      <c r="X174">
        <f t="shared" si="52"/>
        <v>41097</v>
      </c>
      <c r="Y174">
        <f t="shared" si="53"/>
        <v>4115</v>
      </c>
    </row>
    <row r="175" spans="1:25" x14ac:dyDescent="0.15">
      <c r="A175">
        <f t="shared" si="42"/>
        <v>4114</v>
      </c>
      <c r="B175">
        <f t="shared" si="48"/>
        <v>41</v>
      </c>
      <c r="C175">
        <f t="shared" si="49"/>
        <v>1</v>
      </c>
      <c r="D175">
        <f t="shared" si="50"/>
        <v>2</v>
      </c>
      <c r="E175" t="str">
        <f t="shared" si="43"/>
        <v>判官普攻</v>
      </c>
      <c r="G175">
        <f t="shared" si="51"/>
        <v>14</v>
      </c>
      <c r="H175">
        <f t="shared" si="44"/>
        <v>90</v>
      </c>
      <c r="I175">
        <f t="shared" si="45"/>
        <v>0</v>
      </c>
      <c r="J175">
        <f t="shared" si="46"/>
        <v>1560</v>
      </c>
      <c r="K175">
        <f t="shared" si="47"/>
        <v>667</v>
      </c>
      <c r="X175">
        <f t="shared" si="52"/>
        <v>42001</v>
      </c>
      <c r="Y175">
        <f t="shared" si="53"/>
        <v>4201</v>
      </c>
    </row>
    <row r="176" spans="1:25" x14ac:dyDescent="0.15">
      <c r="A176">
        <f t="shared" si="42"/>
        <v>4115</v>
      </c>
      <c r="B176">
        <f t="shared" si="48"/>
        <v>41</v>
      </c>
      <c r="C176">
        <f t="shared" si="49"/>
        <v>1</v>
      </c>
      <c r="D176">
        <f t="shared" si="50"/>
        <v>2</v>
      </c>
      <c r="E176" t="str">
        <f t="shared" si="43"/>
        <v>判官普攻</v>
      </c>
      <c r="G176">
        <f t="shared" si="51"/>
        <v>15</v>
      </c>
      <c r="H176">
        <f t="shared" si="44"/>
        <v>97</v>
      </c>
      <c r="I176">
        <f t="shared" si="45"/>
        <v>0</v>
      </c>
      <c r="J176">
        <f t="shared" si="46"/>
        <v>1600</v>
      </c>
      <c r="K176">
        <f t="shared" si="47"/>
        <v>769</v>
      </c>
      <c r="X176">
        <f t="shared" si="52"/>
        <v>42011</v>
      </c>
      <c r="Y176">
        <f t="shared" si="53"/>
        <v>4202</v>
      </c>
    </row>
    <row r="177" spans="1:25" x14ac:dyDescent="0.15">
      <c r="A177">
        <f t="shared" si="42"/>
        <v>4201</v>
      </c>
      <c r="B177">
        <f t="shared" si="48"/>
        <v>42</v>
      </c>
      <c r="C177">
        <f t="shared" si="49"/>
        <v>2</v>
      </c>
      <c r="D177">
        <f t="shared" si="50"/>
        <v>3</v>
      </c>
      <c r="E177" t="str">
        <f t="shared" si="43"/>
        <v>招魂</v>
      </c>
      <c r="F177">
        <v>20</v>
      </c>
      <c r="G177">
        <f t="shared" si="51"/>
        <v>1</v>
      </c>
      <c r="H177">
        <f t="shared" si="44"/>
        <v>1</v>
      </c>
      <c r="I177">
        <f t="shared" si="45"/>
        <v>0</v>
      </c>
      <c r="J177">
        <f t="shared" si="46"/>
        <v>0</v>
      </c>
      <c r="K177">
        <f t="shared" si="47"/>
        <v>0</v>
      </c>
      <c r="L177">
        <v>20501</v>
      </c>
      <c r="M177">
        <v>101</v>
      </c>
      <c r="N177">
        <v>1</v>
      </c>
      <c r="R177" t="s">
        <v>373</v>
      </c>
      <c r="X177">
        <f t="shared" si="52"/>
        <v>42021</v>
      </c>
      <c r="Y177">
        <f t="shared" si="53"/>
        <v>4203</v>
      </c>
    </row>
    <row r="178" spans="1:25" x14ac:dyDescent="0.15">
      <c r="A178">
        <f t="shared" si="42"/>
        <v>4202</v>
      </c>
      <c r="B178">
        <f t="shared" si="48"/>
        <v>42</v>
      </c>
      <c r="C178">
        <f t="shared" si="49"/>
        <v>2</v>
      </c>
      <c r="D178">
        <f t="shared" si="50"/>
        <v>3</v>
      </c>
      <c r="E178" t="str">
        <f t="shared" si="43"/>
        <v>招魂</v>
      </c>
      <c r="F178">
        <v>22</v>
      </c>
      <c r="G178">
        <f t="shared" si="51"/>
        <v>2</v>
      </c>
      <c r="H178">
        <f t="shared" si="44"/>
        <v>11</v>
      </c>
      <c r="I178">
        <f t="shared" si="45"/>
        <v>0</v>
      </c>
      <c r="J178">
        <f t="shared" si="46"/>
        <v>0</v>
      </c>
      <c r="K178">
        <f t="shared" si="47"/>
        <v>0</v>
      </c>
      <c r="L178">
        <v>20502</v>
      </c>
      <c r="M178">
        <v>102</v>
      </c>
      <c r="N178">
        <v>1</v>
      </c>
      <c r="X178">
        <f t="shared" si="52"/>
        <v>42031</v>
      </c>
      <c r="Y178">
        <f t="shared" si="53"/>
        <v>4204</v>
      </c>
    </row>
    <row r="179" spans="1:25" x14ac:dyDescent="0.15">
      <c r="A179">
        <f t="shared" si="42"/>
        <v>4203</v>
      </c>
      <c r="B179">
        <f t="shared" si="48"/>
        <v>42</v>
      </c>
      <c r="C179">
        <f t="shared" si="49"/>
        <v>2</v>
      </c>
      <c r="D179">
        <f t="shared" si="50"/>
        <v>3</v>
      </c>
      <c r="E179" t="str">
        <f t="shared" si="43"/>
        <v>招魂</v>
      </c>
      <c r="F179">
        <v>24</v>
      </c>
      <c r="G179">
        <f t="shared" si="51"/>
        <v>3</v>
      </c>
      <c r="H179">
        <f t="shared" si="44"/>
        <v>21</v>
      </c>
      <c r="I179">
        <f t="shared" si="45"/>
        <v>0</v>
      </c>
      <c r="J179">
        <f t="shared" si="46"/>
        <v>0</v>
      </c>
      <c r="K179">
        <f t="shared" si="47"/>
        <v>0</v>
      </c>
      <c r="L179">
        <v>20503</v>
      </c>
      <c r="M179">
        <v>103</v>
      </c>
      <c r="N179">
        <v>1</v>
      </c>
      <c r="X179">
        <f t="shared" si="52"/>
        <v>42041</v>
      </c>
      <c r="Y179">
        <f t="shared" si="53"/>
        <v>4205</v>
      </c>
    </row>
    <row r="180" spans="1:25" x14ac:dyDescent="0.15">
      <c r="A180">
        <f t="shared" si="42"/>
        <v>4204</v>
      </c>
      <c r="B180">
        <f t="shared" si="48"/>
        <v>42</v>
      </c>
      <c r="C180">
        <f t="shared" si="49"/>
        <v>2</v>
      </c>
      <c r="D180">
        <f t="shared" si="50"/>
        <v>3</v>
      </c>
      <c r="E180" t="str">
        <f t="shared" si="43"/>
        <v>招魂</v>
      </c>
      <c r="F180">
        <v>26</v>
      </c>
      <c r="G180">
        <f t="shared" si="51"/>
        <v>4</v>
      </c>
      <c r="H180">
        <f t="shared" si="44"/>
        <v>31</v>
      </c>
      <c r="I180">
        <f t="shared" si="45"/>
        <v>0</v>
      </c>
      <c r="J180">
        <f t="shared" si="46"/>
        <v>0</v>
      </c>
      <c r="K180">
        <f t="shared" si="47"/>
        <v>0</v>
      </c>
      <c r="L180">
        <v>20504</v>
      </c>
      <c r="M180">
        <v>104</v>
      </c>
      <c r="N180">
        <v>1</v>
      </c>
      <c r="X180">
        <f t="shared" si="52"/>
        <v>42051</v>
      </c>
      <c r="Y180">
        <f t="shared" si="53"/>
        <v>4206</v>
      </c>
    </row>
    <row r="181" spans="1:25" x14ac:dyDescent="0.15">
      <c r="A181">
        <f t="shared" si="42"/>
        <v>4205</v>
      </c>
      <c r="B181">
        <f t="shared" si="48"/>
        <v>42</v>
      </c>
      <c r="C181">
        <f t="shared" si="49"/>
        <v>2</v>
      </c>
      <c r="D181">
        <f t="shared" si="50"/>
        <v>3</v>
      </c>
      <c r="E181" t="str">
        <f t="shared" si="43"/>
        <v>招魂</v>
      </c>
      <c r="F181">
        <v>28</v>
      </c>
      <c r="G181">
        <f t="shared" si="51"/>
        <v>5</v>
      </c>
      <c r="H181">
        <f t="shared" si="44"/>
        <v>41</v>
      </c>
      <c r="I181">
        <f t="shared" si="45"/>
        <v>0</v>
      </c>
      <c r="J181">
        <f t="shared" si="46"/>
        <v>0</v>
      </c>
      <c r="K181">
        <f t="shared" si="47"/>
        <v>0</v>
      </c>
      <c r="L181">
        <v>20505</v>
      </c>
      <c r="M181">
        <v>105</v>
      </c>
      <c r="N181">
        <v>2</v>
      </c>
      <c r="X181">
        <f t="shared" si="52"/>
        <v>42061</v>
      </c>
      <c r="Y181">
        <f t="shared" si="53"/>
        <v>4207</v>
      </c>
    </row>
    <row r="182" spans="1:25" x14ac:dyDescent="0.15">
      <c r="A182">
        <f t="shared" si="42"/>
        <v>4206</v>
      </c>
      <c r="B182">
        <f t="shared" si="48"/>
        <v>42</v>
      </c>
      <c r="C182">
        <f t="shared" si="49"/>
        <v>2</v>
      </c>
      <c r="D182">
        <f t="shared" si="50"/>
        <v>3</v>
      </c>
      <c r="E182" t="str">
        <f t="shared" si="43"/>
        <v>招魂</v>
      </c>
      <c r="F182">
        <v>30</v>
      </c>
      <c r="G182">
        <f t="shared" si="51"/>
        <v>6</v>
      </c>
      <c r="H182">
        <f t="shared" si="44"/>
        <v>51</v>
      </c>
      <c r="I182">
        <f t="shared" si="45"/>
        <v>0</v>
      </c>
      <c r="J182">
        <f t="shared" si="46"/>
        <v>0</v>
      </c>
      <c r="K182">
        <f t="shared" si="47"/>
        <v>0</v>
      </c>
      <c r="L182">
        <v>20506</v>
      </c>
      <c r="M182">
        <v>106</v>
      </c>
      <c r="N182">
        <v>2</v>
      </c>
      <c r="X182">
        <f t="shared" si="52"/>
        <v>42071</v>
      </c>
      <c r="Y182">
        <f t="shared" si="53"/>
        <v>4208</v>
      </c>
    </row>
    <row r="183" spans="1:25" x14ac:dyDescent="0.15">
      <c r="A183">
        <f t="shared" si="42"/>
        <v>4207</v>
      </c>
      <c r="B183">
        <f t="shared" si="48"/>
        <v>42</v>
      </c>
      <c r="C183">
        <f t="shared" si="49"/>
        <v>2</v>
      </c>
      <c r="D183">
        <f t="shared" si="50"/>
        <v>3</v>
      </c>
      <c r="E183" t="str">
        <f t="shared" si="43"/>
        <v>招魂</v>
      </c>
      <c r="F183">
        <v>32</v>
      </c>
      <c r="G183">
        <f t="shared" si="51"/>
        <v>7</v>
      </c>
      <c r="H183">
        <f t="shared" si="44"/>
        <v>61</v>
      </c>
      <c r="I183">
        <f t="shared" si="45"/>
        <v>0</v>
      </c>
      <c r="J183">
        <f t="shared" si="46"/>
        <v>0</v>
      </c>
      <c r="K183">
        <f t="shared" si="47"/>
        <v>0</v>
      </c>
      <c r="L183">
        <v>20507</v>
      </c>
      <c r="M183">
        <v>107</v>
      </c>
      <c r="N183">
        <v>2</v>
      </c>
      <c r="X183">
        <f t="shared" si="52"/>
        <v>42081</v>
      </c>
      <c r="Y183">
        <f t="shared" si="53"/>
        <v>4209</v>
      </c>
    </row>
    <row r="184" spans="1:25" x14ac:dyDescent="0.15">
      <c r="A184">
        <f t="shared" si="42"/>
        <v>4208</v>
      </c>
      <c r="B184">
        <f t="shared" si="48"/>
        <v>42</v>
      </c>
      <c r="C184">
        <f t="shared" si="49"/>
        <v>2</v>
      </c>
      <c r="D184">
        <f t="shared" si="50"/>
        <v>3</v>
      </c>
      <c r="E184" t="str">
        <f t="shared" si="43"/>
        <v>招魂</v>
      </c>
      <c r="F184">
        <v>34</v>
      </c>
      <c r="G184">
        <f t="shared" si="51"/>
        <v>8</v>
      </c>
      <c r="H184">
        <f t="shared" si="44"/>
        <v>71</v>
      </c>
      <c r="I184">
        <f t="shared" si="45"/>
        <v>0</v>
      </c>
      <c r="J184">
        <f t="shared" si="46"/>
        <v>0</v>
      </c>
      <c r="K184">
        <f t="shared" si="47"/>
        <v>0</v>
      </c>
      <c r="L184">
        <v>20508</v>
      </c>
      <c r="M184">
        <v>108</v>
      </c>
      <c r="N184">
        <v>2</v>
      </c>
      <c r="X184">
        <f t="shared" si="52"/>
        <v>42091</v>
      </c>
      <c r="Y184">
        <f t="shared" si="53"/>
        <v>4210</v>
      </c>
    </row>
    <row r="185" spans="1:25" x14ac:dyDescent="0.15">
      <c r="A185">
        <f t="shared" si="42"/>
        <v>4209</v>
      </c>
      <c r="B185">
        <f t="shared" si="48"/>
        <v>42</v>
      </c>
      <c r="C185">
        <f t="shared" si="49"/>
        <v>2</v>
      </c>
      <c r="D185">
        <f t="shared" si="50"/>
        <v>3</v>
      </c>
      <c r="E185" t="str">
        <f t="shared" si="43"/>
        <v>招魂</v>
      </c>
      <c r="F185">
        <v>36</v>
      </c>
      <c r="G185">
        <f t="shared" si="51"/>
        <v>9</v>
      </c>
      <c r="H185">
        <f t="shared" si="44"/>
        <v>81</v>
      </c>
      <c r="I185">
        <f t="shared" si="45"/>
        <v>0</v>
      </c>
      <c r="J185">
        <f t="shared" si="46"/>
        <v>0</v>
      </c>
      <c r="K185">
        <f t="shared" si="47"/>
        <v>0</v>
      </c>
      <c r="L185">
        <v>20509</v>
      </c>
      <c r="M185">
        <v>109</v>
      </c>
      <c r="N185">
        <v>2</v>
      </c>
      <c r="X185">
        <f t="shared" si="52"/>
        <v>43003</v>
      </c>
      <c r="Y185">
        <f t="shared" si="53"/>
        <v>4301</v>
      </c>
    </row>
    <row r="186" spans="1:25" x14ac:dyDescent="0.15">
      <c r="A186">
        <f t="shared" si="42"/>
        <v>4210</v>
      </c>
      <c r="B186">
        <f t="shared" si="48"/>
        <v>42</v>
      </c>
      <c r="C186">
        <f t="shared" si="49"/>
        <v>2</v>
      </c>
      <c r="D186">
        <f t="shared" si="50"/>
        <v>3</v>
      </c>
      <c r="E186" t="str">
        <f t="shared" si="43"/>
        <v>招魂</v>
      </c>
      <c r="F186">
        <v>38</v>
      </c>
      <c r="G186">
        <f t="shared" si="51"/>
        <v>10</v>
      </c>
      <c r="H186">
        <f t="shared" si="44"/>
        <v>91</v>
      </c>
      <c r="I186">
        <f t="shared" si="45"/>
        <v>0</v>
      </c>
      <c r="J186">
        <f t="shared" si="46"/>
        <v>0</v>
      </c>
      <c r="K186">
        <f t="shared" si="47"/>
        <v>0</v>
      </c>
      <c r="L186">
        <v>20510</v>
      </c>
      <c r="M186">
        <v>110</v>
      </c>
      <c r="N186">
        <v>2</v>
      </c>
      <c r="X186">
        <f t="shared" si="52"/>
        <v>43013</v>
      </c>
      <c r="Y186">
        <f t="shared" si="53"/>
        <v>4302</v>
      </c>
    </row>
    <row r="187" spans="1:25" x14ac:dyDescent="0.15">
      <c r="A187">
        <f t="shared" ref="A187:A250" si="54">A135+1000</f>
        <v>4301</v>
      </c>
      <c r="B187">
        <f t="shared" si="48"/>
        <v>43</v>
      </c>
      <c r="C187">
        <f t="shared" si="49"/>
        <v>2</v>
      </c>
      <c r="D187">
        <f t="shared" si="50"/>
        <v>3</v>
      </c>
      <c r="E187" t="str">
        <f t="shared" si="43"/>
        <v>赶尸</v>
      </c>
      <c r="F187">
        <v>20</v>
      </c>
      <c r="G187">
        <f t="shared" si="51"/>
        <v>1</v>
      </c>
      <c r="H187">
        <f t="shared" si="44"/>
        <v>3</v>
      </c>
      <c r="I187">
        <f t="shared" si="45"/>
        <v>0</v>
      </c>
      <c r="J187">
        <f t="shared" si="46"/>
        <v>0</v>
      </c>
      <c r="K187">
        <f t="shared" si="47"/>
        <v>0</v>
      </c>
      <c r="L187">
        <f>L177+100</f>
        <v>20601</v>
      </c>
      <c r="M187">
        <v>201</v>
      </c>
      <c r="N187">
        <v>2</v>
      </c>
      <c r="R187" t="s">
        <v>373</v>
      </c>
      <c r="X187">
        <f t="shared" si="52"/>
        <v>43023</v>
      </c>
      <c r="Y187">
        <f t="shared" si="53"/>
        <v>4303</v>
      </c>
    </row>
    <row r="188" spans="1:25" x14ac:dyDescent="0.15">
      <c r="A188">
        <f t="shared" si="54"/>
        <v>4302</v>
      </c>
      <c r="B188">
        <f t="shared" si="48"/>
        <v>43</v>
      </c>
      <c r="C188">
        <f t="shared" si="49"/>
        <v>2</v>
      </c>
      <c r="D188">
        <f t="shared" si="50"/>
        <v>3</v>
      </c>
      <c r="E188" t="str">
        <f t="shared" si="43"/>
        <v>赶尸</v>
      </c>
      <c r="F188">
        <v>22</v>
      </c>
      <c r="G188">
        <f t="shared" si="51"/>
        <v>2</v>
      </c>
      <c r="H188">
        <f t="shared" si="44"/>
        <v>13</v>
      </c>
      <c r="I188">
        <f t="shared" si="45"/>
        <v>0</v>
      </c>
      <c r="J188">
        <f t="shared" si="46"/>
        <v>0</v>
      </c>
      <c r="K188">
        <f t="shared" si="47"/>
        <v>0</v>
      </c>
      <c r="L188">
        <f t="shared" ref="L188:L196" si="55">L178+100</f>
        <v>20602</v>
      </c>
      <c r="M188">
        <v>202</v>
      </c>
      <c r="N188">
        <v>2</v>
      </c>
      <c r="X188">
        <f t="shared" si="52"/>
        <v>43033</v>
      </c>
      <c r="Y188">
        <f t="shared" si="53"/>
        <v>4304</v>
      </c>
    </row>
    <row r="189" spans="1:25" x14ac:dyDescent="0.15">
      <c r="A189">
        <f t="shared" si="54"/>
        <v>4303</v>
      </c>
      <c r="B189">
        <f t="shared" si="48"/>
        <v>43</v>
      </c>
      <c r="C189">
        <f t="shared" si="49"/>
        <v>2</v>
      </c>
      <c r="D189">
        <f t="shared" si="50"/>
        <v>3</v>
      </c>
      <c r="E189" t="str">
        <f t="shared" si="43"/>
        <v>赶尸</v>
      </c>
      <c r="F189">
        <v>24</v>
      </c>
      <c r="G189">
        <f t="shared" si="51"/>
        <v>3</v>
      </c>
      <c r="H189">
        <f t="shared" si="44"/>
        <v>23</v>
      </c>
      <c r="I189">
        <f t="shared" si="45"/>
        <v>0</v>
      </c>
      <c r="J189">
        <f t="shared" si="46"/>
        <v>0</v>
      </c>
      <c r="K189">
        <f t="shared" si="47"/>
        <v>0</v>
      </c>
      <c r="L189">
        <f t="shared" si="55"/>
        <v>20603</v>
      </c>
      <c r="M189">
        <v>203</v>
      </c>
      <c r="N189">
        <v>3</v>
      </c>
      <c r="X189">
        <f t="shared" si="52"/>
        <v>43043</v>
      </c>
      <c r="Y189">
        <f t="shared" si="53"/>
        <v>4305</v>
      </c>
    </row>
    <row r="190" spans="1:25" x14ac:dyDescent="0.15">
      <c r="A190">
        <f t="shared" si="54"/>
        <v>4304</v>
      </c>
      <c r="B190">
        <f t="shared" si="48"/>
        <v>43</v>
      </c>
      <c r="C190">
        <f t="shared" si="49"/>
        <v>2</v>
      </c>
      <c r="D190">
        <f t="shared" si="50"/>
        <v>3</v>
      </c>
      <c r="E190" t="str">
        <f t="shared" si="43"/>
        <v>赶尸</v>
      </c>
      <c r="F190">
        <v>26</v>
      </c>
      <c r="G190">
        <f t="shared" si="51"/>
        <v>4</v>
      </c>
      <c r="H190">
        <f t="shared" si="44"/>
        <v>33</v>
      </c>
      <c r="I190">
        <f t="shared" si="45"/>
        <v>0</v>
      </c>
      <c r="J190">
        <f t="shared" si="46"/>
        <v>0</v>
      </c>
      <c r="K190">
        <f t="shared" si="47"/>
        <v>0</v>
      </c>
      <c r="L190">
        <f t="shared" si="55"/>
        <v>20604</v>
      </c>
      <c r="M190">
        <v>204</v>
      </c>
      <c r="N190">
        <v>3</v>
      </c>
      <c r="X190">
        <f t="shared" si="52"/>
        <v>43053</v>
      </c>
      <c r="Y190">
        <f t="shared" si="53"/>
        <v>4306</v>
      </c>
    </row>
    <row r="191" spans="1:25" x14ac:dyDescent="0.15">
      <c r="A191">
        <f t="shared" si="54"/>
        <v>4305</v>
      </c>
      <c r="B191">
        <f t="shared" si="48"/>
        <v>43</v>
      </c>
      <c r="C191">
        <f t="shared" si="49"/>
        <v>2</v>
      </c>
      <c r="D191">
        <f t="shared" si="50"/>
        <v>3</v>
      </c>
      <c r="E191" t="str">
        <f t="shared" si="43"/>
        <v>赶尸</v>
      </c>
      <c r="F191">
        <v>28</v>
      </c>
      <c r="G191">
        <f t="shared" si="51"/>
        <v>5</v>
      </c>
      <c r="H191">
        <f t="shared" si="44"/>
        <v>43</v>
      </c>
      <c r="I191">
        <f t="shared" si="45"/>
        <v>0</v>
      </c>
      <c r="J191">
        <f t="shared" si="46"/>
        <v>0</v>
      </c>
      <c r="K191">
        <f t="shared" si="47"/>
        <v>0</v>
      </c>
      <c r="L191">
        <f t="shared" si="55"/>
        <v>20605</v>
      </c>
      <c r="M191">
        <v>205</v>
      </c>
      <c r="N191">
        <v>3</v>
      </c>
      <c r="X191">
        <f t="shared" si="52"/>
        <v>43063</v>
      </c>
      <c r="Y191">
        <f t="shared" si="53"/>
        <v>4307</v>
      </c>
    </row>
    <row r="192" spans="1:25" x14ac:dyDescent="0.15">
      <c r="A192">
        <f t="shared" si="54"/>
        <v>4306</v>
      </c>
      <c r="B192">
        <f t="shared" si="48"/>
        <v>43</v>
      </c>
      <c r="C192">
        <f t="shared" si="49"/>
        <v>2</v>
      </c>
      <c r="D192">
        <f t="shared" si="50"/>
        <v>3</v>
      </c>
      <c r="E192" t="str">
        <f t="shared" si="43"/>
        <v>赶尸</v>
      </c>
      <c r="F192">
        <v>30</v>
      </c>
      <c r="G192">
        <f t="shared" si="51"/>
        <v>6</v>
      </c>
      <c r="H192">
        <f t="shared" si="44"/>
        <v>53</v>
      </c>
      <c r="I192">
        <f t="shared" si="45"/>
        <v>0</v>
      </c>
      <c r="J192">
        <f t="shared" si="46"/>
        <v>0</v>
      </c>
      <c r="K192">
        <f t="shared" si="47"/>
        <v>0</v>
      </c>
      <c r="L192">
        <f t="shared" si="55"/>
        <v>20606</v>
      </c>
      <c r="M192">
        <v>206</v>
      </c>
      <c r="N192">
        <v>3</v>
      </c>
      <c r="X192">
        <f t="shared" si="52"/>
        <v>43073</v>
      </c>
      <c r="Y192">
        <f t="shared" si="53"/>
        <v>4308</v>
      </c>
    </row>
    <row r="193" spans="1:25" x14ac:dyDescent="0.15">
      <c r="A193">
        <f t="shared" si="54"/>
        <v>4307</v>
      </c>
      <c r="B193">
        <f t="shared" si="48"/>
        <v>43</v>
      </c>
      <c r="C193">
        <f t="shared" si="49"/>
        <v>2</v>
      </c>
      <c r="D193">
        <f t="shared" si="50"/>
        <v>3</v>
      </c>
      <c r="E193" t="str">
        <f t="shared" si="43"/>
        <v>赶尸</v>
      </c>
      <c r="F193">
        <v>32</v>
      </c>
      <c r="G193">
        <f t="shared" si="51"/>
        <v>7</v>
      </c>
      <c r="H193">
        <f t="shared" si="44"/>
        <v>63</v>
      </c>
      <c r="I193">
        <f t="shared" si="45"/>
        <v>0</v>
      </c>
      <c r="J193">
        <f t="shared" si="46"/>
        <v>0</v>
      </c>
      <c r="K193">
        <f t="shared" si="47"/>
        <v>0</v>
      </c>
      <c r="L193">
        <f t="shared" si="55"/>
        <v>20607</v>
      </c>
      <c r="M193">
        <v>207</v>
      </c>
      <c r="N193">
        <v>3</v>
      </c>
      <c r="X193">
        <f t="shared" si="52"/>
        <v>43083</v>
      </c>
      <c r="Y193">
        <f t="shared" si="53"/>
        <v>4309</v>
      </c>
    </row>
    <row r="194" spans="1:25" x14ac:dyDescent="0.15">
      <c r="A194">
        <f t="shared" si="54"/>
        <v>4308</v>
      </c>
      <c r="B194">
        <f t="shared" si="48"/>
        <v>43</v>
      </c>
      <c r="C194">
        <f t="shared" si="49"/>
        <v>2</v>
      </c>
      <c r="D194">
        <f t="shared" si="50"/>
        <v>3</v>
      </c>
      <c r="E194" t="str">
        <f t="shared" si="43"/>
        <v>赶尸</v>
      </c>
      <c r="F194">
        <v>34</v>
      </c>
      <c r="G194">
        <f t="shared" si="51"/>
        <v>8</v>
      </c>
      <c r="H194">
        <f t="shared" si="44"/>
        <v>73</v>
      </c>
      <c r="I194">
        <f t="shared" si="45"/>
        <v>0</v>
      </c>
      <c r="J194">
        <f t="shared" si="46"/>
        <v>0</v>
      </c>
      <c r="K194">
        <f t="shared" si="47"/>
        <v>0</v>
      </c>
      <c r="L194">
        <f t="shared" si="55"/>
        <v>20608</v>
      </c>
      <c r="M194">
        <v>208</v>
      </c>
      <c r="N194">
        <v>4</v>
      </c>
      <c r="X194">
        <f t="shared" si="52"/>
        <v>43093</v>
      </c>
      <c r="Y194">
        <f t="shared" si="53"/>
        <v>4310</v>
      </c>
    </row>
    <row r="195" spans="1:25" x14ac:dyDescent="0.15">
      <c r="A195">
        <f t="shared" si="54"/>
        <v>4309</v>
      </c>
      <c r="B195">
        <f t="shared" si="48"/>
        <v>43</v>
      </c>
      <c r="C195">
        <f t="shared" si="49"/>
        <v>2</v>
      </c>
      <c r="D195">
        <f t="shared" si="50"/>
        <v>3</v>
      </c>
      <c r="E195" t="str">
        <f t="shared" si="43"/>
        <v>赶尸</v>
      </c>
      <c r="F195">
        <v>36</v>
      </c>
      <c r="G195">
        <f t="shared" si="51"/>
        <v>9</v>
      </c>
      <c r="H195">
        <f t="shared" si="44"/>
        <v>83</v>
      </c>
      <c r="I195">
        <f t="shared" si="45"/>
        <v>0</v>
      </c>
      <c r="J195">
        <f t="shared" si="46"/>
        <v>0</v>
      </c>
      <c r="K195">
        <f t="shared" si="47"/>
        <v>0</v>
      </c>
      <c r="L195">
        <f t="shared" si="55"/>
        <v>20609</v>
      </c>
      <c r="M195">
        <v>209</v>
      </c>
      <c r="N195">
        <v>4</v>
      </c>
      <c r="X195">
        <f t="shared" si="52"/>
        <v>44005</v>
      </c>
      <c r="Y195">
        <f t="shared" si="53"/>
        <v>4401</v>
      </c>
    </row>
    <row r="196" spans="1:25" x14ac:dyDescent="0.15">
      <c r="A196">
        <f t="shared" si="54"/>
        <v>4310</v>
      </c>
      <c r="B196">
        <f t="shared" si="48"/>
        <v>43</v>
      </c>
      <c r="C196">
        <f t="shared" si="49"/>
        <v>2</v>
      </c>
      <c r="D196">
        <f t="shared" si="50"/>
        <v>3</v>
      </c>
      <c r="E196" t="str">
        <f t="shared" si="43"/>
        <v>赶尸</v>
      </c>
      <c r="F196">
        <v>38</v>
      </c>
      <c r="G196">
        <f t="shared" si="51"/>
        <v>10</v>
      </c>
      <c r="H196">
        <f t="shared" si="44"/>
        <v>93</v>
      </c>
      <c r="I196">
        <f t="shared" si="45"/>
        <v>0</v>
      </c>
      <c r="J196">
        <f t="shared" si="46"/>
        <v>0</v>
      </c>
      <c r="K196">
        <f t="shared" si="47"/>
        <v>0</v>
      </c>
      <c r="L196">
        <f t="shared" si="55"/>
        <v>20610</v>
      </c>
      <c r="M196">
        <v>210</v>
      </c>
      <c r="N196">
        <v>4</v>
      </c>
      <c r="X196">
        <f t="shared" si="52"/>
        <v>44015</v>
      </c>
      <c r="Y196">
        <f t="shared" si="53"/>
        <v>4402</v>
      </c>
    </row>
    <row r="197" spans="1:25" x14ac:dyDescent="0.15">
      <c r="A197">
        <f t="shared" si="54"/>
        <v>4401</v>
      </c>
      <c r="B197">
        <f t="shared" si="48"/>
        <v>44</v>
      </c>
      <c r="C197">
        <f t="shared" si="49"/>
        <v>2</v>
      </c>
      <c r="D197">
        <f t="shared" si="50"/>
        <v>2</v>
      </c>
      <c r="E197" t="str">
        <f t="shared" si="43"/>
        <v>镇压</v>
      </c>
      <c r="F197">
        <v>10</v>
      </c>
      <c r="G197">
        <f t="shared" si="51"/>
        <v>1</v>
      </c>
      <c r="H197">
        <f t="shared" si="44"/>
        <v>5</v>
      </c>
      <c r="I197">
        <f t="shared" si="45"/>
        <v>0</v>
      </c>
      <c r="J197">
        <f t="shared" si="46"/>
        <v>1500</v>
      </c>
      <c r="K197">
        <f t="shared" si="47"/>
        <v>25</v>
      </c>
      <c r="M197">
        <f>ROUND(4+0.25*(G197-1),1)</f>
        <v>4</v>
      </c>
      <c r="R197" t="s">
        <v>260</v>
      </c>
      <c r="X197">
        <f t="shared" si="52"/>
        <v>44025</v>
      </c>
      <c r="Y197">
        <f t="shared" si="53"/>
        <v>4403</v>
      </c>
    </row>
    <row r="198" spans="1:25" x14ac:dyDescent="0.15">
      <c r="A198">
        <f t="shared" si="54"/>
        <v>4402</v>
      </c>
      <c r="B198">
        <f t="shared" si="48"/>
        <v>44</v>
      </c>
      <c r="C198">
        <f t="shared" si="49"/>
        <v>2</v>
      </c>
      <c r="D198">
        <f t="shared" si="50"/>
        <v>2</v>
      </c>
      <c r="E198" t="str">
        <f t="shared" ref="E198:E264" si="56">VLOOKUP(B198,技能参数,2,FALSE)</f>
        <v>镇压</v>
      </c>
      <c r="F198">
        <v>11</v>
      </c>
      <c r="G198">
        <f t="shared" si="51"/>
        <v>2</v>
      </c>
      <c r="H198">
        <f t="shared" ref="H198:H261" si="57">IF(G198=1,VLOOKUP(B198,技能参数,7,FALSE),
INT((VLOOKUP(B198,技能参数,8,FALSE)-VLOOKUP(B198,技能参数,7,FALSE))/(VLOOKUP(B198,技能参数,6,FALSE)-1)*(G198-1))
+VLOOKUP(B198,技能参数,7,FALSE)
)</f>
        <v>15</v>
      </c>
      <c r="I198">
        <f t="shared" ref="I198:I261" si="58">IF(VLOOKUP($B198,技能参数,9,FALSE)=0,0,
ROUND(VLOOKUP($B198,技能参数,9,FALSE)*(1+(VLOOKUP($B198,技能参数,12,FALSE)/(VLOOKUP($B198,技能参数,6,FALSE)-1))*(G198-1)),-1))</f>
        <v>0</v>
      </c>
      <c r="J198">
        <f t="shared" ref="J198:J261" si="59">IF(VLOOKUP($B198,技能参数,10,FALSE)=0,0,
ROUND(VLOOKUP($B198,技能参数,10,FALSE)*(1+(VLOOKUP($B198,技能参数,12,FALSE)/(VLOOKUP($B198,技能参数,6,FALSE)-1))*(G198-1)),-1))</f>
        <v>1570</v>
      </c>
      <c r="K198">
        <f t="shared" ref="K198:K228" si="60">IF(VLOOKUP($B198,技能参数,11,FALSE)=0,0,
VLOOKUP($B198,技能参数,11,FALSE)-5+VLOOKUP(H198,$T$4:$U$103,2,FALSE))</f>
        <v>45</v>
      </c>
      <c r="M198">
        <f>ROUND(4+0.25*(G198-1),1)</f>
        <v>4.3</v>
      </c>
      <c r="X198">
        <f t="shared" si="52"/>
        <v>44035</v>
      </c>
      <c r="Y198">
        <f t="shared" si="53"/>
        <v>4404</v>
      </c>
    </row>
    <row r="199" spans="1:25" x14ac:dyDescent="0.15">
      <c r="A199">
        <f t="shared" si="54"/>
        <v>4403</v>
      </c>
      <c r="B199">
        <f t="shared" ref="B199:B262" si="61">INT(A199/100)</f>
        <v>44</v>
      </c>
      <c r="C199">
        <f t="shared" ref="C199:C262" si="62">IF(MOD(B199,10)=1,1,IF(MOD(B199,10)=5,3,2))</f>
        <v>2</v>
      </c>
      <c r="D199">
        <f t="shared" ref="D199:D262" si="63">IF(AND(I199&gt;0,J199=0),1,IF(AND(I199=0,J199&gt;0),2,3))</f>
        <v>2</v>
      </c>
      <c r="E199" t="str">
        <f t="shared" si="56"/>
        <v>镇压</v>
      </c>
      <c r="F199">
        <v>12</v>
      </c>
      <c r="G199">
        <f t="shared" ref="G199:G262" si="64">MOD(A199,100)</f>
        <v>3</v>
      </c>
      <c r="H199">
        <f t="shared" si="57"/>
        <v>25</v>
      </c>
      <c r="I199">
        <f t="shared" si="58"/>
        <v>0</v>
      </c>
      <c r="J199">
        <f t="shared" si="59"/>
        <v>1630</v>
      </c>
      <c r="K199">
        <f t="shared" si="60"/>
        <v>80</v>
      </c>
      <c r="M199">
        <f t="shared" ref="M199:M206" si="65">ROUND(4+0.25*(G199-1),1)</f>
        <v>4.5</v>
      </c>
      <c r="X199">
        <f t="shared" si="52"/>
        <v>44045</v>
      </c>
      <c r="Y199">
        <f t="shared" si="53"/>
        <v>4405</v>
      </c>
    </row>
    <row r="200" spans="1:25" x14ac:dyDescent="0.15">
      <c r="A200">
        <f t="shared" si="54"/>
        <v>4404</v>
      </c>
      <c r="B200">
        <f t="shared" si="61"/>
        <v>44</v>
      </c>
      <c r="C200">
        <f t="shared" si="62"/>
        <v>2</v>
      </c>
      <c r="D200">
        <f t="shared" si="63"/>
        <v>2</v>
      </c>
      <c r="E200" t="str">
        <f t="shared" si="56"/>
        <v>镇压</v>
      </c>
      <c r="F200">
        <v>13</v>
      </c>
      <c r="G200">
        <f t="shared" si="64"/>
        <v>4</v>
      </c>
      <c r="H200">
        <f t="shared" si="57"/>
        <v>35</v>
      </c>
      <c r="I200">
        <f t="shared" si="58"/>
        <v>0</v>
      </c>
      <c r="J200">
        <f t="shared" si="59"/>
        <v>1700</v>
      </c>
      <c r="K200">
        <f t="shared" si="60"/>
        <v>130</v>
      </c>
      <c r="M200">
        <f t="shared" si="65"/>
        <v>4.8</v>
      </c>
      <c r="X200">
        <f t="shared" si="52"/>
        <v>44055</v>
      </c>
      <c r="Y200">
        <f t="shared" si="53"/>
        <v>4406</v>
      </c>
    </row>
    <row r="201" spans="1:25" x14ac:dyDescent="0.15">
      <c r="A201">
        <f t="shared" si="54"/>
        <v>4405</v>
      </c>
      <c r="B201">
        <f t="shared" si="61"/>
        <v>44</v>
      </c>
      <c r="C201">
        <f t="shared" si="62"/>
        <v>2</v>
      </c>
      <c r="D201">
        <f t="shared" si="63"/>
        <v>2</v>
      </c>
      <c r="E201" t="str">
        <f t="shared" si="56"/>
        <v>镇压</v>
      </c>
      <c r="F201">
        <v>14</v>
      </c>
      <c r="G201">
        <f t="shared" si="64"/>
        <v>5</v>
      </c>
      <c r="H201">
        <f t="shared" si="57"/>
        <v>45</v>
      </c>
      <c r="I201">
        <f t="shared" si="58"/>
        <v>0</v>
      </c>
      <c r="J201">
        <f t="shared" si="59"/>
        <v>1770</v>
      </c>
      <c r="K201">
        <f t="shared" si="60"/>
        <v>195</v>
      </c>
      <c r="M201">
        <f t="shared" si="65"/>
        <v>5</v>
      </c>
      <c r="X201">
        <f t="shared" si="52"/>
        <v>44065</v>
      </c>
      <c r="Y201">
        <f t="shared" si="53"/>
        <v>4407</v>
      </c>
    </row>
    <row r="202" spans="1:25" x14ac:dyDescent="0.15">
      <c r="A202">
        <f t="shared" si="54"/>
        <v>4406</v>
      </c>
      <c r="B202">
        <f t="shared" si="61"/>
        <v>44</v>
      </c>
      <c r="C202">
        <f t="shared" si="62"/>
        <v>2</v>
      </c>
      <c r="D202">
        <f t="shared" si="63"/>
        <v>2</v>
      </c>
      <c r="E202" t="str">
        <f t="shared" si="56"/>
        <v>镇压</v>
      </c>
      <c r="F202">
        <v>15</v>
      </c>
      <c r="G202">
        <f t="shared" si="64"/>
        <v>6</v>
      </c>
      <c r="H202">
        <f t="shared" si="57"/>
        <v>55</v>
      </c>
      <c r="I202">
        <f t="shared" si="58"/>
        <v>0</v>
      </c>
      <c r="J202">
        <f t="shared" si="59"/>
        <v>1830</v>
      </c>
      <c r="K202">
        <f t="shared" si="60"/>
        <v>275</v>
      </c>
      <c r="M202">
        <f t="shared" si="65"/>
        <v>5.3</v>
      </c>
      <c r="X202">
        <f t="shared" si="52"/>
        <v>44075</v>
      </c>
      <c r="Y202">
        <f t="shared" si="53"/>
        <v>4408</v>
      </c>
    </row>
    <row r="203" spans="1:25" x14ac:dyDescent="0.15">
      <c r="A203">
        <f t="shared" si="54"/>
        <v>4407</v>
      </c>
      <c r="B203">
        <f t="shared" si="61"/>
        <v>44</v>
      </c>
      <c r="C203">
        <f t="shared" si="62"/>
        <v>2</v>
      </c>
      <c r="D203">
        <f t="shared" si="63"/>
        <v>2</v>
      </c>
      <c r="E203" t="str">
        <f t="shared" si="56"/>
        <v>镇压</v>
      </c>
      <c r="F203">
        <v>16</v>
      </c>
      <c r="G203">
        <f t="shared" si="64"/>
        <v>7</v>
      </c>
      <c r="H203">
        <f t="shared" si="57"/>
        <v>65</v>
      </c>
      <c r="I203">
        <f t="shared" si="58"/>
        <v>0</v>
      </c>
      <c r="J203">
        <f t="shared" si="59"/>
        <v>1900</v>
      </c>
      <c r="K203">
        <f t="shared" si="60"/>
        <v>370</v>
      </c>
      <c r="M203">
        <f t="shared" si="65"/>
        <v>5.5</v>
      </c>
      <c r="X203">
        <f t="shared" si="52"/>
        <v>44085</v>
      </c>
      <c r="Y203">
        <f t="shared" si="53"/>
        <v>4409</v>
      </c>
    </row>
    <row r="204" spans="1:25" x14ac:dyDescent="0.15">
      <c r="A204">
        <f t="shared" si="54"/>
        <v>4408</v>
      </c>
      <c r="B204">
        <f t="shared" si="61"/>
        <v>44</v>
      </c>
      <c r="C204">
        <f t="shared" si="62"/>
        <v>2</v>
      </c>
      <c r="D204">
        <f t="shared" si="63"/>
        <v>2</v>
      </c>
      <c r="E204" t="str">
        <f t="shared" si="56"/>
        <v>镇压</v>
      </c>
      <c r="F204">
        <v>17</v>
      </c>
      <c r="G204">
        <f t="shared" si="64"/>
        <v>8</v>
      </c>
      <c r="H204">
        <f t="shared" si="57"/>
        <v>75</v>
      </c>
      <c r="I204">
        <f t="shared" si="58"/>
        <v>0</v>
      </c>
      <c r="J204">
        <f t="shared" si="59"/>
        <v>1970</v>
      </c>
      <c r="K204">
        <f t="shared" si="60"/>
        <v>480</v>
      </c>
      <c r="M204">
        <f t="shared" si="65"/>
        <v>5.8</v>
      </c>
      <c r="X204">
        <f t="shared" si="52"/>
        <v>44095</v>
      </c>
      <c r="Y204">
        <f t="shared" si="53"/>
        <v>4410</v>
      </c>
    </row>
    <row r="205" spans="1:25" x14ac:dyDescent="0.15">
      <c r="A205">
        <f t="shared" si="54"/>
        <v>4409</v>
      </c>
      <c r="B205">
        <f t="shared" si="61"/>
        <v>44</v>
      </c>
      <c r="C205">
        <f t="shared" si="62"/>
        <v>2</v>
      </c>
      <c r="D205">
        <f t="shared" si="63"/>
        <v>2</v>
      </c>
      <c r="E205" t="str">
        <f t="shared" si="56"/>
        <v>镇压</v>
      </c>
      <c r="F205">
        <v>18</v>
      </c>
      <c r="G205">
        <f t="shared" si="64"/>
        <v>9</v>
      </c>
      <c r="H205">
        <f t="shared" si="57"/>
        <v>85</v>
      </c>
      <c r="I205">
        <f t="shared" si="58"/>
        <v>0</v>
      </c>
      <c r="J205">
        <f t="shared" si="59"/>
        <v>2030</v>
      </c>
      <c r="K205">
        <f t="shared" si="60"/>
        <v>605</v>
      </c>
      <c r="M205">
        <f t="shared" si="65"/>
        <v>6</v>
      </c>
      <c r="X205">
        <f t="shared" si="52"/>
        <v>45006</v>
      </c>
      <c r="Y205">
        <f t="shared" si="53"/>
        <v>4501</v>
      </c>
    </row>
    <row r="206" spans="1:25" x14ac:dyDescent="0.15">
      <c r="A206">
        <f t="shared" si="54"/>
        <v>4410</v>
      </c>
      <c r="B206">
        <f t="shared" si="61"/>
        <v>44</v>
      </c>
      <c r="C206">
        <f t="shared" si="62"/>
        <v>2</v>
      </c>
      <c r="D206">
        <f t="shared" si="63"/>
        <v>2</v>
      </c>
      <c r="E206" t="str">
        <f t="shared" si="56"/>
        <v>镇压</v>
      </c>
      <c r="F206">
        <v>19</v>
      </c>
      <c r="G206">
        <f t="shared" si="64"/>
        <v>10</v>
      </c>
      <c r="H206">
        <f t="shared" si="57"/>
        <v>95</v>
      </c>
      <c r="I206">
        <f t="shared" si="58"/>
        <v>0</v>
      </c>
      <c r="J206">
        <f t="shared" si="59"/>
        <v>2100</v>
      </c>
      <c r="K206">
        <f t="shared" si="60"/>
        <v>745</v>
      </c>
      <c r="M206">
        <f t="shared" si="65"/>
        <v>6.3</v>
      </c>
      <c r="X206">
        <f t="shared" si="52"/>
        <v>45021</v>
      </c>
      <c r="Y206">
        <f t="shared" si="53"/>
        <v>4502</v>
      </c>
    </row>
    <row r="207" spans="1:25" x14ac:dyDescent="0.15">
      <c r="A207">
        <f t="shared" si="54"/>
        <v>4501</v>
      </c>
      <c r="B207">
        <f t="shared" si="61"/>
        <v>45</v>
      </c>
      <c r="C207">
        <f t="shared" si="62"/>
        <v>3</v>
      </c>
      <c r="D207">
        <f t="shared" si="63"/>
        <v>3</v>
      </c>
      <c r="E207" t="str">
        <f t="shared" si="56"/>
        <v>生死簿</v>
      </c>
      <c r="F207">
        <v>0</v>
      </c>
      <c r="G207">
        <f t="shared" si="64"/>
        <v>1</v>
      </c>
      <c r="H207">
        <f t="shared" si="57"/>
        <v>6</v>
      </c>
      <c r="I207">
        <f t="shared" si="58"/>
        <v>0</v>
      </c>
      <c r="J207">
        <f t="shared" si="59"/>
        <v>0</v>
      </c>
      <c r="K207">
        <f t="shared" si="60"/>
        <v>0</v>
      </c>
      <c r="M207">
        <f t="shared" ref="M207:M213" si="66">INT(VLOOKUP(4000+H207,总基本属性,6)*0.2+600)</f>
        <v>690</v>
      </c>
      <c r="N207">
        <v>40</v>
      </c>
      <c r="R207" t="s">
        <v>381</v>
      </c>
      <c r="X207">
        <f t="shared" si="52"/>
        <v>45037</v>
      </c>
      <c r="Y207">
        <f t="shared" si="53"/>
        <v>4503</v>
      </c>
    </row>
    <row r="208" spans="1:25" x14ac:dyDescent="0.15">
      <c r="A208">
        <f t="shared" si="54"/>
        <v>4502</v>
      </c>
      <c r="B208">
        <f t="shared" si="61"/>
        <v>45</v>
      </c>
      <c r="C208">
        <f t="shared" si="62"/>
        <v>3</v>
      </c>
      <c r="D208">
        <f t="shared" si="63"/>
        <v>3</v>
      </c>
      <c r="E208" t="str">
        <f t="shared" si="56"/>
        <v>生死簿</v>
      </c>
      <c r="F208">
        <v>0</v>
      </c>
      <c r="G208">
        <f t="shared" si="64"/>
        <v>2</v>
      </c>
      <c r="H208">
        <f t="shared" si="57"/>
        <v>21</v>
      </c>
      <c r="I208">
        <f t="shared" si="58"/>
        <v>0</v>
      </c>
      <c r="J208">
        <f t="shared" si="59"/>
        <v>0</v>
      </c>
      <c r="K208">
        <f t="shared" si="60"/>
        <v>0</v>
      </c>
      <c r="M208">
        <f t="shared" si="66"/>
        <v>2166</v>
      </c>
      <c r="N208">
        <f>ROUND((N$213-N$207)/6*(G208-1)+N$207,0)</f>
        <v>83</v>
      </c>
      <c r="X208">
        <f t="shared" si="52"/>
        <v>45053</v>
      </c>
      <c r="Y208">
        <f t="shared" si="53"/>
        <v>4504</v>
      </c>
    </row>
    <row r="209" spans="1:25" x14ac:dyDescent="0.15">
      <c r="A209">
        <f t="shared" si="54"/>
        <v>4503</v>
      </c>
      <c r="B209">
        <f t="shared" si="61"/>
        <v>45</v>
      </c>
      <c r="C209">
        <f t="shared" si="62"/>
        <v>3</v>
      </c>
      <c r="D209">
        <f t="shared" si="63"/>
        <v>3</v>
      </c>
      <c r="E209" t="str">
        <f t="shared" si="56"/>
        <v>生死簿</v>
      </c>
      <c r="F209">
        <v>0</v>
      </c>
      <c r="G209">
        <f t="shared" si="64"/>
        <v>3</v>
      </c>
      <c r="H209">
        <f t="shared" si="57"/>
        <v>37</v>
      </c>
      <c r="I209">
        <f t="shared" si="58"/>
        <v>0</v>
      </c>
      <c r="J209">
        <f t="shared" si="59"/>
        <v>0</v>
      </c>
      <c r="K209">
        <f t="shared" si="60"/>
        <v>0</v>
      </c>
      <c r="M209">
        <f t="shared" si="66"/>
        <v>3822</v>
      </c>
      <c r="N209">
        <f t="shared" ref="N209:N212" si="67">ROUND((N$213-N$207)/6*(G209-1)+N$207,0)</f>
        <v>127</v>
      </c>
      <c r="X209">
        <f t="shared" si="52"/>
        <v>45068</v>
      </c>
      <c r="Y209">
        <f t="shared" si="53"/>
        <v>4505</v>
      </c>
    </row>
    <row r="210" spans="1:25" x14ac:dyDescent="0.15">
      <c r="A210">
        <f t="shared" si="54"/>
        <v>4504</v>
      </c>
      <c r="B210">
        <f t="shared" si="61"/>
        <v>45</v>
      </c>
      <c r="C210">
        <f t="shared" si="62"/>
        <v>3</v>
      </c>
      <c r="D210">
        <f t="shared" si="63"/>
        <v>3</v>
      </c>
      <c r="E210" t="str">
        <f t="shared" si="56"/>
        <v>生死簿</v>
      </c>
      <c r="F210">
        <v>0</v>
      </c>
      <c r="G210">
        <f t="shared" si="64"/>
        <v>4</v>
      </c>
      <c r="H210">
        <f t="shared" si="57"/>
        <v>53</v>
      </c>
      <c r="I210">
        <f t="shared" si="58"/>
        <v>0</v>
      </c>
      <c r="J210">
        <f t="shared" si="59"/>
        <v>0</v>
      </c>
      <c r="K210">
        <f t="shared" si="60"/>
        <v>0</v>
      </c>
      <c r="M210">
        <f t="shared" si="66"/>
        <v>8916</v>
      </c>
      <c r="N210">
        <f t="shared" si="67"/>
        <v>170</v>
      </c>
      <c r="X210">
        <f t="shared" si="52"/>
        <v>45084</v>
      </c>
      <c r="Y210">
        <f t="shared" si="53"/>
        <v>4506</v>
      </c>
    </row>
    <row r="211" spans="1:25" x14ac:dyDescent="0.15">
      <c r="A211">
        <f t="shared" si="54"/>
        <v>4505</v>
      </c>
      <c r="B211">
        <f t="shared" si="61"/>
        <v>45</v>
      </c>
      <c r="C211">
        <f t="shared" si="62"/>
        <v>3</v>
      </c>
      <c r="D211">
        <f t="shared" si="63"/>
        <v>3</v>
      </c>
      <c r="E211" t="str">
        <f t="shared" si="56"/>
        <v>生死簿</v>
      </c>
      <c r="F211">
        <v>0</v>
      </c>
      <c r="G211">
        <f t="shared" si="64"/>
        <v>5</v>
      </c>
      <c r="H211">
        <f t="shared" si="57"/>
        <v>68</v>
      </c>
      <c r="I211">
        <f t="shared" si="58"/>
        <v>0</v>
      </c>
      <c r="J211">
        <f t="shared" si="59"/>
        <v>0</v>
      </c>
      <c r="K211">
        <f t="shared" si="60"/>
        <v>0</v>
      </c>
      <c r="M211">
        <f t="shared" si="66"/>
        <v>12372</v>
      </c>
      <c r="N211">
        <f t="shared" si="67"/>
        <v>213</v>
      </c>
      <c r="X211">
        <f t="shared" si="52"/>
        <v>45100</v>
      </c>
      <c r="Y211">
        <f t="shared" si="53"/>
        <v>4507</v>
      </c>
    </row>
    <row r="212" spans="1:25" x14ac:dyDescent="0.15">
      <c r="A212">
        <f t="shared" si="54"/>
        <v>4506</v>
      </c>
      <c r="B212">
        <f t="shared" si="61"/>
        <v>45</v>
      </c>
      <c r="C212">
        <f t="shared" si="62"/>
        <v>3</v>
      </c>
      <c r="D212">
        <f t="shared" si="63"/>
        <v>3</v>
      </c>
      <c r="E212" t="str">
        <f t="shared" si="56"/>
        <v>生死簿</v>
      </c>
      <c r="F212">
        <v>0</v>
      </c>
      <c r="G212">
        <f t="shared" si="64"/>
        <v>6</v>
      </c>
      <c r="H212">
        <f t="shared" si="57"/>
        <v>84</v>
      </c>
      <c r="I212">
        <f t="shared" si="58"/>
        <v>0</v>
      </c>
      <c r="J212">
        <f t="shared" si="59"/>
        <v>0</v>
      </c>
      <c r="K212">
        <f t="shared" si="60"/>
        <v>0</v>
      </c>
      <c r="M212">
        <f t="shared" si="66"/>
        <v>21066</v>
      </c>
      <c r="N212">
        <f t="shared" si="67"/>
        <v>257</v>
      </c>
      <c r="X212">
        <f t="shared" si="52"/>
        <v>51001</v>
      </c>
      <c r="Y212">
        <f t="shared" si="53"/>
        <v>5101</v>
      </c>
    </row>
    <row r="213" spans="1:25" x14ac:dyDescent="0.15">
      <c r="A213">
        <f t="shared" si="54"/>
        <v>4507</v>
      </c>
      <c r="B213">
        <f t="shared" si="61"/>
        <v>45</v>
      </c>
      <c r="C213">
        <f t="shared" si="62"/>
        <v>3</v>
      </c>
      <c r="D213">
        <f t="shared" si="63"/>
        <v>3</v>
      </c>
      <c r="E213" t="str">
        <f t="shared" si="56"/>
        <v>生死簿</v>
      </c>
      <c r="F213">
        <v>0</v>
      </c>
      <c r="G213">
        <f t="shared" si="64"/>
        <v>7</v>
      </c>
      <c r="H213">
        <f t="shared" si="57"/>
        <v>100</v>
      </c>
      <c r="I213">
        <f t="shared" si="58"/>
        <v>0</v>
      </c>
      <c r="J213">
        <f t="shared" si="59"/>
        <v>0</v>
      </c>
      <c r="K213">
        <f t="shared" si="60"/>
        <v>0</v>
      </c>
      <c r="M213">
        <f t="shared" si="66"/>
        <v>32172</v>
      </c>
      <c r="N213">
        <v>300</v>
      </c>
      <c r="X213">
        <f t="shared" si="52"/>
        <v>51007</v>
      </c>
      <c r="Y213">
        <f t="shared" si="53"/>
        <v>5102</v>
      </c>
    </row>
    <row r="214" spans="1:25" x14ac:dyDescent="0.15">
      <c r="A214">
        <f t="shared" si="54"/>
        <v>5101</v>
      </c>
      <c r="B214">
        <f t="shared" si="61"/>
        <v>51</v>
      </c>
      <c r="C214">
        <f t="shared" si="62"/>
        <v>1</v>
      </c>
      <c r="D214">
        <f t="shared" si="63"/>
        <v>1</v>
      </c>
      <c r="E214" t="str">
        <f t="shared" si="56"/>
        <v>龙女普攻</v>
      </c>
      <c r="F214">
        <v>0</v>
      </c>
      <c r="G214">
        <f t="shared" si="64"/>
        <v>1</v>
      </c>
      <c r="H214">
        <f t="shared" si="57"/>
        <v>1</v>
      </c>
      <c r="I214">
        <f t="shared" si="58"/>
        <v>1250</v>
      </c>
      <c r="J214">
        <f t="shared" si="59"/>
        <v>0</v>
      </c>
      <c r="K214">
        <f t="shared" si="60"/>
        <v>15</v>
      </c>
      <c r="X214">
        <f t="shared" si="52"/>
        <v>51014</v>
      </c>
      <c r="Y214">
        <f t="shared" si="53"/>
        <v>5103</v>
      </c>
    </row>
    <row r="215" spans="1:25" x14ac:dyDescent="0.15">
      <c r="A215">
        <f t="shared" si="54"/>
        <v>5102</v>
      </c>
      <c r="B215">
        <f t="shared" si="61"/>
        <v>51</v>
      </c>
      <c r="C215">
        <f t="shared" si="62"/>
        <v>1</v>
      </c>
      <c r="D215">
        <f t="shared" si="63"/>
        <v>1</v>
      </c>
      <c r="E215" t="str">
        <f t="shared" si="56"/>
        <v>龙女普攻</v>
      </c>
      <c r="F215">
        <v>0</v>
      </c>
      <c r="G215">
        <f t="shared" si="64"/>
        <v>2</v>
      </c>
      <c r="H215">
        <f t="shared" si="57"/>
        <v>7</v>
      </c>
      <c r="I215">
        <f t="shared" si="58"/>
        <v>1270</v>
      </c>
      <c r="J215">
        <f t="shared" si="59"/>
        <v>0</v>
      </c>
      <c r="K215">
        <f t="shared" si="60"/>
        <v>23</v>
      </c>
      <c r="X215">
        <f t="shared" si="52"/>
        <v>51021</v>
      </c>
      <c r="Y215">
        <f t="shared" si="53"/>
        <v>5104</v>
      </c>
    </row>
    <row r="216" spans="1:25" x14ac:dyDescent="0.15">
      <c r="A216">
        <f t="shared" si="54"/>
        <v>5103</v>
      </c>
      <c r="B216">
        <f t="shared" si="61"/>
        <v>51</v>
      </c>
      <c r="C216">
        <f t="shared" si="62"/>
        <v>1</v>
      </c>
      <c r="D216">
        <f t="shared" si="63"/>
        <v>1</v>
      </c>
      <c r="E216" t="str">
        <f t="shared" si="56"/>
        <v>龙女普攻</v>
      </c>
      <c r="F216">
        <v>0</v>
      </c>
      <c r="G216">
        <f t="shared" si="64"/>
        <v>3</v>
      </c>
      <c r="H216">
        <f t="shared" si="57"/>
        <v>14</v>
      </c>
      <c r="I216">
        <f t="shared" si="58"/>
        <v>1290</v>
      </c>
      <c r="J216">
        <f t="shared" si="59"/>
        <v>0</v>
      </c>
      <c r="K216">
        <f t="shared" si="60"/>
        <v>37</v>
      </c>
      <c r="X216">
        <f t="shared" si="52"/>
        <v>51028</v>
      </c>
      <c r="Y216">
        <f t="shared" si="53"/>
        <v>5105</v>
      </c>
    </row>
    <row r="217" spans="1:25" x14ac:dyDescent="0.15">
      <c r="A217">
        <f t="shared" si="54"/>
        <v>5104</v>
      </c>
      <c r="B217">
        <f t="shared" si="61"/>
        <v>51</v>
      </c>
      <c r="C217">
        <f t="shared" si="62"/>
        <v>1</v>
      </c>
      <c r="D217">
        <f t="shared" si="63"/>
        <v>1</v>
      </c>
      <c r="E217" t="str">
        <f t="shared" si="56"/>
        <v>龙女普攻</v>
      </c>
      <c r="F217">
        <v>0</v>
      </c>
      <c r="G217">
        <f t="shared" si="64"/>
        <v>4</v>
      </c>
      <c r="H217">
        <f t="shared" si="57"/>
        <v>21</v>
      </c>
      <c r="I217">
        <f t="shared" si="58"/>
        <v>1320</v>
      </c>
      <c r="J217">
        <f t="shared" si="59"/>
        <v>0</v>
      </c>
      <c r="K217">
        <f>IF(VLOOKUP($B217,技能参数,11,FALSE)=0,0,
VLOOKUP($B217,技能参数,11,FALSE)-5+VLOOKUP(H217,$T$4:$U$103,2,FALSE))</f>
        <v>58</v>
      </c>
      <c r="X217">
        <f t="shared" si="52"/>
        <v>51035</v>
      </c>
      <c r="Y217">
        <f t="shared" si="53"/>
        <v>5106</v>
      </c>
    </row>
    <row r="218" spans="1:25" x14ac:dyDescent="0.15">
      <c r="A218">
        <f t="shared" si="54"/>
        <v>5105</v>
      </c>
      <c r="B218">
        <f t="shared" si="61"/>
        <v>51</v>
      </c>
      <c r="C218">
        <f t="shared" si="62"/>
        <v>1</v>
      </c>
      <c r="D218">
        <f t="shared" si="63"/>
        <v>1</v>
      </c>
      <c r="E218" t="str">
        <f t="shared" si="56"/>
        <v>龙女普攻</v>
      </c>
      <c r="F218">
        <v>0</v>
      </c>
      <c r="G218">
        <f t="shared" si="64"/>
        <v>5</v>
      </c>
      <c r="H218">
        <f t="shared" si="57"/>
        <v>28</v>
      </c>
      <c r="I218">
        <f t="shared" si="58"/>
        <v>1340</v>
      </c>
      <c r="J218">
        <f t="shared" si="59"/>
        <v>0</v>
      </c>
      <c r="K218">
        <f t="shared" si="60"/>
        <v>88</v>
      </c>
      <c r="X218">
        <f t="shared" si="52"/>
        <v>51042</v>
      </c>
      <c r="Y218">
        <f t="shared" si="53"/>
        <v>5107</v>
      </c>
    </row>
    <row r="219" spans="1:25" x14ac:dyDescent="0.15">
      <c r="A219">
        <f t="shared" si="54"/>
        <v>5106</v>
      </c>
      <c r="B219">
        <f t="shared" si="61"/>
        <v>51</v>
      </c>
      <c r="C219">
        <f t="shared" si="62"/>
        <v>1</v>
      </c>
      <c r="D219">
        <f t="shared" si="63"/>
        <v>1</v>
      </c>
      <c r="E219" t="str">
        <f t="shared" si="56"/>
        <v>龙女普攻</v>
      </c>
      <c r="F219">
        <v>0</v>
      </c>
      <c r="G219">
        <f t="shared" si="64"/>
        <v>6</v>
      </c>
      <c r="H219">
        <f t="shared" si="57"/>
        <v>35</v>
      </c>
      <c r="I219">
        <f t="shared" si="58"/>
        <v>1360</v>
      </c>
      <c r="J219">
        <f t="shared" si="59"/>
        <v>0</v>
      </c>
      <c r="K219">
        <f t="shared" si="60"/>
        <v>125</v>
      </c>
      <c r="X219">
        <f t="shared" si="52"/>
        <v>51049</v>
      </c>
      <c r="Y219">
        <f t="shared" si="53"/>
        <v>5108</v>
      </c>
    </row>
    <row r="220" spans="1:25" x14ac:dyDescent="0.15">
      <c r="A220">
        <f t="shared" si="54"/>
        <v>5107</v>
      </c>
      <c r="B220">
        <f t="shared" si="61"/>
        <v>51</v>
      </c>
      <c r="C220">
        <f t="shared" si="62"/>
        <v>1</v>
      </c>
      <c r="D220">
        <f t="shared" si="63"/>
        <v>1</v>
      </c>
      <c r="E220" t="str">
        <f t="shared" si="56"/>
        <v>龙女普攻</v>
      </c>
      <c r="F220">
        <v>0</v>
      </c>
      <c r="G220">
        <f t="shared" si="64"/>
        <v>7</v>
      </c>
      <c r="H220">
        <f t="shared" si="57"/>
        <v>42</v>
      </c>
      <c r="I220">
        <f t="shared" si="58"/>
        <v>1380</v>
      </c>
      <c r="J220">
        <f t="shared" si="59"/>
        <v>0</v>
      </c>
      <c r="K220">
        <f t="shared" si="60"/>
        <v>168</v>
      </c>
      <c r="X220">
        <f t="shared" si="52"/>
        <v>51055</v>
      </c>
      <c r="Y220">
        <f t="shared" si="53"/>
        <v>5109</v>
      </c>
    </row>
    <row r="221" spans="1:25" x14ac:dyDescent="0.15">
      <c r="A221">
        <f t="shared" si="54"/>
        <v>5108</v>
      </c>
      <c r="B221">
        <f t="shared" si="61"/>
        <v>51</v>
      </c>
      <c r="C221">
        <f t="shared" si="62"/>
        <v>1</v>
      </c>
      <c r="D221">
        <f t="shared" si="63"/>
        <v>1</v>
      </c>
      <c r="E221" t="str">
        <f t="shared" si="56"/>
        <v>龙女普攻</v>
      </c>
      <c r="F221">
        <v>0</v>
      </c>
      <c r="G221">
        <f t="shared" si="64"/>
        <v>8</v>
      </c>
      <c r="H221">
        <f t="shared" si="57"/>
        <v>49</v>
      </c>
      <c r="I221">
        <f t="shared" si="58"/>
        <v>1410</v>
      </c>
      <c r="J221">
        <f t="shared" si="59"/>
        <v>0</v>
      </c>
      <c r="K221">
        <f t="shared" si="60"/>
        <v>219</v>
      </c>
      <c r="X221">
        <f t="shared" si="52"/>
        <v>51062</v>
      </c>
      <c r="Y221">
        <f t="shared" si="53"/>
        <v>5110</v>
      </c>
    </row>
    <row r="222" spans="1:25" x14ac:dyDescent="0.15">
      <c r="A222">
        <f t="shared" si="54"/>
        <v>5109</v>
      </c>
      <c r="B222">
        <f t="shared" si="61"/>
        <v>51</v>
      </c>
      <c r="C222">
        <f t="shared" si="62"/>
        <v>1</v>
      </c>
      <c r="D222">
        <f t="shared" si="63"/>
        <v>1</v>
      </c>
      <c r="E222" t="str">
        <f t="shared" si="56"/>
        <v>龙女普攻</v>
      </c>
      <c r="F222">
        <v>0</v>
      </c>
      <c r="G222">
        <f t="shared" si="64"/>
        <v>9</v>
      </c>
      <c r="H222">
        <f t="shared" si="57"/>
        <v>55</v>
      </c>
      <c r="I222">
        <f t="shared" si="58"/>
        <v>1430</v>
      </c>
      <c r="J222">
        <f t="shared" si="59"/>
        <v>0</v>
      </c>
      <c r="K222">
        <f t="shared" si="60"/>
        <v>270</v>
      </c>
      <c r="X222">
        <f t="shared" si="52"/>
        <v>51069</v>
      </c>
      <c r="Y222">
        <f t="shared" si="53"/>
        <v>5111</v>
      </c>
    </row>
    <row r="223" spans="1:25" x14ac:dyDescent="0.15">
      <c r="A223">
        <f t="shared" si="54"/>
        <v>5110</v>
      </c>
      <c r="B223">
        <f t="shared" si="61"/>
        <v>51</v>
      </c>
      <c r="C223">
        <f t="shared" si="62"/>
        <v>1</v>
      </c>
      <c r="D223">
        <f t="shared" si="63"/>
        <v>1</v>
      </c>
      <c r="E223" t="str">
        <f t="shared" si="56"/>
        <v>龙女普攻</v>
      </c>
      <c r="F223">
        <v>0</v>
      </c>
      <c r="G223">
        <f t="shared" si="64"/>
        <v>10</v>
      </c>
      <c r="H223">
        <f t="shared" si="57"/>
        <v>62</v>
      </c>
      <c r="I223">
        <f t="shared" si="58"/>
        <v>1450</v>
      </c>
      <c r="J223">
        <f t="shared" si="59"/>
        <v>0</v>
      </c>
      <c r="K223">
        <f t="shared" si="60"/>
        <v>334</v>
      </c>
      <c r="X223">
        <f t="shared" si="52"/>
        <v>51076</v>
      </c>
      <c r="Y223">
        <f t="shared" si="53"/>
        <v>5112</v>
      </c>
    </row>
    <row r="224" spans="1:25" x14ac:dyDescent="0.15">
      <c r="A224">
        <f t="shared" si="54"/>
        <v>5111</v>
      </c>
      <c r="B224">
        <f t="shared" si="61"/>
        <v>51</v>
      </c>
      <c r="C224">
        <f t="shared" si="62"/>
        <v>1</v>
      </c>
      <c r="D224">
        <f t="shared" si="63"/>
        <v>1</v>
      </c>
      <c r="E224" t="str">
        <f t="shared" si="56"/>
        <v>龙女普攻</v>
      </c>
      <c r="F224">
        <v>0</v>
      </c>
      <c r="G224">
        <f t="shared" si="64"/>
        <v>11</v>
      </c>
      <c r="H224">
        <f t="shared" si="57"/>
        <v>69</v>
      </c>
      <c r="I224">
        <f t="shared" si="58"/>
        <v>1470</v>
      </c>
      <c r="J224">
        <f t="shared" si="59"/>
        <v>0</v>
      </c>
      <c r="K224">
        <f t="shared" si="60"/>
        <v>406</v>
      </c>
      <c r="X224">
        <f t="shared" si="52"/>
        <v>51083</v>
      </c>
      <c r="Y224">
        <f t="shared" si="53"/>
        <v>5113</v>
      </c>
    </row>
    <row r="225" spans="1:25" x14ac:dyDescent="0.15">
      <c r="A225">
        <f t="shared" si="54"/>
        <v>5112</v>
      </c>
      <c r="B225">
        <f t="shared" si="61"/>
        <v>51</v>
      </c>
      <c r="C225">
        <f t="shared" si="62"/>
        <v>1</v>
      </c>
      <c r="D225">
        <f t="shared" si="63"/>
        <v>1</v>
      </c>
      <c r="E225" t="str">
        <f t="shared" si="56"/>
        <v>龙女普攻</v>
      </c>
      <c r="F225">
        <v>0</v>
      </c>
      <c r="G225">
        <f t="shared" si="64"/>
        <v>12</v>
      </c>
      <c r="H225">
        <f t="shared" si="57"/>
        <v>76</v>
      </c>
      <c r="I225">
        <f t="shared" si="58"/>
        <v>1500</v>
      </c>
      <c r="J225">
        <f t="shared" si="59"/>
        <v>0</v>
      </c>
      <c r="K225">
        <f t="shared" si="60"/>
        <v>487</v>
      </c>
      <c r="X225">
        <f t="shared" si="52"/>
        <v>51090</v>
      </c>
      <c r="Y225">
        <f t="shared" si="53"/>
        <v>5114</v>
      </c>
    </row>
    <row r="226" spans="1:25" x14ac:dyDescent="0.15">
      <c r="A226">
        <f t="shared" si="54"/>
        <v>5113</v>
      </c>
      <c r="B226">
        <f t="shared" si="61"/>
        <v>51</v>
      </c>
      <c r="C226">
        <f t="shared" si="62"/>
        <v>1</v>
      </c>
      <c r="D226">
        <f t="shared" si="63"/>
        <v>1</v>
      </c>
      <c r="E226" t="str">
        <f t="shared" si="56"/>
        <v>龙女普攻</v>
      </c>
      <c r="F226">
        <v>0</v>
      </c>
      <c r="G226">
        <f t="shared" si="64"/>
        <v>13</v>
      </c>
      <c r="H226">
        <f t="shared" si="57"/>
        <v>83</v>
      </c>
      <c r="I226">
        <f t="shared" si="58"/>
        <v>1520</v>
      </c>
      <c r="J226">
        <f t="shared" si="59"/>
        <v>0</v>
      </c>
      <c r="K226">
        <f t="shared" si="60"/>
        <v>573</v>
      </c>
      <c r="X226">
        <f t="shared" si="52"/>
        <v>51097</v>
      </c>
      <c r="Y226">
        <f t="shared" si="53"/>
        <v>5115</v>
      </c>
    </row>
    <row r="227" spans="1:25" x14ac:dyDescent="0.15">
      <c r="A227">
        <f t="shared" si="54"/>
        <v>5114</v>
      </c>
      <c r="B227">
        <f t="shared" si="61"/>
        <v>51</v>
      </c>
      <c r="C227">
        <f t="shared" si="62"/>
        <v>1</v>
      </c>
      <c r="D227">
        <f t="shared" si="63"/>
        <v>1</v>
      </c>
      <c r="E227" t="str">
        <f t="shared" si="56"/>
        <v>龙女普攻</v>
      </c>
      <c r="F227">
        <v>0</v>
      </c>
      <c r="G227">
        <f t="shared" si="64"/>
        <v>14</v>
      </c>
      <c r="H227">
        <f t="shared" si="57"/>
        <v>90</v>
      </c>
      <c r="I227">
        <f t="shared" si="58"/>
        <v>1540</v>
      </c>
      <c r="J227">
        <f t="shared" si="59"/>
        <v>0</v>
      </c>
      <c r="K227">
        <f t="shared" si="60"/>
        <v>667</v>
      </c>
      <c r="X227">
        <f t="shared" si="52"/>
        <v>52001</v>
      </c>
      <c r="Y227">
        <f t="shared" si="53"/>
        <v>5201</v>
      </c>
    </row>
    <row r="228" spans="1:25" x14ac:dyDescent="0.15">
      <c r="A228">
        <f t="shared" si="54"/>
        <v>5115</v>
      </c>
      <c r="B228">
        <f t="shared" si="61"/>
        <v>51</v>
      </c>
      <c r="C228">
        <f t="shared" si="62"/>
        <v>1</v>
      </c>
      <c r="D228">
        <f t="shared" si="63"/>
        <v>1</v>
      </c>
      <c r="E228" t="str">
        <f t="shared" si="56"/>
        <v>龙女普攻</v>
      </c>
      <c r="F228">
        <v>0</v>
      </c>
      <c r="G228">
        <f t="shared" si="64"/>
        <v>15</v>
      </c>
      <c r="H228">
        <f t="shared" si="57"/>
        <v>97</v>
      </c>
      <c r="I228">
        <f t="shared" si="58"/>
        <v>1560</v>
      </c>
      <c r="J228">
        <f t="shared" si="59"/>
        <v>0</v>
      </c>
      <c r="K228">
        <f t="shared" si="60"/>
        <v>769</v>
      </c>
      <c r="X228">
        <f t="shared" si="52"/>
        <v>52011</v>
      </c>
      <c r="Y228">
        <f t="shared" si="53"/>
        <v>5202</v>
      </c>
    </row>
    <row r="229" spans="1:25" x14ac:dyDescent="0.15">
      <c r="A229">
        <f t="shared" si="54"/>
        <v>5201</v>
      </c>
      <c r="B229">
        <f t="shared" si="61"/>
        <v>52</v>
      </c>
      <c r="C229">
        <f t="shared" si="62"/>
        <v>2</v>
      </c>
      <c r="D229">
        <f t="shared" si="63"/>
        <v>1</v>
      </c>
      <c r="E229" t="str">
        <f t="shared" si="56"/>
        <v>翻滚射击</v>
      </c>
      <c r="F229">
        <v>10</v>
      </c>
      <c r="G229">
        <f t="shared" si="64"/>
        <v>1</v>
      </c>
      <c r="H229">
        <f t="shared" si="57"/>
        <v>1</v>
      </c>
      <c r="I229">
        <f t="shared" si="58"/>
        <v>2500</v>
      </c>
      <c r="J229">
        <f t="shared" si="59"/>
        <v>0</v>
      </c>
      <c r="K229">
        <f>IF(VLOOKUP($B229,技能参数,11,FALSE)=0,0,
VLOOKUP($B229,技能参数,11,FALSE)-5+VLOOKUP(H229,$T$4:$U$103,2,FALSE))</f>
        <v>30</v>
      </c>
      <c r="X229">
        <f t="shared" si="52"/>
        <v>52021</v>
      </c>
      <c r="Y229">
        <f t="shared" si="53"/>
        <v>5203</v>
      </c>
    </row>
    <row r="230" spans="1:25" x14ac:dyDescent="0.15">
      <c r="A230">
        <f t="shared" si="54"/>
        <v>5202</v>
      </c>
      <c r="B230">
        <f t="shared" si="61"/>
        <v>52</v>
      </c>
      <c r="C230">
        <f t="shared" si="62"/>
        <v>2</v>
      </c>
      <c r="D230">
        <f t="shared" si="63"/>
        <v>1</v>
      </c>
      <c r="E230" t="str">
        <f t="shared" si="56"/>
        <v>翻滚射击</v>
      </c>
      <c r="F230">
        <v>12</v>
      </c>
      <c r="G230">
        <f t="shared" si="64"/>
        <v>2</v>
      </c>
      <c r="H230">
        <f t="shared" si="57"/>
        <v>11</v>
      </c>
      <c r="I230">
        <f t="shared" si="58"/>
        <v>2580</v>
      </c>
      <c r="J230">
        <f t="shared" si="59"/>
        <v>0</v>
      </c>
      <c r="K230">
        <f t="shared" ref="K230:K265" si="68">IF(VLOOKUP($B230,技能参数,11,FALSE)=0,0,
VLOOKUP($B230,技能参数,11,FALSE)-5+VLOOKUP(H230,$T$4:$U$103,2,FALSE))</f>
        <v>44</v>
      </c>
      <c r="X230">
        <f t="shared" si="52"/>
        <v>52031</v>
      </c>
      <c r="Y230">
        <f t="shared" si="53"/>
        <v>5204</v>
      </c>
    </row>
    <row r="231" spans="1:25" x14ac:dyDescent="0.15">
      <c r="A231">
        <f t="shared" si="54"/>
        <v>5203</v>
      </c>
      <c r="B231">
        <f t="shared" si="61"/>
        <v>52</v>
      </c>
      <c r="C231">
        <f t="shared" si="62"/>
        <v>2</v>
      </c>
      <c r="D231">
        <f t="shared" si="63"/>
        <v>1</v>
      </c>
      <c r="E231" t="str">
        <f t="shared" si="56"/>
        <v>翻滚射击</v>
      </c>
      <c r="F231">
        <v>14</v>
      </c>
      <c r="G231">
        <f t="shared" si="64"/>
        <v>3</v>
      </c>
      <c r="H231">
        <f t="shared" si="57"/>
        <v>21</v>
      </c>
      <c r="I231">
        <f t="shared" si="58"/>
        <v>2670</v>
      </c>
      <c r="J231">
        <f t="shared" si="59"/>
        <v>0</v>
      </c>
      <c r="K231">
        <f t="shared" si="68"/>
        <v>73</v>
      </c>
      <c r="X231">
        <f t="shared" si="52"/>
        <v>52041</v>
      </c>
      <c r="Y231">
        <f t="shared" si="53"/>
        <v>5205</v>
      </c>
    </row>
    <row r="232" spans="1:25" x14ac:dyDescent="0.15">
      <c r="A232">
        <f t="shared" si="54"/>
        <v>5204</v>
      </c>
      <c r="B232">
        <f t="shared" si="61"/>
        <v>52</v>
      </c>
      <c r="C232">
        <f t="shared" si="62"/>
        <v>2</v>
      </c>
      <c r="D232">
        <f t="shared" si="63"/>
        <v>1</v>
      </c>
      <c r="E232" t="str">
        <f t="shared" si="56"/>
        <v>翻滚射击</v>
      </c>
      <c r="F232">
        <v>16</v>
      </c>
      <c r="G232">
        <f t="shared" si="64"/>
        <v>4</v>
      </c>
      <c r="H232">
        <f t="shared" si="57"/>
        <v>31</v>
      </c>
      <c r="I232">
        <f t="shared" si="58"/>
        <v>2750</v>
      </c>
      <c r="J232">
        <f t="shared" si="59"/>
        <v>0</v>
      </c>
      <c r="K232">
        <f>IF(VLOOKUP($B232,技能参数,11,FALSE)=0,0,
VLOOKUP($B232,技能参数,11,FALSE)-5+VLOOKUP(H232,$T$4:$U$103,2,FALSE))</f>
        <v>117</v>
      </c>
      <c r="X232">
        <f t="shared" ref="X232:X264" si="69">B234*1000+H234</f>
        <v>52051</v>
      </c>
      <c r="Y232">
        <f t="shared" ref="Y232:Y265" si="70">A234</f>
        <v>5206</v>
      </c>
    </row>
    <row r="233" spans="1:25" x14ac:dyDescent="0.15">
      <c r="A233">
        <f t="shared" si="54"/>
        <v>5205</v>
      </c>
      <c r="B233">
        <f t="shared" si="61"/>
        <v>52</v>
      </c>
      <c r="C233">
        <f t="shared" si="62"/>
        <v>2</v>
      </c>
      <c r="D233">
        <f t="shared" si="63"/>
        <v>1</v>
      </c>
      <c r="E233" t="str">
        <f t="shared" si="56"/>
        <v>翻滚射击</v>
      </c>
      <c r="F233">
        <v>18</v>
      </c>
      <c r="G233">
        <f t="shared" si="64"/>
        <v>5</v>
      </c>
      <c r="H233">
        <f t="shared" si="57"/>
        <v>41</v>
      </c>
      <c r="I233">
        <f t="shared" si="58"/>
        <v>2830</v>
      </c>
      <c r="J233">
        <f t="shared" si="59"/>
        <v>0</v>
      </c>
      <c r="K233">
        <f t="shared" si="68"/>
        <v>176</v>
      </c>
      <c r="X233">
        <f t="shared" si="69"/>
        <v>52061</v>
      </c>
      <c r="Y233">
        <f t="shared" si="70"/>
        <v>5207</v>
      </c>
    </row>
    <row r="234" spans="1:25" x14ac:dyDescent="0.15">
      <c r="A234">
        <f t="shared" si="54"/>
        <v>5206</v>
      </c>
      <c r="B234">
        <f t="shared" si="61"/>
        <v>52</v>
      </c>
      <c r="C234">
        <f t="shared" si="62"/>
        <v>2</v>
      </c>
      <c r="D234">
        <f t="shared" si="63"/>
        <v>1</v>
      </c>
      <c r="E234" t="str">
        <f t="shared" si="56"/>
        <v>翻滚射击</v>
      </c>
      <c r="F234">
        <v>20</v>
      </c>
      <c r="G234">
        <f t="shared" si="64"/>
        <v>6</v>
      </c>
      <c r="H234">
        <f t="shared" si="57"/>
        <v>51</v>
      </c>
      <c r="I234">
        <f t="shared" si="58"/>
        <v>2920</v>
      </c>
      <c r="J234">
        <f t="shared" si="59"/>
        <v>0</v>
      </c>
      <c r="K234">
        <f>IF(VLOOKUP($B234,技能参数,11,FALSE)=0,0,
VLOOKUP($B234,技能参数,11,FALSE)-5+VLOOKUP(H234,$T$4:$U$103,2,FALSE))</f>
        <v>250</v>
      </c>
      <c r="X234">
        <f t="shared" si="69"/>
        <v>52071</v>
      </c>
      <c r="Y234">
        <f t="shared" si="70"/>
        <v>5208</v>
      </c>
    </row>
    <row r="235" spans="1:25" x14ac:dyDescent="0.15">
      <c r="A235">
        <f t="shared" si="54"/>
        <v>5207</v>
      </c>
      <c r="B235">
        <f t="shared" si="61"/>
        <v>52</v>
      </c>
      <c r="C235">
        <f t="shared" si="62"/>
        <v>2</v>
      </c>
      <c r="D235">
        <f t="shared" si="63"/>
        <v>1</v>
      </c>
      <c r="E235" t="str">
        <f t="shared" si="56"/>
        <v>翻滚射击</v>
      </c>
      <c r="F235">
        <v>22</v>
      </c>
      <c r="G235">
        <f t="shared" si="64"/>
        <v>7</v>
      </c>
      <c r="H235">
        <f t="shared" si="57"/>
        <v>61</v>
      </c>
      <c r="I235">
        <f t="shared" si="58"/>
        <v>3000</v>
      </c>
      <c r="J235">
        <f t="shared" si="59"/>
        <v>0</v>
      </c>
      <c r="K235">
        <f t="shared" si="68"/>
        <v>339</v>
      </c>
      <c r="X235">
        <f t="shared" si="69"/>
        <v>52081</v>
      </c>
      <c r="Y235">
        <f t="shared" si="70"/>
        <v>5209</v>
      </c>
    </row>
    <row r="236" spans="1:25" x14ac:dyDescent="0.15">
      <c r="A236">
        <f t="shared" si="54"/>
        <v>5208</v>
      </c>
      <c r="B236">
        <f t="shared" si="61"/>
        <v>52</v>
      </c>
      <c r="C236">
        <f t="shared" si="62"/>
        <v>2</v>
      </c>
      <c r="D236">
        <f t="shared" si="63"/>
        <v>1</v>
      </c>
      <c r="E236" t="str">
        <f t="shared" si="56"/>
        <v>翻滚射击</v>
      </c>
      <c r="F236">
        <v>24</v>
      </c>
      <c r="G236">
        <f t="shared" si="64"/>
        <v>8</v>
      </c>
      <c r="H236">
        <f t="shared" si="57"/>
        <v>71</v>
      </c>
      <c r="I236">
        <f t="shared" si="58"/>
        <v>3080</v>
      </c>
      <c r="J236">
        <f t="shared" si="59"/>
        <v>0</v>
      </c>
      <c r="K236">
        <f t="shared" si="68"/>
        <v>443</v>
      </c>
      <c r="X236">
        <f t="shared" si="69"/>
        <v>52091</v>
      </c>
      <c r="Y236">
        <f t="shared" si="70"/>
        <v>5210</v>
      </c>
    </row>
    <row r="237" spans="1:25" x14ac:dyDescent="0.15">
      <c r="A237">
        <f t="shared" si="54"/>
        <v>5209</v>
      </c>
      <c r="B237">
        <f t="shared" si="61"/>
        <v>52</v>
      </c>
      <c r="C237">
        <f t="shared" si="62"/>
        <v>2</v>
      </c>
      <c r="D237">
        <f t="shared" si="63"/>
        <v>1</v>
      </c>
      <c r="E237" t="str">
        <f t="shared" si="56"/>
        <v>翻滚射击</v>
      </c>
      <c r="F237">
        <v>26</v>
      </c>
      <c r="G237">
        <f t="shared" si="64"/>
        <v>9</v>
      </c>
      <c r="H237">
        <f t="shared" si="57"/>
        <v>81</v>
      </c>
      <c r="I237">
        <f t="shared" si="58"/>
        <v>3170</v>
      </c>
      <c r="J237">
        <f t="shared" si="59"/>
        <v>0</v>
      </c>
      <c r="K237">
        <f t="shared" si="68"/>
        <v>562</v>
      </c>
      <c r="X237">
        <f t="shared" si="69"/>
        <v>53003</v>
      </c>
      <c r="Y237">
        <f t="shared" si="70"/>
        <v>5301</v>
      </c>
    </row>
    <row r="238" spans="1:25" x14ac:dyDescent="0.15">
      <c r="A238">
        <f t="shared" si="54"/>
        <v>5210</v>
      </c>
      <c r="B238">
        <f t="shared" si="61"/>
        <v>52</v>
      </c>
      <c r="C238">
        <f t="shared" si="62"/>
        <v>2</v>
      </c>
      <c r="D238">
        <f t="shared" si="63"/>
        <v>1</v>
      </c>
      <c r="E238" t="str">
        <f t="shared" si="56"/>
        <v>翻滚射击</v>
      </c>
      <c r="F238">
        <v>28</v>
      </c>
      <c r="G238">
        <f t="shared" si="64"/>
        <v>10</v>
      </c>
      <c r="H238">
        <f t="shared" si="57"/>
        <v>91</v>
      </c>
      <c r="I238">
        <f t="shared" si="58"/>
        <v>3250</v>
      </c>
      <c r="J238">
        <f t="shared" si="59"/>
        <v>0</v>
      </c>
      <c r="K238">
        <f>IF(VLOOKUP($B238,技能参数,11,FALSE)=0,0,
VLOOKUP($B238,技能参数,11,FALSE)-5+VLOOKUP(H238,$T$4:$U$103,2,FALSE))</f>
        <v>696</v>
      </c>
      <c r="X238">
        <f t="shared" si="69"/>
        <v>53013</v>
      </c>
      <c r="Y238">
        <f t="shared" si="70"/>
        <v>5302</v>
      </c>
    </row>
    <row r="239" spans="1:25" x14ac:dyDescent="0.15">
      <c r="A239">
        <f t="shared" si="54"/>
        <v>5301</v>
      </c>
      <c r="B239">
        <f t="shared" si="61"/>
        <v>53</v>
      </c>
      <c r="C239">
        <f t="shared" si="62"/>
        <v>2</v>
      </c>
      <c r="D239">
        <f t="shared" si="63"/>
        <v>3</v>
      </c>
      <c r="E239" t="str">
        <f t="shared" si="56"/>
        <v>视野提升</v>
      </c>
      <c r="F239">
        <v>0</v>
      </c>
      <c r="G239">
        <f t="shared" si="64"/>
        <v>1</v>
      </c>
      <c r="H239">
        <f t="shared" si="57"/>
        <v>3</v>
      </c>
      <c r="I239">
        <f t="shared" si="58"/>
        <v>0</v>
      </c>
      <c r="J239">
        <f t="shared" si="59"/>
        <v>0</v>
      </c>
      <c r="K239">
        <f t="shared" si="68"/>
        <v>0</v>
      </c>
      <c r="M239">
        <v>100</v>
      </c>
      <c r="R239" t="s">
        <v>263</v>
      </c>
      <c r="X239">
        <f t="shared" si="69"/>
        <v>53023</v>
      </c>
      <c r="Y239">
        <f t="shared" si="70"/>
        <v>5303</v>
      </c>
    </row>
    <row r="240" spans="1:25" x14ac:dyDescent="0.15">
      <c r="A240">
        <f t="shared" si="54"/>
        <v>5302</v>
      </c>
      <c r="B240">
        <f t="shared" si="61"/>
        <v>53</v>
      </c>
      <c r="C240">
        <f t="shared" si="62"/>
        <v>2</v>
      </c>
      <c r="D240">
        <f t="shared" si="63"/>
        <v>3</v>
      </c>
      <c r="E240" t="str">
        <f t="shared" si="56"/>
        <v>视野提升</v>
      </c>
      <c r="F240">
        <v>0</v>
      </c>
      <c r="G240">
        <f t="shared" si="64"/>
        <v>2</v>
      </c>
      <c r="H240">
        <f t="shared" si="57"/>
        <v>13</v>
      </c>
      <c r="I240">
        <f t="shared" si="58"/>
        <v>0</v>
      </c>
      <c r="J240">
        <f t="shared" si="59"/>
        <v>0</v>
      </c>
      <c r="K240">
        <f t="shared" si="68"/>
        <v>0</v>
      </c>
      <c r="M240">
        <v>200</v>
      </c>
      <c r="X240">
        <f t="shared" si="69"/>
        <v>53033</v>
      </c>
      <c r="Y240">
        <f t="shared" si="70"/>
        <v>5304</v>
      </c>
    </row>
    <row r="241" spans="1:25" x14ac:dyDescent="0.15">
      <c r="A241">
        <f t="shared" si="54"/>
        <v>5303</v>
      </c>
      <c r="B241">
        <f t="shared" si="61"/>
        <v>53</v>
      </c>
      <c r="C241">
        <f t="shared" si="62"/>
        <v>2</v>
      </c>
      <c r="D241">
        <f t="shared" si="63"/>
        <v>3</v>
      </c>
      <c r="E241" t="str">
        <f t="shared" si="56"/>
        <v>视野提升</v>
      </c>
      <c r="F241">
        <v>0</v>
      </c>
      <c r="G241">
        <f t="shared" si="64"/>
        <v>3</v>
      </c>
      <c r="H241">
        <f t="shared" si="57"/>
        <v>23</v>
      </c>
      <c r="I241">
        <f t="shared" si="58"/>
        <v>0</v>
      </c>
      <c r="J241">
        <f t="shared" si="59"/>
        <v>0</v>
      </c>
      <c r="K241">
        <f t="shared" si="68"/>
        <v>0</v>
      </c>
      <c r="M241">
        <v>300</v>
      </c>
      <c r="X241">
        <f t="shared" si="69"/>
        <v>53043</v>
      </c>
      <c r="Y241">
        <f t="shared" si="70"/>
        <v>5305</v>
      </c>
    </row>
    <row r="242" spans="1:25" x14ac:dyDescent="0.15">
      <c r="A242">
        <f t="shared" si="54"/>
        <v>5304</v>
      </c>
      <c r="B242">
        <f t="shared" si="61"/>
        <v>53</v>
      </c>
      <c r="C242">
        <f t="shared" si="62"/>
        <v>2</v>
      </c>
      <c r="D242">
        <f t="shared" si="63"/>
        <v>3</v>
      </c>
      <c r="E242" t="str">
        <f t="shared" si="56"/>
        <v>视野提升</v>
      </c>
      <c r="F242">
        <v>0</v>
      </c>
      <c r="G242">
        <f t="shared" si="64"/>
        <v>4</v>
      </c>
      <c r="H242">
        <f t="shared" si="57"/>
        <v>33</v>
      </c>
      <c r="I242">
        <f t="shared" si="58"/>
        <v>0</v>
      </c>
      <c r="J242">
        <f t="shared" si="59"/>
        <v>0</v>
      </c>
      <c r="K242">
        <f t="shared" si="68"/>
        <v>0</v>
      </c>
      <c r="M242">
        <v>400</v>
      </c>
      <c r="X242">
        <f t="shared" si="69"/>
        <v>53053</v>
      </c>
      <c r="Y242">
        <f t="shared" si="70"/>
        <v>5306</v>
      </c>
    </row>
    <row r="243" spans="1:25" x14ac:dyDescent="0.15">
      <c r="A243">
        <f t="shared" si="54"/>
        <v>5305</v>
      </c>
      <c r="B243">
        <f t="shared" si="61"/>
        <v>53</v>
      </c>
      <c r="C243">
        <f t="shared" si="62"/>
        <v>2</v>
      </c>
      <c r="D243">
        <f t="shared" si="63"/>
        <v>3</v>
      </c>
      <c r="E243" t="str">
        <f t="shared" si="56"/>
        <v>视野提升</v>
      </c>
      <c r="F243">
        <v>0</v>
      </c>
      <c r="G243">
        <f t="shared" si="64"/>
        <v>5</v>
      </c>
      <c r="H243">
        <f t="shared" si="57"/>
        <v>43</v>
      </c>
      <c r="I243">
        <f t="shared" si="58"/>
        <v>0</v>
      </c>
      <c r="J243">
        <f t="shared" si="59"/>
        <v>0</v>
      </c>
      <c r="K243">
        <f t="shared" si="68"/>
        <v>0</v>
      </c>
      <c r="M243">
        <v>500</v>
      </c>
      <c r="X243">
        <f t="shared" si="69"/>
        <v>53063</v>
      </c>
      <c r="Y243">
        <f t="shared" si="70"/>
        <v>5307</v>
      </c>
    </row>
    <row r="244" spans="1:25" x14ac:dyDescent="0.15">
      <c r="A244">
        <f t="shared" si="54"/>
        <v>5306</v>
      </c>
      <c r="B244">
        <f t="shared" si="61"/>
        <v>53</v>
      </c>
      <c r="C244">
        <f t="shared" si="62"/>
        <v>2</v>
      </c>
      <c r="D244">
        <f t="shared" si="63"/>
        <v>3</v>
      </c>
      <c r="E244" t="str">
        <f t="shared" si="56"/>
        <v>视野提升</v>
      </c>
      <c r="F244">
        <v>0</v>
      </c>
      <c r="G244">
        <f t="shared" si="64"/>
        <v>6</v>
      </c>
      <c r="H244">
        <f t="shared" si="57"/>
        <v>53</v>
      </c>
      <c r="I244">
        <f t="shared" si="58"/>
        <v>0</v>
      </c>
      <c r="J244">
        <f t="shared" si="59"/>
        <v>0</v>
      </c>
      <c r="K244">
        <f t="shared" si="68"/>
        <v>0</v>
      </c>
      <c r="M244">
        <v>600</v>
      </c>
      <c r="X244">
        <f t="shared" si="69"/>
        <v>53073</v>
      </c>
      <c r="Y244">
        <f t="shared" si="70"/>
        <v>5308</v>
      </c>
    </row>
    <row r="245" spans="1:25" x14ac:dyDescent="0.15">
      <c r="A245">
        <f t="shared" si="54"/>
        <v>5307</v>
      </c>
      <c r="B245">
        <f t="shared" si="61"/>
        <v>53</v>
      </c>
      <c r="C245">
        <f t="shared" si="62"/>
        <v>2</v>
      </c>
      <c r="D245">
        <f t="shared" si="63"/>
        <v>3</v>
      </c>
      <c r="E245" t="str">
        <f t="shared" si="56"/>
        <v>视野提升</v>
      </c>
      <c r="F245">
        <v>0</v>
      </c>
      <c r="G245">
        <f t="shared" si="64"/>
        <v>7</v>
      </c>
      <c r="H245">
        <f t="shared" si="57"/>
        <v>63</v>
      </c>
      <c r="I245">
        <f t="shared" si="58"/>
        <v>0</v>
      </c>
      <c r="J245">
        <f t="shared" si="59"/>
        <v>0</v>
      </c>
      <c r="K245">
        <f t="shared" si="68"/>
        <v>0</v>
      </c>
      <c r="M245">
        <v>700</v>
      </c>
      <c r="X245">
        <f t="shared" si="69"/>
        <v>53083</v>
      </c>
      <c r="Y245">
        <f t="shared" si="70"/>
        <v>5309</v>
      </c>
    </row>
    <row r="246" spans="1:25" x14ac:dyDescent="0.15">
      <c r="A246">
        <f t="shared" si="54"/>
        <v>5308</v>
      </c>
      <c r="B246">
        <f t="shared" si="61"/>
        <v>53</v>
      </c>
      <c r="C246">
        <f t="shared" si="62"/>
        <v>2</v>
      </c>
      <c r="D246">
        <f t="shared" si="63"/>
        <v>3</v>
      </c>
      <c r="E246" t="str">
        <f t="shared" si="56"/>
        <v>视野提升</v>
      </c>
      <c r="F246">
        <v>0</v>
      </c>
      <c r="G246">
        <f t="shared" si="64"/>
        <v>8</v>
      </c>
      <c r="H246">
        <f t="shared" si="57"/>
        <v>73</v>
      </c>
      <c r="I246">
        <f t="shared" si="58"/>
        <v>0</v>
      </c>
      <c r="J246">
        <f t="shared" si="59"/>
        <v>0</v>
      </c>
      <c r="K246">
        <f t="shared" si="68"/>
        <v>0</v>
      </c>
      <c r="M246">
        <v>800</v>
      </c>
      <c r="X246">
        <f t="shared" si="69"/>
        <v>53093</v>
      </c>
      <c r="Y246">
        <f t="shared" si="70"/>
        <v>5310</v>
      </c>
    </row>
    <row r="247" spans="1:25" x14ac:dyDescent="0.15">
      <c r="A247">
        <f t="shared" si="54"/>
        <v>5309</v>
      </c>
      <c r="B247">
        <f t="shared" si="61"/>
        <v>53</v>
      </c>
      <c r="C247">
        <f t="shared" si="62"/>
        <v>2</v>
      </c>
      <c r="D247">
        <f t="shared" si="63"/>
        <v>3</v>
      </c>
      <c r="E247" t="str">
        <f t="shared" si="56"/>
        <v>视野提升</v>
      </c>
      <c r="F247">
        <v>0</v>
      </c>
      <c r="G247">
        <f t="shared" si="64"/>
        <v>9</v>
      </c>
      <c r="H247">
        <f t="shared" si="57"/>
        <v>83</v>
      </c>
      <c r="I247">
        <f t="shared" si="58"/>
        <v>0</v>
      </c>
      <c r="J247">
        <f t="shared" si="59"/>
        <v>0</v>
      </c>
      <c r="K247">
        <f t="shared" si="68"/>
        <v>0</v>
      </c>
      <c r="M247">
        <v>900</v>
      </c>
      <c r="X247">
        <f t="shared" si="69"/>
        <v>54005</v>
      </c>
      <c r="Y247">
        <f t="shared" si="70"/>
        <v>5401</v>
      </c>
    </row>
    <row r="248" spans="1:25" x14ac:dyDescent="0.15">
      <c r="A248">
        <f t="shared" si="54"/>
        <v>5310</v>
      </c>
      <c r="B248">
        <f t="shared" si="61"/>
        <v>53</v>
      </c>
      <c r="C248">
        <f t="shared" si="62"/>
        <v>2</v>
      </c>
      <c r="D248">
        <f t="shared" si="63"/>
        <v>3</v>
      </c>
      <c r="E248" t="str">
        <f t="shared" si="56"/>
        <v>视野提升</v>
      </c>
      <c r="F248">
        <v>0</v>
      </c>
      <c r="G248">
        <f t="shared" si="64"/>
        <v>10</v>
      </c>
      <c r="H248">
        <f t="shared" si="57"/>
        <v>93</v>
      </c>
      <c r="I248">
        <f t="shared" si="58"/>
        <v>0</v>
      </c>
      <c r="J248">
        <f t="shared" si="59"/>
        <v>0</v>
      </c>
      <c r="K248">
        <f t="shared" si="68"/>
        <v>0</v>
      </c>
      <c r="M248">
        <v>1000</v>
      </c>
      <c r="X248">
        <f t="shared" si="69"/>
        <v>54015</v>
      </c>
      <c r="Y248">
        <f t="shared" si="70"/>
        <v>5402</v>
      </c>
    </row>
    <row r="249" spans="1:25" x14ac:dyDescent="0.15">
      <c r="A249">
        <f t="shared" si="54"/>
        <v>5401</v>
      </c>
      <c r="B249">
        <f t="shared" si="61"/>
        <v>54</v>
      </c>
      <c r="C249">
        <f t="shared" si="62"/>
        <v>2</v>
      </c>
      <c r="D249">
        <f t="shared" si="63"/>
        <v>1</v>
      </c>
      <c r="E249" t="str">
        <f t="shared" si="56"/>
        <v>爆裂箭</v>
      </c>
      <c r="F249">
        <v>20</v>
      </c>
      <c r="G249">
        <f t="shared" si="64"/>
        <v>1</v>
      </c>
      <c r="H249">
        <f t="shared" si="57"/>
        <v>5</v>
      </c>
      <c r="I249">
        <f t="shared" si="58"/>
        <v>2000</v>
      </c>
      <c r="J249">
        <f t="shared" si="59"/>
        <v>0</v>
      </c>
      <c r="K249">
        <f t="shared" si="68"/>
        <v>35</v>
      </c>
      <c r="M249">
        <v>500</v>
      </c>
      <c r="R249" t="s">
        <v>264</v>
      </c>
      <c r="X249">
        <f t="shared" si="69"/>
        <v>54025</v>
      </c>
      <c r="Y249">
        <f t="shared" si="70"/>
        <v>5403</v>
      </c>
    </row>
    <row r="250" spans="1:25" x14ac:dyDescent="0.15">
      <c r="A250">
        <f t="shared" si="54"/>
        <v>5402</v>
      </c>
      <c r="B250">
        <f t="shared" si="61"/>
        <v>54</v>
      </c>
      <c r="C250">
        <f t="shared" si="62"/>
        <v>2</v>
      </c>
      <c r="D250">
        <f t="shared" si="63"/>
        <v>1</v>
      </c>
      <c r="E250" t="str">
        <f t="shared" si="56"/>
        <v>爆裂箭</v>
      </c>
      <c r="F250">
        <v>25</v>
      </c>
      <c r="G250">
        <f t="shared" si="64"/>
        <v>2</v>
      </c>
      <c r="H250">
        <f t="shared" si="57"/>
        <v>15</v>
      </c>
      <c r="I250">
        <f t="shared" si="58"/>
        <v>2070</v>
      </c>
      <c r="J250">
        <f t="shared" si="59"/>
        <v>0</v>
      </c>
      <c r="K250">
        <f t="shared" si="68"/>
        <v>55</v>
      </c>
      <c r="M250">
        <v>500</v>
      </c>
      <c r="X250">
        <f t="shared" si="69"/>
        <v>54035</v>
      </c>
      <c r="Y250">
        <f t="shared" si="70"/>
        <v>5404</v>
      </c>
    </row>
    <row r="251" spans="1:25" x14ac:dyDescent="0.15">
      <c r="A251">
        <f t="shared" ref="A251:A265" si="71">A199+1000</f>
        <v>5403</v>
      </c>
      <c r="B251">
        <f t="shared" si="61"/>
        <v>54</v>
      </c>
      <c r="C251">
        <f t="shared" si="62"/>
        <v>2</v>
      </c>
      <c r="D251">
        <f t="shared" si="63"/>
        <v>1</v>
      </c>
      <c r="E251" t="str">
        <f t="shared" si="56"/>
        <v>爆裂箭</v>
      </c>
      <c r="F251">
        <v>30</v>
      </c>
      <c r="G251">
        <f t="shared" si="64"/>
        <v>3</v>
      </c>
      <c r="H251">
        <f t="shared" si="57"/>
        <v>25</v>
      </c>
      <c r="I251">
        <f t="shared" si="58"/>
        <v>2130</v>
      </c>
      <c r="J251">
        <f t="shared" si="59"/>
        <v>0</v>
      </c>
      <c r="K251">
        <f t="shared" si="68"/>
        <v>90</v>
      </c>
      <c r="M251">
        <v>500</v>
      </c>
      <c r="X251">
        <f t="shared" si="69"/>
        <v>54045</v>
      </c>
      <c r="Y251">
        <f t="shared" si="70"/>
        <v>5405</v>
      </c>
    </row>
    <row r="252" spans="1:25" x14ac:dyDescent="0.15">
      <c r="A252">
        <f t="shared" si="71"/>
        <v>5404</v>
      </c>
      <c r="B252">
        <f t="shared" si="61"/>
        <v>54</v>
      </c>
      <c r="C252">
        <f t="shared" si="62"/>
        <v>2</v>
      </c>
      <c r="D252">
        <f t="shared" si="63"/>
        <v>1</v>
      </c>
      <c r="E252" t="str">
        <f t="shared" si="56"/>
        <v>爆裂箭</v>
      </c>
      <c r="F252">
        <v>35</v>
      </c>
      <c r="G252">
        <f t="shared" si="64"/>
        <v>4</v>
      </c>
      <c r="H252">
        <f t="shared" si="57"/>
        <v>35</v>
      </c>
      <c r="I252">
        <f t="shared" si="58"/>
        <v>2200</v>
      </c>
      <c r="J252">
        <f t="shared" si="59"/>
        <v>0</v>
      </c>
      <c r="K252">
        <f t="shared" si="68"/>
        <v>140</v>
      </c>
      <c r="M252">
        <v>500</v>
      </c>
      <c r="X252">
        <f t="shared" si="69"/>
        <v>54055</v>
      </c>
      <c r="Y252">
        <f t="shared" si="70"/>
        <v>5406</v>
      </c>
    </row>
    <row r="253" spans="1:25" x14ac:dyDescent="0.15">
      <c r="A253">
        <f t="shared" si="71"/>
        <v>5405</v>
      </c>
      <c r="B253">
        <f t="shared" si="61"/>
        <v>54</v>
      </c>
      <c r="C253">
        <f t="shared" si="62"/>
        <v>2</v>
      </c>
      <c r="D253">
        <f t="shared" si="63"/>
        <v>1</v>
      </c>
      <c r="E253" t="str">
        <f t="shared" si="56"/>
        <v>爆裂箭</v>
      </c>
      <c r="F253">
        <v>40</v>
      </c>
      <c r="G253">
        <f t="shared" si="64"/>
        <v>5</v>
      </c>
      <c r="H253">
        <f t="shared" si="57"/>
        <v>45</v>
      </c>
      <c r="I253">
        <f t="shared" si="58"/>
        <v>2270</v>
      </c>
      <c r="J253">
        <f t="shared" si="59"/>
        <v>0</v>
      </c>
      <c r="K253">
        <f t="shared" si="68"/>
        <v>205</v>
      </c>
      <c r="M253">
        <v>500</v>
      </c>
      <c r="X253">
        <f t="shared" si="69"/>
        <v>54065</v>
      </c>
      <c r="Y253">
        <f t="shared" si="70"/>
        <v>5407</v>
      </c>
    </row>
    <row r="254" spans="1:25" x14ac:dyDescent="0.15">
      <c r="A254">
        <f t="shared" si="71"/>
        <v>5406</v>
      </c>
      <c r="B254">
        <f t="shared" si="61"/>
        <v>54</v>
      </c>
      <c r="C254">
        <f t="shared" si="62"/>
        <v>2</v>
      </c>
      <c r="D254">
        <f t="shared" si="63"/>
        <v>1</v>
      </c>
      <c r="E254" t="str">
        <f t="shared" si="56"/>
        <v>爆裂箭</v>
      </c>
      <c r="F254">
        <v>45</v>
      </c>
      <c r="G254">
        <f t="shared" si="64"/>
        <v>6</v>
      </c>
      <c r="H254">
        <f t="shared" si="57"/>
        <v>55</v>
      </c>
      <c r="I254">
        <f t="shared" si="58"/>
        <v>2330</v>
      </c>
      <c r="J254">
        <f t="shared" si="59"/>
        <v>0</v>
      </c>
      <c r="K254">
        <f t="shared" si="68"/>
        <v>285</v>
      </c>
      <c r="M254">
        <v>500</v>
      </c>
      <c r="X254">
        <f t="shared" si="69"/>
        <v>54075</v>
      </c>
      <c r="Y254">
        <f t="shared" si="70"/>
        <v>5408</v>
      </c>
    </row>
    <row r="255" spans="1:25" x14ac:dyDescent="0.15">
      <c r="A255">
        <f t="shared" si="71"/>
        <v>5407</v>
      </c>
      <c r="B255">
        <f t="shared" si="61"/>
        <v>54</v>
      </c>
      <c r="C255">
        <f t="shared" si="62"/>
        <v>2</v>
      </c>
      <c r="D255">
        <f t="shared" si="63"/>
        <v>1</v>
      </c>
      <c r="E255" t="str">
        <f t="shared" si="56"/>
        <v>爆裂箭</v>
      </c>
      <c r="F255">
        <v>50</v>
      </c>
      <c r="G255">
        <f t="shared" si="64"/>
        <v>7</v>
      </c>
      <c r="H255">
        <f t="shared" si="57"/>
        <v>65</v>
      </c>
      <c r="I255">
        <f t="shared" si="58"/>
        <v>2400</v>
      </c>
      <c r="J255">
        <f t="shared" si="59"/>
        <v>0</v>
      </c>
      <c r="K255">
        <f t="shared" si="68"/>
        <v>380</v>
      </c>
      <c r="M255">
        <v>500</v>
      </c>
      <c r="X255">
        <f t="shared" si="69"/>
        <v>54085</v>
      </c>
      <c r="Y255">
        <f t="shared" si="70"/>
        <v>5409</v>
      </c>
    </row>
    <row r="256" spans="1:25" x14ac:dyDescent="0.15">
      <c r="A256">
        <f t="shared" si="71"/>
        <v>5408</v>
      </c>
      <c r="B256">
        <f t="shared" si="61"/>
        <v>54</v>
      </c>
      <c r="C256">
        <f t="shared" si="62"/>
        <v>2</v>
      </c>
      <c r="D256">
        <f t="shared" si="63"/>
        <v>1</v>
      </c>
      <c r="E256" t="str">
        <f t="shared" si="56"/>
        <v>爆裂箭</v>
      </c>
      <c r="F256">
        <v>55</v>
      </c>
      <c r="G256">
        <f t="shared" si="64"/>
        <v>8</v>
      </c>
      <c r="H256">
        <f t="shared" si="57"/>
        <v>75</v>
      </c>
      <c r="I256">
        <f t="shared" si="58"/>
        <v>2470</v>
      </c>
      <c r="J256">
        <f t="shared" si="59"/>
        <v>0</v>
      </c>
      <c r="K256">
        <f t="shared" si="68"/>
        <v>490</v>
      </c>
      <c r="M256">
        <v>500</v>
      </c>
      <c r="X256">
        <f t="shared" si="69"/>
        <v>54095</v>
      </c>
      <c r="Y256">
        <f t="shared" si="70"/>
        <v>5410</v>
      </c>
    </row>
    <row r="257" spans="1:25" x14ac:dyDescent="0.15">
      <c r="A257">
        <f t="shared" si="71"/>
        <v>5409</v>
      </c>
      <c r="B257">
        <f t="shared" si="61"/>
        <v>54</v>
      </c>
      <c r="C257">
        <f t="shared" si="62"/>
        <v>2</v>
      </c>
      <c r="D257">
        <f t="shared" si="63"/>
        <v>1</v>
      </c>
      <c r="E257" t="str">
        <f t="shared" si="56"/>
        <v>爆裂箭</v>
      </c>
      <c r="F257">
        <v>60</v>
      </c>
      <c r="G257">
        <f t="shared" si="64"/>
        <v>9</v>
      </c>
      <c r="H257">
        <f t="shared" si="57"/>
        <v>85</v>
      </c>
      <c r="I257">
        <f t="shared" si="58"/>
        <v>2530</v>
      </c>
      <c r="J257">
        <f t="shared" si="59"/>
        <v>0</v>
      </c>
      <c r="K257">
        <f t="shared" si="68"/>
        <v>615</v>
      </c>
      <c r="M257">
        <v>500</v>
      </c>
      <c r="X257">
        <f t="shared" si="69"/>
        <v>55006</v>
      </c>
      <c r="Y257">
        <f t="shared" si="70"/>
        <v>5501</v>
      </c>
    </row>
    <row r="258" spans="1:25" x14ac:dyDescent="0.15">
      <c r="A258">
        <f t="shared" si="71"/>
        <v>5410</v>
      </c>
      <c r="B258">
        <f t="shared" si="61"/>
        <v>54</v>
      </c>
      <c r="C258">
        <f t="shared" si="62"/>
        <v>2</v>
      </c>
      <c r="D258">
        <f t="shared" si="63"/>
        <v>1</v>
      </c>
      <c r="E258" t="str">
        <f t="shared" si="56"/>
        <v>爆裂箭</v>
      </c>
      <c r="F258">
        <v>65</v>
      </c>
      <c r="G258">
        <f t="shared" si="64"/>
        <v>10</v>
      </c>
      <c r="H258">
        <f t="shared" si="57"/>
        <v>95</v>
      </c>
      <c r="I258">
        <f t="shared" si="58"/>
        <v>2600</v>
      </c>
      <c r="J258">
        <f t="shared" si="59"/>
        <v>0</v>
      </c>
      <c r="K258">
        <f>IF(VLOOKUP($B258,技能参数,11,FALSE)=0,0,
VLOOKUP($B258,技能参数,11,FALSE)-5+VLOOKUP(H258,$T$4:$U$103,2,FALSE))</f>
        <v>755</v>
      </c>
      <c r="M258">
        <v>500</v>
      </c>
      <c r="X258">
        <f t="shared" si="69"/>
        <v>55021</v>
      </c>
      <c r="Y258">
        <f t="shared" si="70"/>
        <v>5502</v>
      </c>
    </row>
    <row r="259" spans="1:25" x14ac:dyDescent="0.15">
      <c r="A259">
        <f t="shared" si="71"/>
        <v>5501</v>
      </c>
      <c r="B259">
        <f t="shared" si="61"/>
        <v>55</v>
      </c>
      <c r="C259">
        <f t="shared" si="62"/>
        <v>3</v>
      </c>
      <c r="D259">
        <f t="shared" si="63"/>
        <v>1</v>
      </c>
      <c r="E259" t="str">
        <f t="shared" si="56"/>
        <v>龙威</v>
      </c>
      <c r="F259">
        <v>0</v>
      </c>
      <c r="G259">
        <f t="shared" si="64"/>
        <v>1</v>
      </c>
      <c r="H259">
        <f t="shared" si="57"/>
        <v>6</v>
      </c>
      <c r="I259">
        <f>IF(VLOOKUP($B259,技能参数,9,FALSE)=0,0,
ROUND(VLOOKUP($B259,技能参数,9,FALSE)*(1+(VLOOKUP($B259,技能参数,12,FALSE)/(VLOOKUP($B259,技能参数,6,FALSE)-1))*(G259-1)),-1))</f>
        <v>400</v>
      </c>
      <c r="J259">
        <f t="shared" si="59"/>
        <v>0</v>
      </c>
      <c r="K259">
        <f t="shared" si="68"/>
        <v>0</v>
      </c>
      <c r="L259">
        <v>20401</v>
      </c>
      <c r="M259">
        <v>3</v>
      </c>
      <c r="N259">
        <f t="shared" ref="N259:N265" si="72">IF(VLOOKUP($B259,技能参数,9,FALSE)=0,0,
ROUND(VLOOKUP($B259,技能参数,9,FALSE)*(1+(VLOOKUP($B259,技能参数,12,FALSE)/(VLOOKUP($B259,技能参数,6,FALSE)-1))*(G259-1)),-1))</f>
        <v>400</v>
      </c>
      <c r="R259" t="s">
        <v>270</v>
      </c>
      <c r="X259">
        <f t="shared" si="69"/>
        <v>55037</v>
      </c>
      <c r="Y259">
        <f t="shared" si="70"/>
        <v>5503</v>
      </c>
    </row>
    <row r="260" spans="1:25" x14ac:dyDescent="0.15">
      <c r="A260">
        <f t="shared" si="71"/>
        <v>5502</v>
      </c>
      <c r="B260">
        <f t="shared" si="61"/>
        <v>55</v>
      </c>
      <c r="C260">
        <f t="shared" si="62"/>
        <v>3</v>
      </c>
      <c r="D260">
        <f t="shared" si="63"/>
        <v>1</v>
      </c>
      <c r="E260" t="str">
        <f t="shared" si="56"/>
        <v>龙威</v>
      </c>
      <c r="F260">
        <v>0</v>
      </c>
      <c r="G260">
        <f t="shared" si="64"/>
        <v>2</v>
      </c>
      <c r="H260">
        <f t="shared" si="57"/>
        <v>21</v>
      </c>
      <c r="I260">
        <f t="shared" si="58"/>
        <v>420</v>
      </c>
      <c r="J260">
        <f t="shared" si="59"/>
        <v>0</v>
      </c>
      <c r="K260">
        <f t="shared" si="68"/>
        <v>0</v>
      </c>
      <c r="L260">
        <v>20402</v>
      </c>
      <c r="M260">
        <v>3</v>
      </c>
      <c r="N260">
        <f t="shared" si="72"/>
        <v>420</v>
      </c>
      <c r="X260">
        <f t="shared" si="69"/>
        <v>55053</v>
      </c>
      <c r="Y260">
        <f t="shared" si="70"/>
        <v>5504</v>
      </c>
    </row>
    <row r="261" spans="1:25" x14ac:dyDescent="0.15">
      <c r="A261">
        <f t="shared" si="71"/>
        <v>5503</v>
      </c>
      <c r="B261">
        <f t="shared" si="61"/>
        <v>55</v>
      </c>
      <c r="C261">
        <f t="shared" si="62"/>
        <v>3</v>
      </c>
      <c r="D261">
        <f t="shared" si="63"/>
        <v>1</v>
      </c>
      <c r="E261" t="str">
        <f t="shared" si="56"/>
        <v>龙威</v>
      </c>
      <c r="F261">
        <v>0</v>
      </c>
      <c r="G261">
        <f t="shared" si="64"/>
        <v>3</v>
      </c>
      <c r="H261">
        <f t="shared" si="57"/>
        <v>37</v>
      </c>
      <c r="I261">
        <f t="shared" si="58"/>
        <v>450</v>
      </c>
      <c r="J261">
        <f t="shared" si="59"/>
        <v>0</v>
      </c>
      <c r="K261">
        <f t="shared" si="68"/>
        <v>0</v>
      </c>
      <c r="L261">
        <v>20403</v>
      </c>
      <c r="M261">
        <v>3</v>
      </c>
      <c r="N261">
        <f t="shared" si="72"/>
        <v>450</v>
      </c>
      <c r="X261">
        <f t="shared" si="69"/>
        <v>55068</v>
      </c>
      <c r="Y261">
        <f t="shared" si="70"/>
        <v>5505</v>
      </c>
    </row>
    <row r="262" spans="1:25" x14ac:dyDescent="0.15">
      <c r="A262">
        <f t="shared" si="71"/>
        <v>5504</v>
      </c>
      <c r="B262">
        <f t="shared" si="61"/>
        <v>55</v>
      </c>
      <c r="C262">
        <f t="shared" si="62"/>
        <v>3</v>
      </c>
      <c r="D262">
        <f t="shared" si="63"/>
        <v>1</v>
      </c>
      <c r="E262" t="str">
        <f t="shared" si="56"/>
        <v>龙威</v>
      </c>
      <c r="F262">
        <v>0</v>
      </c>
      <c r="G262">
        <f t="shared" si="64"/>
        <v>4</v>
      </c>
      <c r="H262">
        <f t="shared" ref="H262:H265" si="73">IF(G262=1,VLOOKUP(B262,技能参数,7,FALSE),
INT((VLOOKUP(B262,技能参数,8,FALSE)-VLOOKUP(B262,技能参数,7,FALSE))/(VLOOKUP(B262,技能参数,6,FALSE)-1)*(G262-1))
+VLOOKUP(B262,技能参数,7,FALSE)
)</f>
        <v>53</v>
      </c>
      <c r="I262">
        <f t="shared" ref="I262:I295" si="74">IF(VLOOKUP($B262,技能参数,9,FALSE)=0,0,
ROUND(VLOOKUP($B262,技能参数,9,FALSE)*(1+(VLOOKUP($B262,技能参数,12,FALSE)/(VLOOKUP($B262,技能参数,6,FALSE)-1))*(G262-1)),-1))</f>
        <v>470</v>
      </c>
      <c r="J262">
        <f t="shared" ref="J262:J295" si="75">IF(VLOOKUP($B262,技能参数,10,FALSE)=0,0,
ROUND(VLOOKUP($B262,技能参数,10,FALSE)*(1+(VLOOKUP($B262,技能参数,12,FALSE)/(VLOOKUP($B262,技能参数,6,FALSE)-1))*(G262-1)),-1))</f>
        <v>0</v>
      </c>
      <c r="K262">
        <f t="shared" si="68"/>
        <v>0</v>
      </c>
      <c r="L262">
        <v>20404</v>
      </c>
      <c r="M262">
        <v>3</v>
      </c>
      <c r="N262">
        <f t="shared" si="72"/>
        <v>470</v>
      </c>
      <c r="X262">
        <f t="shared" si="69"/>
        <v>55084</v>
      </c>
      <c r="Y262">
        <f t="shared" si="70"/>
        <v>5506</v>
      </c>
    </row>
    <row r="263" spans="1:25" x14ac:dyDescent="0.15">
      <c r="A263">
        <f t="shared" si="71"/>
        <v>5505</v>
      </c>
      <c r="B263">
        <f t="shared" ref="B263:B316" si="76">INT(A263/100)</f>
        <v>55</v>
      </c>
      <c r="C263">
        <f t="shared" ref="C263:C265" si="77">IF(MOD(B263,10)=1,1,IF(MOD(B263,10)=5,3,2))</f>
        <v>3</v>
      </c>
      <c r="D263">
        <f t="shared" ref="D263:D265" si="78">IF(AND(I263&gt;0,J263=0),1,IF(AND(I263=0,J263&gt;0),2,3))</f>
        <v>1</v>
      </c>
      <c r="E263" t="str">
        <f t="shared" si="56"/>
        <v>龙威</v>
      </c>
      <c r="F263">
        <v>0</v>
      </c>
      <c r="G263">
        <f>MOD(A263,100)</f>
        <v>5</v>
      </c>
      <c r="H263">
        <f t="shared" si="73"/>
        <v>68</v>
      </c>
      <c r="I263">
        <f t="shared" si="74"/>
        <v>490</v>
      </c>
      <c r="J263">
        <f t="shared" si="75"/>
        <v>0</v>
      </c>
      <c r="K263">
        <f t="shared" si="68"/>
        <v>0</v>
      </c>
      <c r="L263">
        <v>20405</v>
      </c>
      <c r="M263">
        <v>3</v>
      </c>
      <c r="N263">
        <f t="shared" si="72"/>
        <v>490</v>
      </c>
      <c r="X263">
        <f t="shared" si="69"/>
        <v>55100</v>
      </c>
      <c r="Y263">
        <f t="shared" si="70"/>
        <v>5507</v>
      </c>
    </row>
    <row r="264" spans="1:25" x14ac:dyDescent="0.15">
      <c r="A264">
        <f t="shared" si="71"/>
        <v>5506</v>
      </c>
      <c r="B264">
        <f t="shared" si="76"/>
        <v>55</v>
      </c>
      <c r="C264">
        <f t="shared" si="77"/>
        <v>3</v>
      </c>
      <c r="D264">
        <f t="shared" si="78"/>
        <v>1</v>
      </c>
      <c r="E264" t="str">
        <f t="shared" si="56"/>
        <v>龙威</v>
      </c>
      <c r="F264">
        <v>0</v>
      </c>
      <c r="G264">
        <f t="shared" ref="G264:G272" si="79">MOD(A264,100)</f>
        <v>6</v>
      </c>
      <c r="H264">
        <f t="shared" si="73"/>
        <v>84</v>
      </c>
      <c r="I264">
        <f t="shared" si="74"/>
        <v>520</v>
      </c>
      <c r="J264">
        <f t="shared" si="75"/>
        <v>0</v>
      </c>
      <c r="K264">
        <f t="shared" si="68"/>
        <v>0</v>
      </c>
      <c r="L264">
        <v>20406</v>
      </c>
      <c r="M264">
        <v>3</v>
      </c>
      <c r="N264">
        <f t="shared" si="72"/>
        <v>520</v>
      </c>
      <c r="X264">
        <f t="shared" si="69"/>
        <v>201005</v>
      </c>
      <c r="Y264">
        <f t="shared" si="70"/>
        <v>20101</v>
      </c>
    </row>
    <row r="265" spans="1:25" x14ac:dyDescent="0.15">
      <c r="A265">
        <f t="shared" si="71"/>
        <v>5507</v>
      </c>
      <c r="B265">
        <f t="shared" si="76"/>
        <v>55</v>
      </c>
      <c r="C265">
        <f t="shared" si="77"/>
        <v>3</v>
      </c>
      <c r="D265">
        <f t="shared" si="78"/>
        <v>1</v>
      </c>
      <c r="E265" t="str">
        <f t="shared" ref="E265:E296" si="80">VLOOKUP(B265,技能参数,2,FALSE)</f>
        <v>龙威</v>
      </c>
      <c r="F265">
        <v>0</v>
      </c>
      <c r="G265">
        <f t="shared" si="79"/>
        <v>7</v>
      </c>
      <c r="H265">
        <f t="shared" si="73"/>
        <v>100</v>
      </c>
      <c r="I265">
        <f t="shared" si="74"/>
        <v>540</v>
      </c>
      <c r="J265">
        <f t="shared" si="75"/>
        <v>0</v>
      </c>
      <c r="K265">
        <f t="shared" si="68"/>
        <v>0</v>
      </c>
      <c r="L265">
        <v>20407</v>
      </c>
      <c r="M265">
        <v>3</v>
      </c>
      <c r="N265">
        <f t="shared" si="72"/>
        <v>540</v>
      </c>
      <c r="X265">
        <f>B267*1000+H267</f>
        <v>201015</v>
      </c>
      <c r="Y265">
        <f t="shared" si="70"/>
        <v>20102</v>
      </c>
    </row>
    <row r="266" spans="1:25" x14ac:dyDescent="0.15">
      <c r="A266">
        <v>20101</v>
      </c>
      <c r="B266">
        <f t="shared" si="76"/>
        <v>201</v>
      </c>
      <c r="C266">
        <v>4</v>
      </c>
      <c r="D266">
        <f>IF(AND(I266&gt;0,J266=0),1,IF(AND(I266=0,J266&gt;0),2,3))</f>
        <v>3</v>
      </c>
      <c r="E266" t="str">
        <f>VLOOKUP(B266,技能参数,2,FALSE)</f>
        <v>天官赐福状态</v>
      </c>
      <c r="F266">
        <v>0</v>
      </c>
      <c r="G266">
        <f t="shared" si="79"/>
        <v>1</v>
      </c>
      <c r="H266">
        <f>H41</f>
        <v>5</v>
      </c>
      <c r="I266">
        <f t="shared" si="74"/>
        <v>0</v>
      </c>
      <c r="J266">
        <f t="shared" si="75"/>
        <v>0</v>
      </c>
      <c r="K266">
        <v>0</v>
      </c>
      <c r="M266">
        <v>100</v>
      </c>
      <c r="N266">
        <v>100</v>
      </c>
      <c r="O266">
        <f>INT(VLOOKUP($H266,$T$4:$U$103,2,FALSE)/2)+3</f>
        <v>13</v>
      </c>
      <c r="R266" t="s">
        <v>246</v>
      </c>
      <c r="X266">
        <f t="shared" ref="X266:X279" si="81">B268*1000+H268</f>
        <v>201025</v>
      </c>
      <c r="Y266">
        <f t="shared" ref="Y266:Y279" si="82">A268</f>
        <v>20103</v>
      </c>
    </row>
    <row r="267" spans="1:25" x14ac:dyDescent="0.15">
      <c r="A267">
        <v>20102</v>
      </c>
      <c r="B267">
        <f t="shared" si="76"/>
        <v>201</v>
      </c>
      <c r="C267">
        <v>4</v>
      </c>
      <c r="D267">
        <f t="shared" ref="D267:D295" si="83">IF(AND(I267&gt;0,J267=0),1,IF(AND(I267=0,J267&gt;0),2,3))</f>
        <v>3</v>
      </c>
      <c r="E267" t="str">
        <f t="shared" si="80"/>
        <v>天官赐福状态</v>
      </c>
      <c r="F267">
        <v>0</v>
      </c>
      <c r="G267">
        <f t="shared" si="79"/>
        <v>2</v>
      </c>
      <c r="H267">
        <f t="shared" ref="H267:H275" si="84">H42</f>
        <v>15</v>
      </c>
      <c r="I267">
        <f t="shared" si="74"/>
        <v>0</v>
      </c>
      <c r="J267">
        <f t="shared" si="75"/>
        <v>0</v>
      </c>
      <c r="K267">
        <v>0</v>
      </c>
      <c r="M267">
        <v>100</v>
      </c>
      <c r="N267">
        <v>100</v>
      </c>
      <c r="O267">
        <f t="shared" ref="O267:O275" si="85">INT(VLOOKUP($H267,$T$4:$U$103,2,FALSE)/2)+3</f>
        <v>23</v>
      </c>
      <c r="X267">
        <f t="shared" si="81"/>
        <v>201035</v>
      </c>
      <c r="Y267">
        <f t="shared" si="82"/>
        <v>20104</v>
      </c>
    </row>
    <row r="268" spans="1:25" x14ac:dyDescent="0.15">
      <c r="A268">
        <v>20103</v>
      </c>
      <c r="B268">
        <f t="shared" si="76"/>
        <v>201</v>
      </c>
      <c r="C268">
        <v>4</v>
      </c>
      <c r="D268">
        <f t="shared" si="83"/>
        <v>3</v>
      </c>
      <c r="E268" t="str">
        <f t="shared" si="80"/>
        <v>天官赐福状态</v>
      </c>
      <c r="F268">
        <v>0</v>
      </c>
      <c r="G268">
        <f t="shared" si="79"/>
        <v>3</v>
      </c>
      <c r="H268">
        <f t="shared" si="84"/>
        <v>25</v>
      </c>
      <c r="I268">
        <f t="shared" si="74"/>
        <v>0</v>
      </c>
      <c r="J268">
        <f t="shared" si="75"/>
        <v>0</v>
      </c>
      <c r="K268">
        <v>0</v>
      </c>
      <c r="M268">
        <v>100</v>
      </c>
      <c r="N268">
        <v>100</v>
      </c>
      <c r="O268">
        <f t="shared" si="85"/>
        <v>40</v>
      </c>
      <c r="X268">
        <f t="shared" si="81"/>
        <v>201045</v>
      </c>
      <c r="Y268">
        <f t="shared" si="82"/>
        <v>20105</v>
      </c>
    </row>
    <row r="269" spans="1:25" x14ac:dyDescent="0.15">
      <c r="A269">
        <v>20104</v>
      </c>
      <c r="B269">
        <f t="shared" si="76"/>
        <v>201</v>
      </c>
      <c r="C269">
        <v>4</v>
      </c>
      <c r="D269">
        <f t="shared" si="83"/>
        <v>3</v>
      </c>
      <c r="E269" t="str">
        <f t="shared" si="80"/>
        <v>天官赐福状态</v>
      </c>
      <c r="F269">
        <v>0</v>
      </c>
      <c r="G269">
        <f t="shared" si="79"/>
        <v>4</v>
      </c>
      <c r="H269">
        <f t="shared" si="84"/>
        <v>35</v>
      </c>
      <c r="I269">
        <f t="shared" si="74"/>
        <v>0</v>
      </c>
      <c r="J269">
        <f t="shared" si="75"/>
        <v>0</v>
      </c>
      <c r="K269">
        <v>0</v>
      </c>
      <c r="M269">
        <v>100</v>
      </c>
      <c r="N269">
        <v>100</v>
      </c>
      <c r="O269">
        <f t="shared" si="85"/>
        <v>65</v>
      </c>
      <c r="X269">
        <f t="shared" si="81"/>
        <v>201055</v>
      </c>
      <c r="Y269">
        <f t="shared" si="82"/>
        <v>20106</v>
      </c>
    </row>
    <row r="270" spans="1:25" x14ac:dyDescent="0.15">
      <c r="A270">
        <v>20105</v>
      </c>
      <c r="B270">
        <f t="shared" si="76"/>
        <v>201</v>
      </c>
      <c r="C270">
        <v>4</v>
      </c>
      <c r="D270">
        <f t="shared" si="83"/>
        <v>3</v>
      </c>
      <c r="E270" t="str">
        <f t="shared" si="80"/>
        <v>天官赐福状态</v>
      </c>
      <c r="F270">
        <v>0</v>
      </c>
      <c r="G270">
        <f t="shared" si="79"/>
        <v>5</v>
      </c>
      <c r="H270">
        <f t="shared" si="84"/>
        <v>45</v>
      </c>
      <c r="I270">
        <f t="shared" si="74"/>
        <v>0</v>
      </c>
      <c r="J270">
        <f t="shared" si="75"/>
        <v>0</v>
      </c>
      <c r="K270">
        <v>0</v>
      </c>
      <c r="M270">
        <v>100</v>
      </c>
      <c r="N270">
        <v>100</v>
      </c>
      <c r="O270">
        <f t="shared" si="85"/>
        <v>98</v>
      </c>
      <c r="X270">
        <f t="shared" si="81"/>
        <v>201065</v>
      </c>
      <c r="Y270">
        <f t="shared" si="82"/>
        <v>20107</v>
      </c>
    </row>
    <row r="271" spans="1:25" x14ac:dyDescent="0.15">
      <c r="A271">
        <v>20106</v>
      </c>
      <c r="B271">
        <f t="shared" si="76"/>
        <v>201</v>
      </c>
      <c r="C271">
        <v>4</v>
      </c>
      <c r="D271">
        <f t="shared" si="83"/>
        <v>3</v>
      </c>
      <c r="E271" t="str">
        <f t="shared" si="80"/>
        <v>天官赐福状态</v>
      </c>
      <c r="F271">
        <v>0</v>
      </c>
      <c r="G271">
        <f t="shared" si="79"/>
        <v>6</v>
      </c>
      <c r="H271">
        <f t="shared" si="84"/>
        <v>55</v>
      </c>
      <c r="I271">
        <f t="shared" si="74"/>
        <v>0</v>
      </c>
      <c r="J271">
        <f t="shared" si="75"/>
        <v>0</v>
      </c>
      <c r="K271">
        <v>0</v>
      </c>
      <c r="M271">
        <v>100</v>
      </c>
      <c r="N271">
        <v>100</v>
      </c>
      <c r="O271">
        <f t="shared" si="85"/>
        <v>138</v>
      </c>
      <c r="X271">
        <f t="shared" si="81"/>
        <v>201075</v>
      </c>
      <c r="Y271">
        <f t="shared" si="82"/>
        <v>20108</v>
      </c>
    </row>
    <row r="272" spans="1:25" x14ac:dyDescent="0.15">
      <c r="A272">
        <v>20107</v>
      </c>
      <c r="B272">
        <f t="shared" si="76"/>
        <v>201</v>
      </c>
      <c r="C272">
        <v>4</v>
      </c>
      <c r="D272">
        <f t="shared" si="83"/>
        <v>3</v>
      </c>
      <c r="E272" t="str">
        <f t="shared" si="80"/>
        <v>天官赐福状态</v>
      </c>
      <c r="F272">
        <v>0</v>
      </c>
      <c r="G272">
        <f t="shared" si="79"/>
        <v>7</v>
      </c>
      <c r="H272">
        <f t="shared" si="84"/>
        <v>65</v>
      </c>
      <c r="I272">
        <f t="shared" si="74"/>
        <v>0</v>
      </c>
      <c r="J272">
        <f t="shared" si="75"/>
        <v>0</v>
      </c>
      <c r="K272">
        <v>0</v>
      </c>
      <c r="M272">
        <v>100</v>
      </c>
      <c r="N272">
        <v>100</v>
      </c>
      <c r="O272">
        <f t="shared" si="85"/>
        <v>185</v>
      </c>
      <c r="X272">
        <f t="shared" si="81"/>
        <v>201085</v>
      </c>
      <c r="Y272">
        <f t="shared" si="82"/>
        <v>20109</v>
      </c>
    </row>
    <row r="273" spans="1:25" x14ac:dyDescent="0.15">
      <c r="A273">
        <v>20108</v>
      </c>
      <c r="B273">
        <f t="shared" ref="B273:B275" si="86">INT(A273/100)</f>
        <v>201</v>
      </c>
      <c r="C273">
        <v>4</v>
      </c>
      <c r="D273">
        <f t="shared" ref="D273:D275" si="87">IF(AND(I273&gt;0,J273=0),1,IF(AND(I273=0,J273&gt;0),2,3))</f>
        <v>3</v>
      </c>
      <c r="E273" t="str">
        <f t="shared" ref="E273:E275" si="88">VLOOKUP(B273,技能参数,2,FALSE)</f>
        <v>天官赐福状态</v>
      </c>
      <c r="F273">
        <v>0</v>
      </c>
      <c r="G273">
        <f t="shared" ref="G273:G275" si="89">MOD(A273,100)</f>
        <v>8</v>
      </c>
      <c r="H273">
        <f t="shared" si="84"/>
        <v>75</v>
      </c>
      <c r="I273">
        <f t="shared" si="74"/>
        <v>0</v>
      </c>
      <c r="J273">
        <f t="shared" si="75"/>
        <v>0</v>
      </c>
      <c r="K273">
        <v>0</v>
      </c>
      <c r="M273">
        <v>100</v>
      </c>
      <c r="N273">
        <v>100</v>
      </c>
      <c r="O273">
        <f t="shared" si="85"/>
        <v>240</v>
      </c>
      <c r="X273">
        <f t="shared" si="81"/>
        <v>201095</v>
      </c>
      <c r="Y273">
        <f t="shared" si="82"/>
        <v>20110</v>
      </c>
    </row>
    <row r="274" spans="1:25" x14ac:dyDescent="0.15">
      <c r="A274">
        <v>20109</v>
      </c>
      <c r="B274">
        <f t="shared" si="86"/>
        <v>201</v>
      </c>
      <c r="C274">
        <v>4</v>
      </c>
      <c r="D274">
        <f t="shared" si="87"/>
        <v>3</v>
      </c>
      <c r="E274" t="str">
        <f t="shared" si="88"/>
        <v>天官赐福状态</v>
      </c>
      <c r="F274">
        <v>0</v>
      </c>
      <c r="G274">
        <f t="shared" si="89"/>
        <v>9</v>
      </c>
      <c r="H274">
        <f t="shared" si="84"/>
        <v>85</v>
      </c>
      <c r="I274">
        <f t="shared" si="74"/>
        <v>0</v>
      </c>
      <c r="J274">
        <f t="shared" si="75"/>
        <v>0</v>
      </c>
      <c r="K274">
        <v>0</v>
      </c>
      <c r="M274">
        <v>100</v>
      </c>
      <c r="N274">
        <v>100</v>
      </c>
      <c r="O274">
        <f t="shared" si="85"/>
        <v>303</v>
      </c>
      <c r="X274">
        <f t="shared" si="81"/>
        <v>202003</v>
      </c>
      <c r="Y274">
        <f t="shared" si="82"/>
        <v>20201</v>
      </c>
    </row>
    <row r="275" spans="1:25" x14ac:dyDescent="0.15">
      <c r="A275">
        <v>20110</v>
      </c>
      <c r="B275">
        <f t="shared" si="86"/>
        <v>201</v>
      </c>
      <c r="C275">
        <v>4</v>
      </c>
      <c r="D275">
        <f t="shared" si="87"/>
        <v>3</v>
      </c>
      <c r="E275" t="str">
        <f t="shared" si="88"/>
        <v>天官赐福状态</v>
      </c>
      <c r="F275">
        <v>0</v>
      </c>
      <c r="G275">
        <f t="shared" si="89"/>
        <v>10</v>
      </c>
      <c r="H275">
        <f t="shared" si="84"/>
        <v>95</v>
      </c>
      <c r="I275">
        <f t="shared" si="74"/>
        <v>0</v>
      </c>
      <c r="J275">
        <f t="shared" si="75"/>
        <v>0</v>
      </c>
      <c r="K275">
        <v>0</v>
      </c>
      <c r="M275">
        <v>100</v>
      </c>
      <c r="N275">
        <v>100</v>
      </c>
      <c r="O275">
        <f t="shared" si="85"/>
        <v>373</v>
      </c>
      <c r="X275">
        <f t="shared" si="81"/>
        <v>202013</v>
      </c>
      <c r="Y275">
        <f t="shared" si="82"/>
        <v>20202</v>
      </c>
    </row>
    <row r="276" spans="1:25" x14ac:dyDescent="0.15">
      <c r="A276">
        <v>20201</v>
      </c>
      <c r="B276">
        <f t="shared" si="76"/>
        <v>202</v>
      </c>
      <c r="C276">
        <v>4</v>
      </c>
      <c r="D276">
        <f t="shared" si="83"/>
        <v>3</v>
      </c>
      <c r="E276" t="str">
        <f t="shared" si="80"/>
        <v>血吼状态</v>
      </c>
      <c r="F276">
        <v>0</v>
      </c>
      <c r="G276">
        <f t="shared" ref="G276:G295" si="90">MOD(A276,100)</f>
        <v>1</v>
      </c>
      <c r="H276">
        <f>H83</f>
        <v>3</v>
      </c>
      <c r="I276">
        <f t="shared" si="74"/>
        <v>0</v>
      </c>
      <c r="J276">
        <f t="shared" si="75"/>
        <v>0</v>
      </c>
      <c r="K276">
        <v>0</v>
      </c>
      <c r="M276">
        <v>200</v>
      </c>
      <c r="N276">
        <v>200</v>
      </c>
      <c r="O276">
        <f>INT(VLOOKUP($H276,$T$4:$U$103,2,FALSE)*1.5)-3</f>
        <v>22</v>
      </c>
      <c r="P276">
        <f>INT(VLOOKUP($H276,$T$4:$U$103,2,FALSE)*1.5)-3</f>
        <v>22</v>
      </c>
      <c r="Q276">
        <v>10</v>
      </c>
      <c r="X276">
        <f t="shared" si="81"/>
        <v>202023</v>
      </c>
      <c r="Y276">
        <f t="shared" si="82"/>
        <v>20203</v>
      </c>
    </row>
    <row r="277" spans="1:25" x14ac:dyDescent="0.15">
      <c r="A277">
        <v>20202</v>
      </c>
      <c r="B277">
        <f t="shared" si="76"/>
        <v>202</v>
      </c>
      <c r="C277">
        <v>4</v>
      </c>
      <c r="D277">
        <f t="shared" si="83"/>
        <v>3</v>
      </c>
      <c r="E277" t="str">
        <f t="shared" si="80"/>
        <v>血吼状态</v>
      </c>
      <c r="F277">
        <v>0</v>
      </c>
      <c r="G277">
        <f t="shared" si="90"/>
        <v>2</v>
      </c>
      <c r="H277">
        <f t="shared" ref="H277:H285" si="91">H84</f>
        <v>13</v>
      </c>
      <c r="I277">
        <f t="shared" si="74"/>
        <v>0</v>
      </c>
      <c r="J277">
        <f t="shared" si="75"/>
        <v>0</v>
      </c>
      <c r="K277">
        <v>0</v>
      </c>
      <c r="M277">
        <v>200</v>
      </c>
      <c r="N277">
        <v>200</v>
      </c>
      <c r="O277">
        <f t="shared" ref="O277:P285" si="92">INT(VLOOKUP($H277,$T$4:$U$103,2,FALSE)*1.5)-3</f>
        <v>49</v>
      </c>
      <c r="P277">
        <f t="shared" si="92"/>
        <v>49</v>
      </c>
      <c r="Q277">
        <v>10</v>
      </c>
      <c r="X277">
        <f t="shared" si="81"/>
        <v>202033</v>
      </c>
      <c r="Y277">
        <f t="shared" si="82"/>
        <v>20204</v>
      </c>
    </row>
    <row r="278" spans="1:25" x14ac:dyDescent="0.15">
      <c r="A278">
        <v>20203</v>
      </c>
      <c r="B278">
        <f t="shared" si="76"/>
        <v>202</v>
      </c>
      <c r="C278">
        <v>4</v>
      </c>
      <c r="D278">
        <f t="shared" si="83"/>
        <v>3</v>
      </c>
      <c r="E278" t="str">
        <f t="shared" si="80"/>
        <v>血吼状态</v>
      </c>
      <c r="F278">
        <v>0</v>
      </c>
      <c r="G278">
        <f t="shared" si="90"/>
        <v>3</v>
      </c>
      <c r="H278">
        <f t="shared" si="91"/>
        <v>23</v>
      </c>
      <c r="I278">
        <f t="shared" si="74"/>
        <v>0</v>
      </c>
      <c r="J278">
        <f t="shared" si="75"/>
        <v>0</v>
      </c>
      <c r="K278">
        <v>0</v>
      </c>
      <c r="M278">
        <v>200</v>
      </c>
      <c r="N278">
        <v>200</v>
      </c>
      <c r="O278">
        <f t="shared" si="92"/>
        <v>96</v>
      </c>
      <c r="P278">
        <f t="shared" si="92"/>
        <v>96</v>
      </c>
      <c r="Q278">
        <v>10</v>
      </c>
      <c r="X278">
        <f t="shared" si="81"/>
        <v>202043</v>
      </c>
      <c r="Y278">
        <f t="shared" si="82"/>
        <v>20205</v>
      </c>
    </row>
    <row r="279" spans="1:25" x14ac:dyDescent="0.15">
      <c r="A279">
        <v>20204</v>
      </c>
      <c r="B279">
        <f t="shared" si="76"/>
        <v>202</v>
      </c>
      <c r="C279">
        <v>4</v>
      </c>
      <c r="D279">
        <f t="shared" si="83"/>
        <v>3</v>
      </c>
      <c r="E279" t="str">
        <f t="shared" si="80"/>
        <v>血吼状态</v>
      </c>
      <c r="F279">
        <v>0</v>
      </c>
      <c r="G279">
        <f t="shared" si="90"/>
        <v>4</v>
      </c>
      <c r="H279">
        <f t="shared" si="91"/>
        <v>33</v>
      </c>
      <c r="I279">
        <f t="shared" si="74"/>
        <v>0</v>
      </c>
      <c r="J279">
        <f t="shared" si="75"/>
        <v>0</v>
      </c>
      <c r="K279">
        <v>0</v>
      </c>
      <c r="M279">
        <v>200</v>
      </c>
      <c r="N279">
        <v>200</v>
      </c>
      <c r="O279">
        <f t="shared" si="92"/>
        <v>168</v>
      </c>
      <c r="P279">
        <f t="shared" si="92"/>
        <v>168</v>
      </c>
      <c r="Q279">
        <v>10</v>
      </c>
      <c r="X279">
        <f t="shared" si="81"/>
        <v>202053</v>
      </c>
      <c r="Y279">
        <f t="shared" si="82"/>
        <v>20206</v>
      </c>
    </row>
    <row r="280" spans="1:25" x14ac:dyDescent="0.15">
      <c r="A280">
        <v>20205</v>
      </c>
      <c r="B280">
        <f t="shared" si="76"/>
        <v>202</v>
      </c>
      <c r="C280">
        <v>4</v>
      </c>
      <c r="D280">
        <f t="shared" si="83"/>
        <v>3</v>
      </c>
      <c r="E280" t="str">
        <f t="shared" si="80"/>
        <v>血吼状态</v>
      </c>
      <c r="F280">
        <v>0</v>
      </c>
      <c r="G280">
        <f t="shared" si="90"/>
        <v>5</v>
      </c>
      <c r="H280">
        <f t="shared" si="91"/>
        <v>43</v>
      </c>
      <c r="I280">
        <f t="shared" si="74"/>
        <v>0</v>
      </c>
      <c r="J280">
        <f t="shared" si="75"/>
        <v>0</v>
      </c>
      <c r="K280">
        <v>0</v>
      </c>
      <c r="M280">
        <v>200</v>
      </c>
      <c r="N280">
        <v>200</v>
      </c>
      <c r="O280">
        <f t="shared" si="92"/>
        <v>259</v>
      </c>
      <c r="P280">
        <f t="shared" si="92"/>
        <v>259</v>
      </c>
      <c r="Q280">
        <v>10</v>
      </c>
      <c r="X280">
        <f t="shared" ref="X280:X319" si="93">B282*1000+H282</f>
        <v>202063</v>
      </c>
      <c r="Y280">
        <f t="shared" ref="Y280:Y319" si="94">A282</f>
        <v>20207</v>
      </c>
    </row>
    <row r="281" spans="1:25" x14ac:dyDescent="0.15">
      <c r="A281">
        <v>20206</v>
      </c>
      <c r="B281">
        <f t="shared" si="76"/>
        <v>202</v>
      </c>
      <c r="C281">
        <v>4</v>
      </c>
      <c r="D281">
        <f t="shared" si="83"/>
        <v>3</v>
      </c>
      <c r="E281" t="str">
        <f t="shared" si="80"/>
        <v>血吼状态</v>
      </c>
      <c r="F281">
        <v>0</v>
      </c>
      <c r="G281">
        <f t="shared" si="90"/>
        <v>6</v>
      </c>
      <c r="H281">
        <f t="shared" si="91"/>
        <v>53</v>
      </c>
      <c r="I281">
        <f t="shared" si="74"/>
        <v>0</v>
      </c>
      <c r="J281">
        <f t="shared" si="75"/>
        <v>0</v>
      </c>
      <c r="K281">
        <v>0</v>
      </c>
      <c r="M281">
        <v>200</v>
      </c>
      <c r="N281">
        <v>200</v>
      </c>
      <c r="O281">
        <f t="shared" si="92"/>
        <v>376</v>
      </c>
      <c r="P281">
        <f t="shared" si="92"/>
        <v>376</v>
      </c>
      <c r="Q281">
        <v>10</v>
      </c>
      <c r="X281">
        <f t="shared" si="93"/>
        <v>202073</v>
      </c>
      <c r="Y281">
        <f t="shared" si="94"/>
        <v>20208</v>
      </c>
    </row>
    <row r="282" spans="1:25" x14ac:dyDescent="0.15">
      <c r="A282">
        <v>20207</v>
      </c>
      <c r="B282">
        <f t="shared" si="76"/>
        <v>202</v>
      </c>
      <c r="C282">
        <v>4</v>
      </c>
      <c r="D282">
        <f t="shared" si="83"/>
        <v>3</v>
      </c>
      <c r="E282" t="str">
        <f t="shared" si="80"/>
        <v>血吼状态</v>
      </c>
      <c r="F282">
        <v>0</v>
      </c>
      <c r="G282">
        <f t="shared" si="90"/>
        <v>7</v>
      </c>
      <c r="H282">
        <f t="shared" si="91"/>
        <v>63</v>
      </c>
      <c r="I282">
        <f t="shared" si="74"/>
        <v>0</v>
      </c>
      <c r="J282">
        <f t="shared" si="75"/>
        <v>0</v>
      </c>
      <c r="K282">
        <v>0</v>
      </c>
      <c r="M282">
        <v>200</v>
      </c>
      <c r="N282">
        <v>200</v>
      </c>
      <c r="O282">
        <f t="shared" si="92"/>
        <v>513</v>
      </c>
      <c r="P282">
        <f t="shared" si="92"/>
        <v>513</v>
      </c>
      <c r="Q282">
        <v>10</v>
      </c>
      <c r="X282">
        <f t="shared" si="93"/>
        <v>202083</v>
      </c>
      <c r="Y282">
        <f t="shared" si="94"/>
        <v>20209</v>
      </c>
    </row>
    <row r="283" spans="1:25" x14ac:dyDescent="0.15">
      <c r="A283">
        <v>20208</v>
      </c>
      <c r="B283">
        <f t="shared" si="76"/>
        <v>202</v>
      </c>
      <c r="C283">
        <v>4</v>
      </c>
      <c r="D283">
        <f t="shared" si="83"/>
        <v>3</v>
      </c>
      <c r="E283" t="str">
        <f t="shared" si="80"/>
        <v>血吼状态</v>
      </c>
      <c r="F283">
        <v>0</v>
      </c>
      <c r="G283">
        <f t="shared" si="90"/>
        <v>8</v>
      </c>
      <c r="H283">
        <f t="shared" si="91"/>
        <v>73</v>
      </c>
      <c r="I283">
        <f t="shared" si="74"/>
        <v>0</v>
      </c>
      <c r="J283">
        <f t="shared" si="75"/>
        <v>0</v>
      </c>
      <c r="K283">
        <v>0</v>
      </c>
      <c r="M283">
        <v>200</v>
      </c>
      <c r="N283">
        <v>200</v>
      </c>
      <c r="O283">
        <f t="shared" si="92"/>
        <v>675</v>
      </c>
      <c r="P283">
        <f t="shared" si="92"/>
        <v>675</v>
      </c>
      <c r="Q283">
        <v>10</v>
      </c>
      <c r="X283">
        <f t="shared" si="93"/>
        <v>202093</v>
      </c>
      <c r="Y283">
        <f t="shared" si="94"/>
        <v>20210</v>
      </c>
    </row>
    <row r="284" spans="1:25" x14ac:dyDescent="0.15">
      <c r="A284">
        <v>20209</v>
      </c>
      <c r="B284">
        <f t="shared" si="76"/>
        <v>202</v>
      </c>
      <c r="C284">
        <v>4</v>
      </c>
      <c r="D284">
        <f t="shared" si="83"/>
        <v>3</v>
      </c>
      <c r="E284" t="str">
        <f t="shared" si="80"/>
        <v>血吼状态</v>
      </c>
      <c r="F284">
        <v>0</v>
      </c>
      <c r="G284">
        <f t="shared" si="90"/>
        <v>9</v>
      </c>
      <c r="H284">
        <f t="shared" si="91"/>
        <v>83</v>
      </c>
      <c r="I284">
        <f t="shared" si="74"/>
        <v>0</v>
      </c>
      <c r="J284">
        <f t="shared" si="75"/>
        <v>0</v>
      </c>
      <c r="K284">
        <v>0</v>
      </c>
      <c r="M284">
        <v>200</v>
      </c>
      <c r="N284">
        <v>200</v>
      </c>
      <c r="O284">
        <f t="shared" si="92"/>
        <v>856</v>
      </c>
      <c r="P284">
        <f t="shared" si="92"/>
        <v>856</v>
      </c>
      <c r="Q284">
        <v>10</v>
      </c>
      <c r="X284">
        <f t="shared" si="93"/>
        <v>203003</v>
      </c>
      <c r="Y284">
        <f t="shared" si="94"/>
        <v>20301</v>
      </c>
    </row>
    <row r="285" spans="1:25" x14ac:dyDescent="0.15">
      <c r="A285">
        <v>20210</v>
      </c>
      <c r="B285">
        <f t="shared" si="76"/>
        <v>202</v>
      </c>
      <c r="C285">
        <v>4</v>
      </c>
      <c r="D285">
        <f t="shared" si="83"/>
        <v>3</v>
      </c>
      <c r="E285" t="str">
        <f t="shared" si="80"/>
        <v>血吼状态</v>
      </c>
      <c r="F285">
        <v>0</v>
      </c>
      <c r="G285">
        <f t="shared" si="90"/>
        <v>10</v>
      </c>
      <c r="H285">
        <f t="shared" si="91"/>
        <v>93</v>
      </c>
      <c r="I285">
        <f t="shared" si="74"/>
        <v>0</v>
      </c>
      <c r="J285">
        <f t="shared" si="75"/>
        <v>0</v>
      </c>
      <c r="K285">
        <v>0</v>
      </c>
      <c r="M285">
        <v>200</v>
      </c>
      <c r="N285">
        <v>200</v>
      </c>
      <c r="O285">
        <f t="shared" si="92"/>
        <v>1063</v>
      </c>
      <c r="P285">
        <f t="shared" si="92"/>
        <v>1063</v>
      </c>
      <c r="Q285">
        <v>10</v>
      </c>
      <c r="X285">
        <f t="shared" si="93"/>
        <v>203013</v>
      </c>
      <c r="Y285">
        <f t="shared" si="94"/>
        <v>20302</v>
      </c>
    </row>
    <row r="286" spans="1:25" x14ac:dyDescent="0.15">
      <c r="A286">
        <f>A276+100</f>
        <v>20301</v>
      </c>
      <c r="B286">
        <f t="shared" si="76"/>
        <v>203</v>
      </c>
      <c r="C286">
        <v>4</v>
      </c>
      <c r="D286">
        <f t="shared" si="83"/>
        <v>3</v>
      </c>
      <c r="E286" t="str">
        <f t="shared" si="80"/>
        <v>毒刃状态</v>
      </c>
      <c r="F286">
        <v>0</v>
      </c>
      <c r="G286">
        <f t="shared" si="90"/>
        <v>1</v>
      </c>
      <c r="H286">
        <f t="shared" ref="H286:H295" si="95">H135</f>
        <v>3</v>
      </c>
      <c r="I286">
        <f t="shared" si="74"/>
        <v>0</v>
      </c>
      <c r="J286">
        <f t="shared" si="75"/>
        <v>0</v>
      </c>
      <c r="K286">
        <v>0</v>
      </c>
      <c r="M286">
        <f>INT(VLOOKUP($H286,$T$4:$U$103,2,FALSE)*1.6-5)</f>
        <v>22</v>
      </c>
      <c r="N286">
        <v>10</v>
      </c>
      <c r="O286">
        <v>6</v>
      </c>
      <c r="R286" t="s">
        <v>404</v>
      </c>
      <c r="X286">
        <f t="shared" si="93"/>
        <v>203023</v>
      </c>
      <c r="Y286">
        <f t="shared" si="94"/>
        <v>20303</v>
      </c>
    </row>
    <row r="287" spans="1:25" x14ac:dyDescent="0.15">
      <c r="A287">
        <f t="shared" ref="A287:A296" si="96">A277+100</f>
        <v>20302</v>
      </c>
      <c r="B287">
        <f t="shared" si="76"/>
        <v>203</v>
      </c>
      <c r="C287">
        <v>4</v>
      </c>
      <c r="D287">
        <f t="shared" si="83"/>
        <v>3</v>
      </c>
      <c r="E287" t="str">
        <f t="shared" si="80"/>
        <v>毒刃状态</v>
      </c>
      <c r="F287">
        <v>0</v>
      </c>
      <c r="G287">
        <f t="shared" si="90"/>
        <v>2</v>
      </c>
      <c r="H287">
        <f t="shared" si="95"/>
        <v>13</v>
      </c>
      <c r="I287">
        <f t="shared" si="74"/>
        <v>0</v>
      </c>
      <c r="J287">
        <f t="shared" si="75"/>
        <v>0</v>
      </c>
      <c r="K287">
        <v>0</v>
      </c>
      <c r="M287">
        <f>INT(VLOOKUP($H287,$T$4:$U$103,2,FALSE)*1.6)</f>
        <v>56</v>
      </c>
      <c r="N287">
        <v>10</v>
      </c>
      <c r="O287">
        <v>6</v>
      </c>
      <c r="X287">
        <f t="shared" si="93"/>
        <v>203033</v>
      </c>
      <c r="Y287">
        <f t="shared" si="94"/>
        <v>20304</v>
      </c>
    </row>
    <row r="288" spans="1:25" x14ac:dyDescent="0.15">
      <c r="A288">
        <f t="shared" si="96"/>
        <v>20303</v>
      </c>
      <c r="B288">
        <f t="shared" si="76"/>
        <v>203</v>
      </c>
      <c r="C288">
        <v>4</v>
      </c>
      <c r="D288">
        <f t="shared" si="83"/>
        <v>3</v>
      </c>
      <c r="E288" t="str">
        <f t="shared" si="80"/>
        <v>毒刃状态</v>
      </c>
      <c r="F288">
        <v>0</v>
      </c>
      <c r="G288">
        <f t="shared" si="90"/>
        <v>3</v>
      </c>
      <c r="H288">
        <f t="shared" si="95"/>
        <v>23</v>
      </c>
      <c r="I288">
        <f t="shared" si="74"/>
        <v>0</v>
      </c>
      <c r="J288">
        <f t="shared" si="75"/>
        <v>0</v>
      </c>
      <c r="K288">
        <v>0</v>
      </c>
      <c r="M288">
        <f>INT(VLOOKUP($H288,$T$4:$U$103,2,FALSE)*1.6+30)</f>
        <v>135</v>
      </c>
      <c r="N288">
        <v>10</v>
      </c>
      <c r="O288">
        <v>6</v>
      </c>
      <c r="X288">
        <f t="shared" si="93"/>
        <v>203043</v>
      </c>
      <c r="Y288">
        <f t="shared" si="94"/>
        <v>20305</v>
      </c>
    </row>
    <row r="289" spans="1:25" x14ac:dyDescent="0.15">
      <c r="A289">
        <f t="shared" si="96"/>
        <v>20304</v>
      </c>
      <c r="B289">
        <f t="shared" si="76"/>
        <v>203</v>
      </c>
      <c r="C289">
        <v>4</v>
      </c>
      <c r="D289">
        <f t="shared" si="83"/>
        <v>3</v>
      </c>
      <c r="E289" t="str">
        <f t="shared" si="80"/>
        <v>毒刃状态</v>
      </c>
      <c r="F289">
        <v>0</v>
      </c>
      <c r="G289">
        <f t="shared" si="90"/>
        <v>4</v>
      </c>
      <c r="H289">
        <f t="shared" si="95"/>
        <v>33</v>
      </c>
      <c r="I289">
        <f t="shared" si="74"/>
        <v>0</v>
      </c>
      <c r="J289">
        <f t="shared" si="75"/>
        <v>0</v>
      </c>
      <c r="K289">
        <v>0</v>
      </c>
      <c r="M289">
        <f>INT(VLOOKUP($H289,$T$4:$U$103,2,FALSE)*1.6+50)</f>
        <v>232</v>
      </c>
      <c r="N289">
        <v>10</v>
      </c>
      <c r="O289">
        <v>6</v>
      </c>
      <c r="X289">
        <f t="shared" si="93"/>
        <v>203053</v>
      </c>
      <c r="Y289">
        <f t="shared" si="94"/>
        <v>20306</v>
      </c>
    </row>
    <row r="290" spans="1:25" x14ac:dyDescent="0.15">
      <c r="A290">
        <f t="shared" si="96"/>
        <v>20305</v>
      </c>
      <c r="B290">
        <f t="shared" si="76"/>
        <v>203</v>
      </c>
      <c r="C290">
        <v>4</v>
      </c>
      <c r="D290">
        <f t="shared" si="83"/>
        <v>3</v>
      </c>
      <c r="E290" t="str">
        <f t="shared" si="80"/>
        <v>毒刃状态</v>
      </c>
      <c r="F290">
        <v>0</v>
      </c>
      <c r="G290">
        <f t="shared" si="90"/>
        <v>5</v>
      </c>
      <c r="H290">
        <f t="shared" si="95"/>
        <v>43</v>
      </c>
      <c r="I290">
        <f t="shared" si="74"/>
        <v>0</v>
      </c>
      <c r="J290">
        <f t="shared" si="75"/>
        <v>0</v>
      </c>
      <c r="K290">
        <v>0</v>
      </c>
      <c r="M290">
        <f>INT(VLOOKUP($H290,$T$4:$U$103,2,FALSE)*1.6+50)</f>
        <v>330</v>
      </c>
      <c r="N290">
        <v>10</v>
      </c>
      <c r="O290">
        <v>6</v>
      </c>
      <c r="X290">
        <f t="shared" si="93"/>
        <v>203063</v>
      </c>
      <c r="Y290">
        <f t="shared" si="94"/>
        <v>20307</v>
      </c>
    </row>
    <row r="291" spans="1:25" x14ac:dyDescent="0.15">
      <c r="A291">
        <f t="shared" si="96"/>
        <v>20306</v>
      </c>
      <c r="B291">
        <f t="shared" si="76"/>
        <v>203</v>
      </c>
      <c r="C291">
        <v>4</v>
      </c>
      <c r="D291">
        <f t="shared" si="83"/>
        <v>3</v>
      </c>
      <c r="E291" t="str">
        <f t="shared" si="80"/>
        <v>毒刃状态</v>
      </c>
      <c r="F291">
        <v>0</v>
      </c>
      <c r="G291">
        <f t="shared" si="90"/>
        <v>6</v>
      </c>
      <c r="H291">
        <f t="shared" si="95"/>
        <v>53</v>
      </c>
      <c r="I291">
        <f>IF(VLOOKUP($B291,技能参数,9,FALSE)=0,0,
ROUND(VLOOKUP($B291,技能参数,9,FALSE)*(1+(VLOOKUP($B291,技能参数,12,FALSE)/(VLOOKUP($B291,技能参数,6,FALSE)-1))*(G291-1)),-1))</f>
        <v>0</v>
      </c>
      <c r="J291">
        <f t="shared" si="75"/>
        <v>0</v>
      </c>
      <c r="K291">
        <v>0</v>
      </c>
      <c r="M291">
        <f t="shared" ref="M291" si="97">INT(VLOOKUP($H291,$T$4:$U$103,2,FALSE)*1.6+6)</f>
        <v>410</v>
      </c>
      <c r="N291">
        <v>10</v>
      </c>
      <c r="O291">
        <v>6</v>
      </c>
      <c r="X291">
        <f t="shared" si="93"/>
        <v>203073</v>
      </c>
      <c r="Y291">
        <f t="shared" si="94"/>
        <v>20308</v>
      </c>
    </row>
    <row r="292" spans="1:25" x14ac:dyDescent="0.15">
      <c r="A292">
        <f t="shared" si="96"/>
        <v>20307</v>
      </c>
      <c r="B292">
        <f t="shared" si="76"/>
        <v>203</v>
      </c>
      <c r="C292">
        <v>4</v>
      </c>
      <c r="D292">
        <f t="shared" si="83"/>
        <v>3</v>
      </c>
      <c r="E292" t="str">
        <f t="shared" si="80"/>
        <v>毒刃状态</v>
      </c>
      <c r="F292">
        <v>0</v>
      </c>
      <c r="G292">
        <f t="shared" si="90"/>
        <v>7</v>
      </c>
      <c r="H292">
        <f t="shared" si="95"/>
        <v>63</v>
      </c>
      <c r="I292">
        <f t="shared" si="74"/>
        <v>0</v>
      </c>
      <c r="J292">
        <f t="shared" si="75"/>
        <v>0</v>
      </c>
      <c r="K292">
        <v>0</v>
      </c>
      <c r="M292">
        <f>INT(VLOOKUP($H292,$T$4:$U$103,2,FALSE)*1.6-30)</f>
        <v>520</v>
      </c>
      <c r="N292">
        <v>10</v>
      </c>
      <c r="O292">
        <v>6</v>
      </c>
      <c r="X292">
        <f t="shared" si="93"/>
        <v>203083</v>
      </c>
      <c r="Y292">
        <f t="shared" si="94"/>
        <v>20309</v>
      </c>
    </row>
    <row r="293" spans="1:25" x14ac:dyDescent="0.15">
      <c r="A293">
        <f t="shared" si="96"/>
        <v>20308</v>
      </c>
      <c r="B293">
        <f t="shared" si="76"/>
        <v>203</v>
      </c>
      <c r="C293">
        <v>4</v>
      </c>
      <c r="D293">
        <f t="shared" si="83"/>
        <v>3</v>
      </c>
      <c r="E293" t="str">
        <f t="shared" si="80"/>
        <v>毒刃状态</v>
      </c>
      <c r="F293">
        <v>0</v>
      </c>
      <c r="G293">
        <f>MOD(A293,100)</f>
        <v>8</v>
      </c>
      <c r="H293">
        <f t="shared" si="95"/>
        <v>73</v>
      </c>
      <c r="I293">
        <f t="shared" si="74"/>
        <v>0</v>
      </c>
      <c r="J293">
        <f t="shared" si="75"/>
        <v>0</v>
      </c>
      <c r="K293">
        <v>0</v>
      </c>
      <c r="M293">
        <f>INT(VLOOKUP($H293,$T$4:$U$103,2,FALSE)*1.6-110)</f>
        <v>613</v>
      </c>
      <c r="N293">
        <v>10</v>
      </c>
      <c r="O293">
        <v>6</v>
      </c>
      <c r="X293">
        <f t="shared" si="93"/>
        <v>203093</v>
      </c>
      <c r="Y293">
        <f t="shared" si="94"/>
        <v>20310</v>
      </c>
    </row>
    <row r="294" spans="1:25" x14ac:dyDescent="0.15">
      <c r="A294">
        <f t="shared" si="96"/>
        <v>20309</v>
      </c>
      <c r="B294">
        <f t="shared" si="76"/>
        <v>203</v>
      </c>
      <c r="C294">
        <v>4</v>
      </c>
      <c r="D294">
        <f t="shared" si="83"/>
        <v>3</v>
      </c>
      <c r="E294" t="str">
        <f t="shared" si="80"/>
        <v>毒刃状态</v>
      </c>
      <c r="F294">
        <v>0</v>
      </c>
      <c r="G294">
        <f t="shared" si="90"/>
        <v>9</v>
      </c>
      <c r="H294">
        <f t="shared" si="95"/>
        <v>83</v>
      </c>
      <c r="I294">
        <f t="shared" si="74"/>
        <v>0</v>
      </c>
      <c r="J294">
        <f t="shared" si="75"/>
        <v>0</v>
      </c>
      <c r="K294">
        <v>0</v>
      </c>
      <c r="M294">
        <f>INT(VLOOKUP($H294,$T$4:$U$103,2,FALSE)*1.6-90)</f>
        <v>826</v>
      </c>
      <c r="N294">
        <v>10</v>
      </c>
      <c r="O294">
        <v>6</v>
      </c>
      <c r="X294">
        <f>B296*1000+H296</f>
        <v>204000</v>
      </c>
      <c r="Y294">
        <f t="shared" si="94"/>
        <v>20401</v>
      </c>
    </row>
    <row r="295" spans="1:25" x14ac:dyDescent="0.15">
      <c r="A295">
        <f t="shared" si="96"/>
        <v>20310</v>
      </c>
      <c r="B295">
        <f t="shared" si="76"/>
        <v>203</v>
      </c>
      <c r="C295">
        <v>4</v>
      </c>
      <c r="D295">
        <f t="shared" si="83"/>
        <v>3</v>
      </c>
      <c r="E295" t="str">
        <f t="shared" si="80"/>
        <v>毒刃状态</v>
      </c>
      <c r="F295">
        <v>0</v>
      </c>
      <c r="G295">
        <f t="shared" si="90"/>
        <v>10</v>
      </c>
      <c r="H295">
        <f t="shared" si="95"/>
        <v>93</v>
      </c>
      <c r="I295">
        <f t="shared" si="74"/>
        <v>0</v>
      </c>
      <c r="J295">
        <f t="shared" si="75"/>
        <v>0</v>
      </c>
      <c r="K295">
        <v>0</v>
      </c>
      <c r="M295">
        <f t="shared" ref="M295" si="98">INT(VLOOKUP($H295,$T$4:$U$103,2,FALSE)*1.6-30)</f>
        <v>1107</v>
      </c>
      <c r="N295">
        <v>10</v>
      </c>
      <c r="O295">
        <v>6</v>
      </c>
      <c r="X295">
        <f t="shared" si="93"/>
        <v>205001</v>
      </c>
      <c r="Y295">
        <f t="shared" si="94"/>
        <v>20501</v>
      </c>
    </row>
    <row r="296" spans="1:25" x14ac:dyDescent="0.15">
      <c r="A296">
        <f t="shared" si="96"/>
        <v>20401</v>
      </c>
      <c r="B296">
        <f t="shared" si="76"/>
        <v>204</v>
      </c>
      <c r="C296">
        <v>4</v>
      </c>
      <c r="D296">
        <f t="shared" ref="D296:D298" si="99">IF(AND(I296&gt;0,J296=0),1,IF(AND(I296=0,J296&gt;0),2,3))</f>
        <v>3</v>
      </c>
      <c r="E296" t="str">
        <f t="shared" si="80"/>
        <v>眩晕状态</v>
      </c>
      <c r="F296">
        <v>0</v>
      </c>
      <c r="G296">
        <f t="shared" ref="G296:G303" si="100">MOD(A296,100)</f>
        <v>1</v>
      </c>
      <c r="H296">
        <v>0</v>
      </c>
      <c r="I296">
        <f t="shared" ref="I296:I298" si="101">IF(VLOOKUP($B296,技能参数,9,FALSE)=0,0,
ROUND(VLOOKUP($B296,技能参数,9,FALSE)*(1+(VLOOKUP($B296,技能参数,12,FALSE)/(VLOOKUP($B296,技能参数,6,FALSE)-1))*(G296-1)),-1))</f>
        <v>0</v>
      </c>
      <c r="J296">
        <f t="shared" ref="J296:J298" si="102">IF(VLOOKUP($B296,技能参数,10,FALSE)=0,0,
ROUND(VLOOKUP($B296,技能参数,10,FALSE)*(1+(VLOOKUP($B296,技能参数,12,FALSE)/(VLOOKUP($B296,技能参数,6,FALSE)-1))*(G296-1)),-1))</f>
        <v>0</v>
      </c>
      <c r="K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 t="s">
        <v>339</v>
      </c>
      <c r="X296">
        <f>B298*1000+H298</f>
        <v>205011</v>
      </c>
      <c r="Y296">
        <f t="shared" si="94"/>
        <v>20502</v>
      </c>
    </row>
    <row r="297" spans="1:25" x14ac:dyDescent="0.15">
      <c r="A297">
        <v>20501</v>
      </c>
      <c r="B297">
        <f t="shared" si="76"/>
        <v>205</v>
      </c>
      <c r="C297">
        <v>4</v>
      </c>
      <c r="D297">
        <f t="shared" si="99"/>
        <v>3</v>
      </c>
      <c r="E297" t="s">
        <v>432</v>
      </c>
      <c r="F297">
        <v>0</v>
      </c>
      <c r="G297">
        <f t="shared" si="100"/>
        <v>1</v>
      </c>
      <c r="H297">
        <f>H177</f>
        <v>1</v>
      </c>
      <c r="I297">
        <f>IF(VLOOKUP($B297,技能参数,9,FALSE)=0,0,
ROUND(VLOOKUP($B297,技能参数,9,FALSE)*(1+(VLOOKUP($B297,技能参数,12,FALSE)/(VLOOKUP($B297,技能参数,6,FALSE)-1))*(G297-1)),-1))</f>
        <v>0</v>
      </c>
      <c r="J297">
        <f t="shared" si="102"/>
        <v>0</v>
      </c>
      <c r="K297">
        <v>0</v>
      </c>
      <c r="X297">
        <f t="shared" si="93"/>
        <v>205021</v>
      </c>
      <c r="Y297">
        <f t="shared" si="94"/>
        <v>20503</v>
      </c>
    </row>
    <row r="298" spans="1:25" x14ac:dyDescent="0.15">
      <c r="A298">
        <v>20502</v>
      </c>
      <c r="B298">
        <f t="shared" si="76"/>
        <v>205</v>
      </c>
      <c r="C298">
        <v>4</v>
      </c>
      <c r="D298">
        <f t="shared" si="99"/>
        <v>3</v>
      </c>
      <c r="E298" t="s">
        <v>432</v>
      </c>
      <c r="F298">
        <v>0</v>
      </c>
      <c r="G298">
        <f t="shared" si="100"/>
        <v>2</v>
      </c>
      <c r="H298">
        <f t="shared" ref="H298:H316" si="103">H178</f>
        <v>11</v>
      </c>
      <c r="I298">
        <f t="shared" si="101"/>
        <v>0</v>
      </c>
      <c r="J298">
        <f t="shared" si="102"/>
        <v>0</v>
      </c>
      <c r="K298">
        <v>0</v>
      </c>
      <c r="X298">
        <f t="shared" si="93"/>
        <v>205031</v>
      </c>
      <c r="Y298">
        <f t="shared" si="94"/>
        <v>20504</v>
      </c>
    </row>
    <row r="299" spans="1:25" x14ac:dyDescent="0.15">
      <c r="A299">
        <v>20503</v>
      </c>
      <c r="B299">
        <f t="shared" si="76"/>
        <v>205</v>
      </c>
      <c r="C299">
        <v>4</v>
      </c>
      <c r="D299">
        <f t="shared" ref="D299:D316" si="104">IF(AND(I299&gt;0,J299=0),1,IF(AND(I299=0,J299&gt;0),2,3))</f>
        <v>3</v>
      </c>
      <c r="E299" t="s">
        <v>432</v>
      </c>
      <c r="F299">
        <v>0</v>
      </c>
      <c r="G299">
        <f t="shared" si="100"/>
        <v>3</v>
      </c>
      <c r="H299">
        <f t="shared" si="103"/>
        <v>21</v>
      </c>
      <c r="I299">
        <f t="shared" ref="I299:I316" si="105">IF(VLOOKUP($B299,技能参数,9,FALSE)=0,0,
ROUND(VLOOKUP($B299,技能参数,9,FALSE)*(1+(VLOOKUP($B299,技能参数,12,FALSE)/(VLOOKUP($B299,技能参数,6,FALSE)-1))*(G299-1)),-1))</f>
        <v>0</v>
      </c>
      <c r="J299">
        <f t="shared" ref="J299:J316" si="106">IF(VLOOKUP($B299,技能参数,10,FALSE)=0,0,
ROUND(VLOOKUP($B299,技能参数,10,FALSE)*(1+(VLOOKUP($B299,技能参数,12,FALSE)/(VLOOKUP($B299,技能参数,6,FALSE)-1))*(G299-1)),-1))</f>
        <v>0</v>
      </c>
      <c r="K299">
        <v>0</v>
      </c>
      <c r="X299">
        <f t="shared" si="93"/>
        <v>205041</v>
      </c>
      <c r="Y299">
        <f t="shared" si="94"/>
        <v>20505</v>
      </c>
    </row>
    <row r="300" spans="1:25" x14ac:dyDescent="0.15">
      <c r="A300">
        <v>20504</v>
      </c>
      <c r="B300">
        <f t="shared" si="76"/>
        <v>205</v>
      </c>
      <c r="C300">
        <v>4</v>
      </c>
      <c r="D300">
        <f t="shared" si="104"/>
        <v>3</v>
      </c>
      <c r="E300" t="s">
        <v>432</v>
      </c>
      <c r="F300">
        <v>0</v>
      </c>
      <c r="G300">
        <f t="shared" si="100"/>
        <v>4</v>
      </c>
      <c r="H300">
        <f t="shared" si="103"/>
        <v>31</v>
      </c>
      <c r="I300">
        <f t="shared" si="105"/>
        <v>0</v>
      </c>
      <c r="J300">
        <f t="shared" si="106"/>
        <v>0</v>
      </c>
      <c r="K300">
        <v>0</v>
      </c>
      <c r="X300">
        <f t="shared" si="93"/>
        <v>205051</v>
      </c>
      <c r="Y300">
        <f t="shared" si="94"/>
        <v>20506</v>
      </c>
    </row>
    <row r="301" spans="1:25" x14ac:dyDescent="0.15">
      <c r="A301">
        <v>20505</v>
      </c>
      <c r="B301">
        <f t="shared" si="76"/>
        <v>205</v>
      </c>
      <c r="C301">
        <v>4</v>
      </c>
      <c r="D301">
        <f t="shared" si="104"/>
        <v>3</v>
      </c>
      <c r="E301" t="s">
        <v>432</v>
      </c>
      <c r="F301">
        <v>0</v>
      </c>
      <c r="G301">
        <f t="shared" si="100"/>
        <v>5</v>
      </c>
      <c r="H301">
        <f t="shared" si="103"/>
        <v>41</v>
      </c>
      <c r="I301">
        <f t="shared" si="105"/>
        <v>0</v>
      </c>
      <c r="J301">
        <f t="shared" si="106"/>
        <v>0</v>
      </c>
      <c r="K301">
        <v>0</v>
      </c>
      <c r="X301">
        <f t="shared" si="93"/>
        <v>205061</v>
      </c>
      <c r="Y301">
        <f t="shared" si="94"/>
        <v>20507</v>
      </c>
    </row>
    <row r="302" spans="1:25" x14ac:dyDescent="0.15">
      <c r="A302">
        <v>20506</v>
      </c>
      <c r="B302">
        <f t="shared" si="76"/>
        <v>205</v>
      </c>
      <c r="C302">
        <v>4</v>
      </c>
      <c r="D302">
        <f t="shared" si="104"/>
        <v>3</v>
      </c>
      <c r="E302" t="s">
        <v>432</v>
      </c>
      <c r="F302">
        <v>0</v>
      </c>
      <c r="G302">
        <f t="shared" si="100"/>
        <v>6</v>
      </c>
      <c r="H302">
        <f t="shared" si="103"/>
        <v>51</v>
      </c>
      <c r="I302">
        <f t="shared" si="105"/>
        <v>0</v>
      </c>
      <c r="J302">
        <f t="shared" si="106"/>
        <v>0</v>
      </c>
      <c r="K302">
        <v>0</v>
      </c>
      <c r="X302">
        <f t="shared" si="93"/>
        <v>205071</v>
      </c>
      <c r="Y302">
        <f t="shared" si="94"/>
        <v>20508</v>
      </c>
    </row>
    <row r="303" spans="1:25" x14ac:dyDescent="0.15">
      <c r="A303">
        <v>20507</v>
      </c>
      <c r="B303">
        <f t="shared" si="76"/>
        <v>205</v>
      </c>
      <c r="C303">
        <v>4</v>
      </c>
      <c r="D303">
        <f t="shared" si="104"/>
        <v>3</v>
      </c>
      <c r="E303" t="s">
        <v>432</v>
      </c>
      <c r="F303">
        <v>0</v>
      </c>
      <c r="G303">
        <f t="shared" si="100"/>
        <v>7</v>
      </c>
      <c r="H303">
        <f t="shared" si="103"/>
        <v>61</v>
      </c>
      <c r="I303">
        <f t="shared" si="105"/>
        <v>0</v>
      </c>
      <c r="J303">
        <f t="shared" si="106"/>
        <v>0</v>
      </c>
      <c r="K303">
        <v>0</v>
      </c>
      <c r="X303">
        <f t="shared" si="93"/>
        <v>205081</v>
      </c>
      <c r="Y303">
        <f t="shared" si="94"/>
        <v>20509</v>
      </c>
    </row>
    <row r="304" spans="1:25" x14ac:dyDescent="0.15">
      <c r="A304">
        <v>20508</v>
      </c>
      <c r="B304">
        <f t="shared" si="76"/>
        <v>205</v>
      </c>
      <c r="C304">
        <v>4</v>
      </c>
      <c r="D304">
        <f t="shared" si="104"/>
        <v>3</v>
      </c>
      <c r="E304" t="s">
        <v>432</v>
      </c>
      <c r="F304">
        <v>0</v>
      </c>
      <c r="G304">
        <f>MOD(A304,100)</f>
        <v>8</v>
      </c>
      <c r="H304">
        <f t="shared" si="103"/>
        <v>71</v>
      </c>
      <c r="I304">
        <f t="shared" si="105"/>
        <v>0</v>
      </c>
      <c r="J304">
        <f t="shared" si="106"/>
        <v>0</v>
      </c>
      <c r="K304">
        <v>0</v>
      </c>
      <c r="X304">
        <f t="shared" si="93"/>
        <v>205091</v>
      </c>
      <c r="Y304">
        <f t="shared" si="94"/>
        <v>20510</v>
      </c>
    </row>
    <row r="305" spans="1:25" x14ac:dyDescent="0.15">
      <c r="A305">
        <v>20509</v>
      </c>
      <c r="B305">
        <f t="shared" si="76"/>
        <v>205</v>
      </c>
      <c r="C305">
        <v>4</v>
      </c>
      <c r="D305">
        <f t="shared" si="104"/>
        <v>3</v>
      </c>
      <c r="E305" t="s">
        <v>432</v>
      </c>
      <c r="F305">
        <v>0</v>
      </c>
      <c r="G305">
        <f t="shared" ref="G305:G313" si="107">MOD(A305,100)</f>
        <v>9</v>
      </c>
      <c r="H305">
        <f t="shared" si="103"/>
        <v>81</v>
      </c>
      <c r="I305">
        <f t="shared" si="105"/>
        <v>0</v>
      </c>
      <c r="J305">
        <f t="shared" si="106"/>
        <v>0</v>
      </c>
      <c r="K305">
        <v>0</v>
      </c>
      <c r="X305">
        <f t="shared" si="93"/>
        <v>206003</v>
      </c>
      <c r="Y305">
        <f t="shared" si="94"/>
        <v>20601</v>
      </c>
    </row>
    <row r="306" spans="1:25" x14ac:dyDescent="0.15">
      <c r="A306">
        <v>20510</v>
      </c>
      <c r="B306">
        <f t="shared" si="76"/>
        <v>205</v>
      </c>
      <c r="C306">
        <v>4</v>
      </c>
      <c r="D306">
        <f t="shared" si="104"/>
        <v>3</v>
      </c>
      <c r="E306" t="s">
        <v>432</v>
      </c>
      <c r="F306">
        <v>0</v>
      </c>
      <c r="G306">
        <f t="shared" si="107"/>
        <v>10</v>
      </c>
      <c r="H306">
        <f t="shared" si="103"/>
        <v>91</v>
      </c>
      <c r="I306">
        <f t="shared" si="105"/>
        <v>0</v>
      </c>
      <c r="J306">
        <f t="shared" si="106"/>
        <v>0</v>
      </c>
      <c r="K306">
        <v>0</v>
      </c>
      <c r="X306">
        <f t="shared" si="93"/>
        <v>206013</v>
      </c>
      <c r="Y306">
        <f t="shared" si="94"/>
        <v>20602</v>
      </c>
    </row>
    <row r="307" spans="1:25" x14ac:dyDescent="0.15">
      <c r="A307">
        <f>A297+100</f>
        <v>20601</v>
      </c>
      <c r="B307">
        <f t="shared" si="76"/>
        <v>206</v>
      </c>
      <c r="C307">
        <v>4</v>
      </c>
      <c r="D307">
        <f t="shared" si="104"/>
        <v>3</v>
      </c>
      <c r="E307" t="s">
        <v>433</v>
      </c>
      <c r="F307">
        <v>0</v>
      </c>
      <c r="G307">
        <f t="shared" si="107"/>
        <v>1</v>
      </c>
      <c r="H307">
        <f t="shared" si="103"/>
        <v>3</v>
      </c>
      <c r="I307">
        <f t="shared" si="105"/>
        <v>0</v>
      </c>
      <c r="J307">
        <f t="shared" si="106"/>
        <v>0</v>
      </c>
      <c r="K307">
        <v>0</v>
      </c>
      <c r="X307">
        <f t="shared" si="93"/>
        <v>206023</v>
      </c>
      <c r="Y307">
        <f t="shared" si="94"/>
        <v>20603</v>
      </c>
    </row>
    <row r="308" spans="1:25" x14ac:dyDescent="0.15">
      <c r="A308">
        <f t="shared" ref="A308:A316" si="108">A298+100</f>
        <v>20602</v>
      </c>
      <c r="B308">
        <f t="shared" si="76"/>
        <v>206</v>
      </c>
      <c r="C308">
        <v>4</v>
      </c>
      <c r="D308">
        <f t="shared" si="104"/>
        <v>3</v>
      </c>
      <c r="E308" t="s">
        <v>433</v>
      </c>
      <c r="F308">
        <v>0</v>
      </c>
      <c r="G308">
        <f t="shared" si="107"/>
        <v>2</v>
      </c>
      <c r="H308">
        <f t="shared" si="103"/>
        <v>13</v>
      </c>
      <c r="I308">
        <f t="shared" si="105"/>
        <v>0</v>
      </c>
      <c r="J308">
        <f t="shared" si="106"/>
        <v>0</v>
      </c>
      <c r="K308">
        <v>0</v>
      </c>
      <c r="X308">
        <f t="shared" si="93"/>
        <v>206033</v>
      </c>
      <c r="Y308">
        <f t="shared" si="94"/>
        <v>20604</v>
      </c>
    </row>
    <row r="309" spans="1:25" x14ac:dyDescent="0.15">
      <c r="A309">
        <f t="shared" si="108"/>
        <v>20603</v>
      </c>
      <c r="B309">
        <f t="shared" si="76"/>
        <v>206</v>
      </c>
      <c r="C309">
        <v>4</v>
      </c>
      <c r="D309">
        <f t="shared" si="104"/>
        <v>3</v>
      </c>
      <c r="E309" t="s">
        <v>433</v>
      </c>
      <c r="F309">
        <v>0</v>
      </c>
      <c r="G309">
        <f t="shared" si="107"/>
        <v>3</v>
      </c>
      <c r="H309">
        <f t="shared" si="103"/>
        <v>23</v>
      </c>
      <c r="I309">
        <f t="shared" si="105"/>
        <v>0</v>
      </c>
      <c r="J309">
        <f t="shared" si="106"/>
        <v>0</v>
      </c>
      <c r="K309">
        <v>0</v>
      </c>
      <c r="X309">
        <f t="shared" si="93"/>
        <v>206043</v>
      </c>
      <c r="Y309">
        <f t="shared" si="94"/>
        <v>20605</v>
      </c>
    </row>
    <row r="310" spans="1:25" x14ac:dyDescent="0.15">
      <c r="A310">
        <f t="shared" si="108"/>
        <v>20604</v>
      </c>
      <c r="B310">
        <f t="shared" si="76"/>
        <v>206</v>
      </c>
      <c r="C310">
        <v>4</v>
      </c>
      <c r="D310">
        <f t="shared" si="104"/>
        <v>3</v>
      </c>
      <c r="E310" t="s">
        <v>433</v>
      </c>
      <c r="F310">
        <v>0</v>
      </c>
      <c r="G310">
        <f t="shared" si="107"/>
        <v>4</v>
      </c>
      <c r="H310">
        <f t="shared" si="103"/>
        <v>33</v>
      </c>
      <c r="I310">
        <f t="shared" si="105"/>
        <v>0</v>
      </c>
      <c r="J310">
        <f t="shared" si="106"/>
        <v>0</v>
      </c>
      <c r="K310">
        <v>0</v>
      </c>
      <c r="X310">
        <f t="shared" si="93"/>
        <v>206053</v>
      </c>
      <c r="Y310">
        <f t="shared" si="94"/>
        <v>20606</v>
      </c>
    </row>
    <row r="311" spans="1:25" x14ac:dyDescent="0.15">
      <c r="A311">
        <f t="shared" si="108"/>
        <v>20605</v>
      </c>
      <c r="B311">
        <f t="shared" si="76"/>
        <v>206</v>
      </c>
      <c r="C311">
        <v>4</v>
      </c>
      <c r="D311">
        <f t="shared" si="104"/>
        <v>3</v>
      </c>
      <c r="E311" t="s">
        <v>433</v>
      </c>
      <c r="F311">
        <v>0</v>
      </c>
      <c r="G311">
        <f t="shared" si="107"/>
        <v>5</v>
      </c>
      <c r="H311">
        <f t="shared" si="103"/>
        <v>43</v>
      </c>
      <c r="I311">
        <f t="shared" si="105"/>
        <v>0</v>
      </c>
      <c r="J311">
        <f t="shared" si="106"/>
        <v>0</v>
      </c>
      <c r="K311">
        <v>0</v>
      </c>
      <c r="X311">
        <f t="shared" si="93"/>
        <v>206063</v>
      </c>
      <c r="Y311">
        <f t="shared" si="94"/>
        <v>20607</v>
      </c>
    </row>
    <row r="312" spans="1:25" x14ac:dyDescent="0.15">
      <c r="A312">
        <f t="shared" si="108"/>
        <v>20606</v>
      </c>
      <c r="B312">
        <f t="shared" si="76"/>
        <v>206</v>
      </c>
      <c r="C312">
        <v>4</v>
      </c>
      <c r="D312">
        <f t="shared" si="104"/>
        <v>3</v>
      </c>
      <c r="E312" t="s">
        <v>433</v>
      </c>
      <c r="F312">
        <v>0</v>
      </c>
      <c r="G312">
        <f t="shared" si="107"/>
        <v>6</v>
      </c>
      <c r="H312">
        <f t="shared" si="103"/>
        <v>53</v>
      </c>
      <c r="I312">
        <f t="shared" si="105"/>
        <v>0</v>
      </c>
      <c r="J312">
        <f t="shared" si="106"/>
        <v>0</v>
      </c>
      <c r="K312">
        <v>0</v>
      </c>
      <c r="X312">
        <f t="shared" si="93"/>
        <v>206073</v>
      </c>
      <c r="Y312">
        <f t="shared" si="94"/>
        <v>20608</v>
      </c>
    </row>
    <row r="313" spans="1:25" x14ac:dyDescent="0.15">
      <c r="A313">
        <f t="shared" si="108"/>
        <v>20607</v>
      </c>
      <c r="B313">
        <f t="shared" si="76"/>
        <v>206</v>
      </c>
      <c r="C313">
        <v>4</v>
      </c>
      <c r="D313">
        <f t="shared" si="104"/>
        <v>3</v>
      </c>
      <c r="E313" t="s">
        <v>433</v>
      </c>
      <c r="F313">
        <v>0</v>
      </c>
      <c r="G313">
        <f t="shared" si="107"/>
        <v>7</v>
      </c>
      <c r="H313">
        <f t="shared" si="103"/>
        <v>63</v>
      </c>
      <c r="I313">
        <f t="shared" si="105"/>
        <v>0</v>
      </c>
      <c r="J313">
        <f t="shared" si="106"/>
        <v>0</v>
      </c>
      <c r="K313">
        <v>0</v>
      </c>
      <c r="X313">
        <f t="shared" si="93"/>
        <v>206083</v>
      </c>
      <c r="Y313">
        <f t="shared" si="94"/>
        <v>20609</v>
      </c>
    </row>
    <row r="314" spans="1:25" x14ac:dyDescent="0.15">
      <c r="A314">
        <f t="shared" si="108"/>
        <v>20608</v>
      </c>
      <c r="B314">
        <f t="shared" si="76"/>
        <v>206</v>
      </c>
      <c r="C314">
        <v>4</v>
      </c>
      <c r="D314">
        <f t="shared" si="104"/>
        <v>3</v>
      </c>
      <c r="E314" t="s">
        <v>433</v>
      </c>
      <c r="F314">
        <v>0</v>
      </c>
      <c r="G314">
        <f>MOD(A314,100)</f>
        <v>8</v>
      </c>
      <c r="H314">
        <f t="shared" si="103"/>
        <v>73</v>
      </c>
      <c r="I314">
        <f t="shared" si="105"/>
        <v>0</v>
      </c>
      <c r="J314">
        <f t="shared" si="106"/>
        <v>0</v>
      </c>
      <c r="K314">
        <v>0</v>
      </c>
      <c r="X314">
        <f t="shared" si="93"/>
        <v>206093</v>
      </c>
      <c r="Y314">
        <f t="shared" si="94"/>
        <v>20610</v>
      </c>
    </row>
    <row r="315" spans="1:25" x14ac:dyDescent="0.15">
      <c r="A315">
        <f t="shared" si="108"/>
        <v>20609</v>
      </c>
      <c r="B315">
        <f t="shared" si="76"/>
        <v>206</v>
      </c>
      <c r="C315">
        <v>4</v>
      </c>
      <c r="D315">
        <f t="shared" si="104"/>
        <v>3</v>
      </c>
      <c r="E315" t="s">
        <v>433</v>
      </c>
      <c r="F315">
        <v>0</v>
      </c>
      <c r="G315">
        <f t="shared" ref="G315:G316" si="109">MOD(A315,100)</f>
        <v>9</v>
      </c>
      <c r="H315">
        <f t="shared" si="103"/>
        <v>83</v>
      </c>
      <c r="I315">
        <f t="shared" si="105"/>
        <v>0</v>
      </c>
      <c r="J315">
        <f t="shared" si="106"/>
        <v>0</v>
      </c>
      <c r="K315">
        <v>0</v>
      </c>
      <c r="X315">
        <f t="shared" si="93"/>
        <v>0</v>
      </c>
      <c r="Y315">
        <f t="shared" si="94"/>
        <v>0</v>
      </c>
    </row>
    <row r="316" spans="1:25" x14ac:dyDescent="0.15">
      <c r="A316">
        <f t="shared" si="108"/>
        <v>20610</v>
      </c>
      <c r="B316">
        <f t="shared" si="76"/>
        <v>206</v>
      </c>
      <c r="C316">
        <v>4</v>
      </c>
      <c r="D316">
        <f t="shared" si="104"/>
        <v>3</v>
      </c>
      <c r="E316" t="s">
        <v>433</v>
      </c>
      <c r="F316">
        <v>0</v>
      </c>
      <c r="G316">
        <f t="shared" si="109"/>
        <v>10</v>
      </c>
      <c r="H316">
        <f t="shared" si="103"/>
        <v>93</v>
      </c>
      <c r="I316">
        <f t="shared" si="105"/>
        <v>0</v>
      </c>
      <c r="J316">
        <f t="shared" si="106"/>
        <v>0</v>
      </c>
      <c r="K316">
        <v>0</v>
      </c>
      <c r="X316">
        <f t="shared" si="93"/>
        <v>0</v>
      </c>
      <c r="Y316">
        <f t="shared" si="94"/>
        <v>0</v>
      </c>
    </row>
    <row r="317" spans="1:25" x14ac:dyDescent="0.15">
      <c r="X317">
        <f t="shared" si="93"/>
        <v>0</v>
      </c>
      <c r="Y317">
        <f t="shared" si="94"/>
        <v>0</v>
      </c>
    </row>
    <row r="318" spans="1:25" x14ac:dyDescent="0.15">
      <c r="X318">
        <f t="shared" si="93"/>
        <v>0</v>
      </c>
      <c r="Y318">
        <f t="shared" si="94"/>
        <v>0</v>
      </c>
    </row>
    <row r="319" spans="1:25" x14ac:dyDescent="0.15">
      <c r="X319">
        <f t="shared" si="93"/>
        <v>0</v>
      </c>
      <c r="Y319">
        <f t="shared" si="94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topLeftCell="A34" workbookViewId="0">
      <selection activeCell="H38" sqref="H38"/>
    </sheetView>
  </sheetViews>
  <sheetFormatPr defaultRowHeight="13.5" x14ac:dyDescent="0.15"/>
  <cols>
    <col min="4" max="4" width="18.5" bestFit="1" customWidth="1"/>
  </cols>
  <sheetData>
    <row r="1" spans="1:42" x14ac:dyDescent="0.1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C1" t="str">
        <f>[1]参数表!B5</f>
        <v>参数1</v>
      </c>
      <c r="AD1">
        <f>[1]参数表!C5</f>
        <v>0.6</v>
      </c>
      <c r="AE1" t="str">
        <f>[1]参数表!D5</f>
        <v>物攻主属性参数</v>
      </c>
    </row>
    <row r="2" spans="1:42" x14ac:dyDescent="0.15">
      <c r="A2" t="s">
        <v>384</v>
      </c>
      <c r="B2" t="s">
        <v>385</v>
      </c>
      <c r="C2" t="s">
        <v>276</v>
      </c>
      <c r="D2" t="s">
        <v>275</v>
      </c>
      <c r="E2" t="s">
        <v>238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221</v>
      </c>
      <c r="O2" t="s">
        <v>222</v>
      </c>
      <c r="P2" t="s">
        <v>223</v>
      </c>
      <c r="Q2" t="s">
        <v>224</v>
      </c>
      <c r="R2" t="s">
        <v>225</v>
      </c>
      <c r="S2" t="s">
        <v>226</v>
      </c>
      <c r="T2" t="s">
        <v>227</v>
      </c>
      <c r="U2" t="s">
        <v>228</v>
      </c>
      <c r="V2" t="s">
        <v>229</v>
      </c>
      <c r="W2" t="s">
        <v>243</v>
      </c>
      <c r="X2" t="s">
        <v>244</v>
      </c>
      <c r="Y2" t="s">
        <v>245</v>
      </c>
      <c r="Z2" t="s">
        <v>237</v>
      </c>
      <c r="AC2" t="str">
        <f>[1]参数表!B6</f>
        <v>参数2</v>
      </c>
      <c r="AD2">
        <f>[1]参数表!C6</f>
        <v>0.5</v>
      </c>
      <c r="AE2" t="str">
        <f>[1]参数表!D6</f>
        <v>物攻力道参数</v>
      </c>
    </row>
    <row r="3" spans="1:42" x14ac:dyDescent="0.15">
      <c r="A3">
        <v>15</v>
      </c>
      <c r="B3">
        <v>10</v>
      </c>
      <c r="C3">
        <f>A3*1000+B3</f>
        <v>15010</v>
      </c>
      <c r="D3">
        <f t="shared" ref="D3:D22" si="0">VLOOKUP(C3,学习等级编码,2)</f>
        <v>1501</v>
      </c>
      <c r="E3">
        <f>INT(A3/10)*1000+B3</f>
        <v>1010</v>
      </c>
      <c r="F3">
        <f>INT(VLOOKUP($D3,技能升级,14,FALSE)+VLOOKUP($D3,技能升级,16,FALSE)/1000*VLOOKUP($E3,总基本属性,3,FALSE))</f>
        <v>22</v>
      </c>
      <c r="I3">
        <f>INT(F3*$AD$7)</f>
        <v>440</v>
      </c>
      <c r="J3">
        <f t="shared" ref="J3:J14" si="1">INT(IF(OR(INT($E3/1000)=1,INT($E3/1000)=2),$F3*$AD$1,IF(OR(INT($E3/1000)=3,INT($E3/1000)=5),$G3*$AD$1,$H3*$AD$1))+$F3*$AD$2)</f>
        <v>24</v>
      </c>
      <c r="K3">
        <f t="shared" ref="K3:K14" si="2">INT(IF(OR(INT($E3/1000)=1,INT($E3/1000)=2),$F3*$AD$3,IF(OR(INT($E3/1000)=3,INT($E3/1000)=5),$G3*$AD$3,$H3*$AD$3))+$H3*$AD$4)</f>
        <v>13</v>
      </c>
      <c r="L3">
        <f>INT(G3*$AD$5)</f>
        <v>0</v>
      </c>
      <c r="M3">
        <f>INT(G3*$AD$6)</f>
        <v>0</v>
      </c>
      <c r="N3">
        <f>INT(VLOOKUP($D3,技能升级,13,FALSE)+VLOOKUP($D3,技能升级,15,FALSE)/1000*VLOOKUP($E3,总基本属性,6,FALSE))</f>
        <v>868</v>
      </c>
      <c r="AC3" t="str">
        <f>[1]参数表!B7</f>
        <v>参数3</v>
      </c>
      <c r="AD3">
        <f>[1]参数表!C7</f>
        <v>0.6</v>
      </c>
      <c r="AE3" t="str">
        <f>[1]参数表!D7</f>
        <v>魔攻主属性参数</v>
      </c>
    </row>
    <row r="4" spans="1:42" x14ac:dyDescent="0.15">
      <c r="A4">
        <v>14</v>
      </c>
      <c r="B4">
        <v>10</v>
      </c>
      <c r="C4">
        <f t="shared" ref="C4:C22" si="3">A4*1000+B4</f>
        <v>14010</v>
      </c>
      <c r="D4">
        <f t="shared" si="0"/>
        <v>1401</v>
      </c>
      <c r="E4">
        <f t="shared" ref="E4:E22" si="4">INT(A4/10)*1000+B4</f>
        <v>1010</v>
      </c>
      <c r="I4">
        <f t="shared" ref="I4:I10" si="5">INT(F4*$AD$7)</f>
        <v>0</v>
      </c>
      <c r="J4">
        <f t="shared" si="1"/>
        <v>0</v>
      </c>
      <c r="K4">
        <f t="shared" si="2"/>
        <v>0</v>
      </c>
      <c r="L4">
        <f t="shared" ref="L4:L10" si="6">INT(G4*$AD$5)</f>
        <v>0</v>
      </c>
      <c r="M4">
        <f t="shared" ref="M4:M10" si="7">INT(G4*$AD$6)</f>
        <v>0</v>
      </c>
      <c r="Q4">
        <f>VLOOKUP(VLOOKUP($D4,技能升级,12,FALSE),技能升级,15,FALSE)</f>
        <v>13</v>
      </c>
      <c r="Y4">
        <f>VLOOKUP(VLOOKUP($D4,技能升级,12,FALSE),技能升级,14,FALSE)/1000</f>
        <v>0.1</v>
      </c>
      <c r="AC4" t="str">
        <f>[1]参数表!B8</f>
        <v>参数4</v>
      </c>
      <c r="AD4">
        <f>[1]参数表!C8</f>
        <v>0.5</v>
      </c>
      <c r="AE4" t="str">
        <f>[1]参数表!D8</f>
        <v>魔攻元气参数</v>
      </c>
    </row>
    <row r="5" spans="1:42" x14ac:dyDescent="0.15">
      <c r="A5">
        <f>A3</f>
        <v>15</v>
      </c>
      <c r="B5">
        <f>B3+10</f>
        <v>20</v>
      </c>
      <c r="C5">
        <f t="shared" si="3"/>
        <v>15020</v>
      </c>
      <c r="D5">
        <f t="shared" si="0"/>
        <v>1501</v>
      </c>
      <c r="E5">
        <f t="shared" si="4"/>
        <v>1020</v>
      </c>
      <c r="F5">
        <f>INT(VLOOKUP($D5,技能升级,14,FALSE)+VLOOKUP($D5,技能升级,16,FALSE)/1000*VLOOKUP($E5,总基本属性,3,FALSE))</f>
        <v>37</v>
      </c>
      <c r="I5">
        <f t="shared" si="5"/>
        <v>740</v>
      </c>
      <c r="J5">
        <f t="shared" si="1"/>
        <v>40</v>
      </c>
      <c r="K5">
        <f t="shared" si="2"/>
        <v>22</v>
      </c>
      <c r="L5">
        <f t="shared" si="6"/>
        <v>0</v>
      </c>
      <c r="M5">
        <f t="shared" si="7"/>
        <v>0</v>
      </c>
      <c r="N5">
        <f>INT(VLOOKUP($D5,技能升级,13,FALSE)+VLOOKUP($D5,技能升级,15,FALSE)/1000*VLOOKUP($E5,总基本属性,6,FALSE))</f>
        <v>1703</v>
      </c>
      <c r="AC5" t="str">
        <f>[1]参数表!B9</f>
        <v>参数5</v>
      </c>
      <c r="AD5">
        <f>[1]参数表!C9</f>
        <v>1</v>
      </c>
      <c r="AE5" t="str">
        <f>[1]参数表!D9</f>
        <v>物防身法参数</v>
      </c>
    </row>
    <row r="6" spans="1:42" x14ac:dyDescent="0.15">
      <c r="A6">
        <f t="shared" ref="A6:A22" si="8">A4</f>
        <v>14</v>
      </c>
      <c r="B6">
        <f t="shared" ref="B6:B22" si="9">B4+10</f>
        <v>20</v>
      </c>
      <c r="C6">
        <f t="shared" si="3"/>
        <v>14020</v>
      </c>
      <c r="D6">
        <f t="shared" si="0"/>
        <v>1402</v>
      </c>
      <c r="E6">
        <f t="shared" si="4"/>
        <v>1020</v>
      </c>
      <c r="I6">
        <f t="shared" si="5"/>
        <v>0</v>
      </c>
      <c r="J6">
        <f t="shared" si="1"/>
        <v>0</v>
      </c>
      <c r="K6">
        <f t="shared" si="2"/>
        <v>0</v>
      </c>
      <c r="L6">
        <f t="shared" si="6"/>
        <v>0</v>
      </c>
      <c r="M6">
        <f t="shared" si="7"/>
        <v>0</v>
      </c>
      <c r="Q6">
        <f>VLOOKUP(VLOOKUP($D6,技能升级,12,FALSE),技能升级,15,FALSE)</f>
        <v>23</v>
      </c>
      <c r="Y6">
        <f>VLOOKUP(VLOOKUP($D6,技能升级,12,FALSE),技能升级,14,FALSE)/1000</f>
        <v>0.1</v>
      </c>
      <c r="AC6" t="str">
        <f>[1]参数表!B10</f>
        <v>参数6</v>
      </c>
      <c r="AD6">
        <f>[1]参数表!C10</f>
        <v>1</v>
      </c>
      <c r="AE6" t="str">
        <f>[1]参数表!D10</f>
        <v>魔防身法参数</v>
      </c>
    </row>
    <row r="7" spans="1:42" x14ac:dyDescent="0.15">
      <c r="A7">
        <f t="shared" si="8"/>
        <v>15</v>
      </c>
      <c r="B7">
        <f t="shared" si="9"/>
        <v>30</v>
      </c>
      <c r="C7">
        <f t="shared" si="3"/>
        <v>15030</v>
      </c>
      <c r="D7">
        <f t="shared" si="0"/>
        <v>1502</v>
      </c>
      <c r="E7">
        <f t="shared" si="4"/>
        <v>1030</v>
      </c>
      <c r="F7">
        <f>INT(VLOOKUP($D7,技能升级,14,FALSE)+VLOOKUP($D7,技能升级,16,FALSE)/1000*VLOOKUP($E7,总基本属性,3,FALSE))</f>
        <v>67</v>
      </c>
      <c r="I7">
        <f>INT(F7*$AD$7)</f>
        <v>1340</v>
      </c>
      <c r="J7">
        <f t="shared" si="1"/>
        <v>73</v>
      </c>
      <c r="K7">
        <f t="shared" si="2"/>
        <v>40</v>
      </c>
      <c r="L7">
        <f t="shared" si="6"/>
        <v>0</v>
      </c>
      <c r="M7">
        <f t="shared" si="7"/>
        <v>0</v>
      </c>
      <c r="N7">
        <f>INT(VLOOKUP($D7,技能升级,13,FALSE)+VLOOKUP($D7,技能升级,15,FALSE)/1000*VLOOKUP($E7,总基本属性,6,FALSE))</f>
        <v>3657</v>
      </c>
      <c r="AC7" t="str">
        <f>[1]参数表!B11</f>
        <v>参数7</v>
      </c>
      <c r="AD7">
        <f>[1]参数表!C11</f>
        <v>20</v>
      </c>
      <c r="AE7" t="str">
        <f>[1]参数表!D11</f>
        <v>力道生命参数</v>
      </c>
    </row>
    <row r="8" spans="1:42" x14ac:dyDescent="0.15">
      <c r="A8">
        <f t="shared" si="8"/>
        <v>14</v>
      </c>
      <c r="B8">
        <f t="shared" si="9"/>
        <v>30</v>
      </c>
      <c r="C8">
        <f t="shared" si="3"/>
        <v>14030</v>
      </c>
      <c r="D8">
        <f t="shared" si="0"/>
        <v>1403</v>
      </c>
      <c r="E8">
        <f t="shared" si="4"/>
        <v>1030</v>
      </c>
      <c r="I8">
        <f t="shared" si="5"/>
        <v>0</v>
      </c>
      <c r="J8">
        <f t="shared" si="1"/>
        <v>0</v>
      </c>
      <c r="K8">
        <f t="shared" si="2"/>
        <v>0</v>
      </c>
      <c r="L8">
        <f t="shared" si="6"/>
        <v>0</v>
      </c>
      <c r="M8">
        <f t="shared" si="7"/>
        <v>0</v>
      </c>
      <c r="Q8">
        <f>VLOOKUP(VLOOKUP($D8,技能升级,12,FALSE),技能升级,15,FALSE)</f>
        <v>40</v>
      </c>
      <c r="Y8">
        <f>VLOOKUP(VLOOKUP($D8,技能升级,12,FALSE),技能升级,14,FALSE)/1000</f>
        <v>0.1</v>
      </c>
      <c r="AC8" t="str">
        <f>[1]参数表!B12</f>
        <v>参数11</v>
      </c>
      <c r="AD8">
        <f>[1]参数表!C12</f>
        <v>0.5</v>
      </c>
      <c r="AE8" t="str">
        <f>[1]参数表!D12</f>
        <v>战斗防御系数</v>
      </c>
    </row>
    <row r="9" spans="1:42" x14ac:dyDescent="0.15">
      <c r="A9">
        <f t="shared" si="8"/>
        <v>15</v>
      </c>
      <c r="B9">
        <f t="shared" si="9"/>
        <v>40</v>
      </c>
      <c r="C9">
        <f t="shared" si="3"/>
        <v>15040</v>
      </c>
      <c r="D9">
        <f t="shared" si="0"/>
        <v>1503</v>
      </c>
      <c r="E9">
        <f t="shared" si="4"/>
        <v>1040</v>
      </c>
      <c r="F9">
        <f>INT(VLOOKUP($D9,技能升级,14,FALSE)+VLOOKUP($D9,技能升级,16,FALSE)/1000*VLOOKUP($E9,总基本属性,3,FALSE))</f>
        <v>113</v>
      </c>
      <c r="I9">
        <f>INT(F9*$AD$7)</f>
        <v>2260</v>
      </c>
      <c r="J9">
        <f t="shared" si="1"/>
        <v>124</v>
      </c>
      <c r="K9">
        <f t="shared" si="2"/>
        <v>67</v>
      </c>
      <c r="L9">
        <f t="shared" si="6"/>
        <v>0</v>
      </c>
      <c r="M9">
        <f t="shared" si="7"/>
        <v>0</v>
      </c>
      <c r="N9">
        <f>INT(VLOOKUP($D9,技能升级,13,FALSE)+VLOOKUP($D9,技能升级,15,FALSE)/1000*VLOOKUP($E9,总基本属性,6,FALSE))</f>
        <v>6783</v>
      </c>
      <c r="AC9" t="str">
        <f>[1]参数表!B13</f>
        <v>参数12</v>
      </c>
      <c r="AD9">
        <f>[1]参数表!C13</f>
        <v>0.2</v>
      </c>
      <c r="AE9" t="str">
        <f>[1]参数表!D13</f>
        <v>不破防等级系数</v>
      </c>
    </row>
    <row r="10" spans="1:42" x14ac:dyDescent="0.15">
      <c r="A10">
        <f t="shared" si="8"/>
        <v>14</v>
      </c>
      <c r="B10">
        <f t="shared" si="9"/>
        <v>40</v>
      </c>
      <c r="C10">
        <f t="shared" si="3"/>
        <v>14040</v>
      </c>
      <c r="D10">
        <f t="shared" si="0"/>
        <v>1404</v>
      </c>
      <c r="E10">
        <f t="shared" si="4"/>
        <v>1040</v>
      </c>
      <c r="I10">
        <f t="shared" si="5"/>
        <v>0</v>
      </c>
      <c r="J10">
        <f t="shared" si="1"/>
        <v>0</v>
      </c>
      <c r="K10">
        <f t="shared" si="2"/>
        <v>0</v>
      </c>
      <c r="L10">
        <f t="shared" si="6"/>
        <v>0</v>
      </c>
      <c r="M10">
        <f t="shared" si="7"/>
        <v>0</v>
      </c>
      <c r="Q10">
        <f>VLOOKUP(VLOOKUP($D10,技能升级,12,FALSE),技能升级,15,FALSE)</f>
        <v>65</v>
      </c>
      <c r="Y10">
        <f>VLOOKUP(VLOOKUP($D10,技能升级,12,FALSE),技能升级,14,FALSE)/1000</f>
        <v>0.1</v>
      </c>
      <c r="AC10" t="str">
        <f>[1]参数表!B14</f>
        <v>参数21</v>
      </c>
      <c r="AD10">
        <f>[1]参数表!C14</f>
        <v>0.03</v>
      </c>
      <c r="AE10" t="str">
        <f>[1]参数表!D14</f>
        <v>碾压值参数</v>
      </c>
    </row>
    <row r="11" spans="1:42" x14ac:dyDescent="0.15">
      <c r="A11">
        <f t="shared" si="8"/>
        <v>15</v>
      </c>
      <c r="B11">
        <f t="shared" si="9"/>
        <v>50</v>
      </c>
      <c r="C11">
        <f t="shared" si="3"/>
        <v>15050</v>
      </c>
      <c r="D11">
        <f t="shared" si="0"/>
        <v>1503</v>
      </c>
      <c r="E11">
        <f t="shared" si="4"/>
        <v>1050</v>
      </c>
      <c r="F11">
        <f>INT(VLOOKUP($D11,技能升级,14,FALSE)+VLOOKUP($D11,技能升级,16,FALSE)/1000*VLOOKUP($E11,总基本属性,3,FALSE))</f>
        <v>154</v>
      </c>
      <c r="I11">
        <f>INT(F11*$AD$7)</f>
        <v>3080</v>
      </c>
      <c r="J11">
        <f t="shared" si="1"/>
        <v>169</v>
      </c>
      <c r="K11">
        <f t="shared" si="2"/>
        <v>92</v>
      </c>
      <c r="L11">
        <f t="shared" ref="L11:L14" si="10">INT(G11*$AD$5)</f>
        <v>0</v>
      </c>
      <c r="M11">
        <f t="shared" ref="M11:M14" si="11">INT(G11*$AD$6)</f>
        <v>0</v>
      </c>
      <c r="N11">
        <f>INT(VLOOKUP($D11,技能升级,13,FALSE)+VLOOKUP($D11,技能升级,15,FALSE)/1000*VLOOKUP($E11,总基本属性,6,FALSE))</f>
        <v>9058</v>
      </c>
      <c r="AC11" t="str">
        <f>[1]参数表!B15</f>
        <v>参数22</v>
      </c>
      <c r="AD11">
        <f>[1]参数表!C15</f>
        <v>500</v>
      </c>
      <c r="AE11" t="str">
        <f>[1]参数表!D15</f>
        <v>碾压值参数</v>
      </c>
    </row>
    <row r="12" spans="1:42" x14ac:dyDescent="0.15">
      <c r="A12">
        <f t="shared" si="8"/>
        <v>14</v>
      </c>
      <c r="B12">
        <f t="shared" si="9"/>
        <v>50</v>
      </c>
      <c r="C12">
        <f t="shared" si="3"/>
        <v>14050</v>
      </c>
      <c r="D12">
        <f t="shared" si="0"/>
        <v>1405</v>
      </c>
      <c r="E12">
        <f t="shared" si="4"/>
        <v>1050</v>
      </c>
      <c r="I12">
        <f t="shared" ref="I12" si="12">INT(F12*$AD$7)</f>
        <v>0</v>
      </c>
      <c r="J12">
        <f t="shared" si="1"/>
        <v>0</v>
      </c>
      <c r="K12">
        <f t="shared" si="2"/>
        <v>0</v>
      </c>
      <c r="L12">
        <f t="shared" si="10"/>
        <v>0</v>
      </c>
      <c r="M12">
        <f t="shared" si="11"/>
        <v>0</v>
      </c>
      <c r="Q12">
        <f>VLOOKUP(VLOOKUP($D12,技能升级,12,FALSE),技能升级,15,FALSE)</f>
        <v>98</v>
      </c>
      <c r="Y12">
        <f>VLOOKUP(VLOOKUP($D12,技能升级,12,FALSE),技能升级,14,FALSE)/1000</f>
        <v>0.1</v>
      </c>
      <c r="AC12" t="str">
        <f>[1]参数表!B16</f>
        <v>参数23</v>
      </c>
      <c r="AD12">
        <f>[1]参数表!C16</f>
        <v>5</v>
      </c>
      <c r="AE12" t="str">
        <f>[1]参数表!D16</f>
        <v>碾压值参数</v>
      </c>
    </row>
    <row r="13" spans="1:42" x14ac:dyDescent="0.15">
      <c r="A13">
        <f t="shared" si="8"/>
        <v>15</v>
      </c>
      <c r="B13">
        <f t="shared" si="9"/>
        <v>60</v>
      </c>
      <c r="C13">
        <f t="shared" si="3"/>
        <v>15060</v>
      </c>
      <c r="D13">
        <f t="shared" si="0"/>
        <v>1504</v>
      </c>
      <c r="E13">
        <f t="shared" si="4"/>
        <v>1060</v>
      </c>
      <c r="F13">
        <f>INT(VLOOKUP($D13,技能升级,14,FALSE)+VLOOKUP($D13,技能升级,16,FALSE)/1000*VLOOKUP($E13,总基本属性,3,FALSE))</f>
        <v>224</v>
      </c>
      <c r="I13">
        <f>INT(F13*$AD$7)</f>
        <v>4480</v>
      </c>
      <c r="J13">
        <f t="shared" si="1"/>
        <v>246</v>
      </c>
      <c r="K13">
        <f t="shared" si="2"/>
        <v>134</v>
      </c>
      <c r="L13">
        <f t="shared" si="10"/>
        <v>0</v>
      </c>
      <c r="M13">
        <f t="shared" si="11"/>
        <v>0</v>
      </c>
      <c r="N13">
        <f>INT(VLOOKUP($D13,技能升级,13,FALSE)+VLOOKUP($D13,技能升级,15,FALSE)/1000*VLOOKUP($E13,总基本属性,6,FALSE))</f>
        <v>13812</v>
      </c>
      <c r="AC13" t="str">
        <f>[1]参数表!B17</f>
        <v>参数24</v>
      </c>
      <c r="AD13">
        <f>[1]参数表!C17</f>
        <v>0.05</v>
      </c>
      <c r="AE13" t="str">
        <f>[1]参数表!D17</f>
        <v>暴击值参数</v>
      </c>
    </row>
    <row r="14" spans="1:42" x14ac:dyDescent="0.15">
      <c r="A14">
        <f t="shared" si="8"/>
        <v>14</v>
      </c>
      <c r="B14">
        <f t="shared" si="9"/>
        <v>60</v>
      </c>
      <c r="C14">
        <f t="shared" si="3"/>
        <v>14060</v>
      </c>
      <c r="D14">
        <f t="shared" si="0"/>
        <v>1406</v>
      </c>
      <c r="E14">
        <f t="shared" si="4"/>
        <v>1060</v>
      </c>
      <c r="I14">
        <f t="shared" ref="I14:I15" si="13">INT(F14*$AD$7)</f>
        <v>0</v>
      </c>
      <c r="J14">
        <f t="shared" si="1"/>
        <v>0</v>
      </c>
      <c r="K14">
        <f t="shared" si="2"/>
        <v>0</v>
      </c>
      <c r="L14">
        <f t="shared" si="10"/>
        <v>0</v>
      </c>
      <c r="M14">
        <f t="shared" si="11"/>
        <v>0</v>
      </c>
      <c r="Q14">
        <f>VLOOKUP(VLOOKUP($D14,技能升级,12,FALSE),技能升级,15,FALSE)</f>
        <v>138</v>
      </c>
      <c r="Y14">
        <f>VLOOKUP(VLOOKUP($D14,技能升级,12,FALSE),技能升级,14,FALSE)/1000</f>
        <v>0.1</v>
      </c>
      <c r="AC14" t="str">
        <f>[1]参数表!B18</f>
        <v>参数25</v>
      </c>
      <c r="AD14">
        <f>[1]参数表!C18</f>
        <v>500</v>
      </c>
      <c r="AE14" t="str">
        <f>[1]参数表!D18</f>
        <v>暴击值参数</v>
      </c>
    </row>
    <row r="15" spans="1:42" x14ac:dyDescent="0.15">
      <c r="A15">
        <f t="shared" si="8"/>
        <v>15</v>
      </c>
      <c r="B15">
        <f t="shared" si="9"/>
        <v>70</v>
      </c>
      <c r="C15">
        <f>A15*1000+B15</f>
        <v>15070</v>
      </c>
      <c r="D15">
        <f t="shared" si="0"/>
        <v>1505</v>
      </c>
      <c r="E15">
        <f>INT(A15/10)*1000+B15</f>
        <v>1070</v>
      </c>
      <c r="F15">
        <f>INT(VLOOKUP($D15,技能升级,14,FALSE)+VLOOKUP($D15,技能升级,16,FALSE)/1000*VLOOKUP($E15,总基本属性,3,FALSE))</f>
        <v>306</v>
      </c>
      <c r="I15">
        <f t="shared" si="13"/>
        <v>6120</v>
      </c>
      <c r="J15">
        <f t="shared" ref="J15:J22" si="14">INT(IF(OR(INT($E15/1000)=1,INT($E15/1000)=2),$F15*$AD$1,IF(OR(INT($E15/1000)=3,INT($E15/1000)=5),$G15*$AD$1,$H15*$AD$1))+$F15*$AD$2)</f>
        <v>336</v>
      </c>
      <c r="K15">
        <f t="shared" ref="K15:K22" si="15">INT(IF(OR(INT($E15/1000)=1,INT($E15/1000)=2),$F15*$AD$3,IF(OR(INT($E15/1000)=3,INT($E15/1000)=5),$G15*$AD$3,$H15*$AD$3))+$H15*$AD$4)</f>
        <v>183</v>
      </c>
      <c r="L15">
        <f t="shared" ref="L15:L22" si="16">INT(G15*$AD$5)</f>
        <v>0</v>
      </c>
      <c r="M15">
        <f t="shared" ref="M15:M22" si="17">INT(G15*$AD$6)</f>
        <v>0</v>
      </c>
      <c r="N15">
        <f>INT(VLOOKUP($D15,技能升级,13,FALSE)+VLOOKUP($D15,技能升级,15,FALSE)/1000*VLOOKUP($E15,总基本属性,6,FALSE))</f>
        <v>19483</v>
      </c>
      <c r="AC15" t="s">
        <v>234</v>
      </c>
      <c r="AD15" t="str">
        <f>[1]属性设计!$A39</f>
        <v>级别</v>
      </c>
      <c r="AE15" t="str">
        <f>[1]属性设计!B39</f>
        <v>力道</v>
      </c>
      <c r="AF15" t="str">
        <f>[1]属性设计!C39</f>
        <v>身法</v>
      </c>
      <c r="AG15" t="str">
        <f>[1]属性设计!D39</f>
        <v>元气</v>
      </c>
      <c r="AH15" t="str">
        <f>[1]属性设计!J39</f>
        <v>生命值</v>
      </c>
      <c r="AI15" t="str">
        <f>[1]属性设计!K39</f>
        <v>物理攻击</v>
      </c>
      <c r="AJ15" t="str">
        <f>[1]属性设计!L39</f>
        <v>魔法攻击</v>
      </c>
      <c r="AK15" t="str">
        <f>[1]属性设计!M39</f>
        <v>物理防御</v>
      </c>
      <c r="AL15" t="str">
        <f>[1]属性设计!N39</f>
        <v>魔法防御</v>
      </c>
      <c r="AM15" t="str">
        <f>[1]属性设计!T39</f>
        <v>霸道</v>
      </c>
      <c r="AN15" t="str">
        <f>[1]属性设计!U39</f>
        <v>会心</v>
      </c>
      <c r="AO15" t="str">
        <f>[1]属性设计!V39</f>
        <v>卸力</v>
      </c>
      <c r="AP15" t="str">
        <f>[1]属性设计!W39</f>
        <v>化解</v>
      </c>
    </row>
    <row r="16" spans="1:42" x14ac:dyDescent="0.15">
      <c r="A16">
        <f t="shared" si="8"/>
        <v>14</v>
      </c>
      <c r="B16">
        <f t="shared" si="9"/>
        <v>70</v>
      </c>
      <c r="C16">
        <f t="shared" si="3"/>
        <v>14070</v>
      </c>
      <c r="D16">
        <f t="shared" si="0"/>
        <v>1407</v>
      </c>
      <c r="E16">
        <f t="shared" si="4"/>
        <v>1070</v>
      </c>
      <c r="I16">
        <f t="shared" ref="I16:I22" si="18">INT(F16*$AD$7)</f>
        <v>0</v>
      </c>
      <c r="J16">
        <f t="shared" si="14"/>
        <v>0</v>
      </c>
      <c r="K16">
        <f t="shared" si="15"/>
        <v>0</v>
      </c>
      <c r="L16">
        <f t="shared" si="16"/>
        <v>0</v>
      </c>
      <c r="M16">
        <f t="shared" si="17"/>
        <v>0</v>
      </c>
      <c r="Q16">
        <f>VLOOKUP(VLOOKUP($D16,技能升级,12,FALSE),技能升级,15,FALSE)</f>
        <v>185</v>
      </c>
      <c r="Y16">
        <f>VLOOKUP(VLOOKUP($D16,技能升级,12,FALSE),技能升级,14,FALSE)/1000</f>
        <v>0.1</v>
      </c>
      <c r="AC16">
        <f>1000+AD16</f>
        <v>1001</v>
      </c>
      <c r="AD16">
        <f>[1]属性设计!$A40</f>
        <v>1</v>
      </c>
      <c r="AE16">
        <f>[1]属性设计!B40</f>
        <v>13</v>
      </c>
      <c r="AF16">
        <f>[1]属性设计!C40</f>
        <v>6</v>
      </c>
      <c r="AG16">
        <f>[1]属性设计!D40</f>
        <v>6</v>
      </c>
      <c r="AH16">
        <f>[1]属性设计!J40</f>
        <v>720</v>
      </c>
      <c r="AI16">
        <f>[1]属性设计!K40</f>
        <v>40</v>
      </c>
      <c r="AJ16">
        <f>[1]属性设计!L40</f>
        <v>30</v>
      </c>
      <c r="AK16">
        <f>[1]属性设计!M40</f>
        <v>35</v>
      </c>
      <c r="AL16">
        <f>[1]属性设计!N40</f>
        <v>35</v>
      </c>
      <c r="AM16">
        <f>[1]属性设计!T40</f>
        <v>0</v>
      </c>
      <c r="AN16">
        <f>[1]属性设计!U40</f>
        <v>0</v>
      </c>
      <c r="AO16">
        <f>[1]属性设计!V40</f>
        <v>0</v>
      </c>
      <c r="AP16">
        <f>[1]属性设计!W40</f>
        <v>0</v>
      </c>
    </row>
    <row r="17" spans="1:42" x14ac:dyDescent="0.15">
      <c r="A17">
        <f t="shared" si="8"/>
        <v>15</v>
      </c>
      <c r="B17">
        <f t="shared" si="9"/>
        <v>80</v>
      </c>
      <c r="C17">
        <f t="shared" si="3"/>
        <v>15080</v>
      </c>
      <c r="D17">
        <f t="shared" si="0"/>
        <v>1505</v>
      </c>
      <c r="E17">
        <f t="shared" si="4"/>
        <v>1080</v>
      </c>
      <c r="F17">
        <f>INT(VLOOKUP($D17,技能升级,14,FALSE)+VLOOKUP($D17,技能升级,16,FALSE)/1000*VLOOKUP($E17,总基本属性,3,FALSE))</f>
        <v>373</v>
      </c>
      <c r="I17">
        <f t="shared" si="18"/>
        <v>7460</v>
      </c>
      <c r="J17">
        <f t="shared" si="14"/>
        <v>410</v>
      </c>
      <c r="K17">
        <f t="shared" si="15"/>
        <v>223</v>
      </c>
      <c r="L17">
        <f t="shared" si="16"/>
        <v>0</v>
      </c>
      <c r="M17">
        <f t="shared" si="17"/>
        <v>0</v>
      </c>
      <c r="N17">
        <f>INT(VLOOKUP($D17,技能升级,13,FALSE)+VLOOKUP($D17,技能升级,15,FALSE)/1000*VLOOKUP($E17,总基本属性,6,FALSE))</f>
        <v>23198</v>
      </c>
      <c r="AC17">
        <f t="shared" ref="AC17:AC26" si="19">1000+AD17</f>
        <v>1010</v>
      </c>
      <c r="AD17">
        <f>[1]属性设计!$A41</f>
        <v>10</v>
      </c>
      <c r="AE17">
        <f>[1]属性设计!B41</f>
        <v>75</v>
      </c>
      <c r="AF17">
        <f>[1]属性设计!C41</f>
        <v>34</v>
      </c>
      <c r="AG17">
        <f>[1]属性设计!D41</f>
        <v>34</v>
      </c>
      <c r="AH17">
        <f>[1]属性设计!J41</f>
        <v>4176</v>
      </c>
      <c r="AI17">
        <f>[1]属性设计!K41</f>
        <v>136</v>
      </c>
      <c r="AJ17">
        <f>[1]属性设计!L41</f>
        <v>102</v>
      </c>
      <c r="AK17">
        <f>[1]属性设计!M41</f>
        <v>120</v>
      </c>
      <c r="AL17">
        <f>[1]属性设计!N41</f>
        <v>120</v>
      </c>
      <c r="AM17">
        <f>[1]属性设计!T41</f>
        <v>0</v>
      </c>
      <c r="AN17">
        <f>[1]属性设计!U41</f>
        <v>0</v>
      </c>
      <c r="AO17">
        <f>[1]属性设计!V41</f>
        <v>0</v>
      </c>
      <c r="AP17">
        <f>[1]属性设计!W41</f>
        <v>0</v>
      </c>
    </row>
    <row r="18" spans="1:42" x14ac:dyDescent="0.15">
      <c r="A18">
        <f t="shared" si="8"/>
        <v>14</v>
      </c>
      <c r="B18">
        <f t="shared" si="9"/>
        <v>80</v>
      </c>
      <c r="C18">
        <f t="shared" si="3"/>
        <v>14080</v>
      </c>
      <c r="D18">
        <f t="shared" si="0"/>
        <v>1408</v>
      </c>
      <c r="E18">
        <f t="shared" si="4"/>
        <v>1080</v>
      </c>
      <c r="I18">
        <f t="shared" si="18"/>
        <v>0</v>
      </c>
      <c r="J18">
        <f t="shared" si="14"/>
        <v>0</v>
      </c>
      <c r="K18">
        <f t="shared" si="15"/>
        <v>0</v>
      </c>
      <c r="L18">
        <f t="shared" si="16"/>
        <v>0</v>
      </c>
      <c r="M18">
        <f t="shared" si="17"/>
        <v>0</v>
      </c>
      <c r="Q18">
        <f>VLOOKUP(VLOOKUP($D18,技能升级,12,FALSE),技能升级,15,FALSE)</f>
        <v>240</v>
      </c>
      <c r="Y18">
        <f>VLOOKUP(VLOOKUP($D18,技能升级,12,FALSE),技能升级,14,FALSE)/1000</f>
        <v>0.1</v>
      </c>
      <c r="AC18">
        <f t="shared" si="19"/>
        <v>1020</v>
      </c>
      <c r="AD18">
        <f>[1]属性设计!$A42</f>
        <v>20</v>
      </c>
      <c r="AE18">
        <f>[1]属性设计!B42</f>
        <v>227</v>
      </c>
      <c r="AF18">
        <f>[1]属性设计!C42</f>
        <v>104</v>
      </c>
      <c r="AG18">
        <f>[1]属性设计!D42</f>
        <v>104</v>
      </c>
      <c r="AH18">
        <f>[1]属性设计!J42</f>
        <v>12528</v>
      </c>
      <c r="AI18">
        <f>[1]属性设计!K42</f>
        <v>356</v>
      </c>
      <c r="AJ18">
        <f>[1]属性设计!L42</f>
        <v>347</v>
      </c>
      <c r="AK18">
        <f>[1]属性设计!M42</f>
        <v>316</v>
      </c>
      <c r="AL18">
        <f>[1]属性设计!N42</f>
        <v>316</v>
      </c>
      <c r="AM18">
        <f>[1]属性设计!T42</f>
        <v>0</v>
      </c>
      <c r="AN18">
        <f>[1]属性设计!U42</f>
        <v>0</v>
      </c>
      <c r="AO18">
        <f>[1]属性设计!V42</f>
        <v>0</v>
      </c>
      <c r="AP18">
        <f>[1]属性设计!W42</f>
        <v>0</v>
      </c>
    </row>
    <row r="19" spans="1:42" x14ac:dyDescent="0.15">
      <c r="A19">
        <f t="shared" si="8"/>
        <v>15</v>
      </c>
      <c r="B19">
        <f t="shared" si="9"/>
        <v>90</v>
      </c>
      <c r="C19">
        <f t="shared" si="3"/>
        <v>15090</v>
      </c>
      <c r="D19">
        <f t="shared" si="0"/>
        <v>1506</v>
      </c>
      <c r="E19">
        <f t="shared" si="4"/>
        <v>1090</v>
      </c>
      <c r="F19">
        <f>INT(VLOOKUP($D19,技能升级,14,FALSE)+VLOOKUP($D19,技能升级,16,FALSE)/1000*VLOOKUP($E19,总基本属性,3,FALSE))</f>
        <v>480</v>
      </c>
      <c r="I19">
        <f t="shared" si="18"/>
        <v>9600</v>
      </c>
      <c r="J19">
        <f t="shared" si="14"/>
        <v>528</v>
      </c>
      <c r="K19">
        <f t="shared" si="15"/>
        <v>288</v>
      </c>
      <c r="L19">
        <f t="shared" si="16"/>
        <v>0</v>
      </c>
      <c r="M19">
        <f t="shared" si="17"/>
        <v>0</v>
      </c>
      <c r="N19">
        <f>INT(VLOOKUP($D19,技能升级,13,FALSE)+VLOOKUP($D19,技能升级,15,FALSE)/1000*VLOOKUP($E19,总基本属性,6,FALSE))</f>
        <v>40939</v>
      </c>
      <c r="AC19">
        <f t="shared" si="19"/>
        <v>1030</v>
      </c>
      <c r="AD19">
        <f>[1]属性设计!$A43</f>
        <v>30</v>
      </c>
      <c r="AE19">
        <f>[1]属性设计!B43</f>
        <v>465</v>
      </c>
      <c r="AF19">
        <f>[1]属性设计!C43</f>
        <v>214</v>
      </c>
      <c r="AG19">
        <f>[1]属性设计!D43</f>
        <v>214</v>
      </c>
      <c r="AH19">
        <f>[1]属性设计!J43</f>
        <v>25776</v>
      </c>
      <c r="AI19">
        <f>[1]属性设计!K43</f>
        <v>696</v>
      </c>
      <c r="AJ19">
        <f>[1]属性设计!L43</f>
        <v>678</v>
      </c>
      <c r="AK19">
        <f>[1]属性设计!M43</f>
        <v>620</v>
      </c>
      <c r="AL19">
        <f>[1]属性设计!N43</f>
        <v>620</v>
      </c>
      <c r="AM19">
        <f>[1]属性设计!T43</f>
        <v>0</v>
      </c>
      <c r="AN19">
        <f>[1]属性设计!U43</f>
        <v>0</v>
      </c>
      <c r="AO19">
        <f>[1]属性设计!V43</f>
        <v>0</v>
      </c>
      <c r="AP19">
        <f>[1]属性设计!W43</f>
        <v>0</v>
      </c>
    </row>
    <row r="20" spans="1:42" x14ac:dyDescent="0.15">
      <c r="A20">
        <f t="shared" si="8"/>
        <v>14</v>
      </c>
      <c r="B20">
        <f t="shared" si="9"/>
        <v>90</v>
      </c>
      <c r="C20">
        <f t="shared" si="3"/>
        <v>14090</v>
      </c>
      <c r="D20">
        <f t="shared" si="0"/>
        <v>1409</v>
      </c>
      <c r="E20">
        <f t="shared" si="4"/>
        <v>1090</v>
      </c>
      <c r="I20">
        <f t="shared" si="18"/>
        <v>0</v>
      </c>
      <c r="J20">
        <f t="shared" si="14"/>
        <v>0</v>
      </c>
      <c r="K20">
        <f t="shared" si="15"/>
        <v>0</v>
      </c>
      <c r="L20">
        <f t="shared" si="16"/>
        <v>0</v>
      </c>
      <c r="M20">
        <f t="shared" si="17"/>
        <v>0</v>
      </c>
      <c r="Q20">
        <f>VLOOKUP(VLOOKUP($D20,技能升级,12,FALSE),技能升级,15,FALSE)</f>
        <v>303</v>
      </c>
      <c r="Y20">
        <f>VLOOKUP(VLOOKUP($D20,技能升级,12,FALSE),技能升级,14,FALSE)/1000</f>
        <v>0.1</v>
      </c>
      <c r="AC20">
        <f t="shared" si="19"/>
        <v>1040</v>
      </c>
      <c r="AD20">
        <f>[1]属性设计!$A44</f>
        <v>40</v>
      </c>
      <c r="AE20">
        <f>[1]属性设计!B44</f>
        <v>790</v>
      </c>
      <c r="AF20">
        <f>[1]属性设计!C44</f>
        <v>364</v>
      </c>
      <c r="AG20">
        <f>[1]属性设计!D44</f>
        <v>364</v>
      </c>
      <c r="AH20">
        <f>[1]属性设计!J44</f>
        <v>43776</v>
      </c>
      <c r="AI20">
        <f>[1]属性设计!K44</f>
        <v>1156</v>
      </c>
      <c r="AJ20">
        <f>[1]属性设计!L44</f>
        <v>1127</v>
      </c>
      <c r="AK20">
        <f>[1]属性设计!M44</f>
        <v>1029</v>
      </c>
      <c r="AL20">
        <f>[1]属性设计!N44</f>
        <v>1029</v>
      </c>
      <c r="AM20">
        <f>[1]属性设计!T44</f>
        <v>0</v>
      </c>
      <c r="AN20">
        <f>[1]属性设计!U44</f>
        <v>0</v>
      </c>
      <c r="AO20">
        <f>[1]属性设计!V44</f>
        <v>0</v>
      </c>
      <c r="AP20">
        <f>[1]属性设计!W44</f>
        <v>0</v>
      </c>
    </row>
    <row r="21" spans="1:42" x14ac:dyDescent="0.15">
      <c r="A21">
        <f t="shared" si="8"/>
        <v>15</v>
      </c>
      <c r="B21">
        <f t="shared" si="9"/>
        <v>100</v>
      </c>
      <c r="C21">
        <f t="shared" si="3"/>
        <v>15100</v>
      </c>
      <c r="D21">
        <f t="shared" si="0"/>
        <v>1507</v>
      </c>
      <c r="E21">
        <f t="shared" si="4"/>
        <v>1100</v>
      </c>
      <c r="F21">
        <f>INT(VLOOKUP($D21,技能升级,14,FALSE)+VLOOKUP($D21,技能升级,16,FALSE)/1000*VLOOKUP($E21,总基本属性,3,FALSE))</f>
        <v>603</v>
      </c>
      <c r="I21">
        <f t="shared" si="18"/>
        <v>12060</v>
      </c>
      <c r="J21">
        <f t="shared" si="14"/>
        <v>663</v>
      </c>
      <c r="K21">
        <f t="shared" si="15"/>
        <v>361</v>
      </c>
      <c r="L21">
        <f t="shared" si="16"/>
        <v>0</v>
      </c>
      <c r="M21">
        <f t="shared" si="17"/>
        <v>0</v>
      </c>
      <c r="N21">
        <f>INT(VLOOKUP($D21,技能升级,13,FALSE)+VLOOKUP($D21,技能升级,15,FALSE)/1000*VLOOKUP($E21,总基本属性,6,FALSE))</f>
        <v>68517</v>
      </c>
      <c r="AC21">
        <f t="shared" si="19"/>
        <v>1050</v>
      </c>
      <c r="AD21">
        <f>[1]属性设计!$A45</f>
        <v>50</v>
      </c>
      <c r="AE21">
        <f>[1]属性设计!B45</f>
        <v>1202</v>
      </c>
      <c r="AF21">
        <f>[1]属性设计!C45</f>
        <v>554</v>
      </c>
      <c r="AG21">
        <f>[1]属性设计!D45</f>
        <v>554</v>
      </c>
      <c r="AH21">
        <f>[1]属性设计!J45</f>
        <v>66528</v>
      </c>
      <c r="AI21">
        <f>[1]属性设计!K45</f>
        <v>1736</v>
      </c>
      <c r="AJ21">
        <f>[1]属性设计!L45</f>
        <v>1692</v>
      </c>
      <c r="AK21">
        <f>[1]属性设计!M45</f>
        <v>1546</v>
      </c>
      <c r="AL21">
        <f>[1]属性设计!N45</f>
        <v>1546</v>
      </c>
      <c r="AM21">
        <f>[1]属性设计!T45</f>
        <v>5</v>
      </c>
      <c r="AN21">
        <f>[1]属性设计!U45</f>
        <v>0</v>
      </c>
      <c r="AO21">
        <f>[1]属性设计!V45</f>
        <v>0</v>
      </c>
      <c r="AP21">
        <f>[1]属性设计!W45</f>
        <v>0</v>
      </c>
    </row>
    <row r="22" spans="1:42" x14ac:dyDescent="0.15">
      <c r="A22">
        <f t="shared" si="8"/>
        <v>14</v>
      </c>
      <c r="B22">
        <f t="shared" si="9"/>
        <v>100</v>
      </c>
      <c r="C22">
        <f t="shared" si="3"/>
        <v>14100</v>
      </c>
      <c r="D22">
        <f t="shared" si="0"/>
        <v>1410</v>
      </c>
      <c r="E22">
        <f t="shared" si="4"/>
        <v>1100</v>
      </c>
      <c r="I22">
        <f t="shared" si="18"/>
        <v>0</v>
      </c>
      <c r="J22">
        <f t="shared" si="14"/>
        <v>0</v>
      </c>
      <c r="K22">
        <f t="shared" si="15"/>
        <v>0</v>
      </c>
      <c r="L22">
        <f t="shared" si="16"/>
        <v>0</v>
      </c>
      <c r="M22">
        <f t="shared" si="17"/>
        <v>0</v>
      </c>
      <c r="Q22">
        <f>VLOOKUP(VLOOKUP($D22,技能升级,12,FALSE),技能升级,15,FALSE)</f>
        <v>373</v>
      </c>
      <c r="Y22">
        <f>VLOOKUP(VLOOKUP($D22,技能升级,12,FALSE),技能升级,14,FALSE)/1000</f>
        <v>0.1</v>
      </c>
      <c r="AC22">
        <f t="shared" si="19"/>
        <v>1060</v>
      </c>
      <c r="AD22">
        <f>[1]属性设计!$A46</f>
        <v>60</v>
      </c>
      <c r="AE22">
        <f>[1]属性设计!B46</f>
        <v>1700</v>
      </c>
      <c r="AF22">
        <f>[1]属性设计!C46</f>
        <v>784</v>
      </c>
      <c r="AG22">
        <f>[1]属性设计!D46</f>
        <v>784</v>
      </c>
      <c r="AH22">
        <f>[1]属性设计!J46</f>
        <v>94176</v>
      </c>
      <c r="AI22">
        <f>[1]属性设计!K46</f>
        <v>2436</v>
      </c>
      <c r="AJ22">
        <f>[1]属性设计!L46</f>
        <v>2192</v>
      </c>
      <c r="AK22">
        <f>[1]属性设计!M46</f>
        <v>2169</v>
      </c>
      <c r="AL22">
        <f>[1]属性设计!N46</f>
        <v>2169</v>
      </c>
      <c r="AM22">
        <f>[1]属性设计!T46</f>
        <v>8</v>
      </c>
      <c r="AN22">
        <f>[1]属性设计!U46</f>
        <v>0</v>
      </c>
      <c r="AO22">
        <f>[1]属性设计!V46</f>
        <v>0</v>
      </c>
      <c r="AP22">
        <f>[1]属性设计!W46</f>
        <v>0</v>
      </c>
    </row>
    <row r="23" spans="1:42" x14ac:dyDescent="0.15">
      <c r="AC23">
        <f t="shared" si="19"/>
        <v>1070</v>
      </c>
      <c r="AD23">
        <f>[1]属性设计!$A47</f>
        <v>70</v>
      </c>
      <c r="AE23">
        <f>[1]属性设计!B47</f>
        <v>2285</v>
      </c>
      <c r="AF23">
        <f>[1]属性设计!C47</f>
        <v>1054</v>
      </c>
      <c r="AG23">
        <f>[1]属性设计!D47</f>
        <v>1024</v>
      </c>
      <c r="AH23">
        <f>[1]属性设计!J47</f>
        <v>126576</v>
      </c>
      <c r="AI23">
        <f>[1]属性设计!K47</f>
        <v>3256</v>
      </c>
      <c r="AJ23">
        <f>[1]属性设计!L47</f>
        <v>2686</v>
      </c>
      <c r="AK23">
        <f>[1]属性设计!M47</f>
        <v>2900</v>
      </c>
      <c r="AL23">
        <f>[1]属性设计!N47</f>
        <v>2900</v>
      </c>
      <c r="AM23">
        <f>[1]属性设计!T47</f>
        <v>12</v>
      </c>
      <c r="AN23">
        <f>[1]属性设计!U47</f>
        <v>0</v>
      </c>
      <c r="AO23">
        <f>[1]属性设计!V47</f>
        <v>0</v>
      </c>
      <c r="AP23">
        <f>[1]属性设计!W47</f>
        <v>0</v>
      </c>
    </row>
    <row r="24" spans="1:42" x14ac:dyDescent="0.15">
      <c r="AC24">
        <f t="shared" si="19"/>
        <v>1080</v>
      </c>
      <c r="AD24">
        <f>[1]属性设计!$A48</f>
        <v>80</v>
      </c>
      <c r="AE24">
        <f>[1]属性设计!B48</f>
        <v>2957</v>
      </c>
      <c r="AF24">
        <f>[1]属性设计!C48</f>
        <v>1364</v>
      </c>
      <c r="AG24">
        <f>[1]属性设计!D48</f>
        <v>1364</v>
      </c>
      <c r="AH24">
        <f>[1]属性设计!J48</f>
        <v>163728</v>
      </c>
      <c r="AI24">
        <f>[1]属性设计!K48</f>
        <v>4196</v>
      </c>
      <c r="AJ24">
        <f>[1]属性设计!L48</f>
        <v>3272</v>
      </c>
      <c r="AK24">
        <f>[1]属性设计!M48</f>
        <v>3738</v>
      </c>
      <c r="AL24">
        <f>[1]属性设计!N48</f>
        <v>3738</v>
      </c>
      <c r="AM24">
        <f>[1]属性设计!T48</f>
        <v>17</v>
      </c>
      <c r="AN24">
        <f>[1]属性设计!U48</f>
        <v>0</v>
      </c>
      <c r="AO24">
        <f>[1]属性设计!V48</f>
        <v>0</v>
      </c>
      <c r="AP24">
        <f>[1]属性设计!W48</f>
        <v>0</v>
      </c>
    </row>
    <row r="25" spans="1:42" x14ac:dyDescent="0.15">
      <c r="AC25">
        <f t="shared" si="19"/>
        <v>1090</v>
      </c>
      <c r="AD25">
        <f>[1]属性设计!$A49</f>
        <v>90</v>
      </c>
      <c r="AE25">
        <f>[1]属性设计!B49</f>
        <v>3715</v>
      </c>
      <c r="AF25">
        <f>[1]属性设计!C49</f>
        <v>1714</v>
      </c>
      <c r="AG25">
        <f>[1]属性设计!D49</f>
        <v>1714</v>
      </c>
      <c r="AH25">
        <f>[1]属性设计!J49</f>
        <v>205776</v>
      </c>
      <c r="AI25">
        <f>[1]属性设计!K49</f>
        <v>5256</v>
      </c>
      <c r="AJ25">
        <f>[1]属性设计!L49</f>
        <v>3942</v>
      </c>
      <c r="AK25">
        <f>[1]属性设计!M49</f>
        <v>4682</v>
      </c>
      <c r="AL25">
        <f>[1]属性设计!N49</f>
        <v>4682</v>
      </c>
      <c r="AM25">
        <f>[1]属性设计!T49</f>
        <v>25</v>
      </c>
      <c r="AN25">
        <f>[1]属性设计!U49</f>
        <v>0</v>
      </c>
      <c r="AO25">
        <f>[1]属性设计!V49</f>
        <v>0</v>
      </c>
      <c r="AP25">
        <f>[1]属性设计!W49</f>
        <v>0</v>
      </c>
    </row>
    <row r="26" spans="1:42" x14ac:dyDescent="0.15">
      <c r="AC26">
        <f t="shared" si="19"/>
        <v>1100</v>
      </c>
      <c r="AD26">
        <f>[1]属性设计!$A50</f>
        <v>100</v>
      </c>
      <c r="AE26">
        <f>[1]属性设计!B50</f>
        <v>4560</v>
      </c>
      <c r="AF26">
        <f>[1]属性设计!C50</f>
        <v>2104</v>
      </c>
      <c r="AG26">
        <f>[1]属性设计!D50</f>
        <v>2104</v>
      </c>
      <c r="AH26">
        <f>[1]属性设计!J50</f>
        <v>252576</v>
      </c>
      <c r="AI26">
        <f>[1]属性设计!K50</f>
        <v>6436</v>
      </c>
      <c r="AJ26">
        <f>[1]属性设计!L50</f>
        <v>4827</v>
      </c>
      <c r="AK26">
        <f>[1]属性设计!M50</f>
        <v>5733</v>
      </c>
      <c r="AL26">
        <f>[1]属性设计!N50</f>
        <v>5733</v>
      </c>
      <c r="AM26">
        <f>[1]属性设计!T50</f>
        <v>33</v>
      </c>
      <c r="AN26">
        <f>[1]属性设计!U50</f>
        <v>0</v>
      </c>
      <c r="AO26">
        <f>[1]属性设计!V50</f>
        <v>0</v>
      </c>
      <c r="AP26">
        <f>[1]属性设计!W50</f>
        <v>0</v>
      </c>
    </row>
    <row r="27" spans="1:42" x14ac:dyDescent="0.15">
      <c r="AC27">
        <f>AC16+1000</f>
        <v>2001</v>
      </c>
      <c r="AD27">
        <f>[1]属性设计!$A56</f>
        <v>1</v>
      </c>
      <c r="AE27">
        <f>[1]属性设计!B56</f>
        <v>10</v>
      </c>
      <c r="AF27">
        <f>[1]属性设计!C56</f>
        <v>9</v>
      </c>
      <c r="AG27">
        <f>[1]属性设计!D56</f>
        <v>6</v>
      </c>
      <c r="AH27">
        <f>[1]属性设计!J56</f>
        <v>600</v>
      </c>
      <c r="AI27">
        <f>[1]属性设计!K56</f>
        <v>52</v>
      </c>
      <c r="AJ27">
        <f>[1]属性设计!L56</f>
        <v>0</v>
      </c>
      <c r="AK27">
        <f>[1]属性设计!M56</f>
        <v>39</v>
      </c>
      <c r="AL27">
        <f>[1]属性设计!N56</f>
        <v>35</v>
      </c>
      <c r="AM27">
        <f>[1]属性设计!T56</f>
        <v>0</v>
      </c>
      <c r="AN27">
        <f>[1]属性设计!U56</f>
        <v>0</v>
      </c>
      <c r="AO27">
        <f>[1]属性设计!V56</f>
        <v>0</v>
      </c>
      <c r="AP27">
        <f>[1]属性设计!W56</f>
        <v>0</v>
      </c>
    </row>
    <row r="28" spans="1:42" x14ac:dyDescent="0.15">
      <c r="AC28">
        <f t="shared" ref="AC28:AC70" si="20">AC17+1000</f>
        <v>2010</v>
      </c>
      <c r="AD28">
        <f>[1]属性设计!$A57</f>
        <v>10</v>
      </c>
      <c r="AE28">
        <f>[1]属性设计!B57</f>
        <v>58</v>
      </c>
      <c r="AF28">
        <f>[1]属性设计!C57</f>
        <v>52</v>
      </c>
      <c r="AG28">
        <f>[1]属性设计!D57</f>
        <v>34</v>
      </c>
      <c r="AH28">
        <f>[1]属性设计!J57</f>
        <v>3480</v>
      </c>
      <c r="AI28">
        <f>[1]属性设计!K57</f>
        <v>207</v>
      </c>
      <c r="AJ28">
        <f>[1]属性设计!L57</f>
        <v>0</v>
      </c>
      <c r="AK28">
        <f>[1]属性设计!M57</f>
        <v>134</v>
      </c>
      <c r="AL28">
        <f>[1]属性设计!N57</f>
        <v>120</v>
      </c>
      <c r="AM28">
        <f>[1]属性设计!T57</f>
        <v>0</v>
      </c>
      <c r="AN28">
        <f>[1]属性设计!U57</f>
        <v>0</v>
      </c>
      <c r="AO28">
        <f>[1]属性设计!V57</f>
        <v>0</v>
      </c>
      <c r="AP28">
        <f>[1]属性设计!W57</f>
        <v>0</v>
      </c>
    </row>
    <row r="29" spans="1:42" x14ac:dyDescent="0.15">
      <c r="AC29">
        <f t="shared" si="20"/>
        <v>2020</v>
      </c>
      <c r="AD29">
        <f>[1]属性设计!$A58</f>
        <v>20</v>
      </c>
      <c r="AE29">
        <f>[1]属性设计!B58</f>
        <v>174</v>
      </c>
      <c r="AF29">
        <f>[1]属性设计!C58</f>
        <v>157</v>
      </c>
      <c r="AG29">
        <f>[1]属性设计!D58</f>
        <v>104</v>
      </c>
      <c r="AH29">
        <f>[1]属性设计!J58</f>
        <v>10440</v>
      </c>
      <c r="AI29">
        <f>[1]属性设计!K58</f>
        <v>555</v>
      </c>
      <c r="AJ29">
        <f>[1]属性设计!L58</f>
        <v>0</v>
      </c>
      <c r="AK29">
        <f>[1]属性设计!M58</f>
        <v>352</v>
      </c>
      <c r="AL29">
        <f>[1]属性设计!N58</f>
        <v>316</v>
      </c>
      <c r="AM29">
        <f>[1]属性设计!T58</f>
        <v>0</v>
      </c>
      <c r="AN29">
        <f>[1]属性设计!U58</f>
        <v>0</v>
      </c>
      <c r="AO29">
        <f>[1]属性设计!V58</f>
        <v>0</v>
      </c>
      <c r="AP29">
        <f>[1]属性设计!W58</f>
        <v>0</v>
      </c>
    </row>
    <row r="30" spans="1:42" x14ac:dyDescent="0.15">
      <c r="AC30">
        <f t="shared" si="20"/>
        <v>2030</v>
      </c>
      <c r="AD30">
        <f>[1]属性设计!$A59</f>
        <v>30</v>
      </c>
      <c r="AE30">
        <f>[1]属性设计!B59</f>
        <v>358</v>
      </c>
      <c r="AF30">
        <f>[1]属性设计!C59</f>
        <v>322</v>
      </c>
      <c r="AG30">
        <f>[1]属性设计!D59</f>
        <v>214</v>
      </c>
      <c r="AH30">
        <f>[1]属性设计!J59</f>
        <v>21480</v>
      </c>
      <c r="AI30">
        <f>[1]属性设计!K59</f>
        <v>1085</v>
      </c>
      <c r="AJ30">
        <f>[1]属性设计!L59</f>
        <v>0</v>
      </c>
      <c r="AK30">
        <f>[1]属性设计!M59</f>
        <v>689</v>
      </c>
      <c r="AL30">
        <f>[1]属性设计!N59</f>
        <v>620</v>
      </c>
      <c r="AM30">
        <f>[1]属性设计!T59</f>
        <v>0</v>
      </c>
      <c r="AN30">
        <f>[1]属性设计!U59</f>
        <v>0</v>
      </c>
      <c r="AO30">
        <f>[1]属性设计!V59</f>
        <v>0</v>
      </c>
      <c r="AP30">
        <f>[1]属性设计!W59</f>
        <v>0</v>
      </c>
    </row>
    <row r="31" spans="1:42" x14ac:dyDescent="0.15">
      <c r="AC31">
        <f t="shared" si="20"/>
        <v>2040</v>
      </c>
      <c r="AD31">
        <f>[1]属性设计!$A60</f>
        <v>40</v>
      </c>
      <c r="AE31">
        <f>[1]属性设计!B60</f>
        <v>608</v>
      </c>
      <c r="AF31">
        <f>[1]属性设计!C60</f>
        <v>547</v>
      </c>
      <c r="AG31">
        <f>[1]属性设计!D60</f>
        <v>364</v>
      </c>
      <c r="AH31">
        <f>[1]属性设计!J60</f>
        <v>36480</v>
      </c>
      <c r="AI31">
        <f>[1]属性设计!K60</f>
        <v>1775</v>
      </c>
      <c r="AJ31">
        <f>[1]属性设计!L60</f>
        <v>0</v>
      </c>
      <c r="AK31">
        <f>[1]属性设计!M60</f>
        <v>1144</v>
      </c>
      <c r="AL31">
        <f>[1]属性设计!N60</f>
        <v>1029</v>
      </c>
      <c r="AM31">
        <f>[1]属性设计!T60</f>
        <v>0</v>
      </c>
      <c r="AN31">
        <f>[1]属性设计!U60</f>
        <v>0</v>
      </c>
      <c r="AO31">
        <f>[1]属性设计!V60</f>
        <v>0</v>
      </c>
      <c r="AP31">
        <f>[1]属性设计!W60</f>
        <v>0</v>
      </c>
    </row>
    <row r="32" spans="1:42" x14ac:dyDescent="0.15">
      <c r="AC32">
        <f t="shared" si="20"/>
        <v>2050</v>
      </c>
      <c r="AD32">
        <f>[1]属性设计!$A61</f>
        <v>50</v>
      </c>
      <c r="AE32">
        <f>[1]属性设计!B61</f>
        <v>924</v>
      </c>
      <c r="AF32">
        <f>[1]属性设计!C61</f>
        <v>832</v>
      </c>
      <c r="AG32">
        <f>[1]属性设计!D61</f>
        <v>554</v>
      </c>
      <c r="AH32">
        <f>[1]属性设计!J61</f>
        <v>55440</v>
      </c>
      <c r="AI32">
        <f>[1]属性设计!K61</f>
        <v>2499</v>
      </c>
      <c r="AJ32">
        <f>[1]属性设计!L61</f>
        <v>0</v>
      </c>
      <c r="AK32">
        <f>[1]属性设计!M61</f>
        <v>1718</v>
      </c>
      <c r="AL32">
        <f>[1]属性设计!N61</f>
        <v>1546</v>
      </c>
      <c r="AM32">
        <f>[1]属性设计!T61</f>
        <v>8</v>
      </c>
      <c r="AN32">
        <f>[1]属性设计!U61</f>
        <v>5</v>
      </c>
      <c r="AO32">
        <f>[1]属性设计!V61</f>
        <v>0</v>
      </c>
      <c r="AP32">
        <f>[1]属性设计!W61</f>
        <v>0</v>
      </c>
    </row>
    <row r="33" spans="29:42" x14ac:dyDescent="0.15">
      <c r="AC33">
        <f t="shared" si="20"/>
        <v>2060</v>
      </c>
      <c r="AD33">
        <f>[1]属性设计!$A62</f>
        <v>60</v>
      </c>
      <c r="AE33">
        <f>[1]属性设计!B62</f>
        <v>1308</v>
      </c>
      <c r="AF33">
        <f>[1]属性设计!C62</f>
        <v>1177</v>
      </c>
      <c r="AG33">
        <f>[1]属性设计!D62</f>
        <v>784</v>
      </c>
      <c r="AH33">
        <f>[1]属性设计!J62</f>
        <v>78480</v>
      </c>
      <c r="AI33">
        <f>[1]属性设计!K62</f>
        <v>3361</v>
      </c>
      <c r="AJ33">
        <f>[1]属性设计!L62</f>
        <v>0</v>
      </c>
      <c r="AK33">
        <f>[1]属性设计!M62</f>
        <v>2411</v>
      </c>
      <c r="AL33">
        <f>[1]属性设计!N62</f>
        <v>2169</v>
      </c>
      <c r="AM33">
        <f>[1]属性设计!T62</f>
        <v>14</v>
      </c>
      <c r="AN33">
        <f>[1]属性设计!U62</f>
        <v>8</v>
      </c>
      <c r="AO33">
        <f>[1]属性设计!V62</f>
        <v>0</v>
      </c>
      <c r="AP33">
        <f>[1]属性设计!W62</f>
        <v>0</v>
      </c>
    </row>
    <row r="34" spans="29:42" x14ac:dyDescent="0.15">
      <c r="AC34">
        <f t="shared" si="20"/>
        <v>2070</v>
      </c>
      <c r="AD34">
        <f>[1]属性设计!$A63</f>
        <v>70</v>
      </c>
      <c r="AE34">
        <f>[1]属性设计!B63</f>
        <v>1758</v>
      </c>
      <c r="AF34">
        <f>[1]属性设计!C63</f>
        <v>1582</v>
      </c>
      <c r="AG34">
        <f>[1]属性设计!D63</f>
        <v>1054</v>
      </c>
      <c r="AH34">
        <f>[1]属性设计!J63</f>
        <v>105480</v>
      </c>
      <c r="AI34">
        <f>[1]属性设计!K63</f>
        <v>4297</v>
      </c>
      <c r="AJ34">
        <f>[1]属性设计!L63</f>
        <v>0</v>
      </c>
      <c r="AK34">
        <f>[1]属性设计!M63</f>
        <v>3223</v>
      </c>
      <c r="AL34">
        <f>[1]属性设计!N63</f>
        <v>2900</v>
      </c>
      <c r="AM34">
        <f>[1]属性设计!T63</f>
        <v>24</v>
      </c>
      <c r="AN34">
        <f>[1]属性设计!U63</f>
        <v>12</v>
      </c>
      <c r="AO34">
        <f>[1]属性设计!V63</f>
        <v>0</v>
      </c>
      <c r="AP34">
        <f>[1]属性设计!W63</f>
        <v>0</v>
      </c>
    </row>
    <row r="35" spans="29:42" x14ac:dyDescent="0.15">
      <c r="AC35">
        <f t="shared" si="20"/>
        <v>2080</v>
      </c>
      <c r="AD35">
        <f>[1]属性设计!$A64</f>
        <v>80</v>
      </c>
      <c r="AE35">
        <f>[1]属性设计!B64</f>
        <v>2274</v>
      </c>
      <c r="AF35">
        <f>[1]属性设计!C64</f>
        <v>2047</v>
      </c>
      <c r="AG35">
        <f>[1]属性设计!D64</f>
        <v>1364</v>
      </c>
      <c r="AH35">
        <f>[1]属性设计!J64</f>
        <v>136440</v>
      </c>
      <c r="AI35">
        <f>[1]属性设计!K64</f>
        <v>5135</v>
      </c>
      <c r="AJ35">
        <f>[1]属性设计!L64</f>
        <v>0</v>
      </c>
      <c r="AK35">
        <f>[1]属性设计!M64</f>
        <v>4154</v>
      </c>
      <c r="AL35">
        <f>[1]属性设计!N64</f>
        <v>3738</v>
      </c>
      <c r="AM35">
        <f>[1]属性设计!T64</f>
        <v>38</v>
      </c>
      <c r="AN35">
        <f>[1]属性设计!U64</f>
        <v>17</v>
      </c>
      <c r="AO35">
        <f>[1]属性设计!V64</f>
        <v>0</v>
      </c>
      <c r="AP35">
        <f>[1]属性设计!W64</f>
        <v>0</v>
      </c>
    </row>
    <row r="36" spans="29:42" x14ac:dyDescent="0.15">
      <c r="AC36">
        <f t="shared" si="20"/>
        <v>2090</v>
      </c>
      <c r="AD36">
        <f>[1]属性设计!$A65</f>
        <v>90</v>
      </c>
      <c r="AE36">
        <f>[1]属性设计!B65</f>
        <v>2858</v>
      </c>
      <c r="AF36">
        <f>[1]属性设计!C65</f>
        <v>2572</v>
      </c>
      <c r="AG36">
        <f>[1]属性设计!D65</f>
        <v>1714</v>
      </c>
      <c r="AH36">
        <f>[1]属性设计!J65</f>
        <v>171480</v>
      </c>
      <c r="AI36">
        <f>[1]属性设计!K65</f>
        <v>6307</v>
      </c>
      <c r="AJ36">
        <f>[1]属性设计!L65</f>
        <v>0</v>
      </c>
      <c r="AK36">
        <f>[1]属性设计!M65</f>
        <v>5203</v>
      </c>
      <c r="AL36">
        <f>[1]属性设计!N65</f>
        <v>4682</v>
      </c>
      <c r="AM36">
        <f>[1]属性设计!T65</f>
        <v>56</v>
      </c>
      <c r="AN36">
        <f>[1]属性设计!U65</f>
        <v>25</v>
      </c>
      <c r="AO36">
        <f>[1]属性设计!V65</f>
        <v>0</v>
      </c>
      <c r="AP36">
        <f>[1]属性设计!W65</f>
        <v>0</v>
      </c>
    </row>
    <row r="37" spans="29:42" x14ac:dyDescent="0.15">
      <c r="AC37">
        <f t="shared" si="20"/>
        <v>2100</v>
      </c>
      <c r="AD37">
        <f>[1]属性设计!$A66</f>
        <v>100</v>
      </c>
      <c r="AE37">
        <f>[1]属性设计!B66</f>
        <v>3508</v>
      </c>
      <c r="AF37">
        <f>[1]属性设计!C66</f>
        <v>3157</v>
      </c>
      <c r="AG37">
        <f>[1]属性设计!D66</f>
        <v>2104</v>
      </c>
      <c r="AH37">
        <f>[1]属性设计!J66</f>
        <v>210480</v>
      </c>
      <c r="AI37">
        <f>[1]属性设计!K66</f>
        <v>7723</v>
      </c>
      <c r="AJ37">
        <f>[1]属性设计!L66</f>
        <v>0</v>
      </c>
      <c r="AK37">
        <f>[1]属性设计!M66</f>
        <v>6371</v>
      </c>
      <c r="AL37">
        <f>[1]属性设计!N66</f>
        <v>5733</v>
      </c>
      <c r="AM37">
        <f>[1]属性设计!T66</f>
        <v>78</v>
      </c>
      <c r="AN37">
        <f>[1]属性设计!U66</f>
        <v>33</v>
      </c>
      <c r="AO37">
        <f>[1]属性设计!V66</f>
        <v>0</v>
      </c>
      <c r="AP37">
        <f>[1]属性设计!W66</f>
        <v>0</v>
      </c>
    </row>
    <row r="38" spans="29:42" x14ac:dyDescent="0.15">
      <c r="AC38">
        <f t="shared" si="20"/>
        <v>3001</v>
      </c>
      <c r="AD38">
        <f>[1]属性设计!$A72</f>
        <v>1</v>
      </c>
      <c r="AE38">
        <f>[1]属性设计!B72</f>
        <v>8</v>
      </c>
      <c r="AF38">
        <f>[1]属性设计!C72</f>
        <v>10</v>
      </c>
      <c r="AG38">
        <f>[1]属性设计!D72</f>
        <v>7</v>
      </c>
      <c r="AH38">
        <f>[1]属性设计!J72</f>
        <v>594</v>
      </c>
      <c r="AI38">
        <f>[1]属性设计!K72</f>
        <v>40</v>
      </c>
      <c r="AJ38">
        <f>[1]属性设计!L72</f>
        <v>40</v>
      </c>
      <c r="AK38">
        <f>[1]属性设计!M72</f>
        <v>39</v>
      </c>
      <c r="AL38">
        <f>[1]属性设计!N72</f>
        <v>39</v>
      </c>
      <c r="AM38">
        <f>[1]属性设计!T72</f>
        <v>0</v>
      </c>
      <c r="AN38">
        <f>[1]属性设计!U72</f>
        <v>0</v>
      </c>
      <c r="AO38">
        <f>[1]属性设计!V72</f>
        <v>0</v>
      </c>
      <c r="AP38">
        <f>[1]属性设计!W72</f>
        <v>0</v>
      </c>
    </row>
    <row r="39" spans="29:42" x14ac:dyDescent="0.15">
      <c r="AC39">
        <f t="shared" si="20"/>
        <v>3010</v>
      </c>
      <c r="AD39">
        <f>[1]属性设计!$A73</f>
        <v>10</v>
      </c>
      <c r="AE39">
        <f>[1]属性设计!B73</f>
        <v>46</v>
      </c>
      <c r="AF39">
        <f>[1]属性设计!C73</f>
        <v>58</v>
      </c>
      <c r="AG39">
        <f>[1]属性设计!D73</f>
        <v>40</v>
      </c>
      <c r="AH39">
        <f>[1]属性设计!J73</f>
        <v>3695</v>
      </c>
      <c r="AI39">
        <f>[1]属性设计!K73</f>
        <v>136</v>
      </c>
      <c r="AJ39">
        <f>[1]属性设计!L73</f>
        <v>136</v>
      </c>
      <c r="AK39">
        <f>[1]属性设计!M73</f>
        <v>134</v>
      </c>
      <c r="AL39">
        <f>[1]属性设计!N73</f>
        <v>134</v>
      </c>
      <c r="AM39">
        <f>[1]属性设计!T73</f>
        <v>0</v>
      </c>
      <c r="AN39">
        <f>[1]属性设计!U73</f>
        <v>0</v>
      </c>
      <c r="AO39">
        <f>[1]属性设计!V73</f>
        <v>0</v>
      </c>
      <c r="AP39">
        <f>[1]属性设计!W73</f>
        <v>0</v>
      </c>
    </row>
    <row r="40" spans="29:42" x14ac:dyDescent="0.15">
      <c r="AC40">
        <f t="shared" si="20"/>
        <v>3020</v>
      </c>
      <c r="AD40">
        <f>[1]属性设计!$A74</f>
        <v>20</v>
      </c>
      <c r="AE40">
        <f>[1]属性设计!B74</f>
        <v>139</v>
      </c>
      <c r="AF40">
        <f>[1]属性设计!C74</f>
        <v>174</v>
      </c>
      <c r="AG40">
        <f>[1]属性设计!D74</f>
        <v>122</v>
      </c>
      <c r="AH40">
        <f>[1]属性设计!J74</f>
        <v>10899</v>
      </c>
      <c r="AI40">
        <f>[1]属性设计!K74</f>
        <v>356</v>
      </c>
      <c r="AJ40">
        <f>[1]属性设计!L74</f>
        <v>356</v>
      </c>
      <c r="AK40">
        <f>[1]属性设计!M74</f>
        <v>352</v>
      </c>
      <c r="AL40">
        <f>[1]属性设计!N74</f>
        <v>352</v>
      </c>
      <c r="AM40">
        <f>[1]属性设计!T74</f>
        <v>0</v>
      </c>
      <c r="AN40">
        <f>[1]属性设计!U74</f>
        <v>0</v>
      </c>
      <c r="AO40">
        <f>[1]属性设计!V74</f>
        <v>0</v>
      </c>
      <c r="AP40">
        <f>[1]属性设计!W74</f>
        <v>0</v>
      </c>
    </row>
    <row r="41" spans="29:42" x14ac:dyDescent="0.15">
      <c r="AC41">
        <f t="shared" si="20"/>
        <v>3030</v>
      </c>
      <c r="AD41">
        <f>[1]属性设计!$A75</f>
        <v>30</v>
      </c>
      <c r="AE41">
        <f>[1]属性设计!B75</f>
        <v>286</v>
      </c>
      <c r="AF41">
        <f>[1]属性设计!C75</f>
        <v>358</v>
      </c>
      <c r="AG41">
        <f>[1]属性设计!D75</f>
        <v>250</v>
      </c>
      <c r="AH41">
        <f>[1]属性设计!J75</f>
        <v>20298</v>
      </c>
      <c r="AI41">
        <f>[1]属性设计!K75</f>
        <v>696</v>
      </c>
      <c r="AJ41">
        <f>[1]属性设计!L75</f>
        <v>696</v>
      </c>
      <c r="AK41">
        <f>[1]属性设计!M75</f>
        <v>689</v>
      </c>
      <c r="AL41">
        <f>[1]属性设计!N75</f>
        <v>689</v>
      </c>
      <c r="AM41">
        <f>[1]属性设计!T75</f>
        <v>0</v>
      </c>
      <c r="AN41">
        <f>[1]属性设计!U75</f>
        <v>0</v>
      </c>
      <c r="AO41">
        <f>[1]属性设计!V75</f>
        <v>0</v>
      </c>
      <c r="AP41">
        <f>[1]属性设计!W75</f>
        <v>0</v>
      </c>
    </row>
    <row r="42" spans="29:42" x14ac:dyDescent="0.15">
      <c r="AC42">
        <f t="shared" si="20"/>
        <v>3040</v>
      </c>
      <c r="AD42">
        <f>[1]属性设计!$A76</f>
        <v>40</v>
      </c>
      <c r="AE42">
        <f>[1]属性设计!B76</f>
        <v>486</v>
      </c>
      <c r="AF42">
        <f>[1]属性设计!C76</f>
        <v>608</v>
      </c>
      <c r="AG42">
        <f>[1]属性设计!D76</f>
        <v>425</v>
      </c>
      <c r="AH42">
        <f>[1]属性设计!J76</f>
        <v>34473</v>
      </c>
      <c r="AI42">
        <f>[1]属性设计!K76</f>
        <v>1156</v>
      </c>
      <c r="AJ42">
        <f>[1]属性设计!L76</f>
        <v>1156</v>
      </c>
      <c r="AK42">
        <f>[1]属性设计!M76</f>
        <v>1144</v>
      </c>
      <c r="AL42">
        <f>[1]属性设计!N76</f>
        <v>1144</v>
      </c>
      <c r="AM42">
        <f>[1]属性设计!T76</f>
        <v>0</v>
      </c>
      <c r="AN42">
        <f>[1]属性设计!U76</f>
        <v>0</v>
      </c>
      <c r="AO42">
        <f>[1]属性设计!V76</f>
        <v>0</v>
      </c>
      <c r="AP42">
        <f>[1]属性设计!W76</f>
        <v>0</v>
      </c>
    </row>
    <row r="43" spans="29:42" x14ac:dyDescent="0.15">
      <c r="AC43">
        <f t="shared" si="20"/>
        <v>3050</v>
      </c>
      <c r="AD43">
        <f>[1]属性设计!$A77</f>
        <v>50</v>
      </c>
      <c r="AE43">
        <f>[1]属性设计!B77</f>
        <v>739</v>
      </c>
      <c r="AF43">
        <f>[1]属性设计!C77</f>
        <v>924</v>
      </c>
      <c r="AG43">
        <f>[1]属性设计!D77</f>
        <v>647</v>
      </c>
      <c r="AH43">
        <f>[1]属性设计!J77</f>
        <v>49896</v>
      </c>
      <c r="AI43">
        <f>[1]属性设计!K77</f>
        <v>1736</v>
      </c>
      <c r="AJ43">
        <f>[1]属性设计!L77</f>
        <v>1736</v>
      </c>
      <c r="AK43">
        <f>[1]属性设计!M77</f>
        <v>1718</v>
      </c>
      <c r="AL43">
        <f>[1]属性设计!N77</f>
        <v>1718</v>
      </c>
      <c r="AM43">
        <f>[1]属性设计!T77</f>
        <v>0</v>
      </c>
      <c r="AN43">
        <f>[1]属性设计!U77</f>
        <v>0</v>
      </c>
      <c r="AO43">
        <f>[1]属性设计!V77</f>
        <v>9</v>
      </c>
      <c r="AP43">
        <f>[1]属性设计!W77</f>
        <v>9</v>
      </c>
    </row>
    <row r="44" spans="29:42" x14ac:dyDescent="0.15">
      <c r="AC44">
        <f t="shared" si="20"/>
        <v>3060</v>
      </c>
      <c r="AD44">
        <f>[1]属性设计!$A78</f>
        <v>60</v>
      </c>
      <c r="AE44">
        <f>[1]属性设计!B78</f>
        <v>1046</v>
      </c>
      <c r="AF44">
        <f>[1]属性设计!C78</f>
        <v>1308</v>
      </c>
      <c r="AG44">
        <f>[1]属性设计!D78</f>
        <v>915</v>
      </c>
      <c r="AH44">
        <f>[1]属性设计!J78</f>
        <v>70632</v>
      </c>
      <c r="AI44">
        <f>[1]属性设计!K78</f>
        <v>2436</v>
      </c>
      <c r="AJ44">
        <f>[1]属性设计!L78</f>
        <v>2436</v>
      </c>
      <c r="AK44">
        <f>[1]属性设计!M78</f>
        <v>2411</v>
      </c>
      <c r="AL44">
        <f>[1]属性设计!N78</f>
        <v>2411</v>
      </c>
      <c r="AM44">
        <f>[1]属性设计!T78</f>
        <v>0</v>
      </c>
      <c r="AN44">
        <f>[1]属性设计!U78</f>
        <v>0</v>
      </c>
      <c r="AO44">
        <f>[1]属性设计!V78</f>
        <v>12</v>
      </c>
      <c r="AP44">
        <f>[1]属性设计!W78</f>
        <v>12</v>
      </c>
    </row>
    <row r="45" spans="29:42" x14ac:dyDescent="0.15">
      <c r="AC45">
        <f t="shared" si="20"/>
        <v>3070</v>
      </c>
      <c r="AD45">
        <f>[1]属性设计!$A79</f>
        <v>70</v>
      </c>
      <c r="AE45">
        <f>[1]属性设计!B79</f>
        <v>1406</v>
      </c>
      <c r="AF45">
        <f>[1]属性设计!C79</f>
        <v>1758</v>
      </c>
      <c r="AG45">
        <f>[1]属性设计!D79</f>
        <v>1230</v>
      </c>
      <c r="AH45">
        <f>[1]属性设计!J79</f>
        <v>94932</v>
      </c>
      <c r="AI45">
        <f>[1]属性设计!K79</f>
        <v>3256</v>
      </c>
      <c r="AJ45">
        <f>[1]属性设计!L79</f>
        <v>3256</v>
      </c>
      <c r="AK45">
        <f>[1]属性设计!M79</f>
        <v>3223</v>
      </c>
      <c r="AL45">
        <f>[1]属性设计!N79</f>
        <v>3223</v>
      </c>
      <c r="AM45">
        <f>[1]属性设计!T79</f>
        <v>0</v>
      </c>
      <c r="AN45">
        <f>[1]属性设计!U79</f>
        <v>0</v>
      </c>
      <c r="AO45">
        <f>[1]属性设计!V79</f>
        <v>17</v>
      </c>
      <c r="AP45">
        <f>[1]属性设计!W79</f>
        <v>17</v>
      </c>
    </row>
    <row r="46" spans="29:42" x14ac:dyDescent="0.15">
      <c r="AC46">
        <f t="shared" si="20"/>
        <v>3080</v>
      </c>
      <c r="AD46">
        <f>[1]属性设计!$A80</f>
        <v>80</v>
      </c>
      <c r="AE46">
        <f>[1]属性设计!B80</f>
        <v>1819</v>
      </c>
      <c r="AF46">
        <f>[1]属性设计!C80</f>
        <v>2274</v>
      </c>
      <c r="AG46">
        <f>[1]属性设计!D80</f>
        <v>1592</v>
      </c>
      <c r="AH46">
        <f>[1]属性设计!J80</f>
        <v>122796</v>
      </c>
      <c r="AI46">
        <f>[1]属性设计!K80</f>
        <v>4196</v>
      </c>
      <c r="AJ46">
        <f>[1]属性设计!L80</f>
        <v>4196</v>
      </c>
      <c r="AK46">
        <f>[1]属性设计!M80</f>
        <v>4154</v>
      </c>
      <c r="AL46">
        <f>[1]属性设计!N80</f>
        <v>4154</v>
      </c>
      <c r="AM46">
        <f>[1]属性设计!T80</f>
        <v>0</v>
      </c>
      <c r="AN46">
        <f>[1]属性设计!U80</f>
        <v>0</v>
      </c>
      <c r="AO46">
        <f>[1]属性设计!V80</f>
        <v>24</v>
      </c>
      <c r="AP46">
        <f>[1]属性设计!W80</f>
        <v>24</v>
      </c>
    </row>
    <row r="47" spans="29:42" x14ac:dyDescent="0.15">
      <c r="AC47">
        <f t="shared" si="20"/>
        <v>3090</v>
      </c>
      <c r="AD47">
        <f>[1]属性设计!$A81</f>
        <v>90</v>
      </c>
      <c r="AE47">
        <f>[1]属性设计!B81</f>
        <v>2286</v>
      </c>
      <c r="AF47">
        <f>[1]属性设计!C81</f>
        <v>2858</v>
      </c>
      <c r="AG47">
        <f>[1]属性设计!D81</f>
        <v>2000</v>
      </c>
      <c r="AH47">
        <f>[1]属性设计!J81</f>
        <v>154332</v>
      </c>
      <c r="AI47">
        <f>[1]属性设计!K81</f>
        <v>5256</v>
      </c>
      <c r="AJ47">
        <f>[1]属性设计!L81</f>
        <v>5256</v>
      </c>
      <c r="AK47">
        <f>[1]属性设计!M81</f>
        <v>5203</v>
      </c>
      <c r="AL47">
        <f>[1]属性设计!N81</f>
        <v>5203</v>
      </c>
      <c r="AM47">
        <f>[1]属性设计!T81</f>
        <v>0</v>
      </c>
      <c r="AN47">
        <f>[1]属性设计!U81</f>
        <v>0</v>
      </c>
      <c r="AO47">
        <f>[1]属性设计!V81</f>
        <v>33</v>
      </c>
      <c r="AP47">
        <f>[1]属性设计!W81</f>
        <v>33</v>
      </c>
    </row>
    <row r="48" spans="29:42" x14ac:dyDescent="0.15">
      <c r="AC48">
        <f t="shared" si="20"/>
        <v>3100</v>
      </c>
      <c r="AD48">
        <f>[1]属性设计!$A82</f>
        <v>100</v>
      </c>
      <c r="AE48">
        <f>[1]属性设计!B82</f>
        <v>2806</v>
      </c>
      <c r="AF48">
        <f>[1]属性设计!C82</f>
        <v>3508</v>
      </c>
      <c r="AG48">
        <f>[1]属性设计!D82</f>
        <v>2455</v>
      </c>
      <c r="AH48">
        <f>[1]属性设计!J82</f>
        <v>189432</v>
      </c>
      <c r="AI48">
        <f>[1]属性设计!K82</f>
        <v>6436</v>
      </c>
      <c r="AJ48">
        <f>[1]属性设计!L82</f>
        <v>6436</v>
      </c>
      <c r="AK48">
        <f>[1]属性设计!M82</f>
        <v>6371</v>
      </c>
      <c r="AL48">
        <f>[1]属性设计!N82</f>
        <v>6371</v>
      </c>
      <c r="AM48">
        <f>[1]属性设计!T82</f>
        <v>0</v>
      </c>
      <c r="AN48">
        <f>[1]属性设计!U82</f>
        <v>0</v>
      </c>
      <c r="AO48">
        <f>[1]属性设计!V82</f>
        <v>44</v>
      </c>
      <c r="AP48">
        <f>[1]属性设计!W82</f>
        <v>44</v>
      </c>
    </row>
    <row r="49" spans="3:42" x14ac:dyDescent="0.15">
      <c r="AC49">
        <f t="shared" si="20"/>
        <v>4001</v>
      </c>
      <c r="AD49">
        <f>[1]属性设计!$A88</f>
        <v>1</v>
      </c>
      <c r="AE49">
        <f>[1]属性设计!B88</f>
        <v>6</v>
      </c>
      <c r="AF49">
        <f>[1]属性设计!C88</f>
        <v>6</v>
      </c>
      <c r="AG49">
        <f>[1]属性设计!D88</f>
        <v>13</v>
      </c>
      <c r="AH49">
        <f>[1]属性设计!J88</f>
        <v>450</v>
      </c>
      <c r="AI49">
        <f>[1]属性设计!K88</f>
        <v>0</v>
      </c>
      <c r="AJ49">
        <f>[1]属性设计!L88</f>
        <v>52</v>
      </c>
      <c r="AK49">
        <f>[1]属性设计!M88</f>
        <v>23</v>
      </c>
      <c r="AL49">
        <f>[1]属性设计!N88</f>
        <v>23</v>
      </c>
      <c r="AM49">
        <f>[1]属性设计!T88</f>
        <v>0</v>
      </c>
      <c r="AN49">
        <f>[1]属性设计!U88</f>
        <v>0</v>
      </c>
      <c r="AO49">
        <f>[1]属性设计!V88</f>
        <v>0</v>
      </c>
      <c r="AP49">
        <f>[1]属性设计!W88</f>
        <v>0</v>
      </c>
    </row>
    <row r="50" spans="3:42" x14ac:dyDescent="0.15">
      <c r="AC50">
        <f t="shared" si="20"/>
        <v>4010</v>
      </c>
      <c r="AD50">
        <f>[1]属性设计!$A89</f>
        <v>10</v>
      </c>
      <c r="AE50">
        <f>[1]属性设计!B89</f>
        <v>34</v>
      </c>
      <c r="AF50">
        <f>[1]属性设计!C89</f>
        <v>34</v>
      </c>
      <c r="AG50">
        <f>[1]属性设计!D89</f>
        <v>75</v>
      </c>
      <c r="AH50">
        <f>[1]属性设计!J89</f>
        <v>2610</v>
      </c>
      <c r="AI50">
        <f>[1]属性设计!K89</f>
        <v>0</v>
      </c>
      <c r="AJ50">
        <f>[1]属性设计!L89</f>
        <v>176</v>
      </c>
      <c r="AK50">
        <f>[1]属性设计!M89</f>
        <v>80</v>
      </c>
      <c r="AL50">
        <f>[1]属性设计!N89</f>
        <v>80</v>
      </c>
      <c r="AM50">
        <f>[1]属性设计!T89</f>
        <v>0</v>
      </c>
      <c r="AN50">
        <f>[1]属性设计!U89</f>
        <v>0</v>
      </c>
      <c r="AO50">
        <f>[1]属性设计!V89</f>
        <v>0</v>
      </c>
      <c r="AP50">
        <f>[1]属性设计!W89</f>
        <v>0</v>
      </c>
    </row>
    <row r="51" spans="3:42" x14ac:dyDescent="0.15">
      <c r="AC51">
        <f t="shared" si="20"/>
        <v>4020</v>
      </c>
      <c r="AD51">
        <f>[1]属性设计!$A90</f>
        <v>20</v>
      </c>
      <c r="AE51">
        <f>[1]属性设计!B90</f>
        <v>104</v>
      </c>
      <c r="AF51">
        <f>[1]属性设计!C90</f>
        <v>104</v>
      </c>
      <c r="AG51">
        <f>[1]属性设计!D90</f>
        <v>227</v>
      </c>
      <c r="AH51">
        <f>[1]属性设计!J90</f>
        <v>7830</v>
      </c>
      <c r="AI51">
        <f>[1]属性设计!K90</f>
        <v>0</v>
      </c>
      <c r="AJ51">
        <f>[1]属性设计!L90</f>
        <v>462</v>
      </c>
      <c r="AK51">
        <f>[1]属性设计!M90</f>
        <v>211</v>
      </c>
      <c r="AL51">
        <f>[1]属性设计!N90</f>
        <v>211</v>
      </c>
      <c r="AM51">
        <f>[1]属性设计!T90</f>
        <v>0</v>
      </c>
      <c r="AN51">
        <f>[1]属性设计!U90</f>
        <v>0</v>
      </c>
      <c r="AO51">
        <f>[1]属性设计!V90</f>
        <v>0</v>
      </c>
      <c r="AP51">
        <f>[1]属性设计!W90</f>
        <v>0</v>
      </c>
    </row>
    <row r="52" spans="3:42" x14ac:dyDescent="0.15"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>
        <v>8</v>
      </c>
      <c r="K52">
        <v>9</v>
      </c>
      <c r="L52">
        <v>10</v>
      </c>
      <c r="M52">
        <v>11</v>
      </c>
      <c r="N52">
        <v>12</v>
      </c>
      <c r="O52">
        <v>13</v>
      </c>
      <c r="P52">
        <v>14</v>
      </c>
      <c r="Q52">
        <v>15</v>
      </c>
      <c r="R52">
        <v>16</v>
      </c>
      <c r="S52">
        <v>17</v>
      </c>
      <c r="T52">
        <v>18</v>
      </c>
      <c r="U52">
        <v>19</v>
      </c>
      <c r="V52">
        <v>20</v>
      </c>
      <c r="W52">
        <v>21</v>
      </c>
      <c r="X52">
        <v>22</v>
      </c>
      <c r="Y52">
        <v>23</v>
      </c>
      <c r="Z52">
        <v>24</v>
      </c>
      <c r="AC52">
        <f t="shared" si="20"/>
        <v>4030</v>
      </c>
      <c r="AD52">
        <f>[1]属性设计!$A91</f>
        <v>30</v>
      </c>
      <c r="AE52">
        <f>[1]属性设计!B91</f>
        <v>214</v>
      </c>
      <c r="AF52">
        <f>[1]属性设计!C91</f>
        <v>214</v>
      </c>
      <c r="AG52">
        <f>[1]属性设计!D91</f>
        <v>465</v>
      </c>
      <c r="AH52">
        <f>[1]属性设计!J91</f>
        <v>16110</v>
      </c>
      <c r="AI52">
        <f>[1]属性设计!K91</f>
        <v>0</v>
      </c>
      <c r="AJ52">
        <f>[1]属性设计!L91</f>
        <v>904</v>
      </c>
      <c r="AK52">
        <f>[1]属性设计!M91</f>
        <v>413</v>
      </c>
      <c r="AL52">
        <f>[1]属性设计!N91</f>
        <v>413</v>
      </c>
      <c r="AM52">
        <f>[1]属性设计!T91</f>
        <v>0</v>
      </c>
      <c r="AN52">
        <f>[1]属性设计!U91</f>
        <v>0</v>
      </c>
      <c r="AO52">
        <f>[1]属性设计!V91</f>
        <v>0</v>
      </c>
      <c r="AP52">
        <f>[1]属性设计!W91</f>
        <v>0</v>
      </c>
    </row>
    <row r="53" spans="3:42" x14ac:dyDescent="0.15">
      <c r="N53">
        <v>7</v>
      </c>
      <c r="O53">
        <v>8</v>
      </c>
      <c r="P53">
        <v>9</v>
      </c>
      <c r="Q53">
        <v>10</v>
      </c>
      <c r="R53">
        <v>11</v>
      </c>
      <c r="AC53">
        <f t="shared" si="20"/>
        <v>4040</v>
      </c>
      <c r="AD53">
        <f>[1]属性设计!$A92</f>
        <v>40</v>
      </c>
      <c r="AE53">
        <f>[1]属性设计!B92</f>
        <v>364</v>
      </c>
      <c r="AF53">
        <f>[1]属性设计!C92</f>
        <v>364</v>
      </c>
      <c r="AG53">
        <f>[1]属性设计!D92</f>
        <v>790</v>
      </c>
      <c r="AH53">
        <f>[1]属性设计!J92</f>
        <v>27360</v>
      </c>
      <c r="AI53">
        <f>[1]属性设计!K92</f>
        <v>0</v>
      </c>
      <c r="AJ53">
        <f>[1]属性设计!L92</f>
        <v>1502</v>
      </c>
      <c r="AK53">
        <f>[1]属性设计!M92</f>
        <v>686</v>
      </c>
      <c r="AL53">
        <f>[1]属性设计!N92</f>
        <v>686</v>
      </c>
      <c r="AM53">
        <f>[1]属性设计!T92</f>
        <v>0</v>
      </c>
      <c r="AN53">
        <f>[1]属性设计!U92</f>
        <v>0</v>
      </c>
      <c r="AO53">
        <f>[1]属性设计!V92</f>
        <v>0</v>
      </c>
      <c r="AP53">
        <f>[1]属性设计!W92</f>
        <v>0</v>
      </c>
    </row>
    <row r="54" spans="3:42" x14ac:dyDescent="0.15">
      <c r="K54">
        <v>4</v>
      </c>
      <c r="L54">
        <v>5</v>
      </c>
      <c r="M54">
        <v>6</v>
      </c>
      <c r="N54">
        <v>12</v>
      </c>
      <c r="O54">
        <v>13</v>
      </c>
      <c r="P54">
        <v>14</v>
      </c>
      <c r="Q54">
        <v>15</v>
      </c>
      <c r="R54">
        <v>16</v>
      </c>
      <c r="S54">
        <v>17</v>
      </c>
      <c r="T54">
        <v>18</v>
      </c>
      <c r="U54">
        <v>19</v>
      </c>
      <c r="V54">
        <v>20</v>
      </c>
      <c r="W54">
        <v>21</v>
      </c>
      <c r="X54">
        <v>22</v>
      </c>
      <c r="Y54">
        <v>23</v>
      </c>
      <c r="Z54">
        <v>24</v>
      </c>
      <c r="AC54">
        <f t="shared" si="20"/>
        <v>4050</v>
      </c>
      <c r="AD54">
        <f>[1]属性设计!$A93</f>
        <v>50</v>
      </c>
      <c r="AE54">
        <f>[1]属性设计!B93</f>
        <v>554</v>
      </c>
      <c r="AF54">
        <f>[1]属性设计!C93</f>
        <v>554</v>
      </c>
      <c r="AG54">
        <f>[1]属性设计!D93</f>
        <v>1202</v>
      </c>
      <c r="AH54">
        <f>[1]属性设计!J93</f>
        <v>41580</v>
      </c>
      <c r="AI54">
        <f>[1]属性设计!K93</f>
        <v>0</v>
      </c>
      <c r="AJ54">
        <f>[1]属性设计!L93</f>
        <v>2143</v>
      </c>
      <c r="AK54">
        <f>[1]属性设计!M93</f>
        <v>1030</v>
      </c>
      <c r="AL54">
        <f>[1]属性设计!N93</f>
        <v>1030</v>
      </c>
      <c r="AM54">
        <f>[1]属性设计!T93</f>
        <v>0</v>
      </c>
      <c r="AN54">
        <f>[1]属性设计!U93</f>
        <v>0</v>
      </c>
      <c r="AO54">
        <f>[1]属性设计!V93</f>
        <v>0</v>
      </c>
      <c r="AP54">
        <f>[1]属性设计!W93</f>
        <v>0</v>
      </c>
    </row>
    <row r="55" spans="3:42" x14ac:dyDescent="0.15">
      <c r="K55">
        <v>3</v>
      </c>
      <c r="L55">
        <v>4</v>
      </c>
      <c r="M55">
        <v>5</v>
      </c>
      <c r="N55">
        <v>6</v>
      </c>
      <c r="O55">
        <v>7</v>
      </c>
      <c r="P55">
        <v>8</v>
      </c>
      <c r="Q55">
        <v>9</v>
      </c>
      <c r="R55">
        <v>10</v>
      </c>
      <c r="S55">
        <v>11</v>
      </c>
      <c r="T55">
        <v>12</v>
      </c>
      <c r="U55">
        <v>13</v>
      </c>
      <c r="V55">
        <v>14</v>
      </c>
      <c r="AC55">
        <f t="shared" si="20"/>
        <v>4060</v>
      </c>
      <c r="AD55">
        <f>[1]属性设计!$A94</f>
        <v>60</v>
      </c>
      <c r="AE55">
        <f>[1]属性设计!B94</f>
        <v>784</v>
      </c>
      <c r="AF55">
        <f>[1]属性设计!C94</f>
        <v>784</v>
      </c>
      <c r="AG55">
        <f>[1]属性设计!D94</f>
        <v>1700</v>
      </c>
      <c r="AH55">
        <f>[1]属性设计!J94</f>
        <v>58860</v>
      </c>
      <c r="AI55">
        <f>[1]属性设计!K94</f>
        <v>0</v>
      </c>
      <c r="AJ55">
        <f>[1]属性设计!L94</f>
        <v>3166</v>
      </c>
      <c r="AK55">
        <f>[1]属性设计!M94</f>
        <v>1446</v>
      </c>
      <c r="AL55">
        <f>[1]属性设计!N94</f>
        <v>1446</v>
      </c>
      <c r="AM55">
        <f>[1]属性设计!T94</f>
        <v>0</v>
      </c>
      <c r="AN55">
        <f>[1]属性设计!U94</f>
        <v>0</v>
      </c>
      <c r="AO55">
        <f>[1]属性设计!V94</f>
        <v>0</v>
      </c>
      <c r="AP55">
        <f>[1]属性设计!W94</f>
        <v>0</v>
      </c>
    </row>
    <row r="56" spans="3:42" x14ac:dyDescent="0.15">
      <c r="C56" t="s">
        <v>164</v>
      </c>
      <c r="D56" t="s">
        <v>235</v>
      </c>
      <c r="E56" t="s">
        <v>277</v>
      </c>
      <c r="F56" t="s">
        <v>278</v>
      </c>
      <c r="G56" t="s">
        <v>279</v>
      </c>
      <c r="H56" t="s">
        <v>280</v>
      </c>
      <c r="I56" t="s">
        <v>281</v>
      </c>
      <c r="J56" t="s">
        <v>282</v>
      </c>
      <c r="K56" t="s">
        <v>218</v>
      </c>
      <c r="L56" t="s">
        <v>219</v>
      </c>
      <c r="M56" t="s">
        <v>220</v>
      </c>
      <c r="N56" t="s">
        <v>221</v>
      </c>
      <c r="O56" t="s">
        <v>222</v>
      </c>
      <c r="P56" t="s">
        <v>223</v>
      </c>
      <c r="Q56" t="s">
        <v>224</v>
      </c>
      <c r="R56" t="s">
        <v>225</v>
      </c>
      <c r="S56" t="s">
        <v>226</v>
      </c>
      <c r="T56" t="s">
        <v>227</v>
      </c>
      <c r="U56" t="s">
        <v>228</v>
      </c>
      <c r="V56" t="s">
        <v>229</v>
      </c>
      <c r="W56" t="s">
        <v>243</v>
      </c>
      <c r="X56" t="s">
        <v>244</v>
      </c>
      <c r="Y56" t="s">
        <v>245</v>
      </c>
      <c r="Z56" t="s">
        <v>237</v>
      </c>
      <c r="AC56">
        <f t="shared" si="20"/>
        <v>4070</v>
      </c>
      <c r="AD56">
        <f>[1]属性设计!$A95</f>
        <v>70</v>
      </c>
      <c r="AE56">
        <f>[1]属性设计!B95</f>
        <v>1054</v>
      </c>
      <c r="AF56">
        <f>[1]属性设计!C95</f>
        <v>1054</v>
      </c>
      <c r="AG56">
        <f>[1]属性设计!D95</f>
        <v>2285</v>
      </c>
      <c r="AH56">
        <f>[1]属性设计!J95</f>
        <v>79110</v>
      </c>
      <c r="AI56">
        <f>[1]属性设计!K95</f>
        <v>0</v>
      </c>
      <c r="AJ56">
        <f>[1]属性设计!L95</f>
        <v>4232</v>
      </c>
      <c r="AK56">
        <f>[1]属性设计!M95</f>
        <v>1933</v>
      </c>
      <c r="AL56">
        <f>[1]属性设计!N95</f>
        <v>1933</v>
      </c>
      <c r="AM56">
        <f>[1]属性设计!T95</f>
        <v>0</v>
      </c>
      <c r="AN56">
        <f>[1]属性设计!U95</f>
        <v>0</v>
      </c>
      <c r="AO56">
        <f>[1]属性设计!V95</f>
        <v>0</v>
      </c>
      <c r="AP56">
        <f>[1]属性设计!W95</f>
        <v>0</v>
      </c>
    </row>
    <row r="57" spans="3:42" x14ac:dyDescent="0.15">
      <c r="C57">
        <v>11101</v>
      </c>
      <c r="D57" t="s">
        <v>272</v>
      </c>
      <c r="E57">
        <v>1010</v>
      </c>
      <c r="F57">
        <v>15010</v>
      </c>
      <c r="G57">
        <v>14010</v>
      </c>
      <c r="K57">
        <f t="shared" ref="K57:M66" si="21">VLOOKUP($E57,总基本属性,K$55,FALSE)+IF($F57=0,0,VLOOKUP($F57,buff属性,K$54,FALSE))+IF($G57=0,0,VLOOKUP($G57,buff属性,K$54,FALSE))+IF($H57=0,0,VLOOKUP($H57,buff属性,K$54,FALSE))+IF($I57=0,0,VLOOKUP($I57,buff属性,K$54,FALSE))+IF($J57=0,0,VLOOKUP($J57,buff属性,K$54,FALSE))</f>
        <v>97</v>
      </c>
      <c r="L57">
        <f t="shared" si="21"/>
        <v>34</v>
      </c>
      <c r="M57">
        <f t="shared" si="21"/>
        <v>34</v>
      </c>
      <c r="N57">
        <f t="shared" ref="N57:R66" si="22">VLOOKUP($E57,总基本属性,N$55,FALSE)+IF($F57=0,0,VLOOKUP($F57,buff属性,N$54,FALSE)+VLOOKUP($F57,buff属性,N$53,FALSE))+IF($G57=0,0,VLOOKUP($G57,buff属性,N$54,FALSE)+VLOOKUP($G57,buff属性,N$53,FALSE))+IF($H57=0,0,VLOOKUP($H57,buff属性,N$54,FALSE)+VLOOKUP($H57,buff属性,N$53,FALSE))+IF($I57=0,0,VLOOKUP($I57,buff属性,N$54,FALSE)+VLOOKUP($I57,buff属性,N$53,FALSE))+IF($J57=0,0,VLOOKUP($J57,buff属性,N$54,FALSE)+VLOOKUP($J57,buff属性,N$53,FALSE))</f>
        <v>5484</v>
      </c>
      <c r="O57">
        <f t="shared" si="22"/>
        <v>160</v>
      </c>
      <c r="P57">
        <f t="shared" si="22"/>
        <v>115</v>
      </c>
      <c r="Q57">
        <f t="shared" si="22"/>
        <v>133</v>
      </c>
      <c r="R57">
        <f t="shared" si="22"/>
        <v>120</v>
      </c>
      <c r="S57">
        <f t="shared" ref="S57:V66" si="23">VLOOKUP($E57,总基本属性,S$55,FALSE)+IF($F57=0,0,VLOOKUP($F57,buff属性,S$54,FALSE))+IF($G57=0,0,VLOOKUP($G57,buff属性,S$54,FALSE))+IF($H57=0,0,VLOOKUP($H57,buff属性,S$54,FALSE))+IF($I57=0,0,VLOOKUP($I57,buff属性,S$54,FALSE))+IF($J57=0,0,VLOOKUP($J57,buff属性,S$54,FALSE))</f>
        <v>0</v>
      </c>
      <c r="T57">
        <f t="shared" si="23"/>
        <v>0</v>
      </c>
      <c r="U57">
        <f t="shared" si="23"/>
        <v>0</v>
      </c>
      <c r="V57">
        <f t="shared" si="23"/>
        <v>0</v>
      </c>
      <c r="W57">
        <f t="shared" ref="W57:Z66" si="24">IF($F57=0,0,VLOOKUP($F57,buff属性,W$54,FALSE))+IF($G57=0,0,VLOOKUP($G57,buff属性,W$54,FALSE))+IF($H57=0,0,VLOOKUP($H57,buff属性,W$54,FALSE))+IF($I57=0,0,VLOOKUP($I57,buff属性,W$54,FALSE))+IF($J57=0,0,VLOOKUP($J57,buff属性,W$54,FALSE))</f>
        <v>0</v>
      </c>
      <c r="X57">
        <f t="shared" si="24"/>
        <v>0</v>
      </c>
      <c r="Y57">
        <f t="shared" si="24"/>
        <v>0.1</v>
      </c>
      <c r="Z57">
        <f t="shared" si="24"/>
        <v>0</v>
      </c>
      <c r="AC57">
        <f t="shared" si="20"/>
        <v>4080</v>
      </c>
      <c r="AD57">
        <f>[1]属性设计!$A96</f>
        <v>80</v>
      </c>
      <c r="AE57">
        <f>[1]属性设计!B96</f>
        <v>1364</v>
      </c>
      <c r="AF57">
        <f>[1]属性设计!C96</f>
        <v>1364</v>
      </c>
      <c r="AG57">
        <f>[1]属性设计!D96</f>
        <v>2957</v>
      </c>
      <c r="AH57">
        <f>[1]属性设计!J96</f>
        <v>102330</v>
      </c>
      <c r="AI57">
        <f>[1]属性设计!K96</f>
        <v>0</v>
      </c>
      <c r="AJ57">
        <f>[1]属性设计!L96</f>
        <v>5290</v>
      </c>
      <c r="AK57">
        <f>[1]属性设计!M96</f>
        <v>2492</v>
      </c>
      <c r="AL57">
        <f>[1]属性设计!N96</f>
        <v>2492</v>
      </c>
      <c r="AM57">
        <f>[1]属性设计!T96</f>
        <v>0</v>
      </c>
      <c r="AN57">
        <f>[1]属性设计!U96</f>
        <v>0</v>
      </c>
      <c r="AO57">
        <f>[1]属性设计!V96</f>
        <v>0</v>
      </c>
      <c r="AP57">
        <f>[1]属性设计!W96</f>
        <v>0</v>
      </c>
    </row>
    <row r="58" spans="3:42" x14ac:dyDescent="0.15">
      <c r="C58">
        <f>C57+1</f>
        <v>11102</v>
      </c>
      <c r="D58" t="s">
        <v>273</v>
      </c>
      <c r="E58">
        <f>E57+10</f>
        <v>1020</v>
      </c>
      <c r="F58">
        <f>F57+10</f>
        <v>15020</v>
      </c>
      <c r="G58">
        <f>G57+10</f>
        <v>14020</v>
      </c>
      <c r="K58">
        <f t="shared" si="21"/>
        <v>264</v>
      </c>
      <c r="L58">
        <f t="shared" si="21"/>
        <v>104</v>
      </c>
      <c r="M58">
        <f t="shared" si="21"/>
        <v>104</v>
      </c>
      <c r="N58">
        <f t="shared" si="22"/>
        <v>14971</v>
      </c>
      <c r="O58">
        <f t="shared" si="22"/>
        <v>396</v>
      </c>
      <c r="P58">
        <f t="shared" si="22"/>
        <v>369</v>
      </c>
      <c r="Q58">
        <f t="shared" si="22"/>
        <v>339</v>
      </c>
      <c r="R58">
        <f t="shared" si="22"/>
        <v>316</v>
      </c>
      <c r="S58">
        <f t="shared" si="23"/>
        <v>0</v>
      </c>
      <c r="T58">
        <f t="shared" si="23"/>
        <v>0</v>
      </c>
      <c r="U58">
        <f t="shared" si="23"/>
        <v>0</v>
      </c>
      <c r="V58">
        <f t="shared" si="23"/>
        <v>0</v>
      </c>
      <c r="W58">
        <f t="shared" si="24"/>
        <v>0</v>
      </c>
      <c r="X58">
        <f t="shared" si="24"/>
        <v>0</v>
      </c>
      <c r="Y58">
        <f t="shared" si="24"/>
        <v>0.1</v>
      </c>
      <c r="Z58">
        <f t="shared" si="24"/>
        <v>0</v>
      </c>
      <c r="AC58">
        <f t="shared" si="20"/>
        <v>4090</v>
      </c>
      <c r="AD58">
        <f>[1]属性设计!$A97</f>
        <v>90</v>
      </c>
      <c r="AE58">
        <f>[1]属性设计!B97</f>
        <v>1714</v>
      </c>
      <c r="AF58">
        <f>[1]属性设计!C97</f>
        <v>1714</v>
      </c>
      <c r="AG58">
        <f>[1]属性设计!D97</f>
        <v>3715</v>
      </c>
      <c r="AH58">
        <f>[1]属性设计!J97</f>
        <v>128610</v>
      </c>
      <c r="AI58">
        <f>[1]属性设计!K97</f>
        <v>0</v>
      </c>
      <c r="AJ58">
        <f>[1]属性设计!L97</f>
        <v>6627</v>
      </c>
      <c r="AK58">
        <f>[1]属性设计!M97</f>
        <v>3121</v>
      </c>
      <c r="AL58">
        <f>[1]属性设计!N97</f>
        <v>3121</v>
      </c>
      <c r="AM58">
        <f>[1]属性设计!T97</f>
        <v>0</v>
      </c>
      <c r="AN58">
        <f>[1]属性设计!U97</f>
        <v>0</v>
      </c>
      <c r="AO58">
        <f>[1]属性设计!V97</f>
        <v>0</v>
      </c>
      <c r="AP58">
        <f>[1]属性设计!W97</f>
        <v>0</v>
      </c>
    </row>
    <row r="59" spans="3:42" x14ac:dyDescent="0.15">
      <c r="C59">
        <f t="shared" ref="C59:C66" si="25">C58+1</f>
        <v>11103</v>
      </c>
      <c r="D59" t="s">
        <v>274</v>
      </c>
      <c r="E59">
        <f t="shared" ref="E59:E66" si="26">E58+10</f>
        <v>1030</v>
      </c>
      <c r="F59">
        <f t="shared" ref="F59" si="27">F58+10</f>
        <v>15030</v>
      </c>
      <c r="G59">
        <f t="shared" ref="G59" si="28">G58+10</f>
        <v>14030</v>
      </c>
      <c r="K59">
        <f t="shared" si="21"/>
        <v>532</v>
      </c>
      <c r="L59">
        <f t="shared" si="21"/>
        <v>214</v>
      </c>
      <c r="M59">
        <f t="shared" si="21"/>
        <v>214</v>
      </c>
      <c r="N59">
        <f t="shared" si="22"/>
        <v>30773</v>
      </c>
      <c r="O59">
        <f t="shared" si="22"/>
        <v>769</v>
      </c>
      <c r="P59">
        <f t="shared" si="22"/>
        <v>718</v>
      </c>
      <c r="Q59">
        <f t="shared" si="22"/>
        <v>660</v>
      </c>
      <c r="R59">
        <f t="shared" si="22"/>
        <v>620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4"/>
        <v>0</v>
      </c>
      <c r="X59">
        <f t="shared" si="24"/>
        <v>0</v>
      </c>
      <c r="Y59">
        <f t="shared" si="24"/>
        <v>0.1</v>
      </c>
      <c r="Z59">
        <f t="shared" si="24"/>
        <v>0</v>
      </c>
      <c r="AC59">
        <f t="shared" si="20"/>
        <v>4100</v>
      </c>
      <c r="AD59">
        <f>[1]属性设计!$A98</f>
        <v>100</v>
      </c>
      <c r="AE59">
        <f>[1]属性设计!B98</f>
        <v>2104</v>
      </c>
      <c r="AF59">
        <f>[1]属性设计!C98</f>
        <v>2104</v>
      </c>
      <c r="AG59">
        <f>[1]属性设计!D98</f>
        <v>4560</v>
      </c>
      <c r="AH59">
        <f>[1]属性设计!J98</f>
        <v>157860</v>
      </c>
      <c r="AI59">
        <f>[1]属性设计!K98</f>
        <v>0</v>
      </c>
      <c r="AJ59">
        <f>[1]属性设计!L98</f>
        <v>8366</v>
      </c>
      <c r="AK59">
        <f>[1]属性设计!M98</f>
        <v>3822</v>
      </c>
      <c r="AL59">
        <f>[1]属性设计!N98</f>
        <v>3822</v>
      </c>
      <c r="AM59">
        <f>[1]属性设计!T98</f>
        <v>0</v>
      </c>
      <c r="AN59">
        <f>[1]属性设计!U98</f>
        <v>0</v>
      </c>
      <c r="AO59">
        <f>[1]属性设计!V98</f>
        <v>0</v>
      </c>
      <c r="AP59">
        <f>[1]属性设计!W98</f>
        <v>0</v>
      </c>
    </row>
    <row r="60" spans="3:42" x14ac:dyDescent="0.15">
      <c r="C60">
        <f t="shared" si="25"/>
        <v>11104</v>
      </c>
      <c r="D60" t="s">
        <v>387</v>
      </c>
      <c r="E60">
        <f t="shared" si="26"/>
        <v>1040</v>
      </c>
      <c r="F60">
        <f t="shared" ref="F60:F66" si="29">F59+10</f>
        <v>15040</v>
      </c>
      <c r="G60">
        <f t="shared" ref="G60:G66" si="30">G59+10</f>
        <v>14040</v>
      </c>
      <c r="K60">
        <f t="shared" si="21"/>
        <v>903</v>
      </c>
      <c r="L60">
        <f t="shared" si="21"/>
        <v>364</v>
      </c>
      <c r="M60">
        <f t="shared" si="21"/>
        <v>364</v>
      </c>
      <c r="N60">
        <f t="shared" si="22"/>
        <v>52819</v>
      </c>
      <c r="O60">
        <f t="shared" si="22"/>
        <v>1280</v>
      </c>
      <c r="P60">
        <f t="shared" si="22"/>
        <v>1194</v>
      </c>
      <c r="Q60">
        <f t="shared" si="22"/>
        <v>1094</v>
      </c>
      <c r="R60">
        <f t="shared" si="22"/>
        <v>1029</v>
      </c>
      <c r="S60">
        <f t="shared" si="23"/>
        <v>0</v>
      </c>
      <c r="T60">
        <f t="shared" si="23"/>
        <v>0</v>
      </c>
      <c r="U60">
        <f t="shared" si="23"/>
        <v>0</v>
      </c>
      <c r="V60">
        <f t="shared" si="23"/>
        <v>0</v>
      </c>
      <c r="W60">
        <f t="shared" si="24"/>
        <v>0</v>
      </c>
      <c r="X60">
        <f t="shared" si="24"/>
        <v>0</v>
      </c>
      <c r="Y60">
        <f t="shared" si="24"/>
        <v>0.1</v>
      </c>
      <c r="Z60">
        <f t="shared" si="24"/>
        <v>0</v>
      </c>
      <c r="AC60">
        <f t="shared" si="20"/>
        <v>5001</v>
      </c>
      <c r="AD60">
        <f>[1]属性设计!$A104</f>
        <v>1</v>
      </c>
      <c r="AE60">
        <f>[1]属性设计!B104</f>
        <v>7</v>
      </c>
      <c r="AF60">
        <f>[1]属性设计!C104</f>
        <v>12</v>
      </c>
      <c r="AG60">
        <f>[1]属性设计!D104</f>
        <v>6</v>
      </c>
      <c r="AH60">
        <f>[1]属性设计!J104</f>
        <v>480</v>
      </c>
      <c r="AI60">
        <f>[1]属性设计!K104</f>
        <v>63</v>
      </c>
      <c r="AJ60">
        <f>[1]属性设计!L104</f>
        <v>0</v>
      </c>
      <c r="AK60">
        <f>[1]属性设计!M104</f>
        <v>31</v>
      </c>
      <c r="AL60">
        <f>[1]属性设计!N104</f>
        <v>31</v>
      </c>
      <c r="AM60">
        <f>[1]属性设计!T104</f>
        <v>0</v>
      </c>
      <c r="AN60">
        <f>[1]属性设计!U104</f>
        <v>15</v>
      </c>
      <c r="AO60">
        <f>[1]属性设计!V104</f>
        <v>0</v>
      </c>
      <c r="AP60">
        <f>[1]属性设计!W104</f>
        <v>0</v>
      </c>
    </row>
    <row r="61" spans="3:42" x14ac:dyDescent="0.15">
      <c r="C61">
        <f t="shared" si="25"/>
        <v>11105</v>
      </c>
      <c r="D61" t="s">
        <v>388</v>
      </c>
      <c r="E61">
        <f t="shared" si="26"/>
        <v>1050</v>
      </c>
      <c r="F61">
        <f t="shared" si="29"/>
        <v>15050</v>
      </c>
      <c r="G61">
        <f t="shared" si="30"/>
        <v>14050</v>
      </c>
      <c r="K61">
        <f t="shared" si="21"/>
        <v>1356</v>
      </c>
      <c r="L61">
        <f t="shared" si="21"/>
        <v>554</v>
      </c>
      <c r="M61">
        <f t="shared" si="21"/>
        <v>554</v>
      </c>
      <c r="N61">
        <f t="shared" si="22"/>
        <v>78666</v>
      </c>
      <c r="O61">
        <f t="shared" si="22"/>
        <v>1905</v>
      </c>
      <c r="P61">
        <f t="shared" si="22"/>
        <v>1784</v>
      </c>
      <c r="Q61">
        <f t="shared" si="22"/>
        <v>1644</v>
      </c>
      <c r="R61">
        <f t="shared" si="22"/>
        <v>1546</v>
      </c>
      <c r="S61">
        <f t="shared" si="23"/>
        <v>5</v>
      </c>
      <c r="T61">
        <f t="shared" si="23"/>
        <v>0</v>
      </c>
      <c r="U61">
        <f t="shared" si="23"/>
        <v>0</v>
      </c>
      <c r="V61">
        <f t="shared" si="23"/>
        <v>0</v>
      </c>
      <c r="W61">
        <f t="shared" si="24"/>
        <v>0</v>
      </c>
      <c r="X61">
        <f t="shared" si="24"/>
        <v>0</v>
      </c>
      <c r="Y61">
        <f t="shared" si="24"/>
        <v>0.1</v>
      </c>
      <c r="Z61">
        <f t="shared" si="24"/>
        <v>0</v>
      </c>
      <c r="AC61">
        <f t="shared" si="20"/>
        <v>5010</v>
      </c>
      <c r="AD61">
        <f>[1]属性设计!$A105</f>
        <v>10</v>
      </c>
      <c r="AE61">
        <f>[1]属性设计!B105</f>
        <v>40</v>
      </c>
      <c r="AF61">
        <f>[1]属性设计!C105</f>
        <v>69</v>
      </c>
      <c r="AG61">
        <f>[1]属性设计!D105</f>
        <v>34</v>
      </c>
      <c r="AH61">
        <f>[1]属性设计!J105</f>
        <v>2784</v>
      </c>
      <c r="AI61">
        <f>[1]属性设计!K105</f>
        <v>216</v>
      </c>
      <c r="AJ61">
        <f>[1]属性设计!L105</f>
        <v>0</v>
      </c>
      <c r="AK61">
        <f>[1]属性设计!M105</f>
        <v>107</v>
      </c>
      <c r="AL61">
        <f>[1]属性设计!N105</f>
        <v>107</v>
      </c>
      <c r="AM61">
        <f>[1]属性设计!T105</f>
        <v>0</v>
      </c>
      <c r="AN61">
        <f>[1]属性设计!U105</f>
        <v>16</v>
      </c>
      <c r="AO61">
        <f>[1]属性设计!V105</f>
        <v>0</v>
      </c>
      <c r="AP61">
        <f>[1]属性设计!W105</f>
        <v>0</v>
      </c>
    </row>
    <row r="62" spans="3:42" x14ac:dyDescent="0.15">
      <c r="C62">
        <f t="shared" si="25"/>
        <v>11106</v>
      </c>
      <c r="D62" t="s">
        <v>389</v>
      </c>
      <c r="E62">
        <f t="shared" si="26"/>
        <v>1060</v>
      </c>
      <c r="F62">
        <f t="shared" si="29"/>
        <v>15060</v>
      </c>
      <c r="G62">
        <f t="shared" si="30"/>
        <v>14060</v>
      </c>
      <c r="K62">
        <f t="shared" si="21"/>
        <v>1924</v>
      </c>
      <c r="L62">
        <f t="shared" si="21"/>
        <v>784</v>
      </c>
      <c r="M62">
        <f t="shared" si="21"/>
        <v>784</v>
      </c>
      <c r="N62">
        <f t="shared" si="22"/>
        <v>112468</v>
      </c>
      <c r="O62">
        <f t="shared" si="22"/>
        <v>2682</v>
      </c>
      <c r="P62">
        <f t="shared" si="22"/>
        <v>2326</v>
      </c>
      <c r="Q62">
        <f t="shared" si="22"/>
        <v>2307</v>
      </c>
      <c r="R62">
        <f t="shared" si="22"/>
        <v>2169</v>
      </c>
      <c r="S62">
        <f t="shared" si="23"/>
        <v>8</v>
      </c>
      <c r="T62">
        <f t="shared" si="23"/>
        <v>0</v>
      </c>
      <c r="U62">
        <f t="shared" si="23"/>
        <v>0</v>
      </c>
      <c r="V62">
        <f t="shared" si="23"/>
        <v>0</v>
      </c>
      <c r="W62">
        <f t="shared" si="24"/>
        <v>0</v>
      </c>
      <c r="X62">
        <f t="shared" si="24"/>
        <v>0</v>
      </c>
      <c r="Y62">
        <f t="shared" si="24"/>
        <v>0.1</v>
      </c>
      <c r="Z62">
        <f t="shared" si="24"/>
        <v>0</v>
      </c>
      <c r="AC62">
        <f t="shared" si="20"/>
        <v>5020</v>
      </c>
      <c r="AD62">
        <f>[1]属性设计!$A106</f>
        <v>20</v>
      </c>
      <c r="AE62">
        <f>[1]属性设计!B106</f>
        <v>122</v>
      </c>
      <c r="AF62">
        <f>[1]属性设计!C106</f>
        <v>209</v>
      </c>
      <c r="AG62">
        <f>[1]属性设计!D106</f>
        <v>104</v>
      </c>
      <c r="AH62">
        <f>[1]属性设计!J106</f>
        <v>8352</v>
      </c>
      <c r="AI62">
        <f>[1]属性设计!K106</f>
        <v>554</v>
      </c>
      <c r="AJ62">
        <f>[1]属性设计!L106</f>
        <v>0</v>
      </c>
      <c r="AK62">
        <f>[1]属性设计!M106</f>
        <v>281</v>
      </c>
      <c r="AL62">
        <f>[1]属性设计!N106</f>
        <v>281</v>
      </c>
      <c r="AM62">
        <f>[1]属性设计!T106</f>
        <v>0</v>
      </c>
      <c r="AN62">
        <f>[1]属性设计!U106</f>
        <v>18</v>
      </c>
      <c r="AO62">
        <f>[1]属性设计!V106</f>
        <v>0</v>
      </c>
      <c r="AP62">
        <f>[1]属性设计!W106</f>
        <v>0</v>
      </c>
    </row>
    <row r="63" spans="3:42" x14ac:dyDescent="0.15">
      <c r="C63">
        <f t="shared" si="25"/>
        <v>11107</v>
      </c>
      <c r="D63" t="s">
        <v>390</v>
      </c>
      <c r="E63">
        <f t="shared" si="26"/>
        <v>1070</v>
      </c>
      <c r="F63">
        <f t="shared" si="29"/>
        <v>15070</v>
      </c>
      <c r="G63">
        <f t="shared" si="30"/>
        <v>14070</v>
      </c>
      <c r="K63">
        <f t="shared" si="21"/>
        <v>2591</v>
      </c>
      <c r="L63">
        <f t="shared" si="21"/>
        <v>1054</v>
      </c>
      <c r="M63">
        <f t="shared" si="21"/>
        <v>1024</v>
      </c>
      <c r="N63">
        <f t="shared" si="22"/>
        <v>152179</v>
      </c>
      <c r="O63">
        <f t="shared" si="22"/>
        <v>3592</v>
      </c>
      <c r="P63">
        <f t="shared" si="22"/>
        <v>2869</v>
      </c>
      <c r="Q63">
        <f t="shared" si="22"/>
        <v>3085</v>
      </c>
      <c r="R63">
        <f t="shared" si="22"/>
        <v>2900</v>
      </c>
      <c r="S63">
        <f t="shared" si="23"/>
        <v>12</v>
      </c>
      <c r="T63">
        <f t="shared" si="23"/>
        <v>0</v>
      </c>
      <c r="U63">
        <f t="shared" si="23"/>
        <v>0</v>
      </c>
      <c r="V63">
        <f t="shared" si="23"/>
        <v>0</v>
      </c>
      <c r="W63">
        <f t="shared" si="24"/>
        <v>0</v>
      </c>
      <c r="X63">
        <f t="shared" si="24"/>
        <v>0</v>
      </c>
      <c r="Y63">
        <f t="shared" si="24"/>
        <v>0.1</v>
      </c>
      <c r="Z63">
        <f t="shared" si="24"/>
        <v>0</v>
      </c>
      <c r="AC63">
        <f t="shared" si="20"/>
        <v>5030</v>
      </c>
      <c r="AD63">
        <f>[1]属性设计!$A107</f>
        <v>30</v>
      </c>
      <c r="AE63">
        <f>[1]属性设计!B107</f>
        <v>250</v>
      </c>
      <c r="AF63">
        <f>[1]属性设计!C107</f>
        <v>429</v>
      </c>
      <c r="AG63">
        <f>[1]属性设计!D107</f>
        <v>214</v>
      </c>
      <c r="AH63">
        <f>[1]属性设计!J107</f>
        <v>17184</v>
      </c>
      <c r="AI63">
        <f>[1]属性设计!K107</f>
        <v>1026</v>
      </c>
      <c r="AJ63">
        <f>[1]属性设计!L107</f>
        <v>0</v>
      </c>
      <c r="AK63">
        <f>[1]属性设计!M107</f>
        <v>551</v>
      </c>
      <c r="AL63">
        <f>[1]属性设计!N107</f>
        <v>551</v>
      </c>
      <c r="AM63">
        <f>[1]属性设计!T107</f>
        <v>0</v>
      </c>
      <c r="AN63">
        <f>[1]属性设计!U107</f>
        <v>21</v>
      </c>
      <c r="AO63">
        <f>[1]属性设计!V107</f>
        <v>0</v>
      </c>
      <c r="AP63">
        <f>[1]属性设计!W107</f>
        <v>0</v>
      </c>
    </row>
    <row r="64" spans="3:42" x14ac:dyDescent="0.15">
      <c r="C64">
        <f t="shared" si="25"/>
        <v>11108</v>
      </c>
      <c r="D64" t="s">
        <v>391</v>
      </c>
      <c r="E64">
        <f t="shared" si="26"/>
        <v>1080</v>
      </c>
      <c r="F64">
        <f t="shared" si="29"/>
        <v>15080</v>
      </c>
      <c r="G64">
        <f t="shared" si="30"/>
        <v>14080</v>
      </c>
      <c r="K64">
        <f t="shared" si="21"/>
        <v>3330</v>
      </c>
      <c r="L64">
        <f t="shared" si="21"/>
        <v>1364</v>
      </c>
      <c r="M64">
        <f t="shared" si="21"/>
        <v>1364</v>
      </c>
      <c r="N64">
        <f t="shared" si="22"/>
        <v>194386</v>
      </c>
      <c r="O64">
        <f t="shared" si="22"/>
        <v>4606</v>
      </c>
      <c r="P64">
        <f t="shared" si="22"/>
        <v>3495</v>
      </c>
      <c r="Q64">
        <f t="shared" si="22"/>
        <v>3978</v>
      </c>
      <c r="R64">
        <f t="shared" si="22"/>
        <v>3738</v>
      </c>
      <c r="S64">
        <f t="shared" si="23"/>
        <v>17</v>
      </c>
      <c r="T64">
        <f t="shared" si="23"/>
        <v>0</v>
      </c>
      <c r="U64">
        <f t="shared" si="23"/>
        <v>0</v>
      </c>
      <c r="V64">
        <f t="shared" si="23"/>
        <v>0</v>
      </c>
      <c r="W64">
        <f t="shared" si="24"/>
        <v>0</v>
      </c>
      <c r="X64">
        <f t="shared" si="24"/>
        <v>0</v>
      </c>
      <c r="Y64">
        <f t="shared" si="24"/>
        <v>0.1</v>
      </c>
      <c r="Z64">
        <f t="shared" si="24"/>
        <v>0</v>
      </c>
      <c r="AC64">
        <f t="shared" si="20"/>
        <v>5040</v>
      </c>
      <c r="AD64">
        <f>[1]属性设计!$A108</f>
        <v>40</v>
      </c>
      <c r="AE64">
        <f>[1]属性设计!B108</f>
        <v>425</v>
      </c>
      <c r="AF64">
        <f>[1]属性设计!C108</f>
        <v>729</v>
      </c>
      <c r="AG64">
        <f>[1]属性设计!D108</f>
        <v>364</v>
      </c>
      <c r="AH64">
        <f>[1]属性设计!J108</f>
        <v>29184</v>
      </c>
      <c r="AI64">
        <f>[1]属性设计!K108</f>
        <v>1636</v>
      </c>
      <c r="AJ64">
        <f>[1]属性设计!L108</f>
        <v>0</v>
      </c>
      <c r="AK64">
        <f>[1]属性设计!M108</f>
        <v>915</v>
      </c>
      <c r="AL64">
        <f>[1]属性设计!N108</f>
        <v>915</v>
      </c>
      <c r="AM64">
        <f>[1]属性设计!T108</f>
        <v>0</v>
      </c>
      <c r="AN64">
        <f>[1]属性设计!U108</f>
        <v>25</v>
      </c>
      <c r="AO64">
        <f>[1]属性设计!V108</f>
        <v>0</v>
      </c>
      <c r="AP64">
        <f>[1]属性设计!W108</f>
        <v>0</v>
      </c>
    </row>
    <row r="65" spans="3:42" x14ac:dyDescent="0.15">
      <c r="C65">
        <f t="shared" si="25"/>
        <v>11109</v>
      </c>
      <c r="D65" t="s">
        <v>392</v>
      </c>
      <c r="E65">
        <f t="shared" si="26"/>
        <v>1090</v>
      </c>
      <c r="F65">
        <f t="shared" si="29"/>
        <v>15090</v>
      </c>
      <c r="G65">
        <f t="shared" si="30"/>
        <v>14090</v>
      </c>
      <c r="K65">
        <f t="shared" si="21"/>
        <v>4195</v>
      </c>
      <c r="L65">
        <f t="shared" si="21"/>
        <v>1714</v>
      </c>
      <c r="M65">
        <f t="shared" si="21"/>
        <v>1714</v>
      </c>
      <c r="N65">
        <f t="shared" si="22"/>
        <v>256315</v>
      </c>
      <c r="O65">
        <f t="shared" si="22"/>
        <v>5784</v>
      </c>
      <c r="P65">
        <f t="shared" si="22"/>
        <v>4230</v>
      </c>
      <c r="Q65">
        <f t="shared" si="22"/>
        <v>4985</v>
      </c>
      <c r="R65">
        <f t="shared" si="22"/>
        <v>4682</v>
      </c>
      <c r="S65">
        <f t="shared" si="23"/>
        <v>25</v>
      </c>
      <c r="T65">
        <f t="shared" si="23"/>
        <v>0</v>
      </c>
      <c r="U65">
        <f t="shared" si="23"/>
        <v>0</v>
      </c>
      <c r="V65">
        <f t="shared" si="23"/>
        <v>0</v>
      </c>
      <c r="W65">
        <f t="shared" si="24"/>
        <v>0</v>
      </c>
      <c r="X65">
        <f t="shared" si="24"/>
        <v>0</v>
      </c>
      <c r="Y65">
        <f t="shared" si="24"/>
        <v>0.1</v>
      </c>
      <c r="Z65">
        <f t="shared" si="24"/>
        <v>0</v>
      </c>
      <c r="AC65">
        <f t="shared" si="20"/>
        <v>5050</v>
      </c>
      <c r="AD65">
        <f>[1]属性设计!$A109</f>
        <v>50</v>
      </c>
      <c r="AE65">
        <f>[1]属性设计!B109</f>
        <v>647</v>
      </c>
      <c r="AF65">
        <f>[1]属性设计!C109</f>
        <v>1109</v>
      </c>
      <c r="AG65">
        <f>[1]属性设计!D109</f>
        <v>554</v>
      </c>
      <c r="AH65">
        <f>[1]属性设计!J109</f>
        <v>44352</v>
      </c>
      <c r="AI65">
        <f>[1]属性设计!K109</f>
        <v>2334</v>
      </c>
      <c r="AJ65">
        <f>[1]属性设计!L109</f>
        <v>0</v>
      </c>
      <c r="AK65">
        <f>[1]属性设计!M109</f>
        <v>1374</v>
      </c>
      <c r="AL65">
        <f>[1]属性设计!N109</f>
        <v>1374</v>
      </c>
      <c r="AM65">
        <f>[1]属性设计!T109</f>
        <v>0</v>
      </c>
      <c r="AN65">
        <f>[1]属性设计!U109</f>
        <v>30</v>
      </c>
      <c r="AO65">
        <f>[1]属性设计!V109</f>
        <v>0</v>
      </c>
      <c r="AP65">
        <f>[1]属性设计!W109</f>
        <v>9</v>
      </c>
    </row>
    <row r="66" spans="3:42" x14ac:dyDescent="0.15">
      <c r="C66">
        <f t="shared" si="25"/>
        <v>11110</v>
      </c>
      <c r="D66" t="s">
        <v>386</v>
      </c>
      <c r="E66">
        <f t="shared" si="26"/>
        <v>1100</v>
      </c>
      <c r="F66">
        <f t="shared" si="29"/>
        <v>15100</v>
      </c>
      <c r="G66">
        <f t="shared" si="30"/>
        <v>14100</v>
      </c>
      <c r="K66">
        <f t="shared" si="21"/>
        <v>5163</v>
      </c>
      <c r="L66">
        <f t="shared" si="21"/>
        <v>2104</v>
      </c>
      <c r="M66">
        <f t="shared" si="21"/>
        <v>2104</v>
      </c>
      <c r="N66">
        <f t="shared" si="22"/>
        <v>333153</v>
      </c>
      <c r="O66">
        <f t="shared" si="22"/>
        <v>7099</v>
      </c>
      <c r="P66">
        <f t="shared" si="22"/>
        <v>5188</v>
      </c>
      <c r="Q66">
        <f t="shared" si="22"/>
        <v>6106</v>
      </c>
      <c r="R66">
        <f t="shared" si="22"/>
        <v>5733</v>
      </c>
      <c r="S66">
        <f t="shared" si="23"/>
        <v>33</v>
      </c>
      <c r="T66">
        <f t="shared" si="23"/>
        <v>0</v>
      </c>
      <c r="U66">
        <f t="shared" si="23"/>
        <v>0</v>
      </c>
      <c r="V66">
        <f t="shared" si="23"/>
        <v>0</v>
      </c>
      <c r="W66">
        <f t="shared" si="24"/>
        <v>0</v>
      </c>
      <c r="X66">
        <f t="shared" si="24"/>
        <v>0</v>
      </c>
      <c r="Y66">
        <f t="shared" si="24"/>
        <v>0.1</v>
      </c>
      <c r="Z66">
        <f t="shared" si="24"/>
        <v>0</v>
      </c>
      <c r="AC66">
        <f t="shared" si="20"/>
        <v>5060</v>
      </c>
      <c r="AD66">
        <f>[1]属性设计!$A110</f>
        <v>60</v>
      </c>
      <c r="AE66">
        <f>[1]属性设计!B110</f>
        <v>915</v>
      </c>
      <c r="AF66">
        <f>[1]属性设计!C110</f>
        <v>1569</v>
      </c>
      <c r="AG66">
        <f>[1]属性设计!D110</f>
        <v>784</v>
      </c>
      <c r="AH66">
        <f>[1]属性设计!J110</f>
        <v>62784</v>
      </c>
      <c r="AI66">
        <f>[1]属性设计!K110</f>
        <v>3075</v>
      </c>
      <c r="AJ66">
        <f>[1]属性设计!L110</f>
        <v>0</v>
      </c>
      <c r="AK66">
        <f>[1]属性设计!M110</f>
        <v>1928</v>
      </c>
      <c r="AL66">
        <f>[1]属性设计!N110</f>
        <v>1928</v>
      </c>
      <c r="AM66">
        <f>[1]属性设计!T110</f>
        <v>0</v>
      </c>
      <c r="AN66">
        <f>[1]属性设计!U110</f>
        <v>35</v>
      </c>
      <c r="AO66">
        <f>[1]属性设计!V110</f>
        <v>0</v>
      </c>
      <c r="AP66">
        <f>[1]属性设计!W110</f>
        <v>12</v>
      </c>
    </row>
    <row r="67" spans="3:42" x14ac:dyDescent="0.15">
      <c r="AC67">
        <f t="shared" si="20"/>
        <v>5070</v>
      </c>
      <c r="AD67">
        <f>[1]属性设计!$A111</f>
        <v>70</v>
      </c>
      <c r="AE67">
        <f>[1]属性设计!B111</f>
        <v>1230</v>
      </c>
      <c r="AF67">
        <f>[1]属性设计!C111</f>
        <v>2109</v>
      </c>
      <c r="AG67">
        <f>[1]属性设计!D111</f>
        <v>1054</v>
      </c>
      <c r="AH67">
        <f>[1]属性设计!J111</f>
        <v>84384</v>
      </c>
      <c r="AI67">
        <f>[1]属性设计!K111</f>
        <v>3957</v>
      </c>
      <c r="AJ67">
        <f>[1]属性设计!L111</f>
        <v>0</v>
      </c>
      <c r="AK67">
        <f>[1]属性设计!M111</f>
        <v>2578</v>
      </c>
      <c r="AL67">
        <f>[1]属性设计!N111</f>
        <v>2578</v>
      </c>
      <c r="AM67">
        <f>[1]属性设计!T111</f>
        <v>0</v>
      </c>
      <c r="AN67">
        <f>[1]属性设计!U111</f>
        <v>41</v>
      </c>
      <c r="AO67">
        <f>[1]属性设计!V111</f>
        <v>0</v>
      </c>
      <c r="AP67">
        <f>[1]属性设计!W111</f>
        <v>17</v>
      </c>
    </row>
    <row r="68" spans="3:42" x14ac:dyDescent="0.15">
      <c r="AC68">
        <f t="shared" si="20"/>
        <v>5080</v>
      </c>
      <c r="AD68">
        <f>[1]属性设计!$A112</f>
        <v>80</v>
      </c>
      <c r="AE68">
        <f>[1]属性设计!B112</f>
        <v>1592</v>
      </c>
      <c r="AF68">
        <f>[1]属性设计!C112</f>
        <v>2729</v>
      </c>
      <c r="AG68">
        <f>[1]属性设计!D112</f>
        <v>1364</v>
      </c>
      <c r="AH68">
        <f>[1]属性设计!J112</f>
        <v>109152</v>
      </c>
      <c r="AI68">
        <f>[1]属性设计!K112</f>
        <v>4851</v>
      </c>
      <c r="AJ68">
        <f>[1]属性设计!L112</f>
        <v>0</v>
      </c>
      <c r="AK68">
        <f>[1]属性设计!M112</f>
        <v>3323</v>
      </c>
      <c r="AL68">
        <f>[1]属性设计!N112</f>
        <v>3323</v>
      </c>
      <c r="AM68">
        <f>[1]属性设计!T112</f>
        <v>0</v>
      </c>
      <c r="AN68">
        <f>[1]属性设计!U112</f>
        <v>48</v>
      </c>
      <c r="AO68">
        <f>[1]属性设计!V112</f>
        <v>0</v>
      </c>
      <c r="AP68">
        <f>[1]属性设计!W112</f>
        <v>24</v>
      </c>
    </row>
    <row r="69" spans="3:42" x14ac:dyDescent="0.15">
      <c r="AC69">
        <f t="shared" si="20"/>
        <v>5090</v>
      </c>
      <c r="AD69">
        <f>[1]属性设计!$A113</f>
        <v>90</v>
      </c>
      <c r="AE69">
        <f>[1]属性设计!B113</f>
        <v>2000</v>
      </c>
      <c r="AF69">
        <f>[1]属性设计!C113</f>
        <v>3429</v>
      </c>
      <c r="AG69">
        <f>[1]属性设计!D113</f>
        <v>1714</v>
      </c>
      <c r="AH69">
        <f>[1]属性设计!J113</f>
        <v>137184</v>
      </c>
      <c r="AI69">
        <f>[1]属性设计!K113</f>
        <v>6015</v>
      </c>
      <c r="AJ69">
        <f>[1]属性设计!L113</f>
        <v>0</v>
      </c>
      <c r="AK69">
        <f>[1]属性设计!M113</f>
        <v>4162</v>
      </c>
      <c r="AL69">
        <f>[1]属性设计!N113</f>
        <v>4162</v>
      </c>
      <c r="AM69">
        <f>[1]属性设计!T113</f>
        <v>0</v>
      </c>
      <c r="AN69">
        <f>[1]属性设计!U113</f>
        <v>56</v>
      </c>
      <c r="AO69">
        <f>[1]属性设计!V113</f>
        <v>0</v>
      </c>
      <c r="AP69">
        <f>[1]属性设计!W113</f>
        <v>33</v>
      </c>
    </row>
    <row r="70" spans="3:42" x14ac:dyDescent="0.15">
      <c r="AC70">
        <f t="shared" si="20"/>
        <v>5100</v>
      </c>
      <c r="AD70">
        <f>[1]属性设计!$A114</f>
        <v>100</v>
      </c>
      <c r="AE70">
        <f>[1]属性设计!B114</f>
        <v>2455</v>
      </c>
      <c r="AF70">
        <f>[1]属性设计!C114</f>
        <v>4209</v>
      </c>
      <c r="AG70">
        <f>[1]属性设计!D114</f>
        <v>2104</v>
      </c>
      <c r="AH70">
        <f>[1]属性设计!J114</f>
        <v>168384</v>
      </c>
      <c r="AI70">
        <f>[1]属性设计!K114</f>
        <v>7442</v>
      </c>
      <c r="AJ70">
        <f>[1]属性设计!L114</f>
        <v>0</v>
      </c>
      <c r="AK70">
        <f>[1]属性设计!M114</f>
        <v>5096</v>
      </c>
      <c r="AL70">
        <f>[1]属性设计!N114</f>
        <v>5096</v>
      </c>
      <c r="AM70">
        <f>[1]属性设计!T114</f>
        <v>0</v>
      </c>
      <c r="AN70">
        <f>[1]属性设计!U114</f>
        <v>65</v>
      </c>
      <c r="AO70">
        <f>[1]属性设计!V114</f>
        <v>0</v>
      </c>
      <c r="AP70">
        <f>[1]属性设计!W114</f>
        <v>44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topLeftCell="A57" zoomScaleNormal="100" workbookViewId="0">
      <selection activeCell="A22" sqref="A22:J25"/>
    </sheetView>
  </sheetViews>
  <sheetFormatPr defaultRowHeight="13.5" x14ac:dyDescent="0.15"/>
  <cols>
    <col min="16" max="16" width="14.125" bestFit="1" customWidth="1"/>
    <col min="17" max="17" width="12.125" bestFit="1" customWidth="1"/>
    <col min="18" max="18" width="8.25" bestFit="1" customWidth="1"/>
    <col min="19" max="19" width="10" bestFit="1" customWidth="1"/>
    <col min="20" max="20" width="12.25" bestFit="1" customWidth="1"/>
    <col min="22" max="22" width="10" bestFit="1" customWidth="1"/>
    <col min="23" max="23" width="9.125" bestFit="1" customWidth="1"/>
  </cols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396</v>
      </c>
      <c r="H1" t="s">
        <v>397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11101</v>
      </c>
      <c r="B2">
        <v>11101</v>
      </c>
      <c r="C2">
        <f t="shared" ref="C2:C1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1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1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0.1</v>
      </c>
      <c r="F2">
        <f t="shared" ref="F2:F1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f>0.1*0.3+0.9</f>
        <v>0.93</v>
      </c>
      <c r="H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>A2+1</f>
        <v>11102</v>
      </c>
      <c r="B3">
        <f>B2+1</f>
        <v>11102</v>
      </c>
      <c r="C3">
        <f t="shared" si="0"/>
        <v>0.01</v>
      </c>
      <c r="D3">
        <f t="shared" si="1"/>
        <v>0</v>
      </c>
      <c r="E3">
        <f t="shared" si="2"/>
        <v>0.1</v>
      </c>
      <c r="F3">
        <f t="shared" si="3"/>
        <v>0</v>
      </c>
      <c r="G3">
        <f t="shared" ref="G3:G6" si="4">0.1*0.3+0.9</f>
        <v>0.93</v>
      </c>
      <c r="H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 t="shared" ref="A4:B7" si="5">A3+1</f>
        <v>11103</v>
      </c>
      <c r="B4">
        <f t="shared" si="5"/>
        <v>11103</v>
      </c>
      <c r="C4">
        <f t="shared" si="0"/>
        <v>0.02</v>
      </c>
      <c r="D4">
        <f t="shared" si="1"/>
        <v>0</v>
      </c>
      <c r="E4">
        <f t="shared" si="2"/>
        <v>0.1</v>
      </c>
      <c r="F4">
        <f t="shared" si="3"/>
        <v>0</v>
      </c>
      <c r="G4">
        <f t="shared" si="4"/>
        <v>0.93</v>
      </c>
      <c r="H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si="5"/>
        <v>11104</v>
      </c>
      <c r="B5">
        <f t="shared" si="5"/>
        <v>11104</v>
      </c>
      <c r="C5">
        <f t="shared" si="0"/>
        <v>0.03</v>
      </c>
      <c r="D5">
        <f t="shared" si="1"/>
        <v>0</v>
      </c>
      <c r="E5">
        <f t="shared" si="2"/>
        <v>0.1</v>
      </c>
      <c r="F5">
        <f t="shared" si="3"/>
        <v>0</v>
      </c>
      <c r="G5">
        <f t="shared" si="4"/>
        <v>0.93</v>
      </c>
      <c r="H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5"/>
        <v>11105</v>
      </c>
      <c r="B6">
        <f t="shared" si="5"/>
        <v>11105</v>
      </c>
      <c r="C6">
        <f t="shared" si="0"/>
        <v>0.09</v>
      </c>
      <c r="D6">
        <f t="shared" si="1"/>
        <v>0</v>
      </c>
      <c r="E6">
        <f t="shared" si="2"/>
        <v>0.1</v>
      </c>
      <c r="F6">
        <f t="shared" si="3"/>
        <v>0</v>
      </c>
      <c r="G6">
        <f t="shared" si="4"/>
        <v>0.93</v>
      </c>
      <c r="H6">
        <v>1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5"/>
        <v>11106</v>
      </c>
      <c r="B7">
        <f t="shared" si="5"/>
        <v>11106</v>
      </c>
      <c r="C7">
        <f t="shared" si="0"/>
        <v>0.14000000000000001</v>
      </c>
      <c r="D7">
        <f t="shared" si="1"/>
        <v>0</v>
      </c>
      <c r="E7">
        <f t="shared" si="2"/>
        <v>0.1</v>
      </c>
      <c r="F7">
        <f t="shared" si="3"/>
        <v>0</v>
      </c>
      <c r="G7">
        <f>C7*1.5+E7*0.3+1-C7-E7</f>
        <v>1</v>
      </c>
      <c r="H7">
        <f>C7*1.5+1-C7</f>
        <v>1.0699999999999998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ref="A8:B8" si="6">A7+1</f>
        <v>11107</v>
      </c>
      <c r="B8">
        <f t="shared" si="6"/>
        <v>11107</v>
      </c>
      <c r="C8">
        <f t="shared" si="0"/>
        <v>0.19</v>
      </c>
      <c r="D8">
        <f t="shared" si="1"/>
        <v>0</v>
      </c>
      <c r="E8">
        <f t="shared" si="2"/>
        <v>0.1</v>
      </c>
      <c r="F8">
        <f t="shared" si="3"/>
        <v>0</v>
      </c>
      <c r="G8">
        <f t="shared" ref="G8:G10" si="7">C8*1.5+E8*0.3+1-C8-E8</f>
        <v>1.0249999999999999</v>
      </c>
      <c r="H8">
        <f t="shared" ref="H8:H11" si="8">C8*1.5+1-C8</f>
        <v>1.0950000000000002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ref="A9:B9" si="9">A8+1</f>
        <v>11108</v>
      </c>
      <c r="B9">
        <f t="shared" si="9"/>
        <v>11108</v>
      </c>
      <c r="C9">
        <f t="shared" si="0"/>
        <v>0.25</v>
      </c>
      <c r="D9">
        <f t="shared" si="1"/>
        <v>0</v>
      </c>
      <c r="E9">
        <f t="shared" si="2"/>
        <v>0.1</v>
      </c>
      <c r="F9">
        <f t="shared" si="3"/>
        <v>0</v>
      </c>
      <c r="G9">
        <f t="shared" si="7"/>
        <v>1.0549999999999999</v>
      </c>
      <c r="H9">
        <f t="shared" si="8"/>
        <v>1.125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ref="A10:B10" si="10">A9+1</f>
        <v>11109</v>
      </c>
      <c r="B10">
        <f t="shared" si="10"/>
        <v>11109</v>
      </c>
      <c r="C10">
        <f t="shared" si="0"/>
        <v>0.32</v>
      </c>
      <c r="D10">
        <f t="shared" si="1"/>
        <v>0</v>
      </c>
      <c r="E10">
        <f t="shared" si="2"/>
        <v>0.1</v>
      </c>
      <c r="F10">
        <f t="shared" si="3"/>
        <v>0</v>
      </c>
      <c r="G10">
        <f t="shared" si="7"/>
        <v>1.0899999999999999</v>
      </c>
      <c r="H10">
        <f t="shared" si="8"/>
        <v>1.1599999999999999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ref="A11:B11" si="11">A10+1</f>
        <v>11110</v>
      </c>
      <c r="B11">
        <f t="shared" si="11"/>
        <v>11110</v>
      </c>
      <c r="C11">
        <f t="shared" si="0"/>
        <v>0.39</v>
      </c>
      <c r="D11">
        <f t="shared" si="1"/>
        <v>0</v>
      </c>
      <c r="E11">
        <f t="shared" si="2"/>
        <v>0.1</v>
      </c>
      <c r="F11">
        <f t="shared" si="3"/>
        <v>0</v>
      </c>
      <c r="G11">
        <f>C11*1.5+E11*0.3+1-C11-E11</f>
        <v>1.125</v>
      </c>
      <c r="H11">
        <f t="shared" si="8"/>
        <v>1.1949999999999998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8" spans="1:18" x14ac:dyDescent="0.15">
      <c r="O18" t="s">
        <v>393</v>
      </c>
      <c r="P18" t="str">
        <f>[1]属性设计!X39</f>
        <v>法力</v>
      </c>
      <c r="Q18" t="s">
        <v>394</v>
      </c>
      <c r="R18" t="s">
        <v>395</v>
      </c>
    </row>
    <row r="19" spans="1:18" x14ac:dyDescent="0.15">
      <c r="A19" t="s">
        <v>2</v>
      </c>
      <c r="B19" t="s">
        <v>2</v>
      </c>
      <c r="C19" t="s">
        <v>178</v>
      </c>
      <c r="D19" t="s">
        <v>0</v>
      </c>
      <c r="O19">
        <v>1</v>
      </c>
      <c r="P19">
        <f>[1]属性设计!X40</f>
        <v>100</v>
      </c>
      <c r="Q19">
        <f t="shared" ref="Q19:Q29" si="12">VLOOKUP(VLOOKUP(12*1000+O19,学习等级编码,2),技能升级,6,FALSE)</f>
        <v>5</v>
      </c>
      <c r="R19">
        <f>INT(P19/Q19)</f>
        <v>20</v>
      </c>
    </row>
    <row r="20" spans="1:18" x14ac:dyDescent="0.15">
      <c r="A20">
        <v>11101</v>
      </c>
      <c r="B20">
        <f>A20</f>
        <v>11101</v>
      </c>
      <c r="C20">
        <v>31</v>
      </c>
      <c r="D20">
        <f>MOD(A20,100)*10</f>
        <v>10</v>
      </c>
      <c r="O20">
        <v>10</v>
      </c>
      <c r="P20">
        <f>[1]属性设计!X41</f>
        <v>173</v>
      </c>
      <c r="Q20">
        <f t="shared" si="12"/>
        <v>5</v>
      </c>
      <c r="R20">
        <f t="shared" ref="R20:R29" si="13">INT(P20/Q20)</f>
        <v>34</v>
      </c>
    </row>
    <row r="21" spans="1:18" x14ac:dyDescent="0.15">
      <c r="A21" t="s">
        <v>156</v>
      </c>
      <c r="B21" t="s">
        <v>95</v>
      </c>
      <c r="C21" t="s">
        <v>177</v>
      </c>
      <c r="D21" t="s">
        <v>143</v>
      </c>
      <c r="E21" t="s">
        <v>182</v>
      </c>
      <c r="F21" t="s">
        <v>192</v>
      </c>
      <c r="G21" t="s">
        <v>193</v>
      </c>
      <c r="H21" t="s">
        <v>176</v>
      </c>
      <c r="I21" t="s">
        <v>205</v>
      </c>
      <c r="J21" t="s">
        <v>206</v>
      </c>
      <c r="O21">
        <v>20</v>
      </c>
      <c r="P21">
        <f>[1]属性设计!X42</f>
        <v>254</v>
      </c>
      <c r="Q21">
        <f t="shared" si="12"/>
        <v>6</v>
      </c>
      <c r="R21">
        <f t="shared" si="13"/>
        <v>42</v>
      </c>
    </row>
    <row r="22" spans="1:18" x14ac:dyDescent="0.15">
      <c r="A22">
        <v>12</v>
      </c>
      <c r="B22" t="s">
        <v>9</v>
      </c>
      <c r="C22">
        <f>C20</f>
        <v>31</v>
      </c>
      <c r="D22">
        <f>VLOOKUP(A22,技能参数,4,FALSE)</f>
        <v>0.6</v>
      </c>
      <c r="E22">
        <f>VLOOKUP(A22*1000+D20,学习等级编码,2)</f>
        <v>1201</v>
      </c>
      <c r="F22">
        <f>INT(VLOOKUP($E22,技能升级,9,FALSE)*$C22*I22*J22)</f>
        <v>0</v>
      </c>
      <c r="G22">
        <f>INT(VLOOKUP($E22,技能升级,10,FALSE)*$C22*I22*J22)</f>
        <v>31000</v>
      </c>
      <c r="H22">
        <f>INT(VLOOKUP(E22,技能升级,11,FALSE)*C22*J22)</f>
        <v>620</v>
      </c>
      <c r="I22">
        <v>1</v>
      </c>
      <c r="J22">
        <f>VLOOKUP(A20,$A$2:$H$11,8,FALSE)</f>
        <v>1</v>
      </c>
      <c r="O22">
        <v>30</v>
      </c>
      <c r="P22">
        <f>[1]属性设计!X43</f>
        <v>334</v>
      </c>
      <c r="Q22">
        <f t="shared" si="12"/>
        <v>7</v>
      </c>
      <c r="R22">
        <f t="shared" si="13"/>
        <v>47</v>
      </c>
    </row>
    <row r="23" spans="1:18" x14ac:dyDescent="0.15">
      <c r="A23">
        <v>15</v>
      </c>
      <c r="B23" t="s">
        <v>12</v>
      </c>
      <c r="C23">
        <v>1</v>
      </c>
      <c r="D23">
        <f>VLOOKUP(A23,技能参数,4,FALSE)</f>
        <v>1.5</v>
      </c>
      <c r="E23">
        <f>VLOOKUP(A23*1000+D20,学习等级编码,2)</f>
        <v>1501</v>
      </c>
      <c r="F23">
        <f>INT(VLOOKUP($E23,技能升级,9,FALSE)*$C23*I23*J23)</f>
        <v>0</v>
      </c>
      <c r="G23">
        <f>INT(VLOOKUP($E23,技能升级,10,FALSE)*$C23*I23*J23)</f>
        <v>0</v>
      </c>
      <c r="H23">
        <f>VLOOKUP(E23,技能升级,11,FALSE)*C23</f>
        <v>0</v>
      </c>
      <c r="I23">
        <v>1</v>
      </c>
      <c r="J23">
        <v>1</v>
      </c>
      <c r="O23">
        <v>40</v>
      </c>
      <c r="P23">
        <f>[1]属性设计!X44</f>
        <v>415</v>
      </c>
      <c r="Q23">
        <f t="shared" si="12"/>
        <v>8</v>
      </c>
      <c r="R23">
        <f t="shared" si="13"/>
        <v>51</v>
      </c>
    </row>
    <row r="24" spans="1:18" x14ac:dyDescent="0.15">
      <c r="A24">
        <v>11</v>
      </c>
      <c r="B24" t="s">
        <v>94</v>
      </c>
      <c r="C24">
        <f>INT((C20-D22-D23)/D24)</f>
        <v>28</v>
      </c>
      <c r="D24">
        <f>VLOOKUP(A24,技能参数,4,FALSE)</f>
        <v>1</v>
      </c>
      <c r="E24">
        <f>VLOOKUP(A24*1000+D20,学习等级编码,2)</f>
        <v>1102</v>
      </c>
      <c r="F24">
        <f>INT(VLOOKUP($E24,技能升级,9,FALSE)*$C24*I24*J24)</f>
        <v>26560</v>
      </c>
      <c r="G24">
        <f>INT(VLOOKUP($E24,技能升级,10,FALSE)*$C24*I24*J24)</f>
        <v>0</v>
      </c>
      <c r="H24">
        <f>INT(VLOOKUP($E24,技能升级,11,FALSE)*$C24*J24)</f>
        <v>598</v>
      </c>
      <c r="I24">
        <v>1</v>
      </c>
      <c r="J24">
        <f>VLOOKUP(A20,$A$2:$H$11,7,FALSE)</f>
        <v>0.93</v>
      </c>
      <c r="O24">
        <v>50</v>
      </c>
      <c r="P24">
        <f>[1]属性设计!X45</f>
        <v>496</v>
      </c>
      <c r="Q24">
        <f t="shared" si="12"/>
        <v>9</v>
      </c>
      <c r="R24">
        <f t="shared" si="13"/>
        <v>55</v>
      </c>
    </row>
    <row r="25" spans="1:18" x14ac:dyDescent="0.15">
      <c r="A25">
        <v>14</v>
      </c>
      <c r="B25" t="s">
        <v>11</v>
      </c>
      <c r="C25">
        <v>1</v>
      </c>
      <c r="D25">
        <f>VLOOKUP(A25,技能参数,4,FALSE)</f>
        <v>0</v>
      </c>
      <c r="E25">
        <f>VLOOKUP(A25*1000+D20,学习等级编码,2)</f>
        <v>1401</v>
      </c>
      <c r="F25">
        <f>INT(VLOOKUP($E25,技能升级,9,FALSE)*$C25*I25*J25)</f>
        <v>0</v>
      </c>
      <c r="G25">
        <f>INT(VLOOKUP($E25,技能升级,10,FALSE)*$C25*I25*J25)</f>
        <v>0</v>
      </c>
      <c r="H25">
        <f>VLOOKUP(E25,技能升级,11,FALSE)*C25</f>
        <v>0</v>
      </c>
      <c r="I25">
        <v>1</v>
      </c>
      <c r="J25">
        <v>1</v>
      </c>
      <c r="O25">
        <v>60</v>
      </c>
      <c r="P25">
        <f>[1]属性设计!X46</f>
        <v>577</v>
      </c>
      <c r="Q25">
        <f t="shared" si="12"/>
        <v>10</v>
      </c>
      <c r="R25">
        <f t="shared" si="13"/>
        <v>57</v>
      </c>
    </row>
    <row r="26" spans="1:18" x14ac:dyDescent="0.15">
      <c r="E26" t="s">
        <v>194</v>
      </c>
      <c r="F26">
        <f>SUM(F22:F24)/1000</f>
        <v>26.56</v>
      </c>
      <c r="G26">
        <f>SUM(G22:G24)/1000</f>
        <v>31</v>
      </c>
      <c r="H26">
        <f>SUM(H22:H24)</f>
        <v>1218</v>
      </c>
      <c r="I26" t="s">
        <v>196</v>
      </c>
      <c r="J26" t="s">
        <v>197</v>
      </c>
      <c r="O26">
        <v>70</v>
      </c>
      <c r="P26">
        <f>[1]属性设计!X47</f>
        <v>658</v>
      </c>
      <c r="Q26">
        <f t="shared" si="12"/>
        <v>11</v>
      </c>
      <c r="R26">
        <f t="shared" si="13"/>
        <v>59</v>
      </c>
    </row>
    <row r="27" spans="1:18" x14ac:dyDescent="0.15">
      <c r="E27" t="s">
        <v>195</v>
      </c>
      <c r="F27">
        <f>INT((IF($A20&gt;10000,VLOOKUP($A20,实战属性,13,FALSE),VLOOKUP($A20,总基本属性,7,FALSE))-
IF($B20&gt;10000,VLOOKUP($B20,实战属性,15,FALSE),VLOOKUP($B20,总基本属性,9,FALSE))*$L$13)*F26)</f>
        <v>2483</v>
      </c>
      <c r="G27">
        <f>INT((IF($A20&gt;10000,VLOOKUP($A20,实战属性,14,FALSE),VLOOKUP($A20,总基本属性,8,FALSE))-
IF($B20&gt;10000,VLOOKUP($B20,实战属性,16,FALSE),VLOOKUP($B20,总基本属性,10,FALSE))*$L$13)*G26)</f>
        <v>1705</v>
      </c>
      <c r="H27">
        <f>H26+F27+G27</f>
        <v>5406</v>
      </c>
      <c r="I27">
        <f>IF($B20&gt;10000,VLOOKUP($B20,实战属性,12,FALSE),VLOOKUP($B20,总基本属性,6,FALSE))</f>
        <v>5484</v>
      </c>
      <c r="J27">
        <f>ROUND(I27/H27,2)</f>
        <v>1.01</v>
      </c>
      <c r="O27">
        <v>80</v>
      </c>
      <c r="P27">
        <f>[1]属性设计!X48</f>
        <v>738</v>
      </c>
      <c r="Q27">
        <f t="shared" si="12"/>
        <v>12</v>
      </c>
      <c r="R27">
        <f t="shared" si="13"/>
        <v>61</v>
      </c>
    </row>
    <row r="28" spans="1:18" x14ac:dyDescent="0.15">
      <c r="O28">
        <v>90</v>
      </c>
      <c r="P28">
        <f>[1]属性设计!X49</f>
        <v>819</v>
      </c>
      <c r="Q28">
        <f t="shared" si="12"/>
        <v>13</v>
      </c>
      <c r="R28">
        <f t="shared" si="13"/>
        <v>63</v>
      </c>
    </row>
    <row r="29" spans="1:18" x14ac:dyDescent="0.15">
      <c r="O29">
        <v>100</v>
      </c>
      <c r="P29">
        <f>[1]属性设计!X50</f>
        <v>900</v>
      </c>
      <c r="Q29">
        <f t="shared" si="12"/>
        <v>14</v>
      </c>
      <c r="R29">
        <f t="shared" si="13"/>
        <v>64</v>
      </c>
    </row>
    <row r="31" spans="1:18" x14ac:dyDescent="0.15">
      <c r="A31" t="s">
        <v>2</v>
      </c>
      <c r="B31" t="s">
        <v>2</v>
      </c>
      <c r="C31" t="s">
        <v>178</v>
      </c>
      <c r="D31" t="s">
        <v>0</v>
      </c>
    </row>
    <row r="32" spans="1:18" x14ac:dyDescent="0.15">
      <c r="A32">
        <f>A20+1</f>
        <v>11102</v>
      </c>
      <c r="B32">
        <f>A32</f>
        <v>11102</v>
      </c>
      <c r="C32">
        <v>31</v>
      </c>
      <c r="D32">
        <f>MOD(A32,100)*10</f>
        <v>20</v>
      </c>
    </row>
    <row r="33" spans="1:10" x14ac:dyDescent="0.15">
      <c r="A33" t="s">
        <v>156</v>
      </c>
      <c r="B33" t="s">
        <v>95</v>
      </c>
      <c r="C33" t="s">
        <v>177</v>
      </c>
      <c r="D33" t="s">
        <v>143</v>
      </c>
      <c r="E33" t="s">
        <v>182</v>
      </c>
      <c r="F33" t="s">
        <v>192</v>
      </c>
      <c r="G33" t="s">
        <v>193</v>
      </c>
      <c r="H33" t="s">
        <v>176</v>
      </c>
      <c r="I33" t="s">
        <v>205</v>
      </c>
      <c r="J33" t="s">
        <v>206</v>
      </c>
    </row>
    <row r="34" spans="1:10" x14ac:dyDescent="0.15">
      <c r="A34">
        <v>12</v>
      </c>
      <c r="B34" t="s">
        <v>9</v>
      </c>
      <c r="C34">
        <f>C32</f>
        <v>31</v>
      </c>
      <c r="D34">
        <f>VLOOKUP(A34,技能参数,4,FALSE)</f>
        <v>0.6</v>
      </c>
      <c r="E34">
        <f>VLOOKUP(A34*1000+D32,学习等级编码,2)</f>
        <v>1202</v>
      </c>
      <c r="F34">
        <f>INT(VLOOKUP($E34,技能升级,9,FALSE)*$C34*I34*J34)</f>
        <v>0</v>
      </c>
      <c r="G34">
        <f>INT(VLOOKUP($E34,技能升级,10,FALSE)*$C34*I34*J34)</f>
        <v>31930</v>
      </c>
      <c r="H34">
        <f>INT(VLOOKUP(E34,技能升级,11,FALSE)*C34*J34)</f>
        <v>1054</v>
      </c>
      <c r="I34">
        <v>1</v>
      </c>
      <c r="J34">
        <f>VLOOKUP(A32,$A$2:$H$11,8,FALSE)</f>
        <v>1</v>
      </c>
    </row>
    <row r="35" spans="1:10" x14ac:dyDescent="0.15">
      <c r="A35">
        <v>15</v>
      </c>
      <c r="B35" t="s">
        <v>12</v>
      </c>
      <c r="C35">
        <v>1</v>
      </c>
      <c r="D35">
        <f>VLOOKUP(A35,技能参数,4,FALSE)</f>
        <v>1.5</v>
      </c>
      <c r="E35">
        <f>VLOOKUP(A35*1000+D32,学习等级编码,2)</f>
        <v>1501</v>
      </c>
      <c r="F35">
        <f>INT(VLOOKUP($E35,技能升级,9,FALSE)*$C35*I35*J35)</f>
        <v>0</v>
      </c>
      <c r="G35">
        <f>INT(VLOOKUP($E35,技能升级,10,FALSE)*$C35*I35*J35)</f>
        <v>0</v>
      </c>
      <c r="H35">
        <f>VLOOKUP(E35,技能升级,11,FALSE)*C35</f>
        <v>0</v>
      </c>
      <c r="I35">
        <v>1</v>
      </c>
      <c r="J35">
        <v>1</v>
      </c>
    </row>
    <row r="36" spans="1:10" x14ac:dyDescent="0.15">
      <c r="A36">
        <v>11</v>
      </c>
      <c r="B36" t="s">
        <v>94</v>
      </c>
      <c r="C36">
        <f>INT((C32-D34-D35)/D36)</f>
        <v>28</v>
      </c>
      <c r="D36">
        <f>VLOOKUP(A36,技能参数,4,FALSE)</f>
        <v>1</v>
      </c>
      <c r="E36">
        <f>VLOOKUP(A36*1000+D32,学习等级编码,2)</f>
        <v>1103</v>
      </c>
      <c r="F36">
        <f>INT(VLOOKUP($E36,技能升级,9,FALSE)*$C36*I36*J36)</f>
        <v>27081</v>
      </c>
      <c r="G36">
        <f>INT(VLOOKUP($E36,技能升级,10,FALSE)*$C36*I36*J36)</f>
        <v>0</v>
      </c>
      <c r="H36">
        <f>INT(VLOOKUP($E36,技能升级,11,FALSE)*$C36*J36)</f>
        <v>963</v>
      </c>
      <c r="I36">
        <v>1</v>
      </c>
      <c r="J36">
        <f>VLOOKUP(A32,$A$2:$H$11,7,FALSE)</f>
        <v>0.93</v>
      </c>
    </row>
    <row r="37" spans="1:10" x14ac:dyDescent="0.15">
      <c r="A37">
        <v>14</v>
      </c>
      <c r="B37" t="s">
        <v>11</v>
      </c>
      <c r="C37">
        <v>1</v>
      </c>
      <c r="D37">
        <v>0</v>
      </c>
      <c r="E37">
        <f>VLOOKUP(A37*1000+D32,学习等级编码,2)</f>
        <v>1402</v>
      </c>
      <c r="F37">
        <f>INT(VLOOKUP($E37,技能升级,9,FALSE)*$C37*I37*J37)</f>
        <v>0</v>
      </c>
      <c r="G37">
        <f>INT(VLOOKUP($E37,技能升级,10,FALSE)*$C37*I37*J37)</f>
        <v>0</v>
      </c>
      <c r="H37">
        <f>VLOOKUP(E37,技能升级,11,FALSE)*C37</f>
        <v>0</v>
      </c>
      <c r="I37">
        <v>1</v>
      </c>
      <c r="J37">
        <v>1</v>
      </c>
    </row>
    <row r="38" spans="1:10" x14ac:dyDescent="0.15">
      <c r="E38" t="s">
        <v>194</v>
      </c>
      <c r="F38">
        <f>SUM(F34:F36)/1000</f>
        <v>27.081</v>
      </c>
      <c r="G38">
        <f>SUM(G34:G36)/1000</f>
        <v>31.93</v>
      </c>
      <c r="H38">
        <f>SUM(H34:H36)</f>
        <v>2017</v>
      </c>
      <c r="I38" t="s">
        <v>196</v>
      </c>
      <c r="J38" t="s">
        <v>197</v>
      </c>
    </row>
    <row r="39" spans="1:10" x14ac:dyDescent="0.15">
      <c r="E39" t="s">
        <v>195</v>
      </c>
      <c r="F39">
        <f>INT((IF($A32&gt;10000,VLOOKUP($A32,实战属性,13,FALSE),VLOOKUP($A32,总基本属性,7,FALSE))-
IF($B32&gt;10000,VLOOKUP($B32,实战属性,15,FALSE),VLOOKUP($B32,总基本属性,9,FALSE))*$L$13)*F38)</f>
        <v>6133</v>
      </c>
      <c r="G39">
        <f>INT((IF($A32&gt;10000,VLOOKUP($A32,实战属性,14,FALSE),VLOOKUP($A32,总基本属性,8,FALSE))-
IF($B32&gt;10000,VLOOKUP($B32,实战属性,16,FALSE),VLOOKUP($B32,总基本属性,10,FALSE))*$L$13)*G38)</f>
        <v>6737</v>
      </c>
      <c r="H39">
        <f>H38+F39+G39</f>
        <v>14887</v>
      </c>
      <c r="I39">
        <f>IF($B32&gt;10000,VLOOKUP($B32,实战属性,12,FALSE),VLOOKUP($B32,总基本属性,6,FALSE))</f>
        <v>14971</v>
      </c>
      <c r="J39">
        <f>ROUND(I39/H39,2)</f>
        <v>1.01</v>
      </c>
    </row>
    <row r="43" spans="1:10" x14ac:dyDescent="0.15">
      <c r="A43" t="s">
        <v>2</v>
      </c>
      <c r="B43" t="s">
        <v>2</v>
      </c>
      <c r="C43" t="s">
        <v>178</v>
      </c>
      <c r="D43" t="s">
        <v>0</v>
      </c>
    </row>
    <row r="44" spans="1:10" x14ac:dyDescent="0.15">
      <c r="A44">
        <f>A32+1</f>
        <v>11103</v>
      </c>
      <c r="B44">
        <f>A44</f>
        <v>11103</v>
      </c>
      <c r="C44">
        <v>31</v>
      </c>
      <c r="D44">
        <f>MOD(A44,100)*10</f>
        <v>30</v>
      </c>
    </row>
    <row r="45" spans="1:10" x14ac:dyDescent="0.15">
      <c r="A45" t="s">
        <v>156</v>
      </c>
      <c r="B45" t="s">
        <v>95</v>
      </c>
      <c r="C45" t="s">
        <v>177</v>
      </c>
      <c r="D45" t="s">
        <v>143</v>
      </c>
      <c r="E45" t="s">
        <v>182</v>
      </c>
      <c r="F45" t="s">
        <v>192</v>
      </c>
      <c r="G45" t="s">
        <v>193</v>
      </c>
      <c r="H45" t="s">
        <v>176</v>
      </c>
      <c r="I45" t="s">
        <v>205</v>
      </c>
      <c r="J45" t="s">
        <v>206</v>
      </c>
    </row>
    <row r="46" spans="1:10" x14ac:dyDescent="0.15">
      <c r="A46">
        <v>12</v>
      </c>
      <c r="B46" t="s">
        <v>9</v>
      </c>
      <c r="C46">
        <f>C44</f>
        <v>31</v>
      </c>
      <c r="D46">
        <f>VLOOKUP(A46,技能参数,4,FALSE)</f>
        <v>0.6</v>
      </c>
      <c r="E46">
        <f>VLOOKUP(A46*1000+D44,学习等级编码,2)</f>
        <v>1203</v>
      </c>
      <c r="F46">
        <f>INT(VLOOKUP($E46,技能升级,9,FALSE)*$C46*I46*J46)</f>
        <v>0</v>
      </c>
      <c r="G46">
        <f>INT(VLOOKUP($E46,技能升级,10,FALSE)*$C46*I46*J46)</f>
        <v>33170</v>
      </c>
      <c r="H46">
        <f>INT(VLOOKUP(E46,技能升级,11,FALSE)*C46*J46)</f>
        <v>1953</v>
      </c>
      <c r="I46">
        <v>1</v>
      </c>
      <c r="J46">
        <f>VLOOKUP(A44,$A$2:$H$11,8,FALSE)</f>
        <v>1</v>
      </c>
    </row>
    <row r="47" spans="1:10" x14ac:dyDescent="0.15">
      <c r="A47">
        <v>15</v>
      </c>
      <c r="B47" t="s">
        <v>12</v>
      </c>
      <c r="C47">
        <v>1</v>
      </c>
      <c r="D47">
        <f>VLOOKUP(A47,技能参数,4,FALSE)</f>
        <v>1.5</v>
      </c>
      <c r="E47">
        <f>VLOOKUP(A47*1000+D44,学习等级编码,2)</f>
        <v>1502</v>
      </c>
      <c r="F47">
        <f>INT(VLOOKUP($E47,技能升级,9,FALSE)*$C47*I47*J47)</f>
        <v>0</v>
      </c>
      <c r="G47">
        <f>INT(VLOOKUP($E47,技能升级,10,FALSE)*$C47*I47*J47)</f>
        <v>0</v>
      </c>
      <c r="H47">
        <f>VLOOKUP(E47,技能升级,11,FALSE)*C47</f>
        <v>0</v>
      </c>
      <c r="I47">
        <v>1</v>
      </c>
      <c r="J47">
        <v>1</v>
      </c>
    </row>
    <row r="48" spans="1:10" x14ac:dyDescent="0.15">
      <c r="A48">
        <v>11</v>
      </c>
      <c r="B48" t="s">
        <v>94</v>
      </c>
      <c r="C48">
        <f>INT((C44-D46-D47)/D48)</f>
        <v>28</v>
      </c>
      <c r="D48">
        <f>VLOOKUP(A48,技能参数,4,FALSE)</f>
        <v>1</v>
      </c>
      <c r="E48">
        <f>VLOOKUP(A48*1000+D44,学习等级编码,2)</f>
        <v>1105</v>
      </c>
      <c r="F48">
        <f>INT(VLOOKUP($E48,技能升级,9,FALSE)*$C48*I48*J48)</f>
        <v>28383</v>
      </c>
      <c r="G48">
        <f>INT(VLOOKUP($E48,技能升级,10,FALSE)*$C48*I48*J48)</f>
        <v>0</v>
      </c>
      <c r="H48">
        <f>INT(VLOOKUP($E48,技能升级,11,FALSE)*$C48*J48)</f>
        <v>2291</v>
      </c>
      <c r="I48">
        <v>1</v>
      </c>
      <c r="J48">
        <f>VLOOKUP(A44,$A$2:$H$11,7,FALSE)</f>
        <v>0.93</v>
      </c>
    </row>
    <row r="49" spans="1:10" x14ac:dyDescent="0.15">
      <c r="A49">
        <v>14</v>
      </c>
      <c r="B49" t="s">
        <v>11</v>
      </c>
      <c r="C49">
        <v>1</v>
      </c>
      <c r="D49">
        <v>0</v>
      </c>
      <c r="E49">
        <f>VLOOKUP(A49*1000+D44,学习等级编码,2)</f>
        <v>1403</v>
      </c>
      <c r="F49">
        <f>INT(VLOOKUP($E49,技能升级,9,FALSE)*$C49*I49*J49)</f>
        <v>0</v>
      </c>
      <c r="G49">
        <f>INT(VLOOKUP($E49,技能升级,10,FALSE)*$C49*I49*J49)</f>
        <v>0</v>
      </c>
      <c r="H49">
        <f>VLOOKUP(E49,技能升级,11,FALSE)*C49</f>
        <v>0</v>
      </c>
      <c r="I49">
        <v>1</v>
      </c>
      <c r="J49">
        <v>1</v>
      </c>
    </row>
    <row r="50" spans="1:10" x14ac:dyDescent="0.15">
      <c r="E50" t="s">
        <v>194</v>
      </c>
      <c r="F50">
        <f>SUM(F46:F48)/1000</f>
        <v>28.382999999999999</v>
      </c>
      <c r="G50">
        <f>SUM(G46:G48)/1000</f>
        <v>33.17</v>
      </c>
      <c r="H50">
        <f>SUM(H46:H48)</f>
        <v>4244</v>
      </c>
      <c r="I50" t="s">
        <v>196</v>
      </c>
      <c r="J50" t="s">
        <v>197</v>
      </c>
    </row>
    <row r="51" spans="1:10" x14ac:dyDescent="0.15">
      <c r="E51" t="s">
        <v>195</v>
      </c>
      <c r="F51">
        <f>INT((IF($A44&gt;10000,VLOOKUP($A44,实战属性,13,FALSE),VLOOKUP($A44,总基本属性,7,FALSE))-
IF($B44&gt;10000,VLOOKUP($B44,实战属性,15,FALSE),VLOOKUP($B44,总基本属性,9,FALSE))*$L$13)*F50)</f>
        <v>12460</v>
      </c>
      <c r="G51">
        <f>INT((IF($A44&gt;10000,VLOOKUP($A44,实战属性,14,FALSE),VLOOKUP($A44,总基本属性,8,FALSE))-
IF($B44&gt;10000,VLOOKUP($B44,实战属性,16,FALSE),VLOOKUP($B44,总基本属性,10,FALSE))*$L$13)*G50)</f>
        <v>13533</v>
      </c>
      <c r="H51">
        <f>H50+F51+G51</f>
        <v>30237</v>
      </c>
      <c r="I51">
        <f>IF($B44&gt;10000,VLOOKUP($B44,实战属性,12,FALSE),VLOOKUP($B44,总基本属性,6,FALSE))</f>
        <v>30773</v>
      </c>
      <c r="J51">
        <f>ROUND(I51/H51,2)</f>
        <v>1.02</v>
      </c>
    </row>
    <row r="55" spans="1:10" x14ac:dyDescent="0.15">
      <c r="A55" t="s">
        <v>2</v>
      </c>
      <c r="B55" t="s">
        <v>2</v>
      </c>
      <c r="C55" t="s">
        <v>178</v>
      </c>
      <c r="D55" t="s">
        <v>0</v>
      </c>
    </row>
    <row r="56" spans="1:10" x14ac:dyDescent="0.15">
      <c r="A56">
        <f>A44+1</f>
        <v>11104</v>
      </c>
      <c r="B56">
        <f>A56</f>
        <v>11104</v>
      </c>
      <c r="C56">
        <v>31</v>
      </c>
      <c r="D56">
        <f>MOD(A56,100)*10</f>
        <v>40</v>
      </c>
    </row>
    <row r="57" spans="1:10" x14ac:dyDescent="0.15">
      <c r="A57" t="s">
        <v>156</v>
      </c>
      <c r="B57" t="s">
        <v>95</v>
      </c>
      <c r="C57" t="s">
        <v>177</v>
      </c>
      <c r="D57" t="s">
        <v>143</v>
      </c>
      <c r="E57" t="s">
        <v>182</v>
      </c>
      <c r="F57" t="s">
        <v>192</v>
      </c>
      <c r="G57" t="s">
        <v>193</v>
      </c>
      <c r="H57" t="s">
        <v>176</v>
      </c>
      <c r="I57" t="s">
        <v>205</v>
      </c>
      <c r="J57" t="s">
        <v>206</v>
      </c>
    </row>
    <row r="58" spans="1:10" x14ac:dyDescent="0.15">
      <c r="A58">
        <v>12</v>
      </c>
      <c r="B58" t="s">
        <v>9</v>
      </c>
      <c r="C58">
        <f>C56</f>
        <v>31</v>
      </c>
      <c r="D58">
        <f>VLOOKUP(A58,技能参数,4,FALSE)</f>
        <v>0.6</v>
      </c>
      <c r="E58">
        <f>VLOOKUP(A58*1000+D56,学习等级编码,2)</f>
        <v>1204</v>
      </c>
      <c r="F58">
        <f>INT(VLOOKUP($E58,技能升级,9,FALSE)*$C58*I58*J58)</f>
        <v>0</v>
      </c>
      <c r="G58">
        <f>INT(VLOOKUP($E58,技能升级,10,FALSE)*$C58*I58*J58)</f>
        <v>34100</v>
      </c>
      <c r="H58">
        <f>INT(VLOOKUP(E58,技能升级,11,FALSE)*C58*J58)</f>
        <v>3317</v>
      </c>
      <c r="I58">
        <v>1</v>
      </c>
      <c r="J58">
        <f>VLOOKUP(A56,$A$2:$H$11,8,FALSE)</f>
        <v>1</v>
      </c>
    </row>
    <row r="59" spans="1:10" x14ac:dyDescent="0.15">
      <c r="A59">
        <v>15</v>
      </c>
      <c r="B59" t="s">
        <v>12</v>
      </c>
      <c r="C59">
        <v>1</v>
      </c>
      <c r="D59">
        <f>VLOOKUP(A59,技能参数,4,FALSE)</f>
        <v>1.5</v>
      </c>
      <c r="E59">
        <f>VLOOKUP(A59*1000+D56,学习等级编码,2)</f>
        <v>1503</v>
      </c>
      <c r="F59">
        <f>INT(VLOOKUP($E59,技能升级,9,FALSE)*$C59*I59*J59)</f>
        <v>0</v>
      </c>
      <c r="G59">
        <f>INT(VLOOKUP($E59,技能升级,10,FALSE)*$C59*I59*J59)</f>
        <v>0</v>
      </c>
      <c r="H59">
        <f>VLOOKUP(E59,技能升级,11,FALSE)*C59</f>
        <v>0</v>
      </c>
      <c r="I59">
        <v>1</v>
      </c>
      <c r="J59">
        <v>1</v>
      </c>
    </row>
    <row r="60" spans="1:10" x14ac:dyDescent="0.15">
      <c r="A60">
        <v>11</v>
      </c>
      <c r="B60" t="s">
        <v>94</v>
      </c>
      <c r="C60">
        <f>INT((C56-D58-D59)/D60)</f>
        <v>28</v>
      </c>
      <c r="D60">
        <f>VLOOKUP(A60,技能参数,4,FALSE)</f>
        <v>1</v>
      </c>
      <c r="E60">
        <f>VLOOKUP(A60*1000+D56,学习等级编码,2)</f>
        <v>1106</v>
      </c>
      <c r="F60">
        <f>INT(VLOOKUP($E60,技能升级,9,FALSE)*$C60*I60*J60)</f>
        <v>28904</v>
      </c>
      <c r="G60">
        <f>INT(VLOOKUP($E60,技能升级,10,FALSE)*$C60*I60*J60)</f>
        <v>0</v>
      </c>
      <c r="H60">
        <f>INT(VLOOKUP($E60,技能升级,11,FALSE)*$C60*I60*J60)</f>
        <v>3255</v>
      </c>
      <c r="I60">
        <v>1</v>
      </c>
      <c r="J60">
        <f>VLOOKUP(A56,$A$2:$H$11,7,FALSE)</f>
        <v>0.93</v>
      </c>
    </row>
    <row r="61" spans="1:10" x14ac:dyDescent="0.15">
      <c r="A61">
        <v>14</v>
      </c>
      <c r="B61" t="s">
        <v>11</v>
      </c>
      <c r="C61">
        <v>1</v>
      </c>
      <c r="D61">
        <v>0</v>
      </c>
      <c r="E61">
        <f>VLOOKUP(A61*1000+D56,学习等级编码,2)</f>
        <v>1404</v>
      </c>
      <c r="F61">
        <f>INT(VLOOKUP($E61,技能升级,9,FALSE)*$C61*I61*J61)</f>
        <v>0</v>
      </c>
      <c r="G61">
        <f>INT(VLOOKUP($E61,技能升级,10,FALSE)*$C61*I61*J61)</f>
        <v>0</v>
      </c>
      <c r="H61">
        <f>VLOOKUP(E61,技能升级,11,FALSE)*C61</f>
        <v>0</v>
      </c>
      <c r="I61">
        <v>1</v>
      </c>
      <c r="J61">
        <v>1</v>
      </c>
    </row>
    <row r="62" spans="1:10" x14ac:dyDescent="0.15">
      <c r="E62" t="s">
        <v>194</v>
      </c>
      <c r="F62">
        <f>SUM(F58:F60)/1000</f>
        <v>28.904</v>
      </c>
      <c r="G62">
        <f>SUM(G58:G60)/1000</f>
        <v>34.1</v>
      </c>
      <c r="H62">
        <f>SUM(H58:H60)</f>
        <v>6572</v>
      </c>
      <c r="I62" t="s">
        <v>196</v>
      </c>
      <c r="J62" t="s">
        <v>197</v>
      </c>
    </row>
    <row r="63" spans="1:10" x14ac:dyDescent="0.15">
      <c r="E63" t="s">
        <v>195</v>
      </c>
      <c r="F63">
        <f>INT((IF($A56&gt;10000,VLOOKUP($A56,实战属性,13,FALSE),VLOOKUP($A56,总基本属性,7,FALSE))-
IF($B56&gt;10000,VLOOKUP($B56,实战属性,15,FALSE),VLOOKUP($B56,总基本属性,9,FALSE))*$L$13)*F62)</f>
        <v>21186</v>
      </c>
      <c r="G63">
        <f>INT((IF($A56&gt;10000,VLOOKUP($A56,实战属性,14,FALSE),VLOOKUP($A56,总基本属性,8,FALSE))-
IF($B56&gt;10000,VLOOKUP($B56,实战属性,16,FALSE),VLOOKUP($B56,总基本属性,10,FALSE))*$L$13)*G62)</f>
        <v>23170</v>
      </c>
      <c r="H63">
        <f>H62+F63+G63</f>
        <v>50928</v>
      </c>
      <c r="I63">
        <f>IF($B56&gt;10000,VLOOKUP($B56,实战属性,12,FALSE),VLOOKUP($B56,总基本属性,6,FALSE))</f>
        <v>52819</v>
      </c>
      <c r="J63">
        <f>ROUND(I63/H63,2)</f>
        <v>1.04</v>
      </c>
    </row>
    <row r="67" spans="1:10" x14ac:dyDescent="0.15">
      <c r="A67" t="s">
        <v>2</v>
      </c>
      <c r="B67" t="s">
        <v>2</v>
      </c>
      <c r="C67" t="s">
        <v>178</v>
      </c>
      <c r="D67" t="s">
        <v>0</v>
      </c>
    </row>
    <row r="68" spans="1:10" x14ac:dyDescent="0.15">
      <c r="A68">
        <f>A56+1</f>
        <v>11105</v>
      </c>
      <c r="B68">
        <f>A68</f>
        <v>11105</v>
      </c>
      <c r="C68">
        <v>31</v>
      </c>
      <c r="D68">
        <f>MOD(A68,100)*10</f>
        <v>50</v>
      </c>
    </row>
    <row r="69" spans="1:10" x14ac:dyDescent="0.15">
      <c r="A69" t="s">
        <v>156</v>
      </c>
      <c r="B69" t="s">
        <v>95</v>
      </c>
      <c r="C69" t="s">
        <v>177</v>
      </c>
      <c r="D69" t="s">
        <v>143</v>
      </c>
      <c r="E69" t="s">
        <v>182</v>
      </c>
      <c r="F69" t="s">
        <v>192</v>
      </c>
      <c r="G69" t="s">
        <v>193</v>
      </c>
      <c r="H69" t="s">
        <v>176</v>
      </c>
      <c r="I69" t="s">
        <v>205</v>
      </c>
      <c r="J69" t="s">
        <v>206</v>
      </c>
    </row>
    <row r="70" spans="1:10" x14ac:dyDescent="0.15">
      <c r="A70">
        <v>12</v>
      </c>
      <c r="B70" t="s">
        <v>9</v>
      </c>
      <c r="C70">
        <f>C68</f>
        <v>31</v>
      </c>
      <c r="D70">
        <f>VLOOKUP(A70,技能参数,4,FALSE)</f>
        <v>0.6</v>
      </c>
      <c r="E70">
        <f>VLOOKUP(A70*1000+D68,学习等级编码,2)</f>
        <v>1205</v>
      </c>
      <c r="F70">
        <f>INT(VLOOKUP($E70,技能升级,9,FALSE)*$C70*I70*J70)</f>
        <v>0</v>
      </c>
      <c r="G70">
        <f>INT(VLOOKUP($E70,技能升级,10,FALSE)*$C70*I70*J70)</f>
        <v>35030</v>
      </c>
      <c r="H70">
        <f>INT(VLOOKUP(E70,技能升级,11,FALSE)*C70*J70)</f>
        <v>5146</v>
      </c>
      <c r="I70">
        <v>1</v>
      </c>
      <c r="J70">
        <f>VLOOKUP(A68,$A$2:$H$11,8,FALSE)</f>
        <v>1</v>
      </c>
    </row>
    <row r="71" spans="1:10" x14ac:dyDescent="0.15">
      <c r="A71">
        <v>15</v>
      </c>
      <c r="B71" t="s">
        <v>12</v>
      </c>
      <c r="C71">
        <v>1</v>
      </c>
      <c r="D71">
        <f>VLOOKUP(A71,技能参数,4,FALSE)</f>
        <v>1.5</v>
      </c>
      <c r="E71">
        <f>VLOOKUP(A71*1000+D68,学习等级编码,2)</f>
        <v>1503</v>
      </c>
      <c r="F71">
        <f>INT(VLOOKUP($E71,技能升级,9,FALSE)*$C71*I71*J71)</f>
        <v>0</v>
      </c>
      <c r="G71">
        <f>INT(VLOOKUP($E71,技能升级,10,FALSE)*$C71*I71*J71)</f>
        <v>0</v>
      </c>
      <c r="H71">
        <f>VLOOKUP(E71,技能升级,11,FALSE)*C71</f>
        <v>0</v>
      </c>
      <c r="I71">
        <v>1</v>
      </c>
      <c r="J71">
        <v>1</v>
      </c>
    </row>
    <row r="72" spans="1:10" x14ac:dyDescent="0.15">
      <c r="A72">
        <v>11</v>
      </c>
      <c r="B72" t="s">
        <v>94</v>
      </c>
      <c r="C72">
        <f>INT((C68-D70-D71)/D72)</f>
        <v>28</v>
      </c>
      <c r="D72">
        <f>VLOOKUP(A72,技能参数,4,FALSE)</f>
        <v>1</v>
      </c>
      <c r="E72">
        <f>VLOOKUP(A72*1000+D68,学习等级编码,2)</f>
        <v>1108</v>
      </c>
      <c r="F72">
        <f>INT(VLOOKUP($E72,技能升级,9,FALSE)*$C72*I72*J72)</f>
        <v>29946</v>
      </c>
      <c r="G72">
        <f>INT(VLOOKUP($E72,技能升级,10,FALSE)*$C72*I72*J72)</f>
        <v>0</v>
      </c>
      <c r="H72">
        <f>INT(VLOOKUP($E72,技能升级,11,FALSE)*$C72*I72*J72)</f>
        <v>5702</v>
      </c>
      <c r="I72">
        <v>1</v>
      </c>
      <c r="J72">
        <f>VLOOKUP(A68,$A$2:$H$11,7,FALSE)</f>
        <v>0.93</v>
      </c>
    </row>
    <row r="73" spans="1:10" x14ac:dyDescent="0.15">
      <c r="A73">
        <v>14</v>
      </c>
      <c r="B73" t="s">
        <v>11</v>
      </c>
      <c r="C73">
        <v>1</v>
      </c>
      <c r="D73">
        <v>0</v>
      </c>
      <c r="E73">
        <f>VLOOKUP(A73*1000+D68,学习等级编码,2)</f>
        <v>1405</v>
      </c>
      <c r="F73">
        <f>INT(VLOOKUP($E73,技能升级,9,FALSE)*$C73*I73*J73)</f>
        <v>0</v>
      </c>
      <c r="G73">
        <f>INT(VLOOKUP($E73,技能升级,10,FALSE)*$C73*I73*J73)</f>
        <v>0</v>
      </c>
      <c r="H73">
        <f>VLOOKUP(E73,技能升级,11,FALSE)*C73</f>
        <v>0</v>
      </c>
      <c r="I73">
        <v>1</v>
      </c>
      <c r="J73">
        <v>1</v>
      </c>
    </row>
    <row r="74" spans="1:10" x14ac:dyDescent="0.15">
      <c r="E74" t="s">
        <v>194</v>
      </c>
      <c r="F74">
        <f>SUM(F70:F72)/1000</f>
        <v>29.946000000000002</v>
      </c>
      <c r="G74">
        <f>SUM(G70:G72)/1000</f>
        <v>35.03</v>
      </c>
      <c r="H74">
        <f>SUM(H70:H72)</f>
        <v>10848</v>
      </c>
      <c r="I74" t="s">
        <v>196</v>
      </c>
      <c r="J74" t="s">
        <v>197</v>
      </c>
    </row>
    <row r="75" spans="1:10" x14ac:dyDescent="0.15">
      <c r="E75" t="s">
        <v>195</v>
      </c>
      <c r="F75">
        <f>INT((IF($A68&gt;10000,VLOOKUP($A68,实战属性,13,FALSE),VLOOKUP($A68,总基本属性,7,FALSE))-
IF($B68&gt;10000,VLOOKUP($B68,实战属性,15,FALSE),VLOOKUP($B68,总基本属性,9,FALSE))*$L$13)*F74)</f>
        <v>32431</v>
      </c>
      <c r="G75">
        <f>INT((IF($A68&gt;10000,VLOOKUP($A68,实战属性,14,FALSE),VLOOKUP($A68,总基本属性,8,FALSE))-
IF($B68&gt;10000,VLOOKUP($B68,实战属性,16,FALSE),VLOOKUP($B68,总基本属性,10,FALSE))*$L$13)*G74)</f>
        <v>35415</v>
      </c>
      <c r="H75">
        <f>H74+F75+G75</f>
        <v>78694</v>
      </c>
      <c r="I75">
        <f>IF($B68&gt;10000,VLOOKUP($B68,实战属性,12,FALSE),VLOOKUP($B68,总基本属性,6,FALSE))</f>
        <v>78666</v>
      </c>
      <c r="J75">
        <f>ROUND(I75/H75,2)</f>
        <v>1</v>
      </c>
    </row>
    <row r="79" spans="1:10" x14ac:dyDescent="0.15">
      <c r="A79" t="s">
        <v>2</v>
      </c>
      <c r="B79" t="s">
        <v>2</v>
      </c>
      <c r="C79" t="s">
        <v>178</v>
      </c>
      <c r="D79" t="s">
        <v>0</v>
      </c>
    </row>
    <row r="80" spans="1:10" x14ac:dyDescent="0.15">
      <c r="A80">
        <f>A68+1</f>
        <v>11106</v>
      </c>
      <c r="B80">
        <f>A80</f>
        <v>11106</v>
      </c>
      <c r="C80">
        <v>31</v>
      </c>
      <c r="D80">
        <f>MOD(A80,100)*10</f>
        <v>60</v>
      </c>
    </row>
    <row r="81" spans="1:10" x14ac:dyDescent="0.15">
      <c r="A81" t="s">
        <v>156</v>
      </c>
      <c r="B81" t="s">
        <v>95</v>
      </c>
      <c r="C81" t="s">
        <v>177</v>
      </c>
      <c r="D81" t="s">
        <v>143</v>
      </c>
      <c r="E81" t="s">
        <v>182</v>
      </c>
      <c r="F81" t="s">
        <v>192</v>
      </c>
      <c r="G81" t="s">
        <v>193</v>
      </c>
      <c r="H81" t="s">
        <v>176</v>
      </c>
      <c r="I81" t="s">
        <v>205</v>
      </c>
      <c r="J81" t="s">
        <v>206</v>
      </c>
    </row>
    <row r="82" spans="1:10" x14ac:dyDescent="0.15">
      <c r="A82">
        <v>12</v>
      </c>
      <c r="B82" t="s">
        <v>9</v>
      </c>
      <c r="C82">
        <f>C80</f>
        <v>31</v>
      </c>
      <c r="D82">
        <f>VLOOKUP(A82,技能参数,4,FALSE)</f>
        <v>0.6</v>
      </c>
      <c r="E82">
        <f>VLOOKUP(A82*1000+D80,学习等级编码,2)</f>
        <v>1206</v>
      </c>
      <c r="F82">
        <f>INT(VLOOKUP($E82,技能升级,9,FALSE)*$C82*I82*J82)</f>
        <v>0</v>
      </c>
      <c r="G82">
        <f>INT(VLOOKUP($E82,技能升级,10,FALSE)*$C82*I82*J82)</f>
        <v>38808</v>
      </c>
      <c r="H82">
        <f>INT(VLOOKUP(E82,技能升级,11,FALSE)*C82*J82)</f>
        <v>7960</v>
      </c>
      <c r="I82">
        <v>1</v>
      </c>
      <c r="J82">
        <f>VLOOKUP(A80,$A$2:$H$11,8,FALSE)</f>
        <v>1.0699999999999998</v>
      </c>
    </row>
    <row r="83" spans="1:10" x14ac:dyDescent="0.15">
      <c r="A83">
        <v>15</v>
      </c>
      <c r="B83" t="s">
        <v>12</v>
      </c>
      <c r="C83">
        <v>1</v>
      </c>
      <c r="D83">
        <f>VLOOKUP(A83,技能参数,4,FALSE)</f>
        <v>1.5</v>
      </c>
      <c r="E83">
        <f>VLOOKUP(A83*1000+D80,学习等级编码,2)</f>
        <v>1504</v>
      </c>
      <c r="F83">
        <f>INT(VLOOKUP($E83,技能升级,9,FALSE)*$C83*I83*J83)</f>
        <v>0</v>
      </c>
      <c r="G83">
        <f>INT(VLOOKUP($E83,技能升级,10,FALSE)*$C83*I83*J83)</f>
        <v>0</v>
      </c>
      <c r="H83">
        <f>VLOOKUP(E83,技能升级,11,FALSE)*C83</f>
        <v>0</v>
      </c>
      <c r="I83">
        <v>1</v>
      </c>
      <c r="J83">
        <v>1</v>
      </c>
    </row>
    <row r="84" spans="1:10" x14ac:dyDescent="0.15">
      <c r="A84">
        <v>11</v>
      </c>
      <c r="B84" t="s">
        <v>94</v>
      </c>
      <c r="C84">
        <f>INT((C80-D82-D83)/D84)</f>
        <v>28</v>
      </c>
      <c r="D84">
        <f>VLOOKUP(A84,技能参数,4,FALSE)</f>
        <v>1</v>
      </c>
      <c r="E84">
        <f>VLOOKUP(A84*1000+D80,学习等级编码,2)</f>
        <v>1109</v>
      </c>
      <c r="F84">
        <f>INT(VLOOKUP($E84,技能升级,9,FALSE)*$C84*I84*J84)</f>
        <v>32760</v>
      </c>
      <c r="G84">
        <f>INT(VLOOKUP($E84,技能升级,10,FALSE)*$C84*I84*J84)</f>
        <v>0</v>
      </c>
      <c r="H84">
        <f>INT(VLOOKUP($E84,技能升级,11,FALSE)*$C84*I84*J84)</f>
        <v>7560</v>
      </c>
      <c r="I84">
        <v>1</v>
      </c>
      <c r="J84">
        <f>VLOOKUP(A80,$A$2:$H$11,7,FALSE)</f>
        <v>1</v>
      </c>
    </row>
    <row r="85" spans="1:10" x14ac:dyDescent="0.15">
      <c r="A85">
        <v>14</v>
      </c>
      <c r="B85" t="s">
        <v>11</v>
      </c>
      <c r="C85">
        <v>1</v>
      </c>
      <c r="D85">
        <v>0</v>
      </c>
      <c r="E85">
        <f>VLOOKUP(A85*1000+D80,学习等级编码,2)</f>
        <v>1406</v>
      </c>
      <c r="F85">
        <f>INT(VLOOKUP($E85,技能升级,9,FALSE)*$C85*I85*J85)</f>
        <v>0</v>
      </c>
      <c r="G85">
        <f>INT(VLOOKUP($E85,技能升级,10,FALSE)*$C85*I85*J85)</f>
        <v>0</v>
      </c>
      <c r="H85">
        <f>VLOOKUP(E85,技能升级,11,FALSE)*C85</f>
        <v>0</v>
      </c>
      <c r="I85">
        <v>1</v>
      </c>
      <c r="J85">
        <v>1</v>
      </c>
    </row>
    <row r="86" spans="1:10" x14ac:dyDescent="0.15">
      <c r="E86" t="s">
        <v>194</v>
      </c>
      <c r="F86">
        <f>SUM(F82:F84)/1000</f>
        <v>32.76</v>
      </c>
      <c r="G86">
        <f>SUM(G82:G84)/1000</f>
        <v>38.808</v>
      </c>
      <c r="H86">
        <f>SUM(H82:H84)</f>
        <v>15520</v>
      </c>
      <c r="I86" t="s">
        <v>196</v>
      </c>
      <c r="J86" t="s">
        <v>197</v>
      </c>
    </row>
    <row r="87" spans="1:10" x14ac:dyDescent="0.15">
      <c r="E87" t="s">
        <v>195</v>
      </c>
      <c r="F87">
        <f>INT((IF($A80&gt;10000,VLOOKUP($A80,实战属性,13,FALSE),VLOOKUP($A80,总基本属性,7,FALSE))-
IF($B80&gt;10000,VLOOKUP($B80,实战属性,15,FALSE),VLOOKUP($B80,总基本属性,9,FALSE))*$L$13)*F86)</f>
        <v>50073</v>
      </c>
      <c r="G87">
        <f>INT((IF($A80&gt;10000,VLOOKUP($A80,实战属性,14,FALSE),VLOOKUP($A80,总基本属性,8,FALSE))-
IF($B80&gt;10000,VLOOKUP($B80,实战属性,16,FALSE),VLOOKUP($B80,总基本属性,10,FALSE))*$L$13)*G86)</f>
        <v>48180</v>
      </c>
      <c r="H87">
        <f>H86+F87+G87</f>
        <v>113773</v>
      </c>
      <c r="I87">
        <f>IF($B80&gt;10000,VLOOKUP($B80,实战属性,12,FALSE),VLOOKUP($B80,总基本属性,6,FALSE))</f>
        <v>112468</v>
      </c>
      <c r="J87">
        <f>ROUND(I87/H87,2)</f>
        <v>0.99</v>
      </c>
    </row>
    <row r="91" spans="1:10" x14ac:dyDescent="0.15">
      <c r="A91" t="s">
        <v>2</v>
      </c>
      <c r="B91" t="s">
        <v>2</v>
      </c>
      <c r="C91" t="s">
        <v>178</v>
      </c>
      <c r="D91" t="s">
        <v>0</v>
      </c>
    </row>
    <row r="92" spans="1:10" x14ac:dyDescent="0.15">
      <c r="A92">
        <f>A80+1</f>
        <v>11107</v>
      </c>
      <c r="B92">
        <f>A92</f>
        <v>11107</v>
      </c>
      <c r="C92">
        <v>31</v>
      </c>
      <c r="D92">
        <f>MOD(A92,100)*10</f>
        <v>70</v>
      </c>
    </row>
    <row r="93" spans="1:10" x14ac:dyDescent="0.15">
      <c r="A93" t="s">
        <v>156</v>
      </c>
      <c r="B93" t="s">
        <v>95</v>
      </c>
      <c r="C93" t="s">
        <v>177</v>
      </c>
      <c r="D93" t="s">
        <v>143</v>
      </c>
      <c r="E93" t="s">
        <v>182</v>
      </c>
      <c r="F93" t="s">
        <v>192</v>
      </c>
      <c r="G93" t="s">
        <v>193</v>
      </c>
      <c r="H93" t="s">
        <v>176</v>
      </c>
      <c r="I93" t="s">
        <v>205</v>
      </c>
      <c r="J93" t="s">
        <v>206</v>
      </c>
    </row>
    <row r="94" spans="1:10" x14ac:dyDescent="0.15">
      <c r="A94">
        <v>12</v>
      </c>
      <c r="B94" t="s">
        <v>9</v>
      </c>
      <c r="C94">
        <f>C92</f>
        <v>31</v>
      </c>
      <c r="D94">
        <f>VLOOKUP(A94,技能参数,4,FALSE)</f>
        <v>0.6</v>
      </c>
      <c r="E94">
        <f>VLOOKUP(A94*1000+D92,学习等级编码,2)</f>
        <v>1207</v>
      </c>
      <c r="F94">
        <f>INT(VLOOKUP($E94,技能升级,9,FALSE)*$C94*I94*J94)</f>
        <v>0</v>
      </c>
      <c r="G94">
        <f>INT(VLOOKUP($E94,技能升级,10,FALSE)*$C94*I94*J94)</f>
        <v>40734</v>
      </c>
      <c r="H94">
        <f>INT(VLOOKUP(E94,技能升级,11,FALSE)*C94*J94)</f>
        <v>11167</v>
      </c>
      <c r="I94">
        <v>1</v>
      </c>
      <c r="J94">
        <f>VLOOKUP(A92,$A$2:$H$11,8,FALSE)</f>
        <v>1.0950000000000002</v>
      </c>
    </row>
    <row r="95" spans="1:10" x14ac:dyDescent="0.15">
      <c r="A95">
        <v>15</v>
      </c>
      <c r="B95" t="s">
        <v>12</v>
      </c>
      <c r="C95">
        <v>1</v>
      </c>
      <c r="D95">
        <f>VLOOKUP(A95,技能参数,4,FALSE)</f>
        <v>1.5</v>
      </c>
      <c r="E95">
        <f>VLOOKUP(A95*1000+D92,学习等级编码,2)</f>
        <v>1505</v>
      </c>
      <c r="F95">
        <f>INT(VLOOKUP($E95,技能升级,9,FALSE)*$C95*I95*J95)</f>
        <v>0</v>
      </c>
      <c r="G95">
        <f>INT(VLOOKUP($E95,技能升级,10,FALSE)*$C95*I95*J95)</f>
        <v>0</v>
      </c>
      <c r="H95">
        <f>VLOOKUP(E95,技能升级,11,FALSE)*C95</f>
        <v>0</v>
      </c>
      <c r="I95">
        <v>1</v>
      </c>
      <c r="J95">
        <v>1</v>
      </c>
    </row>
    <row r="96" spans="1:10" x14ac:dyDescent="0.15">
      <c r="A96">
        <v>11</v>
      </c>
      <c r="B96" t="s">
        <v>94</v>
      </c>
      <c r="C96">
        <f>INT((C92-D94-D95)/D96)</f>
        <v>28</v>
      </c>
      <c r="D96">
        <f>VLOOKUP(A96,技能参数,4,FALSE)</f>
        <v>1</v>
      </c>
      <c r="E96">
        <f>VLOOKUP(A96*1000+D92,学习等级编码,2)</f>
        <v>1111</v>
      </c>
      <c r="F96">
        <f>INT(VLOOKUP($E96,技能升级,9,FALSE)*$C96*I96*J96)</f>
        <v>34727</v>
      </c>
      <c r="G96">
        <f>INT(VLOOKUP($E96,技能升级,10,FALSE)*$C96*I96*J96)</f>
        <v>0</v>
      </c>
      <c r="H96">
        <f>INT(VLOOKUP($E96,技能升级,11,FALSE)*$C96*J96)</f>
        <v>11652</v>
      </c>
      <c r="I96">
        <v>1</v>
      </c>
      <c r="J96">
        <f>VLOOKUP(A92,$A$2:$H$11,7,FALSE)</f>
        <v>1.0249999999999999</v>
      </c>
    </row>
    <row r="97" spans="1:10" x14ac:dyDescent="0.15">
      <c r="A97">
        <v>14</v>
      </c>
      <c r="B97" t="s">
        <v>11</v>
      </c>
      <c r="C97">
        <v>1</v>
      </c>
      <c r="D97">
        <v>0</v>
      </c>
      <c r="E97">
        <f>VLOOKUP(A97*1000+D92,学习等级编码,2)</f>
        <v>1407</v>
      </c>
      <c r="F97">
        <f>INT(VLOOKUP($E97,技能升级,9,FALSE)*$C97*I97*J97)</f>
        <v>0</v>
      </c>
      <c r="G97">
        <f>INT(VLOOKUP($E97,技能升级,10,FALSE)*$C97*I97*J97)</f>
        <v>0</v>
      </c>
      <c r="H97">
        <f>VLOOKUP(E97,技能升级,11,FALSE)*C97</f>
        <v>0</v>
      </c>
      <c r="I97">
        <v>1</v>
      </c>
      <c r="J97">
        <v>1</v>
      </c>
    </row>
    <row r="98" spans="1:10" x14ac:dyDescent="0.15">
      <c r="E98" t="s">
        <v>194</v>
      </c>
      <c r="F98">
        <f>SUM(F94:F96)/1000</f>
        <v>34.726999999999997</v>
      </c>
      <c r="G98">
        <f>SUM(G94:G96)/1000</f>
        <v>40.734000000000002</v>
      </c>
      <c r="H98">
        <f>SUM(H94:H96)</f>
        <v>22819</v>
      </c>
      <c r="I98" t="s">
        <v>196</v>
      </c>
      <c r="J98" t="s">
        <v>197</v>
      </c>
    </row>
    <row r="99" spans="1:10" x14ac:dyDescent="0.15">
      <c r="E99" t="s">
        <v>195</v>
      </c>
      <c r="F99">
        <f>INT((IF($A92&gt;10000,VLOOKUP($A92,实战属性,13,FALSE),VLOOKUP($A92,总基本属性,7,FALSE))-
IF($B92&gt;10000,VLOOKUP($B92,实战属性,15,FALSE),VLOOKUP($B92,总基本属性,9,FALSE))*$L$13)*F98)</f>
        <v>71172</v>
      </c>
      <c r="G99">
        <f>INT((IF($A92&gt;10000,VLOOKUP($A92,实战属性,14,FALSE),VLOOKUP($A92,总基本属性,8,FALSE))-
IF($B92&gt;10000,VLOOKUP($B92,实战属性,16,FALSE),VLOOKUP($B92,总基本属性,10,FALSE))*$L$13)*G98)</f>
        <v>57801</v>
      </c>
      <c r="H99">
        <f>H98+F99+G99</f>
        <v>151792</v>
      </c>
      <c r="I99">
        <f>IF($B92&gt;10000,VLOOKUP($B92,实战属性,12,FALSE),VLOOKUP($B92,总基本属性,6,FALSE))</f>
        <v>152179</v>
      </c>
      <c r="J99">
        <f>ROUND(I99/H99,2)</f>
        <v>1</v>
      </c>
    </row>
    <row r="103" spans="1:10" x14ac:dyDescent="0.15">
      <c r="A103" t="s">
        <v>2</v>
      </c>
      <c r="B103" t="s">
        <v>2</v>
      </c>
      <c r="C103" t="s">
        <v>178</v>
      </c>
      <c r="D103" t="s">
        <v>0</v>
      </c>
    </row>
    <row r="104" spans="1:10" x14ac:dyDescent="0.15">
      <c r="A104">
        <f>A92+1</f>
        <v>11108</v>
      </c>
      <c r="B104">
        <f>A104</f>
        <v>11108</v>
      </c>
      <c r="C104">
        <v>31</v>
      </c>
      <c r="D104">
        <f>MOD(A104,100)*10</f>
        <v>80</v>
      </c>
    </row>
    <row r="105" spans="1:10" x14ac:dyDescent="0.15">
      <c r="A105" t="s">
        <v>156</v>
      </c>
      <c r="B105" t="s">
        <v>95</v>
      </c>
      <c r="C105" t="s">
        <v>177</v>
      </c>
      <c r="D105" t="s">
        <v>143</v>
      </c>
      <c r="E105" t="s">
        <v>182</v>
      </c>
      <c r="F105" t="s">
        <v>192</v>
      </c>
      <c r="G105" t="s">
        <v>193</v>
      </c>
      <c r="H105" t="s">
        <v>176</v>
      </c>
      <c r="I105" t="s">
        <v>205</v>
      </c>
      <c r="J105" t="s">
        <v>206</v>
      </c>
    </row>
    <row r="106" spans="1:10" x14ac:dyDescent="0.15">
      <c r="A106">
        <v>12</v>
      </c>
      <c r="B106" t="s">
        <v>9</v>
      </c>
      <c r="C106">
        <f>C104</f>
        <v>31</v>
      </c>
      <c r="D106">
        <f>VLOOKUP(A106,技能参数,4,FALSE)</f>
        <v>0.6</v>
      </c>
      <c r="E106">
        <f>VLOOKUP(A106*1000+D104,学习等级编码,2)</f>
        <v>1208</v>
      </c>
      <c r="F106">
        <f>INT(VLOOKUP($E106,技能升级,9,FALSE)*$C106*I106*J106)</f>
        <v>0</v>
      </c>
      <c r="G106">
        <f>INT(VLOOKUP($E106,技能升级,10,FALSE)*$C106*I106*J106)</f>
        <v>42896</v>
      </c>
      <c r="H106">
        <f>INT(VLOOKUP(E106,技能升级,11,FALSE)*C106*J106)</f>
        <v>15100</v>
      </c>
      <c r="I106">
        <v>1</v>
      </c>
      <c r="J106">
        <f>VLOOKUP(A104,$A$2:$H$11,8,FALSE)</f>
        <v>1.125</v>
      </c>
    </row>
    <row r="107" spans="1:10" x14ac:dyDescent="0.15">
      <c r="A107">
        <v>15</v>
      </c>
      <c r="B107" t="s">
        <v>12</v>
      </c>
      <c r="C107">
        <v>1</v>
      </c>
      <c r="D107">
        <f>VLOOKUP(A107,技能参数,4,FALSE)</f>
        <v>1.5</v>
      </c>
      <c r="E107">
        <f>VLOOKUP(A107*1000+D104,学习等级编码,2)</f>
        <v>1505</v>
      </c>
      <c r="F107">
        <f>INT(VLOOKUP($E107,技能升级,9,FALSE)*$C107*I107*J107)</f>
        <v>0</v>
      </c>
      <c r="G107">
        <f>INT(VLOOKUP($E107,技能升级,10,FALSE)*$C107*I107*J107)</f>
        <v>0</v>
      </c>
      <c r="H107">
        <f>VLOOKUP(E107,技能升级,11,FALSE)*C107</f>
        <v>0</v>
      </c>
      <c r="I107">
        <v>1</v>
      </c>
      <c r="J107">
        <v>1</v>
      </c>
    </row>
    <row r="108" spans="1:10" x14ac:dyDescent="0.15">
      <c r="A108">
        <v>11</v>
      </c>
      <c r="B108" t="s">
        <v>94</v>
      </c>
      <c r="C108">
        <f>INT((C104-D106-D107)/D108)</f>
        <v>28</v>
      </c>
      <c r="D108">
        <f>VLOOKUP(A108,技能参数,4,FALSE)</f>
        <v>1</v>
      </c>
      <c r="E108">
        <f>VLOOKUP(A108*1000+D104,学习等级编码,2)</f>
        <v>1112</v>
      </c>
      <c r="F108">
        <f>INT(VLOOKUP($E108,技能升级,9,FALSE)*$C108*I108*J108)</f>
        <v>36629</v>
      </c>
      <c r="G108">
        <f>INT(VLOOKUP($E108,技能升级,10,FALSE)*$C108*I108*J108)</f>
        <v>0</v>
      </c>
      <c r="H108">
        <f>INT(VLOOKUP($E108,技能升级,11,FALSE)*$C108*I108*J108)</f>
        <v>14385</v>
      </c>
      <c r="I108">
        <v>1</v>
      </c>
      <c r="J108">
        <f>VLOOKUP(A104,$A$2:$H$11,7,FALSE)</f>
        <v>1.0549999999999999</v>
      </c>
    </row>
    <row r="109" spans="1:10" x14ac:dyDescent="0.15">
      <c r="A109">
        <v>14</v>
      </c>
      <c r="B109" t="s">
        <v>11</v>
      </c>
      <c r="C109">
        <v>1</v>
      </c>
      <c r="D109">
        <v>0</v>
      </c>
      <c r="E109">
        <f>VLOOKUP(A109*1000+D104,学习等级编码,2)</f>
        <v>1408</v>
      </c>
      <c r="F109">
        <f>INT(VLOOKUP($E109,技能升级,9,FALSE)*$C109*I109*J109)</f>
        <v>0</v>
      </c>
      <c r="G109">
        <f>INT(VLOOKUP($E109,技能升级,10,FALSE)*$C109*I109*J109)</f>
        <v>0</v>
      </c>
      <c r="H109">
        <f>VLOOKUP(E109,技能升级,11,FALSE)*C109</f>
        <v>0</v>
      </c>
      <c r="I109">
        <v>1</v>
      </c>
      <c r="J109">
        <v>1</v>
      </c>
    </row>
    <row r="110" spans="1:10" x14ac:dyDescent="0.15">
      <c r="E110" t="s">
        <v>194</v>
      </c>
      <c r="F110">
        <f>SUM(F106:F108)/1000</f>
        <v>36.628999999999998</v>
      </c>
      <c r="G110">
        <f>SUM(G106:G108)/1000</f>
        <v>42.896000000000001</v>
      </c>
      <c r="H110">
        <f>SUM(H106:H108)</f>
        <v>29485</v>
      </c>
      <c r="I110" t="s">
        <v>196</v>
      </c>
      <c r="J110" t="s">
        <v>197</v>
      </c>
    </row>
    <row r="111" spans="1:10" x14ac:dyDescent="0.15">
      <c r="E111" t="s">
        <v>195</v>
      </c>
      <c r="F111">
        <f>INT((IF($A104&gt;10000,VLOOKUP($A104,实战属性,13,FALSE),VLOOKUP($A104,总基本属性,7,FALSE))-
IF($B104&gt;10000,VLOOKUP($B104,实战属性,15,FALSE),VLOOKUP($B104,总基本属性,9,FALSE))*$L$13)*F110)</f>
        <v>95858</v>
      </c>
      <c r="G111">
        <f>INT((IF($A104&gt;10000,VLOOKUP($A104,实战属性,14,FALSE),VLOOKUP($A104,总基本属性,8,FALSE))-
IF($B104&gt;10000,VLOOKUP($B104,实战属性,16,FALSE),VLOOKUP($B104,总基本属性,10,FALSE))*$L$13)*G110)</f>
        <v>69748</v>
      </c>
      <c r="H111">
        <f>H110+F111+G111</f>
        <v>195091</v>
      </c>
      <c r="I111">
        <f>IF($B104&gt;10000,VLOOKUP($B104,实战属性,12,FALSE),VLOOKUP($B104,总基本属性,6,FALSE))</f>
        <v>194386</v>
      </c>
      <c r="J111">
        <f>ROUND(I111/H111,2)</f>
        <v>1</v>
      </c>
    </row>
    <row r="115" spans="1:10" x14ac:dyDescent="0.15">
      <c r="A115" t="s">
        <v>2</v>
      </c>
      <c r="B115" t="s">
        <v>2</v>
      </c>
      <c r="C115" t="s">
        <v>178</v>
      </c>
      <c r="D115" t="s">
        <v>0</v>
      </c>
    </row>
    <row r="116" spans="1:10" x14ac:dyDescent="0.15">
      <c r="A116">
        <f>A104+1</f>
        <v>11109</v>
      </c>
      <c r="B116">
        <f>A116</f>
        <v>11109</v>
      </c>
      <c r="C116">
        <v>31</v>
      </c>
      <c r="D116">
        <f>MOD(A116,100)*10</f>
        <v>90</v>
      </c>
    </row>
    <row r="117" spans="1:10" x14ac:dyDescent="0.15">
      <c r="A117" t="s">
        <v>156</v>
      </c>
      <c r="B117" t="s">
        <v>95</v>
      </c>
      <c r="C117" t="s">
        <v>177</v>
      </c>
      <c r="D117" t="s">
        <v>143</v>
      </c>
      <c r="E117" t="s">
        <v>182</v>
      </c>
      <c r="F117" t="s">
        <v>192</v>
      </c>
      <c r="G117" t="s">
        <v>193</v>
      </c>
      <c r="H117" t="s">
        <v>176</v>
      </c>
      <c r="I117" t="s">
        <v>205</v>
      </c>
      <c r="J117" t="s">
        <v>206</v>
      </c>
    </row>
    <row r="118" spans="1:10" x14ac:dyDescent="0.15">
      <c r="A118">
        <v>12</v>
      </c>
      <c r="B118" t="s">
        <v>9</v>
      </c>
      <c r="C118">
        <f>C116</f>
        <v>31</v>
      </c>
      <c r="D118">
        <f>VLOOKUP(A118,技能参数,4,FALSE)</f>
        <v>0.6</v>
      </c>
      <c r="E118">
        <f>VLOOKUP(A118*1000+D116,学习等级编码,2)</f>
        <v>1209</v>
      </c>
      <c r="F118">
        <f>INT(VLOOKUP($E118,技能升级,9,FALSE)*$C118*I118*J118)</f>
        <v>0</v>
      </c>
      <c r="G118">
        <f>INT(VLOOKUP($E118,技能升级,10,FALSE)*$C118*I118*J118)</f>
        <v>45669</v>
      </c>
      <c r="H118">
        <f>INT(VLOOKUP(E118,技能升级,11,FALSE)*C118*J118)</f>
        <v>19849</v>
      </c>
      <c r="I118">
        <v>1</v>
      </c>
      <c r="J118">
        <f>VLOOKUP(A116,$A$2:$H$11,8,FALSE)</f>
        <v>1.1599999999999999</v>
      </c>
    </row>
    <row r="119" spans="1:10" x14ac:dyDescent="0.15">
      <c r="A119">
        <v>15</v>
      </c>
      <c r="B119" t="s">
        <v>12</v>
      </c>
      <c r="C119">
        <v>1</v>
      </c>
      <c r="D119">
        <f>VLOOKUP(A119,技能参数,4,FALSE)</f>
        <v>1.5</v>
      </c>
      <c r="E119">
        <f>VLOOKUP(A119*1000+D116,学习等级编码,2)</f>
        <v>1506</v>
      </c>
      <c r="F119">
        <f>INT(VLOOKUP($E119,技能升级,9,FALSE)*$C119*I119*J119)</f>
        <v>0</v>
      </c>
      <c r="G119">
        <f>INT(VLOOKUP($E119,技能升级,10,FALSE)*$C119*I119*J119)</f>
        <v>0</v>
      </c>
      <c r="H119">
        <f>VLOOKUP(E119,技能升级,11,FALSE)*C119</f>
        <v>0</v>
      </c>
      <c r="I119">
        <v>1</v>
      </c>
      <c r="J119">
        <v>1</v>
      </c>
    </row>
    <row r="120" spans="1:10" x14ac:dyDescent="0.15">
      <c r="A120">
        <v>11</v>
      </c>
      <c r="B120" t="s">
        <v>94</v>
      </c>
      <c r="C120">
        <f>INT((C116-D118-D119)/D120)</f>
        <v>28</v>
      </c>
      <c r="D120">
        <f>VLOOKUP(A120,技能参数,4,FALSE)</f>
        <v>1</v>
      </c>
      <c r="E120">
        <f>VLOOKUP(A120*1000+D116,学习等级编码,2)</f>
        <v>1114</v>
      </c>
      <c r="F120">
        <f>INT(VLOOKUP($E120,技能升级,9,FALSE)*$C120*I120*J120)</f>
        <v>39065</v>
      </c>
      <c r="G120">
        <f>INT(VLOOKUP($E120,技能升级,10,FALSE)*$C120*I120*J120)</f>
        <v>0</v>
      </c>
      <c r="H120">
        <f>INT(VLOOKUP($E120,技能升级,11,FALSE)*$C120*I120*J120)</f>
        <v>20356</v>
      </c>
      <c r="I120">
        <v>1</v>
      </c>
      <c r="J120">
        <f>VLOOKUP(A116,$A$2:$H$11,7,FALSE)</f>
        <v>1.0899999999999999</v>
      </c>
    </row>
    <row r="121" spans="1:10" x14ac:dyDescent="0.15">
      <c r="A121">
        <v>14</v>
      </c>
      <c r="B121" t="s">
        <v>11</v>
      </c>
      <c r="C121">
        <v>1</v>
      </c>
      <c r="D121">
        <v>0</v>
      </c>
      <c r="E121">
        <f>VLOOKUP(A121*1000+D116,学习等级编码,2)</f>
        <v>1409</v>
      </c>
      <c r="F121">
        <f>INT(VLOOKUP($E121,技能升级,9,FALSE)*$C121*I121*J121)</f>
        <v>0</v>
      </c>
      <c r="G121">
        <f>INT(VLOOKUP($E121,技能升级,10,FALSE)*$C121*I121*J121)</f>
        <v>0</v>
      </c>
      <c r="H121">
        <f>VLOOKUP(E121,技能升级,11,FALSE)*C121</f>
        <v>0</v>
      </c>
      <c r="I121">
        <v>1</v>
      </c>
      <c r="J121">
        <v>1</v>
      </c>
    </row>
    <row r="122" spans="1:10" x14ac:dyDescent="0.15">
      <c r="E122" t="s">
        <v>194</v>
      </c>
      <c r="F122">
        <f>SUM(F118:F120)/1000</f>
        <v>39.064999999999998</v>
      </c>
      <c r="G122">
        <f>SUM(G118:G120)/1000</f>
        <v>45.668999999999997</v>
      </c>
      <c r="H122">
        <f>SUM(H118:H120)</f>
        <v>40205</v>
      </c>
      <c r="I122" t="s">
        <v>196</v>
      </c>
      <c r="J122" t="s">
        <v>197</v>
      </c>
    </row>
    <row r="123" spans="1:10" x14ac:dyDescent="0.15">
      <c r="E123" t="s">
        <v>195</v>
      </c>
      <c r="F123">
        <f>INT((IF($A116&gt;10000,VLOOKUP($A116,实战属性,13,FALSE),VLOOKUP($A116,总基本属性,7,FALSE))-
IF($B116&gt;10000,VLOOKUP($B116,实战属性,15,FALSE),VLOOKUP($B116,总基本属性,9,FALSE))*$L$13)*F122)</f>
        <v>128582</v>
      </c>
      <c r="G123">
        <f>INT((IF($A116&gt;10000,VLOOKUP($A116,实战属性,14,FALSE),VLOOKUP($A116,总基本属性,8,FALSE))-
IF($B116&gt;10000,VLOOKUP($B116,实战属性,16,FALSE),VLOOKUP($B116,总基本属性,10,FALSE))*$L$13)*G122)</f>
        <v>86268</v>
      </c>
      <c r="H123">
        <f>H122+F123+G123</f>
        <v>255055</v>
      </c>
      <c r="I123">
        <f>IF($B116&gt;10000,VLOOKUP($B116,实战属性,12,FALSE),VLOOKUP($B116,总基本属性,6,FALSE))</f>
        <v>256315</v>
      </c>
      <c r="J123">
        <f>ROUND(I123/H123,2)</f>
        <v>1</v>
      </c>
    </row>
    <row r="127" spans="1:10" x14ac:dyDescent="0.15">
      <c r="A127" t="s">
        <v>2</v>
      </c>
      <c r="B127" t="s">
        <v>2</v>
      </c>
      <c r="C127" t="s">
        <v>178</v>
      </c>
      <c r="D127" t="s">
        <v>0</v>
      </c>
    </row>
    <row r="128" spans="1:10" x14ac:dyDescent="0.15">
      <c r="A128">
        <f>A116+1</f>
        <v>11110</v>
      </c>
      <c r="B128">
        <f>A128</f>
        <v>11110</v>
      </c>
      <c r="C128">
        <v>31</v>
      </c>
      <c r="D128">
        <f>MOD(A128,100)*10</f>
        <v>100</v>
      </c>
    </row>
    <row r="129" spans="1:10" x14ac:dyDescent="0.15">
      <c r="A129" t="s">
        <v>156</v>
      </c>
      <c r="B129" t="s">
        <v>95</v>
      </c>
      <c r="C129" t="s">
        <v>177</v>
      </c>
      <c r="D129" t="s">
        <v>143</v>
      </c>
      <c r="E129" t="s">
        <v>182</v>
      </c>
      <c r="F129" t="s">
        <v>192</v>
      </c>
      <c r="G129" t="s">
        <v>193</v>
      </c>
      <c r="H129" t="s">
        <v>176</v>
      </c>
      <c r="I129" t="s">
        <v>205</v>
      </c>
      <c r="J129" t="s">
        <v>206</v>
      </c>
    </row>
    <row r="130" spans="1:10" x14ac:dyDescent="0.15">
      <c r="A130">
        <v>12</v>
      </c>
      <c r="B130" t="s">
        <v>9</v>
      </c>
      <c r="C130">
        <f>C128</f>
        <v>31</v>
      </c>
      <c r="D130">
        <f>VLOOKUP(A130,技能参数,4,FALSE)</f>
        <v>0.6</v>
      </c>
      <c r="E130">
        <f>VLOOKUP(A130*1000+D128,学习等级编码,2)</f>
        <v>1210</v>
      </c>
      <c r="F130">
        <f>INT(VLOOKUP($E130,技能升级,9,FALSE)*$C130*I130*J130)</f>
        <v>0</v>
      </c>
      <c r="G130">
        <f>INT(VLOOKUP($E130,技能升级,10,FALSE)*$C130*I130*J130)</f>
        <v>48158</v>
      </c>
      <c r="H130">
        <f>INT(VLOOKUP(E130,技能升级,11,FALSE)*C130*J130)</f>
        <v>25412</v>
      </c>
      <c r="I130">
        <v>1</v>
      </c>
      <c r="J130">
        <f>VLOOKUP(A128,$A$2:$H$11,8,FALSE)</f>
        <v>1.1949999999999998</v>
      </c>
    </row>
    <row r="131" spans="1:10" x14ac:dyDescent="0.15">
      <c r="A131">
        <v>15</v>
      </c>
      <c r="B131" t="s">
        <v>12</v>
      </c>
      <c r="C131">
        <v>1</v>
      </c>
      <c r="D131">
        <f>VLOOKUP(A131,技能参数,4,FALSE)</f>
        <v>1.5</v>
      </c>
      <c r="E131">
        <f>VLOOKUP(A131*1000+D128,学习等级编码,2)</f>
        <v>1507</v>
      </c>
      <c r="F131">
        <f>INT(VLOOKUP($E131,技能升级,9,FALSE)*$C131*I131*J131)</f>
        <v>0</v>
      </c>
      <c r="G131">
        <f>INT(VLOOKUP($E131,技能升级,10,FALSE)*$C131*I131*J131)</f>
        <v>0</v>
      </c>
      <c r="H131">
        <f>VLOOKUP(E131,技能升级,11,FALSE)*C131</f>
        <v>0</v>
      </c>
      <c r="I131">
        <v>1</v>
      </c>
      <c r="J131">
        <v>1</v>
      </c>
    </row>
    <row r="132" spans="1:10" x14ac:dyDescent="0.15">
      <c r="A132">
        <v>11</v>
      </c>
      <c r="B132" t="s">
        <v>94</v>
      </c>
      <c r="C132">
        <f>INT((C128-D130-D131)/D132)</f>
        <v>28</v>
      </c>
      <c r="D132">
        <f>VLOOKUP(A132,技能参数,4,FALSE)</f>
        <v>1</v>
      </c>
      <c r="E132">
        <f>VLOOKUP(A132*1000+D128,学习等级编码,2)</f>
        <v>1115</v>
      </c>
      <c r="F132">
        <f>INT(VLOOKUP($E132,技能升级,9,FALSE)*$C132*I132*J132)</f>
        <v>40950</v>
      </c>
      <c r="G132">
        <f>INT(VLOOKUP($E132,技能升级,10,FALSE)*$C132*I132*J132)</f>
        <v>0</v>
      </c>
      <c r="H132">
        <f>INT(VLOOKUP($E132,技能升级,11,FALSE)*$C132*I132*J132)</f>
        <v>24223</v>
      </c>
      <c r="I132">
        <v>1</v>
      </c>
      <c r="J132">
        <f>VLOOKUP(A128,$A$2:$H$11,7,FALSE)</f>
        <v>1.125</v>
      </c>
    </row>
    <row r="133" spans="1:10" x14ac:dyDescent="0.15">
      <c r="A133">
        <v>14</v>
      </c>
      <c r="B133" t="s">
        <v>11</v>
      </c>
      <c r="C133">
        <v>1</v>
      </c>
      <c r="D133">
        <v>0</v>
      </c>
      <c r="E133">
        <f>VLOOKUP(A133*1000+D128,学习等级编码,2)</f>
        <v>1410</v>
      </c>
      <c r="F133">
        <f>INT(VLOOKUP($E133,技能升级,9,FALSE)*$C133*I133*J133)</f>
        <v>0</v>
      </c>
      <c r="G133">
        <f>INT(VLOOKUP($E133,技能升级,10,FALSE)*$C133*I133*J133)</f>
        <v>0</v>
      </c>
      <c r="H133">
        <f>VLOOKUP(E133,技能升级,11,FALSE)*C133</f>
        <v>0</v>
      </c>
      <c r="I133">
        <v>1</v>
      </c>
      <c r="J133">
        <v>1</v>
      </c>
    </row>
    <row r="134" spans="1:10" x14ac:dyDescent="0.15">
      <c r="E134" t="s">
        <v>194</v>
      </c>
      <c r="F134">
        <f>SUM(F130:F132)/1000</f>
        <v>40.950000000000003</v>
      </c>
      <c r="G134">
        <f>SUM(G130:G132)/1000</f>
        <v>48.158000000000001</v>
      </c>
      <c r="H134">
        <f>SUM(H130:H132)</f>
        <v>49635</v>
      </c>
      <c r="I134" t="s">
        <v>196</v>
      </c>
      <c r="J134" t="s">
        <v>197</v>
      </c>
    </row>
    <row r="135" spans="1:10" x14ac:dyDescent="0.15">
      <c r="E135" t="s">
        <v>195</v>
      </c>
      <c r="F135">
        <f>INT((IF($A128&gt;10000,VLOOKUP($A128,实战属性,13,FALSE),VLOOKUP($A128,总基本属性,7,FALSE))-
IF($B128&gt;10000,VLOOKUP($B128,实战属性,15,FALSE),VLOOKUP($B128,总基本属性,9,FALSE))*$L$13)*F134)</f>
        <v>165683</v>
      </c>
      <c r="G135">
        <f>INT((IF($A128&gt;10000,VLOOKUP($A128,实战属性,14,FALSE),VLOOKUP($A128,总基本属性,8,FALSE))-
IF($B128&gt;10000,VLOOKUP($B128,实战属性,16,FALSE),VLOOKUP($B128,总基本属性,10,FALSE))*$L$13)*G134)</f>
        <v>111798</v>
      </c>
      <c r="H135">
        <f>H134+F135+G135</f>
        <v>327116</v>
      </c>
      <c r="I135">
        <f>IF($B128&gt;10000,VLOOKUP($B128,实战属性,12,FALSE),VLOOKUP($B128,总基本属性,6,FALSE))</f>
        <v>333153</v>
      </c>
      <c r="J135">
        <f>ROUND(I135/H135,2)</f>
        <v>1.02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2"/>
  <sheetViews>
    <sheetView topLeftCell="A77" workbookViewId="0">
      <selection activeCell="L121" sqref="L121"/>
    </sheetView>
  </sheetViews>
  <sheetFormatPr defaultRowHeight="13.5" x14ac:dyDescent="0.15"/>
  <cols>
    <col min="16" max="16" width="14.125" bestFit="1" customWidth="1"/>
    <col min="17" max="17" width="12.125" bestFit="1" customWidth="1"/>
    <col min="18" max="18" width="8.25" bestFit="1" customWidth="1"/>
    <col min="19" max="19" width="10" bestFit="1" customWidth="1"/>
    <col min="20" max="20" width="12.25" bestFit="1" customWidth="1"/>
    <col min="22" max="22" width="10" bestFit="1" customWidth="1"/>
    <col min="23" max="23" width="9.125" bestFit="1" customWidth="1"/>
  </cols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406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5010</v>
      </c>
      <c r="B2">
        <v>5010</v>
      </c>
      <c r="C2">
        <f t="shared" ref="C2:C1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1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0.2</v>
      </c>
      <c r="E2">
        <f t="shared" ref="E2:E1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1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f t="shared" ref="G2:G8" si="4">D2*2+E2*0.3+1-D2-E2</f>
        <v>1.2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>A2+10</f>
        <v>5020</v>
      </c>
      <c r="B3">
        <f>B2+10</f>
        <v>5020</v>
      </c>
      <c r="C3">
        <f t="shared" si="0"/>
        <v>0</v>
      </c>
      <c r="D3">
        <f t="shared" si="1"/>
        <v>0.22</v>
      </c>
      <c r="E3">
        <f t="shared" si="2"/>
        <v>0.01</v>
      </c>
      <c r="F3">
        <f t="shared" si="3"/>
        <v>0.01</v>
      </c>
      <c r="G3">
        <f t="shared" si="4"/>
        <v>1.2130000000000001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 t="shared" ref="A4:B11" si="5">A3+10</f>
        <v>5030</v>
      </c>
      <c r="B4">
        <f t="shared" si="5"/>
        <v>5030</v>
      </c>
      <c r="C4">
        <f t="shared" si="0"/>
        <v>0</v>
      </c>
      <c r="D4">
        <f t="shared" si="1"/>
        <v>0.25</v>
      </c>
      <c r="E4">
        <f t="shared" si="2"/>
        <v>0.02</v>
      </c>
      <c r="F4">
        <f t="shared" si="3"/>
        <v>0.02</v>
      </c>
      <c r="G4">
        <f t="shared" si="4"/>
        <v>1.236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si="5"/>
        <v>5040</v>
      </c>
      <c r="B5">
        <f t="shared" si="5"/>
        <v>5040</v>
      </c>
      <c r="C5">
        <f t="shared" si="0"/>
        <v>0</v>
      </c>
      <c r="D5">
        <f t="shared" si="1"/>
        <v>0.28999999999999998</v>
      </c>
      <c r="E5">
        <f t="shared" si="2"/>
        <v>0.03</v>
      </c>
      <c r="F5">
        <f t="shared" si="3"/>
        <v>0.04</v>
      </c>
      <c r="G5">
        <f t="shared" si="4"/>
        <v>1.2689999999999999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5"/>
        <v>5050</v>
      </c>
      <c r="B6">
        <f t="shared" si="5"/>
        <v>5050</v>
      </c>
      <c r="C6">
        <f t="shared" si="0"/>
        <v>0</v>
      </c>
      <c r="D6">
        <f t="shared" si="1"/>
        <v>0.32</v>
      </c>
      <c r="E6">
        <f t="shared" si="2"/>
        <v>0.05</v>
      </c>
      <c r="F6">
        <f t="shared" si="3"/>
        <v>0.15</v>
      </c>
      <c r="G6">
        <f t="shared" si="4"/>
        <v>1.2849999999999999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5"/>
        <v>5060</v>
      </c>
      <c r="B7">
        <f t="shared" si="5"/>
        <v>5060</v>
      </c>
      <c r="C7">
        <f t="shared" si="0"/>
        <v>0</v>
      </c>
      <c r="D7">
        <f t="shared" si="1"/>
        <v>0.36</v>
      </c>
      <c r="E7">
        <f t="shared" si="2"/>
        <v>7.0000000000000007E-2</v>
      </c>
      <c r="F7">
        <f t="shared" si="3"/>
        <v>0.19</v>
      </c>
      <c r="G7">
        <f t="shared" si="4"/>
        <v>1.3110000000000002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5"/>
        <v>5070</v>
      </c>
      <c r="B8">
        <f t="shared" si="5"/>
        <v>5070</v>
      </c>
      <c r="C8">
        <f t="shared" si="0"/>
        <v>0</v>
      </c>
      <c r="D8">
        <f t="shared" si="1"/>
        <v>0.4</v>
      </c>
      <c r="E8">
        <f t="shared" si="2"/>
        <v>0.09</v>
      </c>
      <c r="F8">
        <f t="shared" si="3"/>
        <v>0.26</v>
      </c>
      <c r="G8">
        <f t="shared" si="4"/>
        <v>1.337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5"/>
        <v>5080</v>
      </c>
      <c r="B9">
        <f t="shared" si="5"/>
        <v>5080</v>
      </c>
      <c r="C9">
        <f t="shared" si="0"/>
        <v>0</v>
      </c>
      <c r="D9">
        <f t="shared" si="1"/>
        <v>0.43</v>
      </c>
      <c r="E9">
        <f t="shared" si="2"/>
        <v>0.11</v>
      </c>
      <c r="F9">
        <f t="shared" si="3"/>
        <v>0.33</v>
      </c>
      <c r="G9">
        <f>D9*2+E9*0.3+1-D9-E9</f>
        <v>1.353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5"/>
        <v>5090</v>
      </c>
      <c r="B10">
        <f t="shared" si="5"/>
        <v>5090</v>
      </c>
      <c r="C10">
        <f t="shared" si="0"/>
        <v>0</v>
      </c>
      <c r="D10">
        <f t="shared" si="1"/>
        <v>0.47</v>
      </c>
      <c r="E10">
        <f t="shared" si="2"/>
        <v>0.14000000000000001</v>
      </c>
      <c r="F10">
        <f t="shared" si="3"/>
        <v>0.41</v>
      </c>
      <c r="G10">
        <f t="shared" ref="G10:G11" si="6">D10*2+E10*0.3+1-D10-E10</f>
        <v>1.3719999999999999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 t="shared" si="5"/>
        <v>5100</v>
      </c>
      <c r="B11">
        <f t="shared" si="5"/>
        <v>5100</v>
      </c>
      <c r="C11">
        <f t="shared" si="0"/>
        <v>0</v>
      </c>
      <c r="D11">
        <f t="shared" si="1"/>
        <v>0.51</v>
      </c>
      <c r="E11">
        <f t="shared" si="2"/>
        <v>0.18</v>
      </c>
      <c r="F11">
        <f t="shared" si="3"/>
        <v>0.48</v>
      </c>
      <c r="G11">
        <f t="shared" si="6"/>
        <v>1.3839999999999999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6" spans="1:24" x14ac:dyDescent="0.15">
      <c r="A16" t="s">
        <v>328</v>
      </c>
      <c r="B16" t="s">
        <v>328</v>
      </c>
      <c r="C16" t="s">
        <v>178</v>
      </c>
      <c r="D16" t="s">
        <v>144</v>
      </c>
    </row>
    <row r="17" spans="1:10" x14ac:dyDescent="0.15">
      <c r="A17">
        <v>5010</v>
      </c>
      <c r="B17">
        <f>A17</f>
        <v>5010</v>
      </c>
      <c r="C17">
        <v>8</v>
      </c>
      <c r="D17">
        <f>MOD(A17,1000)</f>
        <v>10</v>
      </c>
    </row>
    <row r="18" spans="1:10" x14ac:dyDescent="0.15">
      <c r="A18" t="s">
        <v>156</v>
      </c>
      <c r="B18" t="s">
        <v>95</v>
      </c>
      <c r="C18" t="s">
        <v>142</v>
      </c>
      <c r="D18" t="s">
        <v>143</v>
      </c>
      <c r="E18" t="s">
        <v>182</v>
      </c>
      <c r="F18" t="s">
        <v>192</v>
      </c>
      <c r="G18" t="s">
        <v>193</v>
      </c>
      <c r="H18" t="s">
        <v>176</v>
      </c>
      <c r="I18" t="s">
        <v>205</v>
      </c>
      <c r="J18" t="s">
        <v>206</v>
      </c>
    </row>
    <row r="19" spans="1:10" x14ac:dyDescent="0.15">
      <c r="A19">
        <v>52</v>
      </c>
      <c r="B19" t="s">
        <v>44</v>
      </c>
      <c r="C19">
        <f>INT(C17/(VLOOKUP(A19,技能参数,5,FALSE)+2*VLOOKUP(A19,技能参数,4,FALSE))+1)</f>
        <v>1</v>
      </c>
      <c r="D19">
        <f>VLOOKUP(A19,技能参数,4,FALSE)</f>
        <v>1.5</v>
      </c>
      <c r="E19">
        <f>VLOOKUP(A19*1000+D17,学习等级编码,2)</f>
        <v>5201</v>
      </c>
      <c r="F19">
        <f>INT(VLOOKUP($E19,技能升级,9,FALSE)*$C19*I19*J19)</f>
        <v>2500</v>
      </c>
      <c r="G19">
        <f>INT(VLOOKUP($E19,技能升级,10,FALSE)*$C19*I19*J19)</f>
        <v>0</v>
      </c>
      <c r="H19">
        <f>VLOOKUP($E19,技能升级,11,FALSE)*$C19</f>
        <v>30</v>
      </c>
      <c r="I19">
        <v>1</v>
      </c>
      <c r="J19">
        <v>1</v>
      </c>
    </row>
    <row r="20" spans="1:10" x14ac:dyDescent="0.15">
      <c r="A20">
        <v>54</v>
      </c>
      <c r="B20" t="s">
        <v>40</v>
      </c>
      <c r="C20">
        <f>INT(C17/(VLOOKUP(A20,技能参数,5,FALSE)+2*VLOOKUP(A20,技能参数,4,FALSE))+1)</f>
        <v>1</v>
      </c>
      <c r="D20">
        <f>VLOOKUP(A20,技能参数,4,FALSE)</f>
        <v>1.2</v>
      </c>
      <c r="E20">
        <f>VLOOKUP(A20*1000+D17,学习等级编码,2)</f>
        <v>5401</v>
      </c>
      <c r="F20">
        <f>INT(VLOOKUP($E20,技能升级,9,FALSE)*$C20*I20*J20)</f>
        <v>2000</v>
      </c>
      <c r="G20">
        <f>INT(VLOOKUP($E20,技能升级,10,FALSE)*$C20*I20*J20)</f>
        <v>0</v>
      </c>
      <c r="H20">
        <f>VLOOKUP($E20,技能升级,11,FALSE)*$C20</f>
        <v>35</v>
      </c>
      <c r="I20">
        <v>1</v>
      </c>
      <c r="J20">
        <v>1</v>
      </c>
    </row>
    <row r="21" spans="1:10" x14ac:dyDescent="0.15">
      <c r="A21">
        <v>51</v>
      </c>
      <c r="B21" t="s">
        <v>203</v>
      </c>
      <c r="C21">
        <v>2</v>
      </c>
      <c r="D21">
        <f>VLOOKUP(A21,技能参数,4,FALSE)</f>
        <v>0.9</v>
      </c>
      <c r="E21">
        <f>VLOOKUP(A21*1000+D17,学习等级编码,2)</f>
        <v>5102</v>
      </c>
      <c r="F21">
        <f>INT(VLOOKUP($E21,技能升级,9,FALSE)*$C21*I21*J21)</f>
        <v>2540</v>
      </c>
      <c r="G21">
        <f>INT(VLOOKUP($E21,技能升级,10,FALSE)*$C21*I21*J21)</f>
        <v>0</v>
      </c>
      <c r="H21">
        <f>VLOOKUP($E21,技能升级,11,FALSE)*$C21</f>
        <v>46</v>
      </c>
      <c r="I21">
        <v>1</v>
      </c>
      <c r="J21">
        <v>1</v>
      </c>
    </row>
    <row r="22" spans="1:10" x14ac:dyDescent="0.15">
      <c r="A22">
        <v>51</v>
      </c>
      <c r="B22" t="s">
        <v>204</v>
      </c>
      <c r="C22">
        <f>INT((C17-C19*D19-C20*D20-D21*C21)/D22*3)</f>
        <v>11</v>
      </c>
      <c r="D22">
        <f>VLOOKUP(A22,技能参数,4,FALSE)</f>
        <v>0.9</v>
      </c>
      <c r="E22">
        <f>VLOOKUP(A22*1000+D17,学习等级编码,2)</f>
        <v>5102</v>
      </c>
      <c r="F22">
        <f>INT(VLOOKUP($E22,技能升级,9,FALSE)*$C22*I22*J22)</f>
        <v>6705</v>
      </c>
      <c r="G22">
        <f>INT(VLOOKUP($E22,技能升级,10,FALSE)*$C22*I22*J22)</f>
        <v>0</v>
      </c>
      <c r="H22">
        <f>INT(VLOOKUP($E22,技能升级,11,FALSE)*$C22*J22)</f>
        <v>303</v>
      </c>
      <c r="I22">
        <f>F23/1000</f>
        <v>0.4</v>
      </c>
      <c r="J22">
        <f>VLOOKUP(A17,$A$2:$G$11,7,FALSE)</f>
        <v>1.2</v>
      </c>
    </row>
    <row r="23" spans="1:10" x14ac:dyDescent="0.15">
      <c r="A23">
        <v>55</v>
      </c>
      <c r="B23" t="s">
        <v>271</v>
      </c>
      <c r="C23">
        <v>1</v>
      </c>
      <c r="D23">
        <v>0</v>
      </c>
      <c r="E23">
        <f>VLOOKUP(A23*1000+D17,学习等级编码,2)</f>
        <v>5501</v>
      </c>
      <c r="F23">
        <f>INT(VLOOKUP($E23,技能升级,14,FALSE)*$C23*I23)</f>
        <v>400</v>
      </c>
      <c r="G23">
        <f>INT(VLOOKUP($E23,技能升级,10,FALSE)*$C23*I23)</f>
        <v>0</v>
      </c>
      <c r="H23">
        <f>VLOOKUP($E23,技能升级,11,FALSE)*$C23</f>
        <v>0</v>
      </c>
      <c r="I23">
        <v>1</v>
      </c>
      <c r="J23">
        <v>1</v>
      </c>
    </row>
    <row r="24" spans="1:10" x14ac:dyDescent="0.15">
      <c r="E24" t="s">
        <v>194</v>
      </c>
      <c r="F24">
        <f>SUM(F19:F22)/1000</f>
        <v>13.744999999999999</v>
      </c>
      <c r="G24">
        <f>SUM(G19:G22)/1000</f>
        <v>0</v>
      </c>
      <c r="H24">
        <f>SUM(H19:H22)</f>
        <v>414</v>
      </c>
      <c r="I24" t="s">
        <v>196</v>
      </c>
      <c r="J24" t="s">
        <v>197</v>
      </c>
    </row>
    <row r="25" spans="1:10" x14ac:dyDescent="0.15">
      <c r="E25" t="s">
        <v>195</v>
      </c>
      <c r="F25">
        <f>INT((IF($A17&gt;10000,VLOOKUP($A17,实战属性,13,FALSE),VLOOKUP($A17,总基本属性,7,FALSE))-
IF($B17&gt;10000,VLOOKUP($B17,实战属性,15,FALSE),VLOOKUP($B17,总基本属性,9,FALSE))*$L$13)*F24)</f>
        <v>2233</v>
      </c>
      <c r="G25">
        <f>INT((IF($A17&gt;10000,VLOOKUP($A17,实战属性,14,FALSE),VLOOKUP($A17,总基本属性,8,FALSE))-
IF($B17&gt;10000,VLOOKUP($B17,实战属性,16,FALSE),VLOOKUP($B17,总基本属性,10,FALSE))*$L$13)*G24)</f>
        <v>0</v>
      </c>
      <c r="H25">
        <f>H24+F25+G25</f>
        <v>2647</v>
      </c>
      <c r="I25">
        <f>IF($B17&gt;10000,VLOOKUP($B17,实战属性,12,FALSE),VLOOKUP($B17,总基本属性,6,FALSE))</f>
        <v>2784</v>
      </c>
      <c r="J25">
        <f>ROUND(I25/H25,2)</f>
        <v>1.05</v>
      </c>
    </row>
    <row r="29" spans="1:10" x14ac:dyDescent="0.15">
      <c r="A29" t="s">
        <v>198</v>
      </c>
      <c r="B29" t="s">
        <v>198</v>
      </c>
      <c r="C29" t="s">
        <v>178</v>
      </c>
      <c r="D29" t="s">
        <v>144</v>
      </c>
    </row>
    <row r="30" spans="1:10" x14ac:dyDescent="0.15">
      <c r="A30">
        <f>A17+10</f>
        <v>5020</v>
      </c>
      <c r="B30">
        <f>A30</f>
        <v>5020</v>
      </c>
      <c r="C30">
        <v>10</v>
      </c>
      <c r="D30">
        <f>MOD(A30,1000)</f>
        <v>20</v>
      </c>
    </row>
    <row r="31" spans="1:10" x14ac:dyDescent="0.15">
      <c r="A31" t="s">
        <v>156</v>
      </c>
      <c r="B31" t="s">
        <v>95</v>
      </c>
      <c r="C31" t="s">
        <v>142</v>
      </c>
      <c r="D31" t="s">
        <v>143</v>
      </c>
      <c r="E31" t="s">
        <v>182</v>
      </c>
      <c r="F31" t="s">
        <v>192</v>
      </c>
      <c r="G31" t="s">
        <v>193</v>
      </c>
      <c r="H31" t="s">
        <v>176</v>
      </c>
      <c r="I31" t="s">
        <v>205</v>
      </c>
      <c r="J31" t="s">
        <v>206</v>
      </c>
    </row>
    <row r="32" spans="1:10" x14ac:dyDescent="0.15">
      <c r="A32">
        <v>52</v>
      </c>
      <c r="B32" t="s">
        <v>44</v>
      </c>
      <c r="C32">
        <f>INT(C30/(VLOOKUP(A32,技能参数,5,FALSE)+2*VLOOKUP(A32,技能参数,4,FALSE))+1)</f>
        <v>1</v>
      </c>
      <c r="D32">
        <f>VLOOKUP(A32,技能参数,4,FALSE)</f>
        <v>1.5</v>
      </c>
      <c r="E32">
        <f>VLOOKUP(A32*1000+D30,学习等级编码,2)</f>
        <v>5202</v>
      </c>
      <c r="F32">
        <f>INT(VLOOKUP($E32,技能升级,9,FALSE)*$C32*I32*J32)</f>
        <v>2580</v>
      </c>
      <c r="G32">
        <f>INT(VLOOKUP($E32,技能升级,10,FALSE)*$C32*I32*J32)</f>
        <v>0</v>
      </c>
      <c r="H32">
        <f>VLOOKUP($E32,技能升级,11,FALSE)*$C32</f>
        <v>44</v>
      </c>
      <c r="I32">
        <v>1</v>
      </c>
      <c r="J32">
        <v>1</v>
      </c>
    </row>
    <row r="33" spans="1:10" x14ac:dyDescent="0.15">
      <c r="A33">
        <v>54</v>
      </c>
      <c r="B33" t="s">
        <v>40</v>
      </c>
      <c r="C33">
        <f>INT(C30/(VLOOKUP(A33,技能参数,5,FALSE)+2*VLOOKUP(A33,技能参数,4,FALSE))+1)</f>
        <v>1</v>
      </c>
      <c r="D33">
        <f>VLOOKUP(A33,技能参数,4,FALSE)</f>
        <v>1.2</v>
      </c>
      <c r="E33">
        <f>VLOOKUP(A33*1000+D30,学习等级编码,2)</f>
        <v>5402</v>
      </c>
      <c r="F33">
        <f>INT(VLOOKUP($E33,技能升级,9,FALSE)*$C33*I33*J33)</f>
        <v>2070</v>
      </c>
      <c r="G33">
        <f>INT(VLOOKUP($E33,技能升级,10,FALSE)*$C33*I33*J33)</f>
        <v>0</v>
      </c>
      <c r="H33">
        <f>VLOOKUP($E33,技能升级,11,FALSE)*$C33</f>
        <v>55</v>
      </c>
      <c r="I33">
        <v>1</v>
      </c>
      <c r="J33">
        <v>1</v>
      </c>
    </row>
    <row r="34" spans="1:10" x14ac:dyDescent="0.15">
      <c r="A34">
        <v>51</v>
      </c>
      <c r="B34" t="s">
        <v>203</v>
      </c>
      <c r="C34">
        <v>2</v>
      </c>
      <c r="D34">
        <f>VLOOKUP(A34,技能参数,4,FALSE)</f>
        <v>0.9</v>
      </c>
      <c r="E34">
        <f>VLOOKUP(A34*1000+D30,学习等级编码,2)</f>
        <v>5103</v>
      </c>
      <c r="F34">
        <f>INT(VLOOKUP($E34,技能升级,9,FALSE)*$C34*I34*J34)</f>
        <v>2580</v>
      </c>
      <c r="G34">
        <f>INT(VLOOKUP($E34,技能升级,10,FALSE)*$C34*I34*J34)</f>
        <v>0</v>
      </c>
      <c r="H34">
        <f>VLOOKUP($E34,技能升级,11,FALSE)*$C34</f>
        <v>74</v>
      </c>
      <c r="I34">
        <v>1</v>
      </c>
      <c r="J34">
        <v>1</v>
      </c>
    </row>
    <row r="35" spans="1:10" x14ac:dyDescent="0.15">
      <c r="A35">
        <v>51</v>
      </c>
      <c r="B35" t="s">
        <v>204</v>
      </c>
      <c r="C35">
        <f>INT((C30-C32*D32-C33*D33-D34*C34)/D35*3)</f>
        <v>18</v>
      </c>
      <c r="D35">
        <f>VLOOKUP(A35,技能参数,4,FALSE)</f>
        <v>0.9</v>
      </c>
      <c r="E35">
        <f>VLOOKUP(A35*1000+D30,学习等级编码,2)</f>
        <v>5103</v>
      </c>
      <c r="F35">
        <f>INT(VLOOKUP($E35,技能升级,9,FALSE)*$C35*I35*J35)</f>
        <v>11266</v>
      </c>
      <c r="G35">
        <f>INT(VLOOKUP($E35,技能升级,10,FALSE)*$C35*I35*J35)</f>
        <v>0</v>
      </c>
      <c r="H35">
        <f>INT(VLOOKUP($E35,技能升级,11,FALSE)*$C35*J35)</f>
        <v>807</v>
      </c>
      <c r="I35">
        <f>F36/1000</f>
        <v>0.4</v>
      </c>
      <c r="J35">
        <f>VLOOKUP(A30,$A$2:$G$11,7,FALSE)</f>
        <v>1.2130000000000001</v>
      </c>
    </row>
    <row r="36" spans="1:10" x14ac:dyDescent="0.15">
      <c r="A36">
        <v>55</v>
      </c>
      <c r="B36" t="s">
        <v>271</v>
      </c>
      <c r="C36">
        <v>1</v>
      </c>
      <c r="D36">
        <v>0</v>
      </c>
      <c r="E36">
        <f>VLOOKUP(A36*1000+D30,学习等级编码,2)</f>
        <v>5501</v>
      </c>
      <c r="F36">
        <f>INT(VLOOKUP($E36,技能升级,14,FALSE)*$C36*I36)</f>
        <v>400</v>
      </c>
      <c r="G36">
        <f>INT(VLOOKUP($E36,技能升级,10,FALSE)*$C36*I36)</f>
        <v>0</v>
      </c>
      <c r="H36">
        <f>VLOOKUP($E36,技能升级,11,FALSE)*$C36</f>
        <v>0</v>
      </c>
      <c r="I36">
        <v>1</v>
      </c>
      <c r="J36">
        <v>1</v>
      </c>
    </row>
    <row r="37" spans="1:10" x14ac:dyDescent="0.15">
      <c r="E37" t="s">
        <v>194</v>
      </c>
      <c r="F37">
        <f>SUM(F32:F35)/1000</f>
        <v>18.495999999999999</v>
      </c>
      <c r="G37">
        <f>SUM(G32:G35)/1000</f>
        <v>0</v>
      </c>
      <c r="H37">
        <f>SUM(H32:H35)</f>
        <v>980</v>
      </c>
      <c r="I37" t="s">
        <v>196</v>
      </c>
      <c r="J37" t="s">
        <v>197</v>
      </c>
    </row>
    <row r="38" spans="1:10" x14ac:dyDescent="0.15">
      <c r="E38" t="s">
        <v>195</v>
      </c>
      <c r="F38">
        <f>INT((IF($A30&gt;10000,VLOOKUP($A30,实战属性,13,FALSE),VLOOKUP($A30,总基本属性,7,FALSE))-
IF($B30&gt;10000,VLOOKUP($B30,实战属性,15,FALSE),VLOOKUP($B30,总基本属性,9,FALSE))*$L$13)*F37)</f>
        <v>7648</v>
      </c>
      <c r="G38">
        <f>INT((IF($A30&gt;10000,VLOOKUP($A30,实战属性,14,FALSE),VLOOKUP($A30,总基本属性,8,FALSE))-
IF($B30&gt;10000,VLOOKUP($B30,实战属性,16,FALSE),VLOOKUP($B30,总基本属性,10,FALSE))*$L$13)*G37)</f>
        <v>0</v>
      </c>
      <c r="H38">
        <f>H37+F38+G38</f>
        <v>8628</v>
      </c>
      <c r="I38">
        <f>IF($B30&gt;10000,VLOOKUP($B30,实战属性,12,FALSE),VLOOKUP($B30,总基本属性,6,FALSE))</f>
        <v>8352</v>
      </c>
      <c r="J38">
        <f>ROUND(I38/H38,2)</f>
        <v>0.97</v>
      </c>
    </row>
    <row r="42" spans="1:10" x14ac:dyDescent="0.15">
      <c r="A42" t="s">
        <v>198</v>
      </c>
      <c r="B42" t="s">
        <v>198</v>
      </c>
      <c r="C42" t="s">
        <v>178</v>
      </c>
      <c r="D42" t="s">
        <v>144</v>
      </c>
    </row>
    <row r="43" spans="1:10" x14ac:dyDescent="0.15">
      <c r="A43">
        <f>A30+10</f>
        <v>5030</v>
      </c>
      <c r="B43">
        <f>A43</f>
        <v>5030</v>
      </c>
      <c r="C43">
        <v>10</v>
      </c>
      <c r="D43">
        <f>MOD(A43,1000)</f>
        <v>30</v>
      </c>
    </row>
    <row r="44" spans="1:10" x14ac:dyDescent="0.15">
      <c r="A44" t="s">
        <v>156</v>
      </c>
      <c r="B44" t="s">
        <v>95</v>
      </c>
      <c r="C44" t="s">
        <v>142</v>
      </c>
      <c r="D44" t="s">
        <v>143</v>
      </c>
      <c r="E44" t="s">
        <v>182</v>
      </c>
      <c r="F44" t="s">
        <v>192</v>
      </c>
      <c r="G44" t="s">
        <v>193</v>
      </c>
      <c r="H44" t="s">
        <v>176</v>
      </c>
      <c r="I44" t="s">
        <v>205</v>
      </c>
      <c r="J44" t="s">
        <v>206</v>
      </c>
    </row>
    <row r="45" spans="1:10" x14ac:dyDescent="0.15">
      <c r="A45">
        <v>52</v>
      </c>
      <c r="B45" t="s">
        <v>44</v>
      </c>
      <c r="C45">
        <f>INT(C43/(VLOOKUP(A45,技能参数,5,FALSE)+2*VLOOKUP(A45,技能参数,4,FALSE))+1)</f>
        <v>1</v>
      </c>
      <c r="D45">
        <f>VLOOKUP(A45,技能参数,4,FALSE)</f>
        <v>1.5</v>
      </c>
      <c r="E45">
        <f>VLOOKUP(A45*1000+D43,学习等级编码,2)</f>
        <v>5203</v>
      </c>
      <c r="F45">
        <f>INT(VLOOKUP($E45,技能升级,9,FALSE)*$C45*I45*J45)</f>
        <v>2670</v>
      </c>
      <c r="G45">
        <f>INT(VLOOKUP($E45,技能升级,10,FALSE)*$C45*I45*J45)</f>
        <v>0</v>
      </c>
      <c r="H45">
        <f>VLOOKUP($E45,技能升级,11,FALSE)*$C45</f>
        <v>73</v>
      </c>
      <c r="I45">
        <v>1</v>
      </c>
      <c r="J45">
        <v>1</v>
      </c>
    </row>
    <row r="46" spans="1:10" x14ac:dyDescent="0.15">
      <c r="A46">
        <v>54</v>
      </c>
      <c r="B46" t="s">
        <v>40</v>
      </c>
      <c r="C46">
        <f>INT(C43/(VLOOKUP(A46,技能参数,5,FALSE)+2*VLOOKUP(A46,技能参数,4,FALSE))+1)</f>
        <v>1</v>
      </c>
      <c r="D46">
        <f>VLOOKUP(A46,技能参数,4,FALSE)</f>
        <v>1.2</v>
      </c>
      <c r="E46">
        <f>VLOOKUP(A46*1000+D43,学习等级编码,2)</f>
        <v>5403</v>
      </c>
      <c r="F46">
        <f>INT(VLOOKUP($E46,技能升级,9,FALSE)*$C46*I46*J46)</f>
        <v>2130</v>
      </c>
      <c r="G46">
        <f>INT(VLOOKUP($E46,技能升级,10,FALSE)*$C46*I46*J46)</f>
        <v>0</v>
      </c>
      <c r="H46">
        <f>VLOOKUP($E46,技能升级,11,FALSE)*$C46</f>
        <v>90</v>
      </c>
      <c r="I46">
        <v>1</v>
      </c>
      <c r="J46">
        <v>1</v>
      </c>
    </row>
    <row r="47" spans="1:10" x14ac:dyDescent="0.15">
      <c r="A47">
        <v>51</v>
      </c>
      <c r="B47" t="s">
        <v>203</v>
      </c>
      <c r="C47">
        <v>2</v>
      </c>
      <c r="D47">
        <f>VLOOKUP(A47,技能参数,4,FALSE)</f>
        <v>0.9</v>
      </c>
      <c r="E47">
        <f>VLOOKUP(A47*1000+D43,学习等级编码,2)</f>
        <v>5105</v>
      </c>
      <c r="F47">
        <f>INT(VLOOKUP($E47,技能升级,9,FALSE)*$C47*I47*J47)</f>
        <v>2680</v>
      </c>
      <c r="G47">
        <f>INT(VLOOKUP($E47,技能升级,10,FALSE)*$C47*I47*J47)</f>
        <v>0</v>
      </c>
      <c r="H47">
        <f>VLOOKUP($E47,技能升级,11,FALSE)*$C47</f>
        <v>176</v>
      </c>
      <c r="I47">
        <v>1</v>
      </c>
      <c r="J47">
        <v>1</v>
      </c>
    </row>
    <row r="48" spans="1:10" x14ac:dyDescent="0.15">
      <c r="A48">
        <v>51</v>
      </c>
      <c r="B48" t="s">
        <v>204</v>
      </c>
      <c r="C48">
        <f>INT((C43-C45*D45-C46*D46-D47*C47)/D48*3)</f>
        <v>18</v>
      </c>
      <c r="D48">
        <f>VLOOKUP(A48,技能参数,4,FALSE)</f>
        <v>0.9</v>
      </c>
      <c r="E48">
        <f>VLOOKUP(A48*1000+D43,学习等级编码,2)</f>
        <v>5105</v>
      </c>
      <c r="F48">
        <f>INT(VLOOKUP($E48,技能升级,9,FALSE)*$C48*I48*J48)</f>
        <v>12521</v>
      </c>
      <c r="G48">
        <f>INT(VLOOKUP($E48,技能升级,10,FALSE)*$C48*I48*J48)</f>
        <v>0</v>
      </c>
      <c r="H48">
        <f>INT(VLOOKUP($E48,技能升级,11,FALSE)*$C48*J48)</f>
        <v>1957</v>
      </c>
      <c r="I48">
        <f>F49/1000</f>
        <v>0.42</v>
      </c>
      <c r="J48">
        <f>VLOOKUP(A43,$A$2:$G$11,7,FALSE)</f>
        <v>1.236</v>
      </c>
    </row>
    <row r="49" spans="1:10" x14ac:dyDescent="0.15">
      <c r="A49">
        <v>55</v>
      </c>
      <c r="B49" t="s">
        <v>271</v>
      </c>
      <c r="C49">
        <v>1</v>
      </c>
      <c r="D49">
        <v>0</v>
      </c>
      <c r="E49">
        <f>VLOOKUP(A49*1000+D43,学习等级编码,2)</f>
        <v>5502</v>
      </c>
      <c r="F49">
        <f>INT(VLOOKUP($E49,技能升级,14,FALSE)*$C49*I49)</f>
        <v>420</v>
      </c>
      <c r="G49">
        <f>INT(VLOOKUP($E49,技能升级,10,FALSE)*$C49*I49)</f>
        <v>0</v>
      </c>
      <c r="H49">
        <f>VLOOKUP($E49,技能升级,11,FALSE)*$C49</f>
        <v>0</v>
      </c>
      <c r="I49">
        <v>1</v>
      </c>
      <c r="J49">
        <v>1</v>
      </c>
    </row>
    <row r="50" spans="1:10" x14ac:dyDescent="0.15">
      <c r="E50" t="s">
        <v>194</v>
      </c>
      <c r="F50">
        <f>SUM(F45:F48)/1000</f>
        <v>20.001000000000001</v>
      </c>
      <c r="G50">
        <f>SUM(G45:G48)/1000</f>
        <v>0</v>
      </c>
      <c r="H50">
        <f>SUM(H45:H48)</f>
        <v>2296</v>
      </c>
      <c r="I50" t="s">
        <v>196</v>
      </c>
      <c r="J50" t="s">
        <v>197</v>
      </c>
    </row>
    <row r="51" spans="1:10" x14ac:dyDescent="0.15">
      <c r="E51" t="s">
        <v>195</v>
      </c>
      <c r="F51">
        <f>INT((IF($A43&gt;10000,VLOOKUP($A43,实战属性,13,FALSE),VLOOKUP($A43,总基本属性,7,FALSE))-
IF($B43&gt;10000,VLOOKUP($B43,实战属性,15,FALSE),VLOOKUP($B43,总基本属性,9,FALSE))*$L$13)*F50)</f>
        <v>15010</v>
      </c>
      <c r="G51">
        <f>INT((IF($A43&gt;10000,VLOOKUP($A43,实战属性,14,FALSE),VLOOKUP($A43,总基本属性,8,FALSE))-
IF($B43&gt;10000,VLOOKUP($B43,实战属性,16,FALSE),VLOOKUP($B43,总基本属性,10,FALSE))*$L$13)*G50)</f>
        <v>0</v>
      </c>
      <c r="H51">
        <f>H50+F51+G51</f>
        <v>17306</v>
      </c>
      <c r="I51">
        <f>IF($B43&gt;10000,VLOOKUP($B43,实战属性,12,FALSE),VLOOKUP($B43,总基本属性,6,FALSE))</f>
        <v>17184</v>
      </c>
      <c r="J51">
        <f>ROUND(I51/H51,2)</f>
        <v>0.99</v>
      </c>
    </row>
    <row r="55" spans="1:10" x14ac:dyDescent="0.15">
      <c r="A55" t="s">
        <v>198</v>
      </c>
      <c r="B55" t="s">
        <v>198</v>
      </c>
      <c r="C55" t="s">
        <v>178</v>
      </c>
      <c r="D55" t="s">
        <v>144</v>
      </c>
    </row>
    <row r="56" spans="1:10" x14ac:dyDescent="0.15">
      <c r="A56">
        <f>A43+10</f>
        <v>5040</v>
      </c>
      <c r="B56">
        <f>A56</f>
        <v>5040</v>
      </c>
      <c r="C56">
        <v>10</v>
      </c>
      <c r="D56">
        <f>MOD(A56,1000)</f>
        <v>40</v>
      </c>
    </row>
    <row r="57" spans="1:10" x14ac:dyDescent="0.15">
      <c r="A57" t="s">
        <v>156</v>
      </c>
      <c r="B57" t="s">
        <v>95</v>
      </c>
      <c r="C57" t="s">
        <v>142</v>
      </c>
      <c r="D57" t="s">
        <v>143</v>
      </c>
      <c r="E57" t="s">
        <v>182</v>
      </c>
      <c r="F57" t="s">
        <v>192</v>
      </c>
      <c r="G57" t="s">
        <v>193</v>
      </c>
      <c r="H57" t="s">
        <v>176</v>
      </c>
      <c r="I57" t="s">
        <v>205</v>
      </c>
      <c r="J57" t="s">
        <v>206</v>
      </c>
    </row>
    <row r="58" spans="1:10" x14ac:dyDescent="0.15">
      <c r="A58">
        <v>52</v>
      </c>
      <c r="B58" t="s">
        <v>44</v>
      </c>
      <c r="C58">
        <f>INT(C56/(VLOOKUP(A58,技能参数,5,FALSE)+2*VLOOKUP(A58,技能参数,4,FALSE))+1)</f>
        <v>1</v>
      </c>
      <c r="D58">
        <f>VLOOKUP(A58,技能参数,4,FALSE)</f>
        <v>1.5</v>
      </c>
      <c r="E58">
        <f>VLOOKUP(A58*1000+D56,学习等级编码,2)</f>
        <v>5204</v>
      </c>
      <c r="F58">
        <f>INT(VLOOKUP($E58,技能升级,9,FALSE)*$C58*I58*J58)</f>
        <v>2750</v>
      </c>
      <c r="G58">
        <f>INT(VLOOKUP($E58,技能升级,10,FALSE)*$C58*I58*J58)</f>
        <v>0</v>
      </c>
      <c r="H58">
        <f>VLOOKUP($E58,技能升级,11,FALSE)*$C58</f>
        <v>117</v>
      </c>
      <c r="I58">
        <v>1</v>
      </c>
      <c r="J58">
        <v>1</v>
      </c>
    </row>
    <row r="59" spans="1:10" x14ac:dyDescent="0.15">
      <c r="A59">
        <v>54</v>
      </c>
      <c r="B59" t="s">
        <v>40</v>
      </c>
      <c r="C59">
        <f>INT(C56/(VLOOKUP(A59,技能参数,5,FALSE)+2*VLOOKUP(A59,技能参数,4,FALSE))+1)</f>
        <v>1</v>
      </c>
      <c r="D59">
        <f>VLOOKUP(A59,技能参数,4,FALSE)</f>
        <v>1.2</v>
      </c>
      <c r="E59">
        <f>VLOOKUP(A59*1000+D56,学习等级编码,2)</f>
        <v>5404</v>
      </c>
      <c r="F59">
        <f>INT(VLOOKUP($E59,技能升级,9,FALSE)*$C59*I59*J59)</f>
        <v>2200</v>
      </c>
      <c r="G59">
        <f>INT(VLOOKUP($E59,技能升级,10,FALSE)*$C59*I59*J59)</f>
        <v>0</v>
      </c>
      <c r="H59">
        <f>VLOOKUP($E59,技能升级,11,FALSE)*$C59</f>
        <v>140</v>
      </c>
      <c r="I59">
        <v>1</v>
      </c>
      <c r="J59">
        <v>1</v>
      </c>
    </row>
    <row r="60" spans="1:10" x14ac:dyDescent="0.15">
      <c r="A60">
        <v>51</v>
      </c>
      <c r="B60" t="s">
        <v>203</v>
      </c>
      <c r="C60">
        <v>2</v>
      </c>
      <c r="D60">
        <f>VLOOKUP(A60,技能参数,4,FALSE)</f>
        <v>0.9</v>
      </c>
      <c r="E60">
        <f>VLOOKUP(A60*1000+D56,学习等级编码,2)</f>
        <v>5106</v>
      </c>
      <c r="F60">
        <f>INT(VLOOKUP($E60,技能升级,9,FALSE)*$C60*I60*J60)</f>
        <v>2720</v>
      </c>
      <c r="G60">
        <f>INT(VLOOKUP($E60,技能升级,10,FALSE)*$C60*I60*J60)</f>
        <v>0</v>
      </c>
      <c r="H60">
        <f>VLOOKUP($E60,技能升级,11,FALSE)*$C60</f>
        <v>250</v>
      </c>
      <c r="I60">
        <v>1</v>
      </c>
      <c r="J60">
        <v>1</v>
      </c>
    </row>
    <row r="61" spans="1:10" x14ac:dyDescent="0.15">
      <c r="A61">
        <v>51</v>
      </c>
      <c r="B61" t="s">
        <v>204</v>
      </c>
      <c r="C61">
        <f>INT((C56-C58*D58-C59*D59-D60*C60)/D61*3)</f>
        <v>18</v>
      </c>
      <c r="D61">
        <f>VLOOKUP(A61,技能参数,4,FALSE)</f>
        <v>0.9</v>
      </c>
      <c r="E61">
        <f>VLOOKUP(A61*1000+D56,学习等级编码,2)</f>
        <v>5106</v>
      </c>
      <c r="F61">
        <f>INT(VLOOKUP($E61,技能升级,9,FALSE)*$C61*I61*J61)</f>
        <v>13979</v>
      </c>
      <c r="G61">
        <f>INT(VLOOKUP($E61,技能升级,10,FALSE)*$C61*I61*J61)</f>
        <v>0</v>
      </c>
      <c r="H61">
        <f>INT(VLOOKUP($E61,技能升级,11,FALSE)*$C61*J61)</f>
        <v>2855</v>
      </c>
      <c r="I61">
        <f>F62/1000</f>
        <v>0.45</v>
      </c>
      <c r="J61">
        <f>VLOOKUP(A56,$A$2:$G$11,7,FALSE)</f>
        <v>1.2689999999999999</v>
      </c>
    </row>
    <row r="62" spans="1:10" x14ac:dyDescent="0.15">
      <c r="A62">
        <v>55</v>
      </c>
      <c r="B62" t="s">
        <v>271</v>
      </c>
      <c r="C62">
        <v>1</v>
      </c>
      <c r="D62">
        <v>0</v>
      </c>
      <c r="E62">
        <f>VLOOKUP(A62*1000+D56,学习等级编码,2)</f>
        <v>5503</v>
      </c>
      <c r="F62">
        <f>INT(VLOOKUP($E62,技能升级,14,FALSE)*$C62*I62)</f>
        <v>450</v>
      </c>
      <c r="G62">
        <f>INT(VLOOKUP($E62,技能升级,10,FALSE)*$C62*I62)</f>
        <v>0</v>
      </c>
      <c r="H62">
        <f>VLOOKUP($E62,技能升级,11,FALSE)*$C62</f>
        <v>0</v>
      </c>
      <c r="I62">
        <v>1</v>
      </c>
      <c r="J62">
        <v>1</v>
      </c>
    </row>
    <row r="63" spans="1:10" x14ac:dyDescent="0.15">
      <c r="E63" t="s">
        <v>194</v>
      </c>
      <c r="F63">
        <f>SUM(F58:F61)/1000</f>
        <v>21.649000000000001</v>
      </c>
      <c r="G63">
        <f>SUM(G58:G61)/1000</f>
        <v>0</v>
      </c>
      <c r="H63">
        <f>SUM(H58:H61)</f>
        <v>3362</v>
      </c>
      <c r="I63" t="s">
        <v>196</v>
      </c>
      <c r="J63" t="s">
        <v>197</v>
      </c>
    </row>
    <row r="64" spans="1:10" x14ac:dyDescent="0.15">
      <c r="E64" t="s">
        <v>195</v>
      </c>
      <c r="F64">
        <f>INT((IF($A56&gt;10000,VLOOKUP($A56,实战属性,13,FALSE),VLOOKUP($A56,总基本属性,7,FALSE))-
IF($B56&gt;10000,VLOOKUP($B56,实战属性,15,FALSE),VLOOKUP($B56,总基本属性,9,FALSE))*$L$13)*F63)</f>
        <v>25513</v>
      </c>
      <c r="G64">
        <f>INT((IF($A56&gt;10000,VLOOKUP($A56,实战属性,14,FALSE),VLOOKUP($A56,总基本属性,8,FALSE))-
IF($B56&gt;10000,VLOOKUP($B56,实战属性,16,FALSE),VLOOKUP($B56,总基本属性,10,FALSE))*$L$13)*G63)</f>
        <v>0</v>
      </c>
      <c r="H64">
        <f>H63+F64+G64</f>
        <v>28875</v>
      </c>
      <c r="I64">
        <f>IF($B56&gt;10000,VLOOKUP($B56,实战属性,12,FALSE),VLOOKUP($B56,总基本属性,6,FALSE))</f>
        <v>29184</v>
      </c>
      <c r="J64">
        <f>ROUND(I64/H64,2)</f>
        <v>1.01</v>
      </c>
    </row>
    <row r="68" spans="1:10" x14ac:dyDescent="0.15">
      <c r="A68" t="s">
        <v>198</v>
      </c>
      <c r="B68" t="s">
        <v>198</v>
      </c>
      <c r="C68" t="s">
        <v>178</v>
      </c>
      <c r="D68" t="s">
        <v>144</v>
      </c>
    </row>
    <row r="69" spans="1:10" x14ac:dyDescent="0.15">
      <c r="A69">
        <f>A56+10</f>
        <v>5050</v>
      </c>
      <c r="B69">
        <f>A69</f>
        <v>5050</v>
      </c>
      <c r="C69">
        <v>10</v>
      </c>
      <c r="D69">
        <f>MOD(A69,1000)</f>
        <v>50</v>
      </c>
    </row>
    <row r="70" spans="1:10" x14ac:dyDescent="0.15">
      <c r="A70" t="s">
        <v>156</v>
      </c>
      <c r="B70" t="s">
        <v>95</v>
      </c>
      <c r="C70" t="s">
        <v>142</v>
      </c>
      <c r="D70" t="s">
        <v>143</v>
      </c>
      <c r="E70" t="s">
        <v>182</v>
      </c>
      <c r="F70" t="s">
        <v>192</v>
      </c>
      <c r="G70" t="s">
        <v>193</v>
      </c>
      <c r="H70" t="s">
        <v>176</v>
      </c>
      <c r="I70" t="s">
        <v>205</v>
      </c>
      <c r="J70" t="s">
        <v>206</v>
      </c>
    </row>
    <row r="71" spans="1:10" x14ac:dyDescent="0.15">
      <c r="A71">
        <v>52</v>
      </c>
      <c r="B71" t="s">
        <v>44</v>
      </c>
      <c r="C71">
        <f>INT(C69/(VLOOKUP(A71,技能参数,5,FALSE)+2*VLOOKUP(A71,技能参数,4,FALSE))+1)</f>
        <v>1</v>
      </c>
      <c r="D71">
        <f>VLOOKUP(A71,技能参数,4,FALSE)</f>
        <v>1.5</v>
      </c>
      <c r="E71">
        <f>VLOOKUP(A71*1000+D69,学习等级编码,2)</f>
        <v>5205</v>
      </c>
      <c r="F71">
        <f>INT(VLOOKUP($E71,技能升级,9,FALSE)*$C71*I71*J71)</f>
        <v>2830</v>
      </c>
      <c r="G71">
        <f>INT(VLOOKUP($E71,技能升级,10,FALSE)*$C71*I71*J71)</f>
        <v>0</v>
      </c>
      <c r="H71">
        <f>VLOOKUP($E71,技能升级,11,FALSE)*$C71</f>
        <v>176</v>
      </c>
      <c r="I71">
        <v>1</v>
      </c>
      <c r="J71">
        <v>1</v>
      </c>
    </row>
    <row r="72" spans="1:10" x14ac:dyDescent="0.15">
      <c r="A72">
        <v>54</v>
      </c>
      <c r="B72" t="s">
        <v>40</v>
      </c>
      <c r="C72">
        <f>INT(C69/(VLOOKUP(A72,技能参数,5,FALSE)+2*VLOOKUP(A72,技能参数,4,FALSE))+1)</f>
        <v>1</v>
      </c>
      <c r="D72">
        <f>VLOOKUP(A72,技能参数,4,FALSE)</f>
        <v>1.2</v>
      </c>
      <c r="E72">
        <f>VLOOKUP(A72*1000+D69,学习等级编码,2)</f>
        <v>5405</v>
      </c>
      <c r="F72">
        <f>INT(VLOOKUP($E72,技能升级,9,FALSE)*$C72*I72*J72)</f>
        <v>2270</v>
      </c>
      <c r="G72">
        <f>INT(VLOOKUP($E72,技能升级,10,FALSE)*$C72*I72*J72)</f>
        <v>0</v>
      </c>
      <c r="H72">
        <f>VLOOKUP($E72,技能升级,11,FALSE)*$C72</f>
        <v>205</v>
      </c>
      <c r="I72">
        <v>1</v>
      </c>
      <c r="J72">
        <v>1</v>
      </c>
    </row>
    <row r="73" spans="1:10" x14ac:dyDescent="0.15">
      <c r="A73">
        <v>51</v>
      </c>
      <c r="B73" t="s">
        <v>203</v>
      </c>
      <c r="C73">
        <v>2</v>
      </c>
      <c r="D73">
        <f>VLOOKUP(A73,技能参数,4,FALSE)</f>
        <v>0.9</v>
      </c>
      <c r="E73">
        <f>VLOOKUP(A73*1000+D69,学习等级编码,2)</f>
        <v>5108</v>
      </c>
      <c r="F73">
        <f>INT(VLOOKUP($E73,技能升级,9,FALSE)*$C73*I73*J73)</f>
        <v>2820</v>
      </c>
      <c r="G73">
        <f>INT(VLOOKUP($E73,技能升级,10,FALSE)*$C73*I73*J73)</f>
        <v>0</v>
      </c>
      <c r="H73">
        <f>VLOOKUP($E73,技能升级,11,FALSE)*$C73</f>
        <v>438</v>
      </c>
      <c r="I73">
        <v>1</v>
      </c>
      <c r="J73">
        <v>1</v>
      </c>
    </row>
    <row r="74" spans="1:10" x14ac:dyDescent="0.15">
      <c r="A74">
        <v>51</v>
      </c>
      <c r="B74" t="s">
        <v>204</v>
      </c>
      <c r="C74">
        <f>INT((C69-C71*D71-C72*D72-D73*C73)/D74*3)</f>
        <v>18</v>
      </c>
      <c r="D74">
        <f>VLOOKUP(A74,技能参数,4,FALSE)</f>
        <v>0.9</v>
      </c>
      <c r="E74">
        <f>VLOOKUP(A74*1000+D69,学习等级编码,2)</f>
        <v>5108</v>
      </c>
      <c r="F74">
        <f>INT(VLOOKUP($E74,技能升级,9,FALSE)*$C74*I74*J74)</f>
        <v>14675</v>
      </c>
      <c r="G74">
        <f>INT(VLOOKUP($E74,技能升级,10,FALSE)*$C74*I74*J74)</f>
        <v>0</v>
      </c>
      <c r="H74">
        <f>INT(VLOOKUP($E74,技能升级,11,FALSE)*$C74*J74)</f>
        <v>5065</v>
      </c>
      <c r="I74">
        <f>F75/1000</f>
        <v>0.45</v>
      </c>
      <c r="J74">
        <f>VLOOKUP(A69,$A$2:$G$11,7,FALSE)</f>
        <v>1.2849999999999999</v>
      </c>
    </row>
    <row r="75" spans="1:10" x14ac:dyDescent="0.15">
      <c r="A75">
        <v>55</v>
      </c>
      <c r="B75" t="s">
        <v>271</v>
      </c>
      <c r="C75">
        <v>1</v>
      </c>
      <c r="D75">
        <v>0</v>
      </c>
      <c r="E75">
        <f>VLOOKUP(A75*1000+D69,学习等级编码,2)</f>
        <v>5503</v>
      </c>
      <c r="F75">
        <f>INT(VLOOKUP($E75,技能升级,14,FALSE)*$C75*I75)</f>
        <v>450</v>
      </c>
      <c r="G75">
        <f>INT(VLOOKUP($E75,技能升级,10,FALSE)*$C75*I75)</f>
        <v>0</v>
      </c>
      <c r="H75">
        <f>VLOOKUP($E75,技能升级,11,FALSE)*$C75</f>
        <v>0</v>
      </c>
      <c r="I75">
        <v>1</v>
      </c>
      <c r="J75">
        <v>1</v>
      </c>
    </row>
    <row r="76" spans="1:10" x14ac:dyDescent="0.15">
      <c r="E76" t="s">
        <v>194</v>
      </c>
      <c r="F76">
        <f>SUM(F71:F74)/1000</f>
        <v>22.594999999999999</v>
      </c>
      <c r="G76">
        <f>SUM(G71:G74)/1000</f>
        <v>0</v>
      </c>
      <c r="H76">
        <f>SUM(H71:H74)</f>
        <v>5884</v>
      </c>
      <c r="I76" t="s">
        <v>196</v>
      </c>
      <c r="J76" t="s">
        <v>197</v>
      </c>
    </row>
    <row r="77" spans="1:10" x14ac:dyDescent="0.15">
      <c r="E77" t="s">
        <v>195</v>
      </c>
      <c r="F77">
        <f>INT((IF($A69&gt;10000,VLOOKUP($A69,实战属性,13,FALSE),VLOOKUP($A69,总基本属性,7,FALSE))-
IF($B69&gt;10000,VLOOKUP($B69,实战属性,15,FALSE),VLOOKUP($B69,总基本属性,9,FALSE))*$L$13)*F76)</f>
        <v>37213</v>
      </c>
      <c r="G77">
        <f>INT((IF($A69&gt;10000,VLOOKUP($A69,实战属性,14,FALSE),VLOOKUP($A69,总基本属性,8,FALSE))-
IF($B69&gt;10000,VLOOKUP($B69,实战属性,16,FALSE),VLOOKUP($B69,总基本属性,10,FALSE))*$L$13)*G76)</f>
        <v>0</v>
      </c>
      <c r="H77">
        <f>H76+F77+G77</f>
        <v>43097</v>
      </c>
      <c r="I77">
        <f>IF($B69&gt;10000,VLOOKUP($B69,实战属性,12,FALSE),VLOOKUP($B69,总基本属性,6,FALSE))</f>
        <v>44352</v>
      </c>
      <c r="J77">
        <f>ROUND(I77/H77,2)</f>
        <v>1.03</v>
      </c>
    </row>
    <row r="81" spans="1:10" x14ac:dyDescent="0.15">
      <c r="A81" t="s">
        <v>198</v>
      </c>
      <c r="B81" t="s">
        <v>198</v>
      </c>
      <c r="C81" t="s">
        <v>178</v>
      </c>
      <c r="D81" t="s">
        <v>144</v>
      </c>
    </row>
    <row r="82" spans="1:10" x14ac:dyDescent="0.15">
      <c r="A82">
        <f>A69+10</f>
        <v>5060</v>
      </c>
      <c r="B82">
        <f>A82</f>
        <v>5060</v>
      </c>
      <c r="C82">
        <v>11</v>
      </c>
      <c r="D82">
        <f>MOD(A82,1000)</f>
        <v>60</v>
      </c>
    </row>
    <row r="83" spans="1:10" x14ac:dyDescent="0.15">
      <c r="A83" t="s">
        <v>156</v>
      </c>
      <c r="B83" t="s">
        <v>95</v>
      </c>
      <c r="C83" t="s">
        <v>142</v>
      </c>
      <c r="D83" t="s">
        <v>143</v>
      </c>
      <c r="E83" t="s">
        <v>182</v>
      </c>
      <c r="F83" t="s">
        <v>192</v>
      </c>
      <c r="G83" t="s">
        <v>193</v>
      </c>
      <c r="H83" t="s">
        <v>176</v>
      </c>
      <c r="I83" t="s">
        <v>205</v>
      </c>
      <c r="J83" t="s">
        <v>206</v>
      </c>
    </row>
    <row r="84" spans="1:10" x14ac:dyDescent="0.15">
      <c r="A84">
        <v>52</v>
      </c>
      <c r="B84" t="s">
        <v>44</v>
      </c>
      <c r="C84">
        <f>INT(C82/(VLOOKUP(A84,技能参数,5,FALSE)+2*VLOOKUP(A84,技能参数,4,FALSE))+1)</f>
        <v>1</v>
      </c>
      <c r="D84">
        <f>VLOOKUP(A84,技能参数,4,FALSE)</f>
        <v>1.5</v>
      </c>
      <c r="E84">
        <f>VLOOKUP(A84*1000+D82,学习等级编码,2)</f>
        <v>5206</v>
      </c>
      <c r="F84">
        <f>INT(VLOOKUP($E84,技能升级,9,FALSE)*$C84*I84*J84)</f>
        <v>2920</v>
      </c>
      <c r="G84">
        <f>INT(VLOOKUP($E84,技能升级,10,FALSE)*$C84*I84*J84)</f>
        <v>0</v>
      </c>
      <c r="H84">
        <f>VLOOKUP($E84,技能升级,11,FALSE)*$C84</f>
        <v>250</v>
      </c>
      <c r="I84">
        <v>1</v>
      </c>
      <c r="J84">
        <v>1</v>
      </c>
    </row>
    <row r="85" spans="1:10" x14ac:dyDescent="0.15">
      <c r="A85">
        <v>54</v>
      </c>
      <c r="B85" t="s">
        <v>40</v>
      </c>
      <c r="C85">
        <f>INT(C82/(VLOOKUP(A85,技能参数,5,FALSE)+2*VLOOKUP(A85,技能参数,4,FALSE))+1)</f>
        <v>1</v>
      </c>
      <c r="D85">
        <f>VLOOKUP(A85,技能参数,4,FALSE)</f>
        <v>1.2</v>
      </c>
      <c r="E85">
        <f>VLOOKUP(A85*1000+D82,学习等级编码,2)</f>
        <v>5406</v>
      </c>
      <c r="F85">
        <f>INT(VLOOKUP($E85,技能升级,9,FALSE)*$C85*I85*J85)</f>
        <v>2330</v>
      </c>
      <c r="G85">
        <f>INT(VLOOKUP($E85,技能升级,10,FALSE)*$C85*I85*J85)</f>
        <v>0</v>
      </c>
      <c r="H85">
        <f>VLOOKUP($E85,技能升级,11,FALSE)*$C85</f>
        <v>285</v>
      </c>
      <c r="I85">
        <v>1</v>
      </c>
      <c r="J85">
        <v>1</v>
      </c>
    </row>
    <row r="86" spans="1:10" x14ac:dyDescent="0.15">
      <c r="A86">
        <v>51</v>
      </c>
      <c r="B86" t="s">
        <v>203</v>
      </c>
      <c r="C86">
        <v>2</v>
      </c>
      <c r="D86">
        <f>VLOOKUP(A86,技能参数,4,FALSE)</f>
        <v>0.9</v>
      </c>
      <c r="E86">
        <f>VLOOKUP(A86*1000+D82,学习等级编码,2)</f>
        <v>5109</v>
      </c>
      <c r="F86">
        <f>INT(VLOOKUP($E86,技能升级,9,FALSE)*$C86*I86*J86)</f>
        <v>2860</v>
      </c>
      <c r="G86">
        <f>INT(VLOOKUP($E86,技能升级,10,FALSE)*$C86*I86*J86)</f>
        <v>0</v>
      </c>
      <c r="H86">
        <f>VLOOKUP($E86,技能升级,11,FALSE)*$C86</f>
        <v>540</v>
      </c>
      <c r="I86">
        <v>1</v>
      </c>
      <c r="J86">
        <v>1</v>
      </c>
    </row>
    <row r="87" spans="1:10" x14ac:dyDescent="0.15">
      <c r="A87">
        <v>51</v>
      </c>
      <c r="B87" t="s">
        <v>204</v>
      </c>
      <c r="C87">
        <f>INT((C82-C84*D84-C85*D85-D86*C86)/D87*3)</f>
        <v>21</v>
      </c>
      <c r="D87">
        <f>VLOOKUP(A87,技能参数,4,FALSE)</f>
        <v>0.9</v>
      </c>
      <c r="E87">
        <f>VLOOKUP(A87*1000+D82,学习等级编码,2)</f>
        <v>5109</v>
      </c>
      <c r="F87">
        <f>INT(VLOOKUP($E87,技能升级,9,FALSE)*$C87*I87*J87)</f>
        <v>18503</v>
      </c>
      <c r="G87">
        <f>INT(VLOOKUP($E87,技能升级,10,FALSE)*$C87*I87*J87)</f>
        <v>0</v>
      </c>
      <c r="H87">
        <f>INT(VLOOKUP($E87,技能升级,11,FALSE)*$C87*J87)</f>
        <v>7433</v>
      </c>
      <c r="I87">
        <f>F88/1000</f>
        <v>0.47</v>
      </c>
      <c r="J87">
        <f>VLOOKUP(A82,$A$2:$G$11,7,FALSE)</f>
        <v>1.3110000000000002</v>
      </c>
    </row>
    <row r="88" spans="1:10" x14ac:dyDescent="0.15">
      <c r="A88">
        <v>55</v>
      </c>
      <c r="B88" t="s">
        <v>271</v>
      </c>
      <c r="C88">
        <v>1</v>
      </c>
      <c r="D88">
        <v>0</v>
      </c>
      <c r="E88">
        <f>VLOOKUP(A88*1000+D82,学习等级编码,2)</f>
        <v>5504</v>
      </c>
      <c r="F88">
        <f>INT(VLOOKUP($E88,技能升级,14,FALSE)*$C88*I88)</f>
        <v>470</v>
      </c>
      <c r="G88">
        <f>INT(VLOOKUP($E88,技能升级,10,FALSE)*$C88*I88)</f>
        <v>0</v>
      </c>
      <c r="H88">
        <f>VLOOKUP($E88,技能升级,11,FALSE)*$C88</f>
        <v>0</v>
      </c>
      <c r="I88">
        <v>1</v>
      </c>
      <c r="J88">
        <v>1</v>
      </c>
    </row>
    <row r="89" spans="1:10" x14ac:dyDescent="0.15">
      <c r="E89" t="s">
        <v>194</v>
      </c>
      <c r="F89">
        <f>SUM(F84:F87)/1000</f>
        <v>26.613</v>
      </c>
      <c r="G89">
        <f>SUM(G84:G87)/1000</f>
        <v>0</v>
      </c>
      <c r="H89">
        <f>SUM(H84:H87)</f>
        <v>8508</v>
      </c>
      <c r="I89" t="s">
        <v>196</v>
      </c>
      <c r="J89" t="s">
        <v>197</v>
      </c>
    </row>
    <row r="90" spans="1:10" x14ac:dyDescent="0.15">
      <c r="E90" t="s">
        <v>195</v>
      </c>
      <c r="F90">
        <f>INT((IF($A82&gt;10000,VLOOKUP($A82,实战属性,13,FALSE),VLOOKUP($A82,总基本属性,7,FALSE))-
IF($B82&gt;10000,VLOOKUP($B82,实战属性,15,FALSE),VLOOKUP($B82,总基本属性,9,FALSE))*$L$13)*F89)</f>
        <v>56180</v>
      </c>
      <c r="G90">
        <f>INT((IF($A82&gt;10000,VLOOKUP($A82,实战属性,14,FALSE),VLOOKUP($A82,总基本属性,8,FALSE))-
IF($B82&gt;10000,VLOOKUP($B82,实战属性,16,FALSE),VLOOKUP($B82,总基本属性,10,FALSE))*$L$13)*G89)</f>
        <v>0</v>
      </c>
      <c r="H90">
        <f>H89+F90+G90</f>
        <v>64688</v>
      </c>
      <c r="I90">
        <f>IF($B82&gt;10000,VLOOKUP($B82,实战属性,12,FALSE),VLOOKUP($B82,总基本属性,6,FALSE))</f>
        <v>62784</v>
      </c>
      <c r="J90">
        <f>ROUND(I90/H90,2)</f>
        <v>0.97</v>
      </c>
    </row>
    <row r="94" spans="1:10" x14ac:dyDescent="0.15">
      <c r="A94" t="s">
        <v>198</v>
      </c>
      <c r="B94" t="s">
        <v>198</v>
      </c>
      <c r="C94" t="s">
        <v>178</v>
      </c>
      <c r="D94" t="s">
        <v>144</v>
      </c>
    </row>
    <row r="95" spans="1:10" x14ac:dyDescent="0.15">
      <c r="A95">
        <f>A82+10</f>
        <v>5070</v>
      </c>
      <c r="B95">
        <f>A95</f>
        <v>5070</v>
      </c>
      <c r="C95">
        <v>11</v>
      </c>
      <c r="D95">
        <f>MOD(A95,1000)</f>
        <v>70</v>
      </c>
    </row>
    <row r="96" spans="1:10" x14ac:dyDescent="0.15">
      <c r="A96" t="s">
        <v>156</v>
      </c>
      <c r="B96" t="s">
        <v>95</v>
      </c>
      <c r="C96" t="s">
        <v>142</v>
      </c>
      <c r="D96" t="s">
        <v>143</v>
      </c>
      <c r="E96" t="s">
        <v>182</v>
      </c>
      <c r="F96" t="s">
        <v>192</v>
      </c>
      <c r="G96" t="s">
        <v>193</v>
      </c>
      <c r="H96" t="s">
        <v>176</v>
      </c>
      <c r="I96" t="s">
        <v>205</v>
      </c>
      <c r="J96" t="s">
        <v>206</v>
      </c>
    </row>
    <row r="97" spans="1:10" x14ac:dyDescent="0.15">
      <c r="A97">
        <v>52</v>
      </c>
      <c r="B97" t="s">
        <v>44</v>
      </c>
      <c r="C97">
        <f>INT(C95/(VLOOKUP(A97,技能参数,5,FALSE)+2*VLOOKUP(A97,技能参数,4,FALSE))+1)</f>
        <v>1</v>
      </c>
      <c r="D97">
        <f>VLOOKUP(A97,技能参数,4,FALSE)</f>
        <v>1.5</v>
      </c>
      <c r="E97">
        <f>VLOOKUP(A97*1000+D95,学习等级编码,2)</f>
        <v>5207</v>
      </c>
      <c r="F97">
        <f>INT(VLOOKUP($E97,技能升级,9,FALSE)*$C97*I97*J97)</f>
        <v>3000</v>
      </c>
      <c r="G97">
        <f>INT(VLOOKUP($E97,技能升级,10,FALSE)*$C97*I97*J97)</f>
        <v>0</v>
      </c>
      <c r="H97">
        <f>VLOOKUP($E97,技能升级,11,FALSE)*$C97</f>
        <v>339</v>
      </c>
      <c r="I97">
        <v>1</v>
      </c>
      <c r="J97">
        <v>1</v>
      </c>
    </row>
    <row r="98" spans="1:10" x14ac:dyDescent="0.15">
      <c r="A98">
        <v>54</v>
      </c>
      <c r="B98" t="s">
        <v>40</v>
      </c>
      <c r="C98">
        <f>INT(C95/(VLOOKUP(A98,技能参数,5,FALSE)+2*VLOOKUP(A98,技能参数,4,FALSE))+1)</f>
        <v>1</v>
      </c>
      <c r="D98">
        <f>VLOOKUP(A98,技能参数,4,FALSE)</f>
        <v>1.2</v>
      </c>
      <c r="E98">
        <f>VLOOKUP(A98*1000+D95,学习等级编码,2)</f>
        <v>5407</v>
      </c>
      <c r="F98">
        <f>INT(VLOOKUP($E98,技能升级,9,FALSE)*$C98*I98*J98)</f>
        <v>2400</v>
      </c>
      <c r="G98">
        <f>INT(VLOOKUP($E98,技能升级,10,FALSE)*$C98*I98*J98)</f>
        <v>0</v>
      </c>
      <c r="H98">
        <f>VLOOKUP($E98,技能升级,11,FALSE)*$C98</f>
        <v>380</v>
      </c>
      <c r="I98">
        <v>1</v>
      </c>
      <c r="J98">
        <v>1</v>
      </c>
    </row>
    <row r="99" spans="1:10" x14ac:dyDescent="0.15">
      <c r="A99">
        <v>51</v>
      </c>
      <c r="B99" t="s">
        <v>203</v>
      </c>
      <c r="C99">
        <v>2</v>
      </c>
      <c r="D99">
        <f>VLOOKUP(A99,技能参数,4,FALSE)</f>
        <v>0.9</v>
      </c>
      <c r="E99">
        <f>VLOOKUP(A99*1000+D95,学习等级编码,2)</f>
        <v>5111</v>
      </c>
      <c r="F99">
        <f>INT(VLOOKUP($E99,技能升级,9,FALSE)*$C99*I99*J99)</f>
        <v>2940</v>
      </c>
      <c r="G99">
        <f>INT(VLOOKUP($E99,技能升级,10,FALSE)*$C99*I99*J99)</f>
        <v>0</v>
      </c>
      <c r="H99">
        <f>VLOOKUP($E99,技能升级,11,FALSE)*$C99</f>
        <v>812</v>
      </c>
      <c r="I99">
        <v>1</v>
      </c>
      <c r="J99">
        <v>1</v>
      </c>
    </row>
    <row r="100" spans="1:10" x14ac:dyDescent="0.15">
      <c r="A100">
        <v>51</v>
      </c>
      <c r="B100" t="s">
        <v>204</v>
      </c>
      <c r="C100">
        <f>INT((C95-C97*D97-C98*D98-D99*C99)/D100*3)</f>
        <v>21</v>
      </c>
      <c r="D100">
        <f>VLOOKUP(A100,技能参数,4,FALSE)</f>
        <v>0.9</v>
      </c>
      <c r="E100">
        <f>VLOOKUP(A100*1000+D95,学习等级编码,2)</f>
        <v>5111</v>
      </c>
      <c r="F100">
        <f>INT(VLOOKUP($E100,技能升级,9,FALSE)*$C100*I100*J100)</f>
        <v>20223</v>
      </c>
      <c r="G100">
        <f>INT(VLOOKUP($E100,技能升级,10,FALSE)*$C100*I100*J100)</f>
        <v>0</v>
      </c>
      <c r="H100">
        <f>INT(VLOOKUP($E100,技能升级,11,FALSE)*$C100*J100)</f>
        <v>11399</v>
      </c>
      <c r="I100">
        <f>F101/1000</f>
        <v>0.49</v>
      </c>
      <c r="J100">
        <f>VLOOKUP(A95,$A$2:$G$11,7,FALSE)</f>
        <v>1.337</v>
      </c>
    </row>
    <row r="101" spans="1:10" x14ac:dyDescent="0.15">
      <c r="A101">
        <v>55</v>
      </c>
      <c r="B101" t="s">
        <v>271</v>
      </c>
      <c r="C101">
        <v>1</v>
      </c>
      <c r="D101">
        <v>0</v>
      </c>
      <c r="E101">
        <f>VLOOKUP(A101*1000+D95,学习等级编码,2)</f>
        <v>5505</v>
      </c>
      <c r="F101">
        <f>INT(VLOOKUP($E101,技能升级,14,FALSE)*$C101*I101)</f>
        <v>490</v>
      </c>
      <c r="G101">
        <f>INT(VLOOKUP($E101,技能升级,10,FALSE)*$C101*I101)</f>
        <v>0</v>
      </c>
      <c r="H101">
        <f>VLOOKUP($E101,技能升级,11,FALSE)*$C101</f>
        <v>0</v>
      </c>
      <c r="I101">
        <v>1</v>
      </c>
      <c r="J101">
        <v>1</v>
      </c>
    </row>
    <row r="102" spans="1:10" x14ac:dyDescent="0.15">
      <c r="E102" t="s">
        <v>194</v>
      </c>
      <c r="F102">
        <f>SUM(F97:F100)/1000</f>
        <v>28.562999999999999</v>
      </c>
      <c r="G102">
        <f>SUM(G97:G100)/1000</f>
        <v>0</v>
      </c>
      <c r="H102">
        <f>SUM(H97:H100)</f>
        <v>12930</v>
      </c>
      <c r="I102" t="s">
        <v>196</v>
      </c>
      <c r="J102" t="s">
        <v>197</v>
      </c>
    </row>
    <row r="103" spans="1:10" x14ac:dyDescent="0.15">
      <c r="E103" t="s">
        <v>195</v>
      </c>
      <c r="F103">
        <f>INT((IF($A95&gt;10000,VLOOKUP($A95,实战属性,13,FALSE),VLOOKUP($A95,总基本属性,7,FALSE))-
IF($B95&gt;10000,VLOOKUP($B95,实战属性,15,FALSE),VLOOKUP($B95,总基本属性,9,FALSE))*$L$13)*F102)</f>
        <v>76206</v>
      </c>
      <c r="G103">
        <f>INT((IF($A95&gt;10000,VLOOKUP($A95,实战属性,14,FALSE),VLOOKUP($A95,总基本属性,8,FALSE))-
IF($B95&gt;10000,VLOOKUP($B95,实战属性,16,FALSE),VLOOKUP($B95,总基本属性,10,FALSE))*$L$13)*G102)</f>
        <v>0</v>
      </c>
      <c r="H103">
        <f>H102+F103+G103</f>
        <v>89136</v>
      </c>
      <c r="I103">
        <f>IF($B95&gt;10000,VLOOKUP($B95,实战属性,12,FALSE),VLOOKUP($B95,总基本属性,6,FALSE))</f>
        <v>84384</v>
      </c>
      <c r="J103">
        <f>ROUND(I103/H103,2)</f>
        <v>0.95</v>
      </c>
    </row>
    <row r="107" spans="1:10" x14ac:dyDescent="0.15">
      <c r="A107" t="s">
        <v>198</v>
      </c>
      <c r="B107" t="s">
        <v>198</v>
      </c>
      <c r="C107" t="s">
        <v>178</v>
      </c>
      <c r="D107" t="s">
        <v>144</v>
      </c>
    </row>
    <row r="108" spans="1:10" x14ac:dyDescent="0.15">
      <c r="A108">
        <f>A95+10</f>
        <v>5080</v>
      </c>
      <c r="B108">
        <f>A108</f>
        <v>5080</v>
      </c>
      <c r="C108">
        <v>11</v>
      </c>
      <c r="D108">
        <f>MOD(A108,1000)</f>
        <v>80</v>
      </c>
    </row>
    <row r="109" spans="1:10" x14ac:dyDescent="0.15">
      <c r="A109" t="s">
        <v>156</v>
      </c>
      <c r="B109" t="s">
        <v>95</v>
      </c>
      <c r="C109" t="s">
        <v>142</v>
      </c>
      <c r="D109" t="s">
        <v>143</v>
      </c>
      <c r="E109" t="s">
        <v>182</v>
      </c>
      <c r="F109" t="s">
        <v>192</v>
      </c>
      <c r="G109" t="s">
        <v>193</v>
      </c>
      <c r="H109" t="s">
        <v>176</v>
      </c>
      <c r="I109" t="s">
        <v>205</v>
      </c>
      <c r="J109" t="s">
        <v>206</v>
      </c>
    </row>
    <row r="110" spans="1:10" x14ac:dyDescent="0.15">
      <c r="A110">
        <v>52</v>
      </c>
      <c r="B110" t="s">
        <v>44</v>
      </c>
      <c r="C110">
        <f>INT(C108/(VLOOKUP(A110,技能参数,5,FALSE)+2*VLOOKUP(A110,技能参数,4,FALSE))+1)</f>
        <v>1</v>
      </c>
      <c r="D110">
        <f>VLOOKUP(A110,技能参数,4,FALSE)</f>
        <v>1.5</v>
      </c>
      <c r="E110">
        <f>VLOOKUP(A110*1000+D108,学习等级编码,2)</f>
        <v>5208</v>
      </c>
      <c r="F110">
        <f>INT(VLOOKUP($E110,技能升级,9,FALSE)*$C110*I110*J110)</f>
        <v>3080</v>
      </c>
      <c r="G110">
        <f>INT(VLOOKUP($E110,技能升级,10,FALSE)*$C110*I110*J110)</f>
        <v>0</v>
      </c>
      <c r="H110">
        <f>VLOOKUP($E110,技能升级,11,FALSE)*$C110</f>
        <v>443</v>
      </c>
      <c r="I110">
        <v>1</v>
      </c>
      <c r="J110">
        <v>1</v>
      </c>
    </row>
    <row r="111" spans="1:10" x14ac:dyDescent="0.15">
      <c r="A111">
        <v>54</v>
      </c>
      <c r="B111" t="s">
        <v>40</v>
      </c>
      <c r="C111">
        <f>INT(C108/(VLOOKUP(A111,技能参数,5,FALSE)+2*VLOOKUP(A111,技能参数,4,FALSE))+1)</f>
        <v>1</v>
      </c>
      <c r="D111">
        <f>VLOOKUP(A111,技能参数,4,FALSE)</f>
        <v>1.2</v>
      </c>
      <c r="E111">
        <f>VLOOKUP(A111*1000+D108,学习等级编码,2)</f>
        <v>5408</v>
      </c>
      <c r="F111">
        <f>INT(VLOOKUP($E111,技能升级,9,FALSE)*$C111*I111*J111)</f>
        <v>2470</v>
      </c>
      <c r="G111">
        <f>INT(VLOOKUP($E111,技能升级,10,FALSE)*$C111*I111*J111)</f>
        <v>0</v>
      </c>
      <c r="H111">
        <f>VLOOKUP($E111,技能升级,11,FALSE)*$C111</f>
        <v>490</v>
      </c>
      <c r="I111">
        <v>1</v>
      </c>
      <c r="J111">
        <v>1</v>
      </c>
    </row>
    <row r="112" spans="1:10" x14ac:dyDescent="0.15">
      <c r="A112">
        <v>51</v>
      </c>
      <c r="B112" t="s">
        <v>203</v>
      </c>
      <c r="C112">
        <v>2</v>
      </c>
      <c r="D112">
        <f>VLOOKUP(A112,技能参数,4,FALSE)</f>
        <v>0.9</v>
      </c>
      <c r="E112">
        <f>VLOOKUP(A112*1000+D108,学习等级编码,2)</f>
        <v>5112</v>
      </c>
      <c r="F112">
        <f>INT(VLOOKUP($E112,技能升级,9,FALSE)*$C112*I112*J112)</f>
        <v>3000</v>
      </c>
      <c r="G112">
        <f>INT(VLOOKUP($E112,技能升级,10,FALSE)*$C112*I112*J112)</f>
        <v>0</v>
      </c>
      <c r="H112">
        <f>VLOOKUP($E112,技能升级,11,FALSE)*$C112</f>
        <v>974</v>
      </c>
      <c r="I112">
        <v>1</v>
      </c>
      <c r="J112">
        <v>1</v>
      </c>
    </row>
    <row r="113" spans="1:10" x14ac:dyDescent="0.15">
      <c r="A113">
        <v>51</v>
      </c>
      <c r="B113" t="s">
        <v>204</v>
      </c>
      <c r="C113">
        <f>INT((C108-C110*D110-C111*D111-D112*C112)/D113*3)</f>
        <v>21</v>
      </c>
      <c r="D113">
        <f>VLOOKUP(A113,技能参数,4,FALSE)</f>
        <v>0.9</v>
      </c>
      <c r="E113">
        <f>VLOOKUP(A113*1000+D108,学习等级编码,2)</f>
        <v>5112</v>
      </c>
      <c r="F113">
        <f>INT(VLOOKUP($E113,技能升级,9,FALSE)*$C113*I113*J113)</f>
        <v>20883</v>
      </c>
      <c r="G113">
        <f>INT(VLOOKUP($E113,技能升级,10,FALSE)*$C113*I113*J113)</f>
        <v>0</v>
      </c>
      <c r="H113">
        <f>INT(VLOOKUP($E113,技能升级,11,FALSE)*$C113*J113)</f>
        <v>13837</v>
      </c>
      <c r="I113">
        <f>F114/1000</f>
        <v>0.49</v>
      </c>
      <c r="J113">
        <f>VLOOKUP(A108,$A$2:$G$11,7,FALSE)</f>
        <v>1.353</v>
      </c>
    </row>
    <row r="114" spans="1:10" x14ac:dyDescent="0.15">
      <c r="A114">
        <v>55</v>
      </c>
      <c r="B114" t="s">
        <v>271</v>
      </c>
      <c r="C114">
        <v>1</v>
      </c>
      <c r="D114">
        <v>0</v>
      </c>
      <c r="E114">
        <f>VLOOKUP(A114*1000+D108,学习等级编码,2)</f>
        <v>5505</v>
      </c>
      <c r="F114">
        <f>INT(VLOOKUP($E114,技能升级,14,FALSE)*$C114*I114)</f>
        <v>490</v>
      </c>
      <c r="G114">
        <f>INT(VLOOKUP($E114,技能升级,10,FALSE)*$C114*I114)</f>
        <v>0</v>
      </c>
      <c r="H114">
        <f>VLOOKUP($E114,技能升级,11,FALSE)*$C114</f>
        <v>0</v>
      </c>
      <c r="I114">
        <v>1</v>
      </c>
      <c r="J114">
        <v>1</v>
      </c>
    </row>
    <row r="115" spans="1:10" x14ac:dyDescent="0.15">
      <c r="E115" t="s">
        <v>194</v>
      </c>
      <c r="F115">
        <f>SUM(F110:F113)/1000</f>
        <v>29.433</v>
      </c>
      <c r="G115">
        <f>SUM(G110:G113)/1000</f>
        <v>0</v>
      </c>
      <c r="H115">
        <f>SUM(H110:H113)</f>
        <v>15744</v>
      </c>
      <c r="I115" t="s">
        <v>196</v>
      </c>
      <c r="J115" t="s">
        <v>197</v>
      </c>
    </row>
    <row r="116" spans="1:10" x14ac:dyDescent="0.15">
      <c r="E116" t="s">
        <v>195</v>
      </c>
      <c r="F116">
        <f>INT((IF($A108&gt;10000,VLOOKUP($A108,实战属性,13,FALSE),VLOOKUP($A108,总基本属性,7,FALSE))-
IF($B108&gt;10000,VLOOKUP($B108,实战属性,15,FALSE),VLOOKUP($B108,总基本属性,9,FALSE))*$L$13)*F115)</f>
        <v>93876</v>
      </c>
      <c r="G116">
        <f>INT((IF($A108&gt;10000,VLOOKUP($A108,实战属性,14,FALSE),VLOOKUP($A108,总基本属性,8,FALSE))-
IF($B108&gt;10000,VLOOKUP($B108,实战属性,16,FALSE),VLOOKUP($B108,总基本属性,10,FALSE))*$L$13)*G115)</f>
        <v>0</v>
      </c>
      <c r="H116">
        <f>H115+F116+G116</f>
        <v>109620</v>
      </c>
      <c r="I116">
        <f>IF($B108&gt;10000,VLOOKUP($B108,实战属性,12,FALSE),VLOOKUP($B108,总基本属性,6,FALSE))</f>
        <v>109152</v>
      </c>
      <c r="J116">
        <f>ROUND(I116/H116,2)</f>
        <v>1</v>
      </c>
    </row>
    <row r="120" spans="1:10" x14ac:dyDescent="0.15">
      <c r="A120" t="s">
        <v>198</v>
      </c>
      <c r="B120" t="s">
        <v>198</v>
      </c>
      <c r="C120" t="s">
        <v>178</v>
      </c>
      <c r="D120" t="s">
        <v>144</v>
      </c>
    </row>
    <row r="121" spans="1:10" x14ac:dyDescent="0.15">
      <c r="A121">
        <f>A108+10</f>
        <v>5090</v>
      </c>
      <c r="B121">
        <f>A121</f>
        <v>5090</v>
      </c>
      <c r="C121">
        <v>10</v>
      </c>
      <c r="D121">
        <f>MOD(A121,1000)</f>
        <v>90</v>
      </c>
    </row>
    <row r="122" spans="1:10" x14ac:dyDescent="0.15">
      <c r="A122" t="s">
        <v>156</v>
      </c>
      <c r="B122" t="s">
        <v>95</v>
      </c>
      <c r="C122" t="s">
        <v>142</v>
      </c>
      <c r="D122" t="s">
        <v>143</v>
      </c>
      <c r="E122" t="s">
        <v>182</v>
      </c>
      <c r="F122" t="s">
        <v>192</v>
      </c>
      <c r="G122" t="s">
        <v>193</v>
      </c>
      <c r="H122" t="s">
        <v>176</v>
      </c>
      <c r="I122" t="s">
        <v>205</v>
      </c>
      <c r="J122" t="s">
        <v>206</v>
      </c>
    </row>
    <row r="123" spans="1:10" x14ac:dyDescent="0.15">
      <c r="A123">
        <v>52</v>
      </c>
      <c r="B123" t="s">
        <v>44</v>
      </c>
      <c r="C123">
        <f>INT(C121/(VLOOKUP(A123,技能参数,5,FALSE)+2*VLOOKUP(A123,技能参数,4,FALSE))+1)</f>
        <v>1</v>
      </c>
      <c r="D123">
        <f>VLOOKUP(A123,技能参数,4,FALSE)</f>
        <v>1.5</v>
      </c>
      <c r="E123">
        <f>VLOOKUP(A123*1000+D121,学习等级编码,2)</f>
        <v>5209</v>
      </c>
      <c r="F123">
        <f>INT(VLOOKUP($E123,技能升级,9,FALSE)*$C123*I123*J123)</f>
        <v>3170</v>
      </c>
      <c r="G123">
        <f>INT(VLOOKUP($E123,技能升级,10,FALSE)*$C123*I123*J123)</f>
        <v>0</v>
      </c>
      <c r="H123">
        <f>VLOOKUP($E123,技能升级,11,FALSE)*$C123</f>
        <v>562</v>
      </c>
      <c r="I123">
        <v>1</v>
      </c>
      <c r="J123">
        <v>1</v>
      </c>
    </row>
    <row r="124" spans="1:10" x14ac:dyDescent="0.15">
      <c r="A124">
        <v>54</v>
      </c>
      <c r="B124" t="s">
        <v>40</v>
      </c>
      <c r="C124">
        <f>INT(C121/(VLOOKUP(A124,技能参数,5,FALSE)+2*VLOOKUP(A124,技能参数,4,FALSE))+1)</f>
        <v>1</v>
      </c>
      <c r="D124">
        <f>VLOOKUP(A124,技能参数,4,FALSE)</f>
        <v>1.2</v>
      </c>
      <c r="E124">
        <f>VLOOKUP(A124*1000+D121,学习等级编码,2)</f>
        <v>5409</v>
      </c>
      <c r="F124">
        <f>INT(VLOOKUP($E124,技能升级,9,FALSE)*$C124*I124*J124)</f>
        <v>2530</v>
      </c>
      <c r="G124">
        <f>INT(VLOOKUP($E124,技能升级,10,FALSE)*$C124*I124*J124)</f>
        <v>0</v>
      </c>
      <c r="H124">
        <f>VLOOKUP($E124,技能升级,11,FALSE)*$C124</f>
        <v>615</v>
      </c>
      <c r="I124">
        <v>1</v>
      </c>
      <c r="J124">
        <v>1</v>
      </c>
    </row>
    <row r="125" spans="1:10" x14ac:dyDescent="0.15">
      <c r="A125">
        <v>51</v>
      </c>
      <c r="B125" t="s">
        <v>203</v>
      </c>
      <c r="C125">
        <v>2</v>
      </c>
      <c r="D125">
        <f>VLOOKUP(A125,技能参数,4,FALSE)</f>
        <v>0.9</v>
      </c>
      <c r="E125">
        <f>VLOOKUP(A125*1000+D121,学习等级编码,2)</f>
        <v>5114</v>
      </c>
      <c r="F125">
        <f>INT(VLOOKUP($E125,技能升级,9,FALSE)*$C125*I125*J125)</f>
        <v>3080</v>
      </c>
      <c r="G125">
        <f>INT(VLOOKUP($E125,技能升级,10,FALSE)*$C125*I125*J125)</f>
        <v>0</v>
      </c>
      <c r="H125">
        <f>VLOOKUP($E125,技能升级,11,FALSE)*$C125</f>
        <v>1334</v>
      </c>
      <c r="I125">
        <v>1</v>
      </c>
      <c r="J125">
        <v>1</v>
      </c>
    </row>
    <row r="126" spans="1:10" x14ac:dyDescent="0.15">
      <c r="A126">
        <v>51</v>
      </c>
      <c r="B126" t="s">
        <v>204</v>
      </c>
      <c r="C126">
        <f>INT((C121-C123*D123-C124*D124-D125*C125)/D126*3)</f>
        <v>18</v>
      </c>
      <c r="D126">
        <f>VLOOKUP(A126,技能参数,4,FALSE)</f>
        <v>0.9</v>
      </c>
      <c r="E126">
        <f>VLOOKUP(A126*1000+D121,学习等级编码,2)</f>
        <v>5114</v>
      </c>
      <c r="F126">
        <f>INT(VLOOKUP($E126,技能升级,9,FALSE)*$C126*I126*J126)</f>
        <v>19776</v>
      </c>
      <c r="G126">
        <f>INT(VLOOKUP($E126,技能升级,10,FALSE)*$C126*I126*J126)</f>
        <v>0</v>
      </c>
      <c r="H126">
        <f>INT(VLOOKUP($E126,技能升级,11,FALSE)*$C126*J126)</f>
        <v>16472</v>
      </c>
      <c r="I126">
        <f>F127/1000</f>
        <v>0.52</v>
      </c>
      <c r="J126">
        <f>VLOOKUP(A121,$A$2:$G$11,7,FALSE)</f>
        <v>1.3719999999999999</v>
      </c>
    </row>
    <row r="127" spans="1:10" x14ac:dyDescent="0.15">
      <c r="A127">
        <v>55</v>
      </c>
      <c r="B127" t="s">
        <v>271</v>
      </c>
      <c r="C127">
        <v>1</v>
      </c>
      <c r="D127">
        <v>0</v>
      </c>
      <c r="E127">
        <f>VLOOKUP(A127*1000+D121,学习等级编码,2)</f>
        <v>5506</v>
      </c>
      <c r="F127">
        <f>INT(VLOOKUP($E127,技能升级,14,FALSE)*$C127*I127)</f>
        <v>520</v>
      </c>
      <c r="G127">
        <f>INT(VLOOKUP($E127,技能升级,10,FALSE)*$C127*I127)</f>
        <v>0</v>
      </c>
      <c r="H127">
        <f>VLOOKUP($E127,技能升级,11,FALSE)*$C127</f>
        <v>0</v>
      </c>
      <c r="I127">
        <v>1</v>
      </c>
      <c r="J127">
        <v>1</v>
      </c>
    </row>
    <row r="128" spans="1:10" x14ac:dyDescent="0.15">
      <c r="E128" t="s">
        <v>194</v>
      </c>
      <c r="F128">
        <f>SUM(F123:F126)/1000</f>
        <v>28.556000000000001</v>
      </c>
      <c r="G128">
        <f>SUM(G123:G126)/1000</f>
        <v>0</v>
      </c>
      <c r="H128">
        <f>SUM(H123:H126)</f>
        <v>18983</v>
      </c>
      <c r="I128" t="s">
        <v>196</v>
      </c>
      <c r="J128" t="s">
        <v>197</v>
      </c>
    </row>
    <row r="129" spans="1:10" x14ac:dyDescent="0.15">
      <c r="E129" t="s">
        <v>195</v>
      </c>
      <c r="F129">
        <f>INT((IF($A121&gt;10000,VLOOKUP($A121,实战属性,13,FALSE),VLOOKUP($A121,总基本属性,7,FALSE))-
IF($B121&gt;10000,VLOOKUP($B121,实战属性,15,FALSE),VLOOKUP($B121,总基本属性,9,FALSE))*$L$13)*F128)</f>
        <v>112339</v>
      </c>
      <c r="G129">
        <f>INT((IF($A121&gt;10000,VLOOKUP($A121,实战属性,14,FALSE),VLOOKUP($A121,总基本属性,8,FALSE))-
IF($B121&gt;10000,VLOOKUP($B121,实战属性,16,FALSE),VLOOKUP($B121,总基本属性,10,FALSE))*$L$13)*G128)</f>
        <v>0</v>
      </c>
      <c r="H129">
        <f>H128+F129+G129</f>
        <v>131322</v>
      </c>
      <c r="I129">
        <f>IF($B121&gt;10000,VLOOKUP($B121,实战属性,12,FALSE),VLOOKUP($B121,总基本属性,6,FALSE))</f>
        <v>137184</v>
      </c>
      <c r="J129">
        <f>ROUND(I129/H129,2)</f>
        <v>1.04</v>
      </c>
    </row>
    <row r="133" spans="1:10" x14ac:dyDescent="0.15">
      <c r="A133" t="s">
        <v>198</v>
      </c>
      <c r="B133" t="s">
        <v>198</v>
      </c>
      <c r="C133" t="s">
        <v>178</v>
      </c>
      <c r="D133" t="s">
        <v>144</v>
      </c>
    </row>
    <row r="134" spans="1:10" x14ac:dyDescent="0.15">
      <c r="A134">
        <f>A121+10</f>
        <v>5100</v>
      </c>
      <c r="B134">
        <f>A134</f>
        <v>5100</v>
      </c>
      <c r="C134">
        <v>10</v>
      </c>
      <c r="D134">
        <f>MOD(A134,1000)</f>
        <v>100</v>
      </c>
    </row>
    <row r="135" spans="1:10" x14ac:dyDescent="0.15">
      <c r="A135" t="s">
        <v>156</v>
      </c>
      <c r="B135" t="s">
        <v>95</v>
      </c>
      <c r="C135" t="s">
        <v>142</v>
      </c>
      <c r="D135" t="s">
        <v>143</v>
      </c>
      <c r="E135" t="s">
        <v>182</v>
      </c>
      <c r="F135" t="s">
        <v>192</v>
      </c>
      <c r="G135" t="s">
        <v>193</v>
      </c>
      <c r="H135" t="s">
        <v>176</v>
      </c>
      <c r="I135" t="s">
        <v>205</v>
      </c>
      <c r="J135" t="s">
        <v>206</v>
      </c>
    </row>
    <row r="136" spans="1:10" x14ac:dyDescent="0.15">
      <c r="A136">
        <v>52</v>
      </c>
      <c r="B136" t="s">
        <v>44</v>
      </c>
      <c r="C136">
        <f>INT(C134/(VLOOKUP(A136,技能参数,5,FALSE)+2*VLOOKUP(A136,技能参数,4,FALSE))+1)</f>
        <v>1</v>
      </c>
      <c r="D136">
        <f>VLOOKUP(A136,技能参数,4,FALSE)</f>
        <v>1.5</v>
      </c>
      <c r="E136">
        <f>VLOOKUP(A136*1000+D134,学习等级编码,2)</f>
        <v>5210</v>
      </c>
      <c r="F136">
        <f>INT(VLOOKUP($E136,技能升级,9,FALSE)*$C136*I136*J136)</f>
        <v>3250</v>
      </c>
      <c r="G136">
        <f>INT(VLOOKUP($E136,技能升级,10,FALSE)*$C136*I136*J136)</f>
        <v>0</v>
      </c>
      <c r="H136">
        <f>VLOOKUP($E136,技能升级,11,FALSE)*$C136</f>
        <v>696</v>
      </c>
      <c r="I136">
        <v>1</v>
      </c>
      <c r="J136">
        <v>1</v>
      </c>
    </row>
    <row r="137" spans="1:10" x14ac:dyDescent="0.15">
      <c r="A137">
        <v>54</v>
      </c>
      <c r="B137" t="s">
        <v>40</v>
      </c>
      <c r="C137">
        <f>INT(C134/(VLOOKUP(A137,技能参数,5,FALSE)+2*VLOOKUP(A137,技能参数,4,FALSE))+1)</f>
        <v>1</v>
      </c>
      <c r="D137">
        <f>VLOOKUP(A137,技能参数,4,FALSE)</f>
        <v>1.2</v>
      </c>
      <c r="E137">
        <f>VLOOKUP(A137*1000+D134,学习等级编码,2)</f>
        <v>5410</v>
      </c>
      <c r="F137">
        <f>INT(VLOOKUP($E137,技能升级,9,FALSE)*$C137*I137*J137)</f>
        <v>2600</v>
      </c>
      <c r="G137">
        <f>INT(VLOOKUP($E137,技能升级,10,FALSE)*$C137*I137*J137)</f>
        <v>0</v>
      </c>
      <c r="H137">
        <f>VLOOKUP($E137,技能升级,11,FALSE)*$C137</f>
        <v>755</v>
      </c>
      <c r="I137">
        <v>1</v>
      </c>
      <c r="J137">
        <v>1</v>
      </c>
    </row>
    <row r="138" spans="1:10" x14ac:dyDescent="0.15">
      <c r="A138">
        <v>51</v>
      </c>
      <c r="B138" t="s">
        <v>203</v>
      </c>
      <c r="C138">
        <v>2</v>
      </c>
      <c r="D138">
        <f>VLOOKUP(A138,技能参数,4,FALSE)</f>
        <v>0.9</v>
      </c>
      <c r="E138">
        <f>VLOOKUP(A138*1000+D134,学习等级编码,2)</f>
        <v>5115</v>
      </c>
      <c r="F138">
        <f>INT(VLOOKUP($E138,技能升级,9,FALSE)*$C138*I138*J138)</f>
        <v>3120</v>
      </c>
      <c r="G138">
        <f>INT(VLOOKUP($E138,技能升级,10,FALSE)*$C138*I138*J138)</f>
        <v>0</v>
      </c>
      <c r="H138">
        <f>VLOOKUP($E138,技能升级,11,FALSE)*$C138</f>
        <v>1538</v>
      </c>
      <c r="I138">
        <v>1</v>
      </c>
      <c r="J138">
        <v>1</v>
      </c>
    </row>
    <row r="139" spans="1:10" x14ac:dyDescent="0.15">
      <c r="A139">
        <v>51</v>
      </c>
      <c r="B139" t="s">
        <v>204</v>
      </c>
      <c r="C139">
        <f>INT((C134-C136*D136-C137*D137-D138*C138)/D139*3)</f>
        <v>18</v>
      </c>
      <c r="D139">
        <f>VLOOKUP(A139,技能参数,4,FALSE)</f>
        <v>0.9</v>
      </c>
      <c r="E139">
        <f>VLOOKUP(A139*1000+D134,学习等级编码,2)</f>
        <v>5115</v>
      </c>
      <c r="F139">
        <f>INT(VLOOKUP($E139,技能升级,9,FALSE)*$C139*I139*J139)</f>
        <v>20985</v>
      </c>
      <c r="G139">
        <f>INT(VLOOKUP($E139,技能升级,10,FALSE)*$C139*I139*J139)</f>
        <v>0</v>
      </c>
      <c r="H139">
        <f>INT(VLOOKUP($E139,技能升级,11,FALSE)*$C139*J139)</f>
        <v>19157</v>
      </c>
      <c r="I139">
        <f>F140/1000</f>
        <v>0.54</v>
      </c>
      <c r="J139">
        <f>VLOOKUP(A134,$A$2:$G$11,7,FALSE)</f>
        <v>1.3839999999999999</v>
      </c>
    </row>
    <row r="140" spans="1:10" x14ac:dyDescent="0.15">
      <c r="A140">
        <v>55</v>
      </c>
      <c r="B140" t="s">
        <v>271</v>
      </c>
      <c r="C140">
        <v>1</v>
      </c>
      <c r="D140">
        <v>0</v>
      </c>
      <c r="E140">
        <f>VLOOKUP(A140*1000+D134,学习等级编码,2)</f>
        <v>5507</v>
      </c>
      <c r="F140">
        <f>INT(VLOOKUP($E140,技能升级,14,FALSE)*$C140*I140)</f>
        <v>540</v>
      </c>
      <c r="G140">
        <f>INT(VLOOKUP($E140,技能升级,10,FALSE)*$C140*I140)</f>
        <v>0</v>
      </c>
      <c r="H140">
        <f>VLOOKUP($E140,技能升级,11,FALSE)*$C140</f>
        <v>0</v>
      </c>
      <c r="I140">
        <v>1</v>
      </c>
      <c r="J140">
        <v>1</v>
      </c>
    </row>
    <row r="141" spans="1:10" x14ac:dyDescent="0.15">
      <c r="E141" t="s">
        <v>194</v>
      </c>
      <c r="F141">
        <f>SUM(F136:F139)/1000</f>
        <v>29.954999999999998</v>
      </c>
      <c r="G141">
        <f>SUM(G136:G139)/1000</f>
        <v>0</v>
      </c>
      <c r="H141">
        <f>SUM(H136:H139)</f>
        <v>22146</v>
      </c>
      <c r="I141" t="s">
        <v>196</v>
      </c>
      <c r="J141" t="s">
        <v>197</v>
      </c>
    </row>
    <row r="142" spans="1:10" x14ac:dyDescent="0.15">
      <c r="E142" t="s">
        <v>195</v>
      </c>
      <c r="F142">
        <f>INT((IF($A134&gt;10000,VLOOKUP($A134,实战属性,13,FALSE),VLOOKUP($A134,总基本属性,7,FALSE))-
IF($B134&gt;10000,VLOOKUP($B134,实战属性,15,FALSE),VLOOKUP($B134,总基本属性,9,FALSE))*$L$13)*F141)</f>
        <v>146599</v>
      </c>
      <c r="G142">
        <f>INT((IF($A134&gt;10000,VLOOKUP($A134,实战属性,14,FALSE),VLOOKUP($A134,总基本属性,8,FALSE))-
IF($B134&gt;10000,VLOOKUP($B134,实战属性,16,FALSE),VLOOKUP($B134,总基本属性,10,FALSE))*$L$13)*G141)</f>
        <v>0</v>
      </c>
      <c r="H142">
        <f>H141+F142+G142</f>
        <v>168745</v>
      </c>
      <c r="I142">
        <f>IF($B134&gt;10000,VLOOKUP($B134,实战属性,12,FALSE),VLOOKUP($B134,总基本属性,6,FALSE))</f>
        <v>168384</v>
      </c>
      <c r="J142">
        <f>ROUND(I142/H142,2)</f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6"/>
  <sheetViews>
    <sheetView topLeftCell="A55" workbookViewId="0">
      <selection activeCell="L47" sqref="L47"/>
    </sheetView>
  </sheetViews>
  <sheetFormatPr defaultRowHeight="13.5" x14ac:dyDescent="0.15"/>
  <cols>
    <col min="16" max="16" width="14.125" bestFit="1" customWidth="1"/>
    <col min="17" max="17" width="12.125" bestFit="1" customWidth="1"/>
    <col min="18" max="18" width="8.25" bestFit="1" customWidth="1"/>
    <col min="19" max="19" width="10" bestFit="1" customWidth="1"/>
    <col min="20" max="20" width="12.25" bestFit="1" customWidth="1"/>
    <col min="22" max="22" width="10" bestFit="1" customWidth="1"/>
    <col min="23" max="23" width="9.125" bestFit="1" customWidth="1"/>
  </cols>
  <sheetData>
    <row r="1" spans="1:24" x14ac:dyDescent="0.15">
      <c r="A1" t="s">
        <v>283</v>
      </c>
      <c r="B1" t="s">
        <v>284</v>
      </c>
      <c r="C1" t="s">
        <v>200</v>
      </c>
      <c r="D1" t="s">
        <v>199</v>
      </c>
      <c r="E1" t="s">
        <v>201</v>
      </c>
      <c r="F1" t="s">
        <v>202</v>
      </c>
      <c r="G1" t="s">
        <v>396</v>
      </c>
      <c r="H1" t="s">
        <v>397</v>
      </c>
      <c r="I1" t="s">
        <v>398</v>
      </c>
      <c r="K1" t="s">
        <v>286</v>
      </c>
      <c r="L1">
        <f>[1]属性设计!L23</f>
        <v>0.03</v>
      </c>
      <c r="M1" t="str">
        <f>[1]属性设计!M23</f>
        <v>碾压值参数</v>
      </c>
      <c r="O1" t="s">
        <v>285</v>
      </c>
      <c r="P1" t="s">
        <v>298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302</v>
      </c>
      <c r="W1" t="s">
        <v>331</v>
      </c>
      <c r="X1" s="7" t="s">
        <v>332</v>
      </c>
    </row>
    <row r="2" spans="1:24" x14ac:dyDescent="0.15">
      <c r="A2">
        <v>11101</v>
      </c>
      <c r="B2">
        <v>5010</v>
      </c>
      <c r="C2">
        <f t="shared" ref="C2:C21" si="0">(ROUND(
IF(IF($A2&gt;10000,VLOOKUP($A2,实战属性,$P$2,FALSE),VLOOKUP($A2,总基本属性,$P$3,FALSE))-
IF($B2&gt;10000,VLOOKUP($B2,实战属性,$Q$2,FALSE),VLOOKUP($B2,总基本属性,$Q$3,FALSE))&gt;0,
(
(IF($A2&gt;10000,VLOOKUP($A2,实战属性,$P$2,FALSE),VLOOKUP($A2,总基本属性,$P$3,FALSE))-
IF($B2&gt;10000,VLOOKUP($B2,实战属性,$Q$2,FALSE),VLOOKUP($B2,总基本属性,$Q$3,FALSE)))*$R$2+
IF($A2&gt;10000,VLOOKUP($A2,实战属性,$S$2,FALSE),VLOOKUP($A2,总基本属性,$S$3,FALSE))*$T$2)/
($U$2+IF($A2&gt;10000,VLOOKUP($A2,实战属性,$S$2,FALSE),VLOOKUP($A2,总基本属性,$S$3,FALSE))*$T$2),
IF($A2&gt;10000,VLOOKUP($A2,实战属性,$S$2,FALSE),VLOOKUP($A2,总基本属性,$S$3,FALSE))*$T$2/
($U$2+IF($A2&gt;10000,VLOOKUP($A2,实战属性,$S$2,FALSE),VLOOKUP($A2,总基本属性,$S$3,FALSE))*$T$2)),2)+
IF($A2&gt;10000,VLOOKUP($A2,实战属性,$X$2,FALSE),0))</f>
        <v>0</v>
      </c>
      <c r="D2">
        <f t="shared" ref="D2:D21" si="1">(ROUND(
IF(IF($A2&gt;10000,VLOOKUP($A2,实战属性,$P$5,FALSE),VLOOKUP($A2,总基本属性,$P$6,FALSE))-
IF($B2&gt;10000,VLOOKUP($B2,实战属性,$Q$5,FALSE),VLOOKUP($B2,总基本属性,$Q$6,FALSE))&gt;0,
(
(IF($A2&gt;10000,VLOOKUP($A2,实战属性,$P$5,FALSE),VLOOKUP($A2,总基本属性,$P$6,FALSE))-
IF($B2&gt;10000,VLOOKUP($B2,实战属性,$Q$5,FALSE),VLOOKUP($B2,总基本属性,$Q$6,FALSE)))*$R$5+
IF($A2&gt;10000,VLOOKUP($A2,实战属性,$S$5,FALSE),VLOOKUP($A2,总基本属性,$S$6,FALSE))*$T$5)/
($U$5+IF($A2&gt;10000,VLOOKUP($A2,实战属性,$S$5,FALSE),VLOOKUP($A2,总基本属性,$S$6,FALSE))*$T$5),
IF($A2&gt;10000,VLOOKUP($A2,实战属性,$S$5,FALSE),VLOOKUP($A2,总基本属性,$S$6,FALSE))*$T$5/
($U$5+IF($A2&gt;10000,VLOOKUP($A2,实战属性,$S$5,FALSE),VLOOKUP($A2,总基本属性,$S$6,FALSE))*$T$5)),2)+
IF($A2&gt;10000,VLOOKUP($A2,实战属性,$X$5,FALSE),0))</f>
        <v>0</v>
      </c>
      <c r="E2">
        <f t="shared" ref="E2:E21" si="2">(ROUND(
IF(IF($B2&gt;10000,VLOOKUP($B2,实战属性,$P$8,FALSE),VLOOKUP($B2,总基本属性,$P$9,FALSE))-
IF($A2&gt;10000,VLOOKUP($A2,实战属性,$Q$8,FALSE),VLOOKUP($A2,总基本属性,$Q$9,FALSE))&gt;0,
(
(IF($B2&gt;10000,VLOOKUP($B2,实战属性,$P$8,FALSE),VLOOKUP($B2,总基本属性,$P$9,FALSE))-
IF($A2&gt;10000,VLOOKUP($A2,实战属性,$Q$8,FALSE),VLOOKUP($A2,总基本属性,$Q$9,FALSE)))*$R$8+
IF($B2&gt;10000,VLOOKUP($B2,实战属性,$S$8,FALSE),VLOOKUP($B2,总基本属性,$S$9,FALSE))*$T$8)/
($U$8+IF($B2&gt;10000,VLOOKUP($B2,实战属性,$S$8,FALSE),VLOOKUP($B2,总基本属性,$S$9,FALSE))*$T$8),
IF($B2&gt;10000,VLOOKUP($B2,实战属性,$S$8,FALSE),VLOOKUP($B2,总基本属性,$S$9,FALSE))*$T$8/
($U$8+IF($B2&gt;10000,VLOOKUP($B2,实战属性,$S$8,FALSE),VLOOKUP($B2,总基本属性,$S$9,FALSE))*$T$8)),2)+
IF($B2&gt;10000,VLOOKUP($B2,实战属性,$X$8,FALSE),0))</f>
        <v>0</v>
      </c>
      <c r="F2">
        <f t="shared" ref="F2:F21" si="3">(ROUND(
IF(IF($B2&gt;10000,VLOOKUP($B2,实战属性,$P$11,FALSE),VLOOKUP($B2,总基本属性,$P$12,FALSE))-
IF($A2&gt;10000,VLOOKUP($A2,实战属性,$Q$11,FALSE),VLOOKUP($A2,总基本属性,$Q$12,FALSE))&gt;0,
(
(IF($B2&gt;10000,VLOOKUP($B2,实战属性,$P$11,FALSE),VLOOKUP($B2,总基本属性,$P$12,FALSE))-
IF($A2&gt;10000,VLOOKUP($A2,实战属性,$Q$11,FALSE),VLOOKUP($A2,总基本属性,$Q$12,FALSE)))*$R$11+
IF($B2&gt;10000,VLOOKUP($B2,实战属性,$S$11,FALSE),VLOOKUP($B2,总基本属性,$S$12,FALSE))*$T$11)/
($U$11+IF($B2&gt;10000,VLOOKUP($B2,实战属性,$S$11,FALSE),VLOOKUP($B2,总基本属性,$S$12,FALSE))*$T$11),
IF($B2&gt;10000,VLOOKUP($B2,实战属性,$S$11,FALSE),VLOOKUP($B2,总基本属性,$S$12,FALSE))*$T$11/
($U$11+IF($B2&gt;10000,VLOOKUP($B2,实战属性,$S$11,FALSE),VLOOKUP($B2,总基本属性,$S$12,FALSE))*$T$11)),2)+
IF($B2&gt;10000,VLOOKUP($B2,实战属性,$X$11,FALSE),0))</f>
        <v>0</v>
      </c>
      <c r="G2">
        <v>1</v>
      </c>
      <c r="H2">
        <v>1</v>
      </c>
      <c r="I2">
        <v>1</v>
      </c>
      <c r="K2" t="s">
        <v>287</v>
      </c>
      <c r="L2">
        <f>[1]属性设计!L24</f>
        <v>500</v>
      </c>
      <c r="M2" t="str">
        <f>[1]属性设计!M24</f>
        <v>碾压值参数</v>
      </c>
      <c r="O2" t="s">
        <v>329</v>
      </c>
      <c r="P2">
        <v>9</v>
      </c>
      <c r="Q2">
        <v>10</v>
      </c>
      <c r="R2">
        <f>L1</f>
        <v>0.03</v>
      </c>
      <c r="S2">
        <v>17</v>
      </c>
      <c r="T2">
        <f>L3</f>
        <v>5</v>
      </c>
      <c r="U2">
        <f>L2</f>
        <v>500</v>
      </c>
      <c r="X2">
        <v>21</v>
      </c>
    </row>
    <row r="3" spans="1:24" x14ac:dyDescent="0.15">
      <c r="A3">
        <f>A2+1</f>
        <v>11102</v>
      </c>
      <c r="B3">
        <f>B2+10</f>
        <v>5020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0.01</v>
      </c>
      <c r="G3">
        <v>1</v>
      </c>
      <c r="H3">
        <v>1</v>
      </c>
      <c r="I3">
        <v>1</v>
      </c>
      <c r="K3" t="s">
        <v>288</v>
      </c>
      <c r="L3">
        <f>[1]属性设计!L25</f>
        <v>5</v>
      </c>
      <c r="M3" t="str">
        <f>[1]属性设计!M25</f>
        <v>碾压值参数</v>
      </c>
      <c r="O3" t="s">
        <v>330</v>
      </c>
      <c r="P3">
        <v>3</v>
      </c>
      <c r="Q3">
        <v>4</v>
      </c>
      <c r="R3">
        <f>R2</f>
        <v>0.03</v>
      </c>
      <c r="S3">
        <v>11</v>
      </c>
      <c r="T3">
        <f>T2</f>
        <v>5</v>
      </c>
      <c r="U3">
        <f>U2</f>
        <v>500</v>
      </c>
    </row>
    <row r="4" spans="1:24" x14ac:dyDescent="0.15">
      <c r="A4">
        <f t="shared" ref="A4:A10" si="4">A3+1</f>
        <v>11103</v>
      </c>
      <c r="B4">
        <f t="shared" ref="B4:B10" si="5">B3+10</f>
        <v>5030</v>
      </c>
      <c r="C4">
        <f t="shared" si="0"/>
        <v>0.01</v>
      </c>
      <c r="D4">
        <f t="shared" si="1"/>
        <v>0</v>
      </c>
      <c r="E4">
        <f t="shared" si="2"/>
        <v>0</v>
      </c>
      <c r="F4">
        <f t="shared" si="3"/>
        <v>0.02</v>
      </c>
      <c r="G4">
        <v>1</v>
      </c>
      <c r="H4">
        <v>1</v>
      </c>
      <c r="I4">
        <v>1</v>
      </c>
      <c r="K4" t="s">
        <v>289</v>
      </c>
      <c r="L4">
        <f>[1]属性设计!L26</f>
        <v>0.05</v>
      </c>
      <c r="M4" t="str">
        <f>[1]属性设计!M26</f>
        <v>暴击值参数</v>
      </c>
      <c r="O4" t="s">
        <v>305</v>
      </c>
      <c r="P4" t="s">
        <v>308</v>
      </c>
      <c r="Q4" t="s">
        <v>299</v>
      </c>
      <c r="R4" t="s">
        <v>309</v>
      </c>
      <c r="S4" t="s">
        <v>310</v>
      </c>
      <c r="T4" t="s">
        <v>311</v>
      </c>
      <c r="U4" t="s">
        <v>312</v>
      </c>
      <c r="V4" t="s">
        <v>310</v>
      </c>
      <c r="W4" t="s">
        <v>313</v>
      </c>
      <c r="X4" s="7" t="s">
        <v>333</v>
      </c>
    </row>
    <row r="5" spans="1:24" x14ac:dyDescent="0.15">
      <c r="A5">
        <f t="shared" si="4"/>
        <v>11104</v>
      </c>
      <c r="B5">
        <f t="shared" si="5"/>
        <v>5040</v>
      </c>
      <c r="C5">
        <f t="shared" si="0"/>
        <v>0.01</v>
      </c>
      <c r="D5">
        <f t="shared" si="1"/>
        <v>0</v>
      </c>
      <c r="E5">
        <f t="shared" si="2"/>
        <v>0</v>
      </c>
      <c r="F5">
        <f t="shared" si="3"/>
        <v>0.04</v>
      </c>
      <c r="G5">
        <v>1</v>
      </c>
      <c r="H5">
        <v>1</v>
      </c>
      <c r="I5">
        <v>1</v>
      </c>
      <c r="K5" t="s">
        <v>290</v>
      </c>
      <c r="L5">
        <f>[1]属性设计!L27</f>
        <v>500</v>
      </c>
      <c r="M5" t="str">
        <f>[1]属性设计!M27</f>
        <v>暴击值参数</v>
      </c>
      <c r="O5" t="s">
        <v>329</v>
      </c>
      <c r="P5">
        <v>11</v>
      </c>
      <c r="Q5">
        <v>10</v>
      </c>
      <c r="R5">
        <f>L4</f>
        <v>0.05</v>
      </c>
      <c r="S5">
        <v>18</v>
      </c>
      <c r="T5">
        <f>L6</f>
        <v>8</v>
      </c>
      <c r="U5">
        <f>L5</f>
        <v>500</v>
      </c>
      <c r="X5">
        <v>22</v>
      </c>
    </row>
    <row r="6" spans="1:24" x14ac:dyDescent="0.15">
      <c r="A6">
        <f t="shared" si="4"/>
        <v>11105</v>
      </c>
      <c r="B6">
        <f t="shared" si="5"/>
        <v>5050</v>
      </c>
      <c r="C6">
        <f t="shared" si="0"/>
        <v>0.06</v>
      </c>
      <c r="D6">
        <f t="shared" si="1"/>
        <v>0</v>
      </c>
      <c r="E6">
        <f t="shared" si="2"/>
        <v>0</v>
      </c>
      <c r="F6">
        <f t="shared" si="3"/>
        <v>0.15</v>
      </c>
      <c r="G6">
        <v>1</v>
      </c>
      <c r="H6">
        <f>F6*0.5+1-F6</f>
        <v>0.92499999999999993</v>
      </c>
      <c r="I6">
        <v>1</v>
      </c>
      <c r="K6" t="s">
        <v>291</v>
      </c>
      <c r="L6">
        <f>[1]属性设计!L28</f>
        <v>8</v>
      </c>
      <c r="M6" t="str">
        <f>[1]属性设计!M28</f>
        <v>暴击值参数</v>
      </c>
      <c r="O6" t="s">
        <v>330</v>
      </c>
      <c r="P6">
        <v>5</v>
      </c>
      <c r="Q6">
        <v>4</v>
      </c>
      <c r="R6">
        <f>R5</f>
        <v>0.05</v>
      </c>
      <c r="S6">
        <v>12</v>
      </c>
      <c r="T6">
        <f>T5</f>
        <v>8</v>
      </c>
      <c r="U6">
        <f>U5</f>
        <v>500</v>
      </c>
    </row>
    <row r="7" spans="1:24" x14ac:dyDescent="0.15">
      <c r="A7">
        <f t="shared" si="4"/>
        <v>11106</v>
      </c>
      <c r="B7">
        <f t="shared" si="5"/>
        <v>5060</v>
      </c>
      <c r="C7">
        <f t="shared" si="0"/>
        <v>0.09</v>
      </c>
      <c r="D7">
        <f t="shared" si="1"/>
        <v>0</v>
      </c>
      <c r="E7">
        <f t="shared" si="2"/>
        <v>0</v>
      </c>
      <c r="F7">
        <f t="shared" si="3"/>
        <v>0.19</v>
      </c>
      <c r="G7">
        <v>1</v>
      </c>
      <c r="H7">
        <f>F7*0.5+1-F7</f>
        <v>0.90500000000000003</v>
      </c>
      <c r="I7">
        <v>1</v>
      </c>
      <c r="K7" t="s">
        <v>292</v>
      </c>
      <c r="L7">
        <f>[1]属性设计!L29</f>
        <v>0.05</v>
      </c>
      <c r="M7" t="str">
        <f>[1]属性设计!M29</f>
        <v>卸力值参数</v>
      </c>
      <c r="O7" t="s">
        <v>306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319</v>
      </c>
      <c r="V7" t="s">
        <v>317</v>
      </c>
      <c r="W7" t="s">
        <v>320</v>
      </c>
      <c r="X7" s="7" t="s">
        <v>334</v>
      </c>
    </row>
    <row r="8" spans="1:24" x14ac:dyDescent="0.15">
      <c r="A8">
        <f t="shared" si="4"/>
        <v>11107</v>
      </c>
      <c r="B8">
        <f t="shared" si="5"/>
        <v>5070</v>
      </c>
      <c r="C8">
        <f t="shared" si="0"/>
        <v>0.13</v>
      </c>
      <c r="D8">
        <f t="shared" si="1"/>
        <v>0</v>
      </c>
      <c r="E8">
        <f t="shared" si="2"/>
        <v>0</v>
      </c>
      <c r="F8">
        <f t="shared" si="3"/>
        <v>0.26</v>
      </c>
      <c r="G8">
        <f>C8*1.5+1-C8</f>
        <v>1.0649999999999999</v>
      </c>
      <c r="H8">
        <f>C8*1.5+F8*0.5+1-F8-C8</f>
        <v>0.93499999999999994</v>
      </c>
      <c r="I8">
        <v>1</v>
      </c>
      <c r="K8" t="s">
        <v>293</v>
      </c>
      <c r="L8">
        <f>[1]属性设计!L30</f>
        <v>500</v>
      </c>
      <c r="M8" t="str">
        <f>[1]属性设计!M30</f>
        <v>卸力值参数</v>
      </c>
      <c r="O8" t="s">
        <v>329</v>
      </c>
      <c r="P8">
        <v>10</v>
      </c>
      <c r="Q8">
        <v>9</v>
      </c>
      <c r="R8">
        <f>L7</f>
        <v>0.05</v>
      </c>
      <c r="S8">
        <v>19</v>
      </c>
      <c r="T8">
        <f>L9</f>
        <v>6</v>
      </c>
      <c r="U8">
        <f>L8</f>
        <v>500</v>
      </c>
      <c r="X8">
        <v>23</v>
      </c>
    </row>
    <row r="9" spans="1:24" x14ac:dyDescent="0.15">
      <c r="A9">
        <f t="shared" si="4"/>
        <v>11108</v>
      </c>
      <c r="B9">
        <f t="shared" si="5"/>
        <v>5080</v>
      </c>
      <c r="C9">
        <f t="shared" si="0"/>
        <v>0.18</v>
      </c>
      <c r="D9">
        <f t="shared" si="1"/>
        <v>0</v>
      </c>
      <c r="E9">
        <f t="shared" si="2"/>
        <v>0</v>
      </c>
      <c r="F9">
        <f t="shared" si="3"/>
        <v>0.33</v>
      </c>
      <c r="G9">
        <f t="shared" ref="G9:G11" si="6">C9*1.5+1-C9</f>
        <v>1.0900000000000001</v>
      </c>
      <c r="H9">
        <f t="shared" ref="H9:H11" si="7">C9*1.5+F9*0.5+1-F9-C9</f>
        <v>0.92500000000000004</v>
      </c>
      <c r="I9">
        <v>1</v>
      </c>
      <c r="K9" t="s">
        <v>294</v>
      </c>
      <c r="L9">
        <f>[1]属性设计!L31</f>
        <v>6</v>
      </c>
      <c r="M9" t="str">
        <f>[1]属性设计!M31</f>
        <v>卸力值参数</v>
      </c>
      <c r="O9" t="s">
        <v>330</v>
      </c>
      <c r="P9">
        <v>4</v>
      </c>
      <c r="Q9">
        <v>3</v>
      </c>
      <c r="R9">
        <f>R8</f>
        <v>0.05</v>
      </c>
      <c r="S9">
        <v>13</v>
      </c>
      <c r="T9">
        <f>T8</f>
        <v>6</v>
      </c>
      <c r="U9">
        <f>U8</f>
        <v>500</v>
      </c>
    </row>
    <row r="10" spans="1:24" x14ac:dyDescent="0.15">
      <c r="A10">
        <f t="shared" si="4"/>
        <v>11109</v>
      </c>
      <c r="B10">
        <f t="shared" si="5"/>
        <v>5090</v>
      </c>
      <c r="C10">
        <f t="shared" si="0"/>
        <v>0.24</v>
      </c>
      <c r="D10">
        <f t="shared" si="1"/>
        <v>0</v>
      </c>
      <c r="E10">
        <f t="shared" si="2"/>
        <v>0</v>
      </c>
      <c r="F10">
        <f t="shared" si="3"/>
        <v>0.41</v>
      </c>
      <c r="G10">
        <f t="shared" si="6"/>
        <v>1.1199999999999999</v>
      </c>
      <c r="H10">
        <f t="shared" si="7"/>
        <v>0.91500000000000004</v>
      </c>
      <c r="I10">
        <v>1</v>
      </c>
      <c r="K10" t="s">
        <v>295</v>
      </c>
      <c r="L10">
        <f>[1]属性设计!L32</f>
        <v>0.05</v>
      </c>
      <c r="M10" t="str">
        <f>[1]属性设计!M32</f>
        <v>化解值参数</v>
      </c>
      <c r="O10" t="s">
        <v>307</v>
      </c>
      <c r="P10" t="s">
        <v>314</v>
      </c>
      <c r="Q10" t="s">
        <v>321</v>
      </c>
      <c r="R10" t="s">
        <v>322</v>
      </c>
      <c r="S10" t="s">
        <v>327</v>
      </c>
      <c r="T10" t="s">
        <v>326</v>
      </c>
      <c r="U10" t="s">
        <v>323</v>
      </c>
      <c r="V10" t="s">
        <v>325</v>
      </c>
      <c r="W10" t="s">
        <v>324</v>
      </c>
      <c r="X10" s="7" t="s">
        <v>335</v>
      </c>
    </row>
    <row r="11" spans="1:24" x14ac:dyDescent="0.15">
      <c r="A11">
        <f>A10+1</f>
        <v>11110</v>
      </c>
      <c r="B11">
        <f>B10+10</f>
        <v>5100</v>
      </c>
      <c r="C11">
        <f t="shared" si="0"/>
        <v>0.28999999999999998</v>
      </c>
      <c r="D11">
        <f t="shared" si="1"/>
        <v>0</v>
      </c>
      <c r="E11">
        <f t="shared" si="2"/>
        <v>0</v>
      </c>
      <c r="F11">
        <f t="shared" si="3"/>
        <v>0.48</v>
      </c>
      <c r="G11">
        <f t="shared" si="6"/>
        <v>1.145</v>
      </c>
      <c r="H11">
        <f t="shared" si="7"/>
        <v>0.9049999999999998</v>
      </c>
      <c r="I11">
        <v>1</v>
      </c>
      <c r="K11" t="s">
        <v>296</v>
      </c>
      <c r="L11">
        <f>[1]属性设计!L33</f>
        <v>500</v>
      </c>
      <c r="M11" t="str">
        <f>[1]属性设计!M33</f>
        <v>化解值参数</v>
      </c>
      <c r="O11" t="s">
        <v>329</v>
      </c>
      <c r="P11">
        <v>10</v>
      </c>
      <c r="Q11">
        <v>11</v>
      </c>
      <c r="R11">
        <f>L10</f>
        <v>0.05</v>
      </c>
      <c r="S11">
        <v>20</v>
      </c>
      <c r="T11">
        <f>L12</f>
        <v>6</v>
      </c>
      <c r="U11">
        <f>L11</f>
        <v>500</v>
      </c>
      <c r="X11">
        <v>24</v>
      </c>
    </row>
    <row r="12" spans="1:24" x14ac:dyDescent="0.15">
      <c r="A12">
        <v>5010</v>
      </c>
      <c r="B12">
        <v>11101</v>
      </c>
      <c r="C12">
        <f t="shared" si="0"/>
        <v>0</v>
      </c>
      <c r="D12">
        <f t="shared" si="1"/>
        <v>0.2</v>
      </c>
      <c r="E12">
        <f t="shared" si="2"/>
        <v>0.1</v>
      </c>
      <c r="F12">
        <f t="shared" si="3"/>
        <v>0</v>
      </c>
      <c r="G12">
        <v>1</v>
      </c>
      <c r="H12">
        <v>1</v>
      </c>
      <c r="I12">
        <f>D12*2+E12*0.3+1-D12-E12</f>
        <v>1.1300000000000001</v>
      </c>
      <c r="K12" t="s">
        <v>297</v>
      </c>
      <c r="L12">
        <f>[1]属性设计!L34</f>
        <v>6</v>
      </c>
      <c r="M12" t="str">
        <f>[1]属性设计!M34</f>
        <v>化解值参数</v>
      </c>
      <c r="O12" t="s">
        <v>330</v>
      </c>
      <c r="P12">
        <v>4</v>
      </c>
      <c r="Q12">
        <v>5</v>
      </c>
      <c r="R12">
        <f>R11</f>
        <v>0.05</v>
      </c>
      <c r="S12">
        <v>14</v>
      </c>
      <c r="T12">
        <f>T11</f>
        <v>6</v>
      </c>
      <c r="U12">
        <f>U11</f>
        <v>500</v>
      </c>
    </row>
    <row r="13" spans="1:24" x14ac:dyDescent="0.15">
      <c r="A13">
        <f>A12+10</f>
        <v>5020</v>
      </c>
      <c r="B13">
        <f>B12+1</f>
        <v>11102</v>
      </c>
      <c r="C13">
        <f t="shared" si="0"/>
        <v>0</v>
      </c>
      <c r="D13">
        <f t="shared" si="1"/>
        <v>0.22</v>
      </c>
      <c r="E13">
        <f t="shared" si="2"/>
        <v>0.1</v>
      </c>
      <c r="F13">
        <f t="shared" si="3"/>
        <v>0</v>
      </c>
      <c r="G13">
        <v>1</v>
      </c>
      <c r="H13">
        <v>1</v>
      </c>
      <c r="I13">
        <f t="shared" ref="I13:I21" si="8">D13*2+E13*0.3+1-D13-E13</f>
        <v>1.1499999999999999</v>
      </c>
      <c r="K13" t="str">
        <f>[1]属性设计!G30</f>
        <v>参数11</v>
      </c>
      <c r="L13">
        <f>[1]属性设计!H30</f>
        <v>0.5</v>
      </c>
      <c r="M13" t="str">
        <f>[1]属性设计!I30</f>
        <v>战斗防御系数</v>
      </c>
    </row>
    <row r="14" spans="1:24" x14ac:dyDescent="0.15">
      <c r="A14">
        <f t="shared" ref="A14:A21" si="9">A13+10</f>
        <v>5030</v>
      </c>
      <c r="B14">
        <f t="shared" ref="B14:B21" si="10">B13+1</f>
        <v>11103</v>
      </c>
      <c r="C14">
        <f t="shared" si="0"/>
        <v>0</v>
      </c>
      <c r="D14">
        <f t="shared" si="1"/>
        <v>0.25</v>
      </c>
      <c r="E14">
        <f t="shared" si="2"/>
        <v>0.1</v>
      </c>
      <c r="F14">
        <f t="shared" si="3"/>
        <v>0</v>
      </c>
      <c r="G14">
        <v>1</v>
      </c>
      <c r="H14">
        <v>1</v>
      </c>
      <c r="I14">
        <f t="shared" si="8"/>
        <v>1.18</v>
      </c>
    </row>
    <row r="15" spans="1:24" x14ac:dyDescent="0.15">
      <c r="A15">
        <f t="shared" si="9"/>
        <v>5040</v>
      </c>
      <c r="B15">
        <f t="shared" si="10"/>
        <v>11104</v>
      </c>
      <c r="C15">
        <f t="shared" si="0"/>
        <v>0</v>
      </c>
      <c r="D15">
        <f t="shared" si="1"/>
        <v>0.28999999999999998</v>
      </c>
      <c r="E15">
        <f t="shared" si="2"/>
        <v>0.1</v>
      </c>
      <c r="F15">
        <f t="shared" si="3"/>
        <v>0</v>
      </c>
      <c r="G15">
        <v>1</v>
      </c>
      <c r="H15">
        <v>1</v>
      </c>
      <c r="I15">
        <f t="shared" si="8"/>
        <v>1.2199999999999998</v>
      </c>
    </row>
    <row r="16" spans="1:24" x14ac:dyDescent="0.15">
      <c r="A16">
        <f t="shared" si="9"/>
        <v>5050</v>
      </c>
      <c r="B16">
        <f t="shared" si="10"/>
        <v>11105</v>
      </c>
      <c r="C16">
        <f t="shared" si="0"/>
        <v>0.01</v>
      </c>
      <c r="D16">
        <f t="shared" si="1"/>
        <v>0.32</v>
      </c>
      <c r="E16">
        <f t="shared" si="2"/>
        <v>0.1</v>
      </c>
      <c r="F16">
        <f t="shared" si="3"/>
        <v>0</v>
      </c>
      <c r="G16">
        <v>1</v>
      </c>
      <c r="H16">
        <v>1</v>
      </c>
      <c r="I16">
        <f t="shared" si="8"/>
        <v>1.2499999999999998</v>
      </c>
    </row>
    <row r="17" spans="1:10" x14ac:dyDescent="0.15">
      <c r="A17">
        <f t="shared" si="9"/>
        <v>5060</v>
      </c>
      <c r="B17">
        <f t="shared" si="10"/>
        <v>11106</v>
      </c>
      <c r="C17">
        <f t="shared" si="0"/>
        <v>0.01</v>
      </c>
      <c r="D17">
        <f t="shared" si="1"/>
        <v>0.36</v>
      </c>
      <c r="E17">
        <f t="shared" si="2"/>
        <v>0.1</v>
      </c>
      <c r="F17">
        <f t="shared" si="3"/>
        <v>0</v>
      </c>
      <c r="G17">
        <v>1</v>
      </c>
      <c r="H17">
        <v>1</v>
      </c>
      <c r="I17">
        <f t="shared" si="8"/>
        <v>1.29</v>
      </c>
    </row>
    <row r="18" spans="1:10" x14ac:dyDescent="0.15">
      <c r="A18">
        <f t="shared" si="9"/>
        <v>5070</v>
      </c>
      <c r="B18">
        <f t="shared" si="10"/>
        <v>11107</v>
      </c>
      <c r="C18">
        <f t="shared" si="0"/>
        <v>0.01</v>
      </c>
      <c r="D18">
        <f t="shared" si="1"/>
        <v>0.4</v>
      </c>
      <c r="E18">
        <f t="shared" si="2"/>
        <v>0.1</v>
      </c>
      <c r="F18">
        <f t="shared" si="3"/>
        <v>0</v>
      </c>
      <c r="G18">
        <v>1</v>
      </c>
      <c r="H18">
        <v>1</v>
      </c>
      <c r="I18">
        <f t="shared" si="8"/>
        <v>1.33</v>
      </c>
    </row>
    <row r="19" spans="1:10" x14ac:dyDescent="0.15">
      <c r="A19">
        <f t="shared" si="9"/>
        <v>5080</v>
      </c>
      <c r="B19">
        <f t="shared" si="10"/>
        <v>11108</v>
      </c>
      <c r="C19">
        <f t="shared" si="0"/>
        <v>0.01</v>
      </c>
      <c r="D19">
        <f t="shared" si="1"/>
        <v>0.43</v>
      </c>
      <c r="E19">
        <f t="shared" si="2"/>
        <v>0.1</v>
      </c>
      <c r="F19">
        <f t="shared" si="3"/>
        <v>0</v>
      </c>
      <c r="G19">
        <v>1</v>
      </c>
      <c r="H19">
        <v>1</v>
      </c>
      <c r="I19">
        <f t="shared" si="8"/>
        <v>1.36</v>
      </c>
    </row>
    <row r="20" spans="1:10" x14ac:dyDescent="0.15">
      <c r="A20">
        <f t="shared" si="9"/>
        <v>5090</v>
      </c>
      <c r="B20">
        <f t="shared" si="10"/>
        <v>11109</v>
      </c>
      <c r="C20">
        <f t="shared" si="0"/>
        <v>0.02</v>
      </c>
      <c r="D20">
        <f t="shared" si="1"/>
        <v>0.47</v>
      </c>
      <c r="E20">
        <f t="shared" si="2"/>
        <v>0.1</v>
      </c>
      <c r="F20">
        <f t="shared" si="3"/>
        <v>0</v>
      </c>
      <c r="G20">
        <v>1</v>
      </c>
      <c r="H20">
        <v>1</v>
      </c>
      <c r="I20">
        <f t="shared" si="8"/>
        <v>1.4</v>
      </c>
    </row>
    <row r="21" spans="1:10" x14ac:dyDescent="0.15">
      <c r="A21">
        <f t="shared" si="9"/>
        <v>5100</v>
      </c>
      <c r="B21">
        <f t="shared" si="10"/>
        <v>11110</v>
      </c>
      <c r="C21">
        <f t="shared" si="0"/>
        <v>0.02</v>
      </c>
      <c r="D21">
        <f t="shared" si="1"/>
        <v>0.51</v>
      </c>
      <c r="E21">
        <f t="shared" si="2"/>
        <v>0.1</v>
      </c>
      <c r="F21">
        <f t="shared" si="3"/>
        <v>0</v>
      </c>
      <c r="G21">
        <v>1</v>
      </c>
      <c r="H21">
        <v>1</v>
      </c>
      <c r="I21">
        <f t="shared" si="8"/>
        <v>1.4399999999999997</v>
      </c>
    </row>
    <row r="29" spans="1:10" x14ac:dyDescent="0.15">
      <c r="A29" s="8" t="s">
        <v>2</v>
      </c>
      <c r="B29" s="8" t="s">
        <v>328</v>
      </c>
      <c r="C29" s="8" t="s">
        <v>178</v>
      </c>
      <c r="D29" s="8" t="s">
        <v>0</v>
      </c>
    </row>
    <row r="30" spans="1:10" x14ac:dyDescent="0.15">
      <c r="A30">
        <v>11101</v>
      </c>
      <c r="B30">
        <v>5010</v>
      </c>
      <c r="C30">
        <v>18</v>
      </c>
      <c r="D30">
        <f>MOD(B30,1000)</f>
        <v>10</v>
      </c>
    </row>
    <row r="31" spans="1:10" x14ac:dyDescent="0.15">
      <c r="A31" t="s">
        <v>156</v>
      </c>
      <c r="B31" t="s">
        <v>95</v>
      </c>
      <c r="C31" t="s">
        <v>177</v>
      </c>
      <c r="D31" t="s">
        <v>143</v>
      </c>
      <c r="E31" t="s">
        <v>182</v>
      </c>
      <c r="F31" t="s">
        <v>192</v>
      </c>
      <c r="G31" t="s">
        <v>193</v>
      </c>
      <c r="H31" t="s">
        <v>176</v>
      </c>
      <c r="I31" t="s">
        <v>205</v>
      </c>
      <c r="J31" t="s">
        <v>206</v>
      </c>
    </row>
    <row r="32" spans="1:10" x14ac:dyDescent="0.15">
      <c r="A32">
        <v>12</v>
      </c>
      <c r="B32" t="s">
        <v>9</v>
      </c>
      <c r="C32">
        <f>INT(C30-C36)</f>
        <v>14</v>
      </c>
      <c r="D32">
        <f>VLOOKUP(A32,技能参数,4,FALSE)</f>
        <v>0.6</v>
      </c>
      <c r="E32">
        <f>VLOOKUP(A32*1000+D30,学习等级编码,2)</f>
        <v>1201</v>
      </c>
      <c r="F32">
        <f>INT(VLOOKUP($E32,技能升级,9,FALSE)*$C32*I32*J32)</f>
        <v>0</v>
      </c>
      <c r="G32">
        <f>INT(VLOOKUP($E32,技能升级,10,FALSE)*$C32*I32*J32)</f>
        <v>14000</v>
      </c>
      <c r="H32">
        <f>INT(VLOOKUP($E32,技能升级,11,FALSE)*$C32*I32*J32)</f>
        <v>280</v>
      </c>
      <c r="I32">
        <v>1</v>
      </c>
      <c r="J32">
        <f>VLOOKUP(A30,$A$2:$I$21,8,FALSE)</f>
        <v>1</v>
      </c>
    </row>
    <row r="33" spans="1:11" x14ac:dyDescent="0.15">
      <c r="A33">
        <v>15</v>
      </c>
      <c r="B33" t="s">
        <v>12</v>
      </c>
      <c r="C33">
        <v>1</v>
      </c>
      <c r="D33">
        <f>VLOOKUP(A33,技能参数,4,FALSE)</f>
        <v>1.5</v>
      </c>
      <c r="E33">
        <f>VLOOKUP(A33*1000+D30,学习等级编码,2)</f>
        <v>1501</v>
      </c>
      <c r="F33">
        <f>INT(VLOOKUP($E33,技能升级,9,FALSE)*$C33*I33*J33)</f>
        <v>0</v>
      </c>
      <c r="G33">
        <f>INT(VLOOKUP($E33,技能升级,10,FALSE)*$C33*I33*J33)</f>
        <v>0</v>
      </c>
      <c r="H33">
        <f>INT(VLOOKUP($E33,技能升级,11,FALSE)*$C33*I33*J33)</f>
        <v>0</v>
      </c>
      <c r="I33">
        <v>1</v>
      </c>
      <c r="J33">
        <v>1</v>
      </c>
    </row>
    <row r="34" spans="1:11" x14ac:dyDescent="0.15">
      <c r="A34">
        <v>11</v>
      </c>
      <c r="B34" t="s">
        <v>94</v>
      </c>
      <c r="C34">
        <f>INT((C30-D32-D33-C36)/D34)</f>
        <v>12</v>
      </c>
      <c r="D34">
        <f>VLOOKUP(A34,技能参数,4,FALSE)</f>
        <v>1</v>
      </c>
      <c r="E34">
        <f>VLOOKUP(A34*1000+D30,学习等级编码,2)</f>
        <v>1102</v>
      </c>
      <c r="F34">
        <f>INT(VLOOKUP($E34,技能升级,9,FALSE)*$C34*I34*J34)</f>
        <v>12240</v>
      </c>
      <c r="G34">
        <f>INT(VLOOKUP($E34,技能升级,10,FALSE)*$C34*I34*J34)</f>
        <v>0</v>
      </c>
      <c r="H34">
        <f>INT(VLOOKUP($E34,技能升级,11,FALSE)*$C34*I34*J34)</f>
        <v>276</v>
      </c>
      <c r="I34">
        <v>1</v>
      </c>
      <c r="J34">
        <f>VLOOKUP(A30,$A$2:$I$21,7,FALSE)</f>
        <v>1</v>
      </c>
    </row>
    <row r="35" spans="1:11" x14ac:dyDescent="0.15">
      <c r="A35">
        <v>14</v>
      </c>
      <c r="B35" t="s">
        <v>11</v>
      </c>
      <c r="C35">
        <v>1</v>
      </c>
      <c r="D35">
        <v>0</v>
      </c>
      <c r="E35">
        <f>VLOOKUP(A35*1000+D30,学习等级编码,2)</f>
        <v>1401</v>
      </c>
      <c r="F35">
        <f>INT(VLOOKUP($E35,技能升级,9,FALSE)*$C35*I35*J35)</f>
        <v>0</v>
      </c>
      <c r="G35">
        <f>INT(VLOOKUP($E35,技能升级,10,FALSE)*$C35*I35*J35)</f>
        <v>0</v>
      </c>
      <c r="H35">
        <f>INT(VLOOKUP($E35,技能升级,11,FALSE)*$C35*I35*J35)</f>
        <v>0</v>
      </c>
      <c r="I35">
        <v>1</v>
      </c>
      <c r="J35">
        <v>1</v>
      </c>
    </row>
    <row r="36" spans="1:11" x14ac:dyDescent="0.15">
      <c r="B36" t="s">
        <v>399</v>
      </c>
      <c r="C36">
        <f>C44*D46+C45*D46*2</f>
        <v>3.6</v>
      </c>
      <c r="K36" t="s">
        <v>429</v>
      </c>
    </row>
    <row r="37" spans="1:11" x14ac:dyDescent="0.15">
      <c r="E37" t="s">
        <v>194</v>
      </c>
      <c r="F37">
        <f>SUM(F32:F34)/1000</f>
        <v>12.24</v>
      </c>
      <c r="G37">
        <f>SUM(G32:G34)/1000</f>
        <v>14</v>
      </c>
      <c r="H37">
        <f>SUM(H32:H34)</f>
        <v>556</v>
      </c>
      <c r="I37" t="s">
        <v>196</v>
      </c>
      <c r="J37" t="s">
        <v>197</v>
      </c>
    </row>
    <row r="38" spans="1:11" x14ac:dyDescent="0.15">
      <c r="E38" t="s">
        <v>195</v>
      </c>
      <c r="F38">
        <f>INT((IF($A30&gt;10000,VLOOKUP($A30,实战属性,13,FALSE),VLOOKUP($A30,总基本属性,7,FALSE))-
IF($B30&gt;10000,VLOOKUP($B30,实战属性,15,FALSE),VLOOKUP($B30,总基本属性,9,FALSE))*$L$13)*F37)</f>
        <v>1303</v>
      </c>
      <c r="G38">
        <f>INT((IF($A30&gt;10000,VLOOKUP($A30,实战属性,14,FALSE),VLOOKUP($A30,总基本属性,8,FALSE))-
IF($B30&gt;10000,VLOOKUP($B30,实战属性,16,FALSE),VLOOKUP($B30,总基本属性,10,FALSE))*$L$13)*G37)</f>
        <v>861</v>
      </c>
      <c r="H38">
        <f>H37+F38+G38</f>
        <v>2720</v>
      </c>
      <c r="I38">
        <f>IF($B30&gt;10000,VLOOKUP($B30,实战属性,12,FALSE),VLOOKUP($B30,总基本属性,6,FALSE))</f>
        <v>2784</v>
      </c>
      <c r="J38">
        <f>ROUND(I38/H38,2)</f>
        <v>1.02</v>
      </c>
    </row>
    <row r="41" spans="1:11" x14ac:dyDescent="0.15">
      <c r="A41" s="9" t="s">
        <v>198</v>
      </c>
      <c r="B41" s="9" t="s">
        <v>2</v>
      </c>
      <c r="C41" s="9" t="s">
        <v>178</v>
      </c>
      <c r="D41" s="9" t="s">
        <v>144</v>
      </c>
    </row>
    <row r="42" spans="1:11" x14ac:dyDescent="0.15">
      <c r="A42">
        <v>5010</v>
      </c>
      <c r="B42">
        <v>11101</v>
      </c>
      <c r="C42">
        <v>18</v>
      </c>
      <c r="D42">
        <f>MOD(A42,1000)</f>
        <v>10</v>
      </c>
    </row>
    <row r="43" spans="1:11" x14ac:dyDescent="0.15">
      <c r="A43" t="s">
        <v>156</v>
      </c>
      <c r="B43" t="s">
        <v>95</v>
      </c>
      <c r="C43" t="s">
        <v>142</v>
      </c>
      <c r="D43" t="s">
        <v>143</v>
      </c>
      <c r="E43" t="s">
        <v>182</v>
      </c>
      <c r="F43" t="s">
        <v>192</v>
      </c>
      <c r="G43" t="s">
        <v>193</v>
      </c>
      <c r="H43" t="s">
        <v>176</v>
      </c>
      <c r="I43" t="s">
        <v>205</v>
      </c>
      <c r="J43" t="s">
        <v>206</v>
      </c>
    </row>
    <row r="44" spans="1:11" x14ac:dyDescent="0.15">
      <c r="A44">
        <v>52</v>
      </c>
      <c r="B44" t="s">
        <v>44</v>
      </c>
      <c r="C44">
        <f>INT(C42/(VLOOKUP(A44,技能参数,5,FALSE)+2*VLOOKUP(A44,技能参数,4,FALSE))+1)</f>
        <v>2</v>
      </c>
      <c r="D44">
        <f>VLOOKUP(A44,技能参数,4,FALSE)</f>
        <v>1.5</v>
      </c>
      <c r="E44">
        <f>VLOOKUP(A44*1000+D42,学习等级编码,2)</f>
        <v>5201</v>
      </c>
      <c r="F44">
        <f>INT(VLOOKUP($E44,技能升级,9,FALSE)*$C44*I44*J44)</f>
        <v>5000</v>
      </c>
      <c r="G44">
        <f>INT(VLOOKUP($E44,技能升级,10,FALSE)*$C44*I44*J44)</f>
        <v>0</v>
      </c>
      <c r="H44">
        <f>INT(VLOOKUP($E44,技能升级,11,FALSE)*$C44*I44*J44)</f>
        <v>60</v>
      </c>
      <c r="I44">
        <v>1</v>
      </c>
      <c r="J44">
        <v>1</v>
      </c>
    </row>
    <row r="45" spans="1:11" x14ac:dyDescent="0.15">
      <c r="A45">
        <v>54</v>
      </c>
      <c r="B45" t="s">
        <v>40</v>
      </c>
      <c r="C45">
        <f>INT(C42/(VLOOKUP(A45,技能参数,5,FALSE)+2*VLOOKUP(A45,技能参数,4,FALSE))+1)</f>
        <v>1</v>
      </c>
      <c r="D45">
        <f>VLOOKUP(A45,技能参数,4,FALSE)</f>
        <v>1.2</v>
      </c>
      <c r="E45">
        <f>VLOOKUP(A45*1000+D42,学习等级编码,2)</f>
        <v>5401</v>
      </c>
      <c r="F45">
        <f>INT(VLOOKUP($E45,技能升级,9,FALSE)*$C45*I45*J45)</f>
        <v>2000</v>
      </c>
      <c r="G45">
        <f>INT(VLOOKUP($E45,技能升级,10,FALSE)*$C45*I45*J45)</f>
        <v>0</v>
      </c>
      <c r="H45">
        <f>INT(VLOOKUP($E45,技能升级,11,FALSE)*$C45*I45*J45)</f>
        <v>35</v>
      </c>
      <c r="I45">
        <v>1</v>
      </c>
      <c r="J45">
        <v>1</v>
      </c>
    </row>
    <row r="46" spans="1:11" x14ac:dyDescent="0.15">
      <c r="A46">
        <v>51</v>
      </c>
      <c r="B46" t="s">
        <v>203</v>
      </c>
      <c r="C46">
        <v>2</v>
      </c>
      <c r="D46">
        <f>VLOOKUP(A46,技能参数,4,FALSE)</f>
        <v>0.9</v>
      </c>
      <c r="E46">
        <f>VLOOKUP(A46*1000+D42,学习等级编码,2)</f>
        <v>5102</v>
      </c>
      <c r="F46">
        <f>INT(VLOOKUP($E46,技能升级,9,FALSE)*$C46*I46*J46)</f>
        <v>2540</v>
      </c>
      <c r="G46">
        <f>INT(VLOOKUP($E46,技能升级,10,FALSE)*$C46*I46*J46)</f>
        <v>0</v>
      </c>
      <c r="H46">
        <f>INT(VLOOKUP($E46,技能升级,11,FALSE)*$C46*I46*J46)</f>
        <v>46</v>
      </c>
      <c r="I46">
        <v>1</v>
      </c>
      <c r="J46">
        <v>1</v>
      </c>
    </row>
    <row r="47" spans="1:11" x14ac:dyDescent="0.15">
      <c r="A47">
        <v>51</v>
      </c>
      <c r="B47" t="s">
        <v>204</v>
      </c>
      <c r="C47">
        <f>INT((C42-C44*D44-C45*D45-D46*C46)/D47*3)</f>
        <v>40</v>
      </c>
      <c r="D47">
        <f>VLOOKUP(A47,技能参数,4,FALSE)</f>
        <v>0.9</v>
      </c>
      <c r="E47">
        <f>VLOOKUP(A47*1000+D42,学习等级编码,2)</f>
        <v>5102</v>
      </c>
      <c r="F47">
        <f>INT(VLOOKUP($E47,技能升级,9,FALSE)*$C47*I47*J47)</f>
        <v>22961</v>
      </c>
      <c r="G47">
        <f>INT(VLOOKUP($E47,技能升级,10,FALSE)*$C47*I47*J47)</f>
        <v>0</v>
      </c>
      <c r="H47">
        <f>INT(VLOOKUP($E47,技能升级,11,FALSE)*$C47*I47*J47)</f>
        <v>415</v>
      </c>
      <c r="I47">
        <f>F48/1000</f>
        <v>0.4</v>
      </c>
      <c r="J47">
        <f>VLOOKUP(A42,$A$2:$I$21,9,FALSE)</f>
        <v>1.1300000000000001</v>
      </c>
    </row>
    <row r="48" spans="1:11" x14ac:dyDescent="0.15">
      <c r="A48">
        <v>55</v>
      </c>
      <c r="B48" t="s">
        <v>271</v>
      </c>
      <c r="C48">
        <v>1</v>
      </c>
      <c r="D48">
        <v>0</v>
      </c>
      <c r="E48">
        <f>VLOOKUP(A48*1000+D42,学习等级编码,2)</f>
        <v>5501</v>
      </c>
      <c r="F48">
        <f>INT(VLOOKUP($E48,技能升级,14,FALSE)*$C48*I48)</f>
        <v>400</v>
      </c>
      <c r="G48">
        <f>INT(VLOOKUP($E48,技能升级,10,FALSE)*$C48*I48)</f>
        <v>0</v>
      </c>
      <c r="H48">
        <f>INT(VLOOKUP($E48,技能升级,11,FALSE)*$C48*I48*J48)</f>
        <v>0</v>
      </c>
      <c r="I48">
        <v>1</v>
      </c>
      <c r="J48">
        <v>1</v>
      </c>
    </row>
    <row r="49" spans="1:10" x14ac:dyDescent="0.15">
      <c r="E49" t="s">
        <v>194</v>
      </c>
      <c r="F49">
        <f>SUM(F44:F47)/1000</f>
        <v>32.500999999999998</v>
      </c>
      <c r="G49">
        <f>SUM(G44:G47)/1000</f>
        <v>0</v>
      </c>
      <c r="H49">
        <f>SUM(H44:H47)</f>
        <v>556</v>
      </c>
      <c r="I49" t="s">
        <v>196</v>
      </c>
      <c r="J49" t="s">
        <v>197</v>
      </c>
    </row>
    <row r="50" spans="1:10" x14ac:dyDescent="0.15">
      <c r="E50" t="s">
        <v>195</v>
      </c>
      <c r="F50">
        <f>INT((IF($A42&gt;10000,VLOOKUP($A42,实战属性,13,FALSE),VLOOKUP($A42,总基本属性,7,FALSE))-
IF($B42&gt;10000,VLOOKUP($B42,实战属性,15,FALSE),VLOOKUP($B42,总基本属性,9,FALSE))*$L$13)*F49)</f>
        <v>4858</v>
      </c>
      <c r="G50">
        <f>INT((IF($A42&gt;10000,VLOOKUP($A42,实战属性,14,FALSE),VLOOKUP($A42,总基本属性,8,FALSE))-
IF($B42&gt;10000,VLOOKUP($B42,实战属性,16,FALSE),VLOOKUP($B42,总基本属性,10,FALSE))*$L$13)*G49)</f>
        <v>0</v>
      </c>
      <c r="H50">
        <f>H49+F50+G50</f>
        <v>5414</v>
      </c>
      <c r="I50">
        <f>IF($B42&gt;10000,VLOOKUP($B42,实战属性,12,FALSE),VLOOKUP($B42,总基本属性,6,FALSE))</f>
        <v>5484</v>
      </c>
      <c r="J50">
        <f>ROUND(I50/H50,2)</f>
        <v>1.01</v>
      </c>
    </row>
    <row r="53" spans="1:10" x14ac:dyDescent="0.15">
      <c r="A53" s="8" t="s">
        <v>2</v>
      </c>
      <c r="B53" s="8" t="s">
        <v>198</v>
      </c>
      <c r="C53" s="8" t="s">
        <v>178</v>
      </c>
      <c r="D53" s="8" t="s">
        <v>0</v>
      </c>
    </row>
    <row r="54" spans="1:10" x14ac:dyDescent="0.15">
      <c r="A54">
        <f>A30+1</f>
        <v>11102</v>
      </c>
      <c r="B54">
        <f>B30+10</f>
        <v>5020</v>
      </c>
      <c r="C54">
        <v>19</v>
      </c>
      <c r="D54">
        <f>MOD(B54,1000)</f>
        <v>20</v>
      </c>
    </row>
    <row r="55" spans="1:10" x14ac:dyDescent="0.15">
      <c r="A55" t="s">
        <v>156</v>
      </c>
      <c r="B55" t="s">
        <v>95</v>
      </c>
      <c r="C55" t="s">
        <v>177</v>
      </c>
      <c r="D55" t="s">
        <v>143</v>
      </c>
      <c r="E55" t="s">
        <v>182</v>
      </c>
      <c r="F55" t="s">
        <v>192</v>
      </c>
      <c r="G55" t="s">
        <v>193</v>
      </c>
      <c r="H55" t="s">
        <v>176</v>
      </c>
      <c r="I55" t="s">
        <v>205</v>
      </c>
      <c r="J55" t="s">
        <v>206</v>
      </c>
    </row>
    <row r="56" spans="1:10" x14ac:dyDescent="0.15">
      <c r="A56">
        <v>12</v>
      </c>
      <c r="B56" t="s">
        <v>9</v>
      </c>
      <c r="C56">
        <f>INT(C54-C60)</f>
        <v>15</v>
      </c>
      <c r="D56">
        <f>VLOOKUP(A56,技能参数,4,FALSE)</f>
        <v>0.6</v>
      </c>
      <c r="E56">
        <f>VLOOKUP(A56*1000+D54,学习等级编码,2)</f>
        <v>1202</v>
      </c>
      <c r="F56">
        <f>INT(VLOOKUP($E56,技能升级,9,FALSE)*$C56*I56*J56)</f>
        <v>0</v>
      </c>
      <c r="G56">
        <f>INT(VLOOKUP($E56,技能升级,10,FALSE)*$C56*I56*J56)</f>
        <v>15450</v>
      </c>
      <c r="H56">
        <f>INT(VLOOKUP($E56,技能升级,11,FALSE)*$C56*I56*J56)</f>
        <v>510</v>
      </c>
      <c r="I56">
        <v>1</v>
      </c>
      <c r="J56">
        <f>VLOOKUP(A54,$A$2:$I$21,8,FALSE)</f>
        <v>1</v>
      </c>
    </row>
    <row r="57" spans="1:10" x14ac:dyDescent="0.15">
      <c r="A57">
        <v>15</v>
      </c>
      <c r="B57" t="s">
        <v>12</v>
      </c>
      <c r="C57">
        <v>1</v>
      </c>
      <c r="D57">
        <f>VLOOKUP(A57,技能参数,4,FALSE)</f>
        <v>1.5</v>
      </c>
      <c r="E57">
        <f>VLOOKUP(A57*1000+D54,学习等级编码,2)</f>
        <v>1501</v>
      </c>
      <c r="F57">
        <f>INT(VLOOKUP($E57,技能升级,9,FALSE)*$C57*I57*J57)</f>
        <v>0</v>
      </c>
      <c r="G57">
        <f>INT(VLOOKUP($E57,技能升级,10,FALSE)*$C57*I57*J57)</f>
        <v>0</v>
      </c>
      <c r="H57">
        <f>INT(VLOOKUP($E57,技能升级,11,FALSE)*$C57*I57*J57)</f>
        <v>0</v>
      </c>
      <c r="I57">
        <v>1</v>
      </c>
      <c r="J57">
        <v>1</v>
      </c>
    </row>
    <row r="58" spans="1:10" x14ac:dyDescent="0.15">
      <c r="A58">
        <v>11</v>
      </c>
      <c r="B58" t="s">
        <v>94</v>
      </c>
      <c r="C58">
        <f>INT((C54-D56-D57-C60)/D58)</f>
        <v>13</v>
      </c>
      <c r="D58">
        <f>VLOOKUP(A58,技能参数,4,FALSE)</f>
        <v>1</v>
      </c>
      <c r="E58">
        <f>VLOOKUP(A58*1000+D54,学习等级编码,2)</f>
        <v>1103</v>
      </c>
      <c r="F58">
        <f>INT(VLOOKUP($E58,技能升级,9,FALSE)*$C58*I58*J58)</f>
        <v>13520</v>
      </c>
      <c r="G58">
        <f>INT(VLOOKUP($E58,技能升级,10,FALSE)*$C58*I58*J58)</f>
        <v>0</v>
      </c>
      <c r="H58">
        <f>INT(VLOOKUP($E58,技能升级,11,FALSE)*$C58*I58*J58)</f>
        <v>481</v>
      </c>
      <c r="I58">
        <v>1</v>
      </c>
      <c r="J58">
        <f>VLOOKUP(A54,$A$2:$I$21,7,FALSE)</f>
        <v>1</v>
      </c>
    </row>
    <row r="59" spans="1:10" x14ac:dyDescent="0.15">
      <c r="A59">
        <v>14</v>
      </c>
      <c r="B59" t="s">
        <v>11</v>
      </c>
      <c r="C59">
        <v>1</v>
      </c>
      <c r="D59">
        <v>0</v>
      </c>
      <c r="E59">
        <f>VLOOKUP(A59*1000+D54,学习等级编码,2)</f>
        <v>1402</v>
      </c>
      <c r="F59">
        <f>INT(VLOOKUP($E59,技能升级,9,FALSE)*$C59*I59*J59)</f>
        <v>0</v>
      </c>
      <c r="G59">
        <f>INT(VLOOKUP($E59,技能升级,10,FALSE)*$C59*I59*J59)</f>
        <v>0</v>
      </c>
      <c r="H59">
        <f>INT(VLOOKUP($E59,技能升级,11,FALSE)*$C59*I59*J59)</f>
        <v>0</v>
      </c>
      <c r="I59">
        <v>1</v>
      </c>
      <c r="J59">
        <v>1</v>
      </c>
    </row>
    <row r="60" spans="1:10" x14ac:dyDescent="0.15">
      <c r="B60" t="s">
        <v>399</v>
      </c>
      <c r="C60">
        <f>C68*D70+C69*D70*2</f>
        <v>3.6</v>
      </c>
    </row>
    <row r="61" spans="1:10" x14ac:dyDescent="0.15">
      <c r="E61" t="s">
        <v>194</v>
      </c>
      <c r="F61">
        <f>SUM(F56:F58)/1000</f>
        <v>13.52</v>
      </c>
      <c r="G61">
        <f>SUM(G56:G58)/1000</f>
        <v>15.45</v>
      </c>
      <c r="H61">
        <f>SUM(H56:H58)</f>
        <v>991</v>
      </c>
      <c r="I61" t="s">
        <v>196</v>
      </c>
      <c r="J61" t="s">
        <v>197</v>
      </c>
    </row>
    <row r="62" spans="1:10" x14ac:dyDescent="0.15">
      <c r="E62" t="s">
        <v>195</v>
      </c>
      <c r="F62">
        <f>INT((IF($A54&gt;10000,VLOOKUP($A54,实战属性,13,FALSE),VLOOKUP($A54,总基本属性,7,FALSE))-
IF($B54&gt;10000,VLOOKUP($B54,实战属性,15,FALSE),VLOOKUP($B54,总基本属性,9,FALSE))*$L$13)*F61)</f>
        <v>3454</v>
      </c>
      <c r="G62">
        <f>INT((IF($A54&gt;10000,VLOOKUP($A54,实战属性,14,FALSE),VLOOKUP($A54,总基本属性,8,FALSE))-
IF($B54&gt;10000,VLOOKUP($B54,实战属性,16,FALSE),VLOOKUP($B54,总基本属性,10,FALSE))*$L$13)*G61)</f>
        <v>3530</v>
      </c>
      <c r="H62">
        <f>H61+F62+G62</f>
        <v>7975</v>
      </c>
      <c r="I62">
        <f>IF($B54&gt;10000,VLOOKUP($B54,实战属性,12,FALSE),VLOOKUP($B54,总基本属性,6,FALSE))</f>
        <v>8352</v>
      </c>
      <c r="J62">
        <f>ROUND(I62/H62,2)</f>
        <v>1.05</v>
      </c>
    </row>
    <row r="65" spans="1:10" x14ac:dyDescent="0.15">
      <c r="A65" s="9" t="s">
        <v>198</v>
      </c>
      <c r="B65" s="9" t="s">
        <v>2</v>
      </c>
      <c r="C65" s="9" t="s">
        <v>178</v>
      </c>
      <c r="D65" s="9" t="s">
        <v>144</v>
      </c>
    </row>
    <row r="66" spans="1:10" x14ac:dyDescent="0.15">
      <c r="A66">
        <f>A42+10</f>
        <v>5020</v>
      </c>
      <c r="B66">
        <f>B42+1</f>
        <v>11102</v>
      </c>
      <c r="C66">
        <v>19</v>
      </c>
      <c r="D66">
        <f>MOD(A66,1000)</f>
        <v>20</v>
      </c>
    </row>
    <row r="67" spans="1:10" x14ac:dyDescent="0.15">
      <c r="A67" t="s">
        <v>156</v>
      </c>
      <c r="B67" t="s">
        <v>95</v>
      </c>
      <c r="C67" t="s">
        <v>142</v>
      </c>
      <c r="D67" t="s">
        <v>143</v>
      </c>
      <c r="E67" t="s">
        <v>182</v>
      </c>
      <c r="F67" t="s">
        <v>192</v>
      </c>
      <c r="G67" t="s">
        <v>193</v>
      </c>
      <c r="H67" t="s">
        <v>176</v>
      </c>
      <c r="I67" t="s">
        <v>205</v>
      </c>
      <c r="J67" t="s">
        <v>206</v>
      </c>
    </row>
    <row r="68" spans="1:10" x14ac:dyDescent="0.15">
      <c r="A68">
        <v>52</v>
      </c>
      <c r="B68" t="s">
        <v>44</v>
      </c>
      <c r="C68">
        <f>INT(C66/(VLOOKUP(A68,技能参数,5,FALSE)+2*VLOOKUP(A68,技能参数,4,FALSE))+1)</f>
        <v>2</v>
      </c>
      <c r="D68">
        <f>VLOOKUP(A68,技能参数,4,FALSE)</f>
        <v>1.5</v>
      </c>
      <c r="E68">
        <f>VLOOKUP(A68*1000+D66,学习等级编码,2)</f>
        <v>5202</v>
      </c>
      <c r="F68">
        <f>INT(VLOOKUP($E68,技能升级,9,FALSE)*$C68*I68*J68)</f>
        <v>5160</v>
      </c>
      <c r="G68">
        <f>INT(VLOOKUP($E68,技能升级,10,FALSE)*$C68*I68*J68)</f>
        <v>0</v>
      </c>
      <c r="H68">
        <f>INT(VLOOKUP($E68,技能升级,11,FALSE)*$C68*I68*J68)</f>
        <v>88</v>
      </c>
      <c r="I68">
        <v>1</v>
      </c>
      <c r="J68">
        <v>1</v>
      </c>
    </row>
    <row r="69" spans="1:10" x14ac:dyDescent="0.15">
      <c r="A69">
        <v>54</v>
      </c>
      <c r="B69" t="s">
        <v>40</v>
      </c>
      <c r="C69">
        <f>INT(C66/(VLOOKUP(A69,技能参数,5,FALSE)+2*VLOOKUP(A69,技能参数,4,FALSE))+1)</f>
        <v>1</v>
      </c>
      <c r="D69">
        <f>VLOOKUP(A69,技能参数,4,FALSE)</f>
        <v>1.2</v>
      </c>
      <c r="E69">
        <f>VLOOKUP(A69*1000+D66,学习等级编码,2)</f>
        <v>5402</v>
      </c>
      <c r="F69">
        <f>INT(VLOOKUP($E69,技能升级,9,FALSE)*$C69*I69*J69)</f>
        <v>2070</v>
      </c>
      <c r="G69">
        <f>INT(VLOOKUP($E69,技能升级,10,FALSE)*$C69*I69*J69)</f>
        <v>0</v>
      </c>
      <c r="H69">
        <f>INT(VLOOKUP($E69,技能升级,11,FALSE)*$C69*I69*J69)</f>
        <v>55</v>
      </c>
      <c r="I69">
        <v>1</v>
      </c>
      <c r="J69">
        <v>1</v>
      </c>
    </row>
    <row r="70" spans="1:10" x14ac:dyDescent="0.15">
      <c r="A70">
        <v>51</v>
      </c>
      <c r="B70" t="s">
        <v>203</v>
      </c>
      <c r="C70">
        <v>2</v>
      </c>
      <c r="D70">
        <f>VLOOKUP(A70,技能参数,4,FALSE)</f>
        <v>0.9</v>
      </c>
      <c r="E70">
        <f>VLOOKUP(A70*1000+D66,学习等级编码,2)</f>
        <v>5103</v>
      </c>
      <c r="F70">
        <f>INT(VLOOKUP($E70,技能升级,9,FALSE)*$C70*I70*J70)</f>
        <v>2580</v>
      </c>
      <c r="G70">
        <f>INT(VLOOKUP($E70,技能升级,10,FALSE)*$C70*I70*J70)</f>
        <v>0</v>
      </c>
      <c r="H70">
        <f>INT(VLOOKUP($E70,技能升级,11,FALSE)*$C70*I70*J70)</f>
        <v>74</v>
      </c>
      <c r="I70">
        <v>1</v>
      </c>
      <c r="J70">
        <v>1</v>
      </c>
    </row>
    <row r="71" spans="1:10" x14ac:dyDescent="0.15">
      <c r="A71">
        <v>51</v>
      </c>
      <c r="B71" t="s">
        <v>204</v>
      </c>
      <c r="C71">
        <f>INT((C66-C68*D68-C69*D69-D70*C70)/D71*3)</f>
        <v>43</v>
      </c>
      <c r="D71">
        <f>VLOOKUP(A71,技能参数,4,FALSE)</f>
        <v>0.9</v>
      </c>
      <c r="E71">
        <f>VLOOKUP(A71*1000+D66,学习等级编码,2)</f>
        <v>5103</v>
      </c>
      <c r="F71">
        <f>INT(VLOOKUP($E71,技能升级,9,FALSE)*$C71*I71*J71)</f>
        <v>25516</v>
      </c>
      <c r="G71">
        <f>INT(VLOOKUP($E71,技能升级,10,FALSE)*$C71*I71*J71)</f>
        <v>0</v>
      </c>
      <c r="H71">
        <f>INT(VLOOKUP($E71,技能升级,11,FALSE)*$C71*I71*J71)</f>
        <v>731</v>
      </c>
      <c r="I71">
        <f>F72/1000</f>
        <v>0.4</v>
      </c>
      <c r="J71">
        <f>VLOOKUP(A66,$A$2:$I$21,9,FALSE)</f>
        <v>1.1499999999999999</v>
      </c>
    </row>
    <row r="72" spans="1:10" x14ac:dyDescent="0.15">
      <c r="A72">
        <v>55</v>
      </c>
      <c r="B72" t="s">
        <v>271</v>
      </c>
      <c r="C72">
        <v>1</v>
      </c>
      <c r="D72">
        <v>0</v>
      </c>
      <c r="E72">
        <f>VLOOKUP(A72*1000+D66,学习等级编码,2)</f>
        <v>5501</v>
      </c>
      <c r="F72">
        <f>INT(VLOOKUP($E72,技能升级,14,FALSE)*$C72*I72)</f>
        <v>400</v>
      </c>
      <c r="G72">
        <f>INT(VLOOKUP($E72,技能升级,10,FALSE)*$C72*I72)</f>
        <v>0</v>
      </c>
      <c r="H72">
        <f>INT(VLOOKUP($E72,技能升级,11,FALSE)*$C72*I72*J72)</f>
        <v>0</v>
      </c>
      <c r="I72">
        <v>1</v>
      </c>
      <c r="J72">
        <v>1</v>
      </c>
    </row>
    <row r="73" spans="1:10" x14ac:dyDescent="0.15">
      <c r="E73" t="s">
        <v>194</v>
      </c>
      <c r="F73">
        <f>SUM(F68:F71)/1000</f>
        <v>35.326000000000001</v>
      </c>
      <c r="G73">
        <f>SUM(G68:G71)/1000</f>
        <v>0</v>
      </c>
      <c r="H73">
        <f>SUM(H68:H71)</f>
        <v>948</v>
      </c>
      <c r="I73" t="s">
        <v>196</v>
      </c>
      <c r="J73" t="s">
        <v>197</v>
      </c>
    </row>
    <row r="74" spans="1:10" x14ac:dyDescent="0.15">
      <c r="E74" t="s">
        <v>195</v>
      </c>
      <c r="F74">
        <f>INT((IF($A66&gt;10000,VLOOKUP($A66,实战属性,13,FALSE),VLOOKUP($A66,总基本属性,7,FALSE))-
IF($B66&gt;10000,VLOOKUP($B66,实战属性,15,FALSE),VLOOKUP($B66,总基本属性,9,FALSE))*$L$13)*F73)</f>
        <v>13582</v>
      </c>
      <c r="G74">
        <f>INT((IF($A66&gt;10000,VLOOKUP($A66,实战属性,14,FALSE),VLOOKUP($A66,总基本属性,8,FALSE))-
IF($B66&gt;10000,VLOOKUP($B66,实战属性,16,FALSE),VLOOKUP($B66,总基本属性,10,FALSE))*$L$13)*G73)</f>
        <v>0</v>
      </c>
      <c r="H74">
        <f>H73+F74+G74</f>
        <v>14530</v>
      </c>
      <c r="I74">
        <f>IF($B66&gt;10000,VLOOKUP($B66,实战属性,12,FALSE),VLOOKUP($B66,总基本属性,6,FALSE))</f>
        <v>14971</v>
      </c>
      <c r="J74">
        <f>ROUND(I74/H74,2)</f>
        <v>1.03</v>
      </c>
    </row>
    <row r="77" spans="1:10" x14ac:dyDescent="0.15">
      <c r="A77" s="8" t="s">
        <v>2</v>
      </c>
      <c r="B77" s="8" t="s">
        <v>198</v>
      </c>
      <c r="C77" s="8" t="s">
        <v>178</v>
      </c>
      <c r="D77" s="8" t="s">
        <v>0</v>
      </c>
    </row>
    <row r="78" spans="1:10" x14ac:dyDescent="0.15">
      <c r="A78">
        <f>A54+1</f>
        <v>11103</v>
      </c>
      <c r="B78">
        <f>B54+10</f>
        <v>5030</v>
      </c>
      <c r="C78">
        <v>20</v>
      </c>
      <c r="D78">
        <f>MOD(B78,1000)</f>
        <v>30</v>
      </c>
    </row>
    <row r="79" spans="1:10" x14ac:dyDescent="0.15">
      <c r="A79" t="s">
        <v>156</v>
      </c>
      <c r="B79" t="s">
        <v>95</v>
      </c>
      <c r="C79" t="s">
        <v>177</v>
      </c>
      <c r="D79" t="s">
        <v>143</v>
      </c>
      <c r="E79" t="s">
        <v>182</v>
      </c>
      <c r="F79" t="s">
        <v>192</v>
      </c>
      <c r="G79" t="s">
        <v>193</v>
      </c>
      <c r="H79" t="s">
        <v>176</v>
      </c>
      <c r="I79" t="s">
        <v>205</v>
      </c>
      <c r="J79" t="s">
        <v>206</v>
      </c>
    </row>
    <row r="80" spans="1:10" x14ac:dyDescent="0.15">
      <c r="A80">
        <v>12</v>
      </c>
      <c r="B80" t="s">
        <v>9</v>
      </c>
      <c r="C80">
        <f>INT(C78-C84)</f>
        <v>16</v>
      </c>
      <c r="D80">
        <f>VLOOKUP(A80,技能参数,4,FALSE)</f>
        <v>0.6</v>
      </c>
      <c r="E80">
        <f>VLOOKUP(A80*1000+D78,学习等级编码,2)</f>
        <v>1203</v>
      </c>
      <c r="F80">
        <f>INT(VLOOKUP($E80,技能升级,9,FALSE)*$C80*I80*J80)</f>
        <v>0</v>
      </c>
      <c r="G80">
        <f>INT(VLOOKUP($E80,技能升级,10,FALSE)*$C80*I80*J80)</f>
        <v>17120</v>
      </c>
      <c r="H80">
        <f>INT(VLOOKUP($E80,技能升级,11,FALSE)*$C80*I80*J80)</f>
        <v>1008</v>
      </c>
      <c r="I80">
        <v>1</v>
      </c>
      <c r="J80">
        <f>VLOOKUP(A78,$A$2:$I$21,8,FALSE)</f>
        <v>1</v>
      </c>
    </row>
    <row r="81" spans="1:10" x14ac:dyDescent="0.15">
      <c r="A81">
        <v>15</v>
      </c>
      <c r="B81" t="s">
        <v>12</v>
      </c>
      <c r="C81">
        <v>1</v>
      </c>
      <c r="D81">
        <f>VLOOKUP(A81,技能参数,4,FALSE)</f>
        <v>1.5</v>
      </c>
      <c r="E81">
        <f>VLOOKUP(A81*1000+D78,学习等级编码,2)</f>
        <v>1502</v>
      </c>
      <c r="F81">
        <f>INT(VLOOKUP($E81,技能升级,9,FALSE)*$C81*I81*J81)</f>
        <v>0</v>
      </c>
      <c r="G81">
        <f>INT(VLOOKUP($E81,技能升级,10,FALSE)*$C81*I81*J81)</f>
        <v>0</v>
      </c>
      <c r="H81">
        <f>INT(VLOOKUP($E81,技能升级,11,FALSE)*$C81*I81*J81)</f>
        <v>0</v>
      </c>
      <c r="I81">
        <v>1</v>
      </c>
      <c r="J81">
        <v>1</v>
      </c>
    </row>
    <row r="82" spans="1:10" x14ac:dyDescent="0.15">
      <c r="A82">
        <v>11</v>
      </c>
      <c r="B82" t="s">
        <v>94</v>
      </c>
      <c r="C82">
        <f>INT((C78-D80-D81-C84)/D82)</f>
        <v>14</v>
      </c>
      <c r="D82">
        <f>VLOOKUP(A82,技能参数,4,FALSE)</f>
        <v>1</v>
      </c>
      <c r="E82">
        <f>VLOOKUP(A82*1000+D78,学习等级编码,2)</f>
        <v>1105</v>
      </c>
      <c r="F82">
        <f>INT(VLOOKUP($E82,技能升级,9,FALSE)*$C82*I82*J82)</f>
        <v>15260</v>
      </c>
      <c r="G82">
        <f>INT(VLOOKUP($E82,技能升级,10,FALSE)*$C82*I82*J82)</f>
        <v>0</v>
      </c>
      <c r="H82">
        <f>INT(VLOOKUP($E82,技能升级,11,FALSE)*$C82*I82*J82)</f>
        <v>1232</v>
      </c>
      <c r="I82">
        <v>1</v>
      </c>
      <c r="J82">
        <f>VLOOKUP(A78,$A$2:$I$21,7,FALSE)</f>
        <v>1</v>
      </c>
    </row>
    <row r="83" spans="1:10" x14ac:dyDescent="0.15">
      <c r="A83">
        <v>14</v>
      </c>
      <c r="B83" t="s">
        <v>11</v>
      </c>
      <c r="C83">
        <v>1</v>
      </c>
      <c r="D83">
        <v>0</v>
      </c>
      <c r="E83">
        <f>VLOOKUP(A83*1000+D78,学习等级编码,2)</f>
        <v>1403</v>
      </c>
      <c r="F83">
        <f>INT(VLOOKUP($E83,技能升级,9,FALSE)*$C83*I83*J83)</f>
        <v>0</v>
      </c>
      <c r="G83">
        <f>INT(VLOOKUP($E83,技能升级,10,FALSE)*$C83*I83*J83)</f>
        <v>0</v>
      </c>
      <c r="H83">
        <f>INT(VLOOKUP($E83,技能升级,11,FALSE)*$C83*I83*J83)</f>
        <v>0</v>
      </c>
      <c r="I83">
        <v>1</v>
      </c>
      <c r="J83">
        <v>1</v>
      </c>
    </row>
    <row r="84" spans="1:10" x14ac:dyDescent="0.15">
      <c r="B84" t="s">
        <v>399</v>
      </c>
      <c r="C84">
        <f>C92*D94+C93*D94*2</f>
        <v>3.6</v>
      </c>
    </row>
    <row r="85" spans="1:10" x14ac:dyDescent="0.15">
      <c r="E85" t="s">
        <v>194</v>
      </c>
      <c r="F85">
        <f>SUM(F80:F82)/1000</f>
        <v>15.26</v>
      </c>
      <c r="G85">
        <f>SUM(G80:G82)/1000</f>
        <v>17.12</v>
      </c>
      <c r="H85">
        <f>SUM(H80:H82)</f>
        <v>2240</v>
      </c>
      <c r="I85" t="s">
        <v>196</v>
      </c>
      <c r="J85" t="s">
        <v>197</v>
      </c>
    </row>
    <row r="86" spans="1:10" x14ac:dyDescent="0.15">
      <c r="E86" t="s">
        <v>195</v>
      </c>
      <c r="F86">
        <f>INT((IF($A78&gt;10000,VLOOKUP($A78,实战属性,13,FALSE),VLOOKUP($A78,总基本属性,7,FALSE))-
IF($B78&gt;10000,VLOOKUP($B78,实战属性,15,FALSE),VLOOKUP($B78,总基本属性,9,FALSE))*$L$13)*F85)</f>
        <v>7530</v>
      </c>
      <c r="G86">
        <f>INT((IF($A78&gt;10000,VLOOKUP($A78,实战属性,14,FALSE),VLOOKUP($A78,总基本属性,8,FALSE))-
IF($B78&gt;10000,VLOOKUP($B78,实战属性,16,FALSE),VLOOKUP($B78,总基本属性,10,FALSE))*$L$13)*G85)</f>
        <v>7575</v>
      </c>
      <c r="H86">
        <f>H85+F86+G86</f>
        <v>17345</v>
      </c>
      <c r="I86">
        <f>IF($B78&gt;10000,VLOOKUP($B78,实战属性,12,FALSE),VLOOKUP($B78,总基本属性,6,FALSE))</f>
        <v>17184</v>
      </c>
      <c r="J86">
        <f>ROUND(I86/H86,2)</f>
        <v>0.99</v>
      </c>
    </row>
    <row r="89" spans="1:10" x14ac:dyDescent="0.15">
      <c r="A89" s="9" t="s">
        <v>198</v>
      </c>
      <c r="B89" s="9" t="s">
        <v>2</v>
      </c>
      <c r="C89" s="9" t="s">
        <v>178</v>
      </c>
      <c r="D89" s="9" t="s">
        <v>144</v>
      </c>
    </row>
    <row r="90" spans="1:10" x14ac:dyDescent="0.15">
      <c r="A90">
        <f>A66+10</f>
        <v>5030</v>
      </c>
      <c r="B90">
        <f>B66+1</f>
        <v>11103</v>
      </c>
      <c r="C90">
        <v>20</v>
      </c>
      <c r="D90">
        <f>MOD(A90,1000)</f>
        <v>30</v>
      </c>
    </row>
    <row r="91" spans="1:10" x14ac:dyDescent="0.15">
      <c r="A91" t="s">
        <v>156</v>
      </c>
      <c r="B91" t="s">
        <v>95</v>
      </c>
      <c r="C91" t="s">
        <v>142</v>
      </c>
      <c r="D91" t="s">
        <v>143</v>
      </c>
      <c r="E91" t="s">
        <v>182</v>
      </c>
      <c r="F91" t="s">
        <v>192</v>
      </c>
      <c r="G91" t="s">
        <v>193</v>
      </c>
      <c r="H91" t="s">
        <v>176</v>
      </c>
      <c r="I91" t="s">
        <v>205</v>
      </c>
      <c r="J91" t="s">
        <v>206</v>
      </c>
    </row>
    <row r="92" spans="1:10" x14ac:dyDescent="0.15">
      <c r="A92">
        <v>52</v>
      </c>
      <c r="B92" t="s">
        <v>44</v>
      </c>
      <c r="C92">
        <f>INT(C90/(VLOOKUP(A92,技能参数,5,FALSE)+2*VLOOKUP(A92,技能参数,4,FALSE))+1)</f>
        <v>2</v>
      </c>
      <c r="D92">
        <f>VLOOKUP(A92,技能参数,4,FALSE)</f>
        <v>1.5</v>
      </c>
      <c r="E92">
        <f>VLOOKUP(A92*1000+D90,学习等级编码,2)</f>
        <v>5203</v>
      </c>
      <c r="F92">
        <f>INT(VLOOKUP($E92,技能升级,9,FALSE)*$C92*I92*J92)</f>
        <v>5340</v>
      </c>
      <c r="G92">
        <f>INT(VLOOKUP($E92,技能升级,10,FALSE)*$C92*I92*J92)</f>
        <v>0</v>
      </c>
      <c r="H92">
        <f>INT(VLOOKUP($E92,技能升级,11,FALSE)*$C92*I92*J92)</f>
        <v>146</v>
      </c>
      <c r="I92">
        <v>1</v>
      </c>
      <c r="J92">
        <v>1</v>
      </c>
    </row>
    <row r="93" spans="1:10" x14ac:dyDescent="0.15">
      <c r="A93">
        <v>54</v>
      </c>
      <c r="B93" t="s">
        <v>40</v>
      </c>
      <c r="C93">
        <f>INT(C90/(VLOOKUP(A93,技能参数,5,FALSE)+2*VLOOKUP(A93,技能参数,4,FALSE))+1)</f>
        <v>1</v>
      </c>
      <c r="D93">
        <f>VLOOKUP(A93,技能参数,4,FALSE)</f>
        <v>1.2</v>
      </c>
      <c r="E93">
        <f>VLOOKUP(A93*1000+D90,学习等级编码,2)</f>
        <v>5403</v>
      </c>
      <c r="F93">
        <f>INT(VLOOKUP($E93,技能升级,9,FALSE)*$C93*I93*J93)</f>
        <v>2130</v>
      </c>
      <c r="G93">
        <f>INT(VLOOKUP($E93,技能升级,10,FALSE)*$C93*I93*J93)</f>
        <v>0</v>
      </c>
      <c r="H93">
        <f>INT(VLOOKUP($E93,技能升级,11,FALSE)*$C93*I93*J93)</f>
        <v>90</v>
      </c>
      <c r="I93">
        <v>1</v>
      </c>
      <c r="J93">
        <v>1</v>
      </c>
    </row>
    <row r="94" spans="1:10" x14ac:dyDescent="0.15">
      <c r="A94">
        <v>51</v>
      </c>
      <c r="B94" t="s">
        <v>203</v>
      </c>
      <c r="C94">
        <v>2</v>
      </c>
      <c r="D94">
        <f>VLOOKUP(A94,技能参数,4,FALSE)</f>
        <v>0.9</v>
      </c>
      <c r="E94">
        <f>VLOOKUP(A94*1000+D90,学习等级编码,2)</f>
        <v>5105</v>
      </c>
      <c r="F94">
        <f>INT(VLOOKUP($E94,技能升级,9,FALSE)*$C94*I94*J94)</f>
        <v>2680</v>
      </c>
      <c r="G94">
        <f>INT(VLOOKUP($E94,技能升级,10,FALSE)*$C94*I94*J94)</f>
        <v>0</v>
      </c>
      <c r="H94">
        <f>INT(VLOOKUP($E94,技能升级,11,FALSE)*$C94*I94*J94)</f>
        <v>176</v>
      </c>
      <c r="I94">
        <v>1</v>
      </c>
      <c r="J94">
        <v>1</v>
      </c>
    </row>
    <row r="95" spans="1:10" x14ac:dyDescent="0.15">
      <c r="A95">
        <v>51</v>
      </c>
      <c r="B95" t="s">
        <v>204</v>
      </c>
      <c r="C95">
        <f>INT((C90-C92*D92-C93*D93-D94*C94)/D95*3)</f>
        <v>46</v>
      </c>
      <c r="D95">
        <f>VLOOKUP(A95,技能参数,4,FALSE)</f>
        <v>0.9</v>
      </c>
      <c r="E95">
        <f>VLOOKUP(A95*1000+D90,学习等级编码,2)</f>
        <v>5105</v>
      </c>
      <c r="F95">
        <f>INT(VLOOKUP($E95,技能升级,9,FALSE)*$C95*I95*J95)</f>
        <v>30548</v>
      </c>
      <c r="G95">
        <f>INT(VLOOKUP($E95,技能升级,10,FALSE)*$C95*I95*J95)</f>
        <v>0</v>
      </c>
      <c r="H95">
        <f>INT(VLOOKUP($E95,技能升级,11,FALSE)*$C95*I95*J95)</f>
        <v>2006</v>
      </c>
      <c r="I95">
        <f>F96/1000</f>
        <v>0.42</v>
      </c>
      <c r="J95">
        <f>VLOOKUP(A90,$A$2:$I$21,9,FALSE)</f>
        <v>1.18</v>
      </c>
    </row>
    <row r="96" spans="1:10" x14ac:dyDescent="0.15">
      <c r="A96">
        <v>55</v>
      </c>
      <c r="B96" t="s">
        <v>271</v>
      </c>
      <c r="C96">
        <v>1</v>
      </c>
      <c r="D96">
        <v>0</v>
      </c>
      <c r="E96">
        <f>VLOOKUP(A96*1000+D90,学习等级编码,2)</f>
        <v>5502</v>
      </c>
      <c r="F96">
        <f>INT(VLOOKUP($E96,技能升级,14,FALSE)*$C96*I96)</f>
        <v>420</v>
      </c>
      <c r="G96">
        <f>INT(VLOOKUP($E96,技能升级,10,FALSE)*$C96*I96)</f>
        <v>0</v>
      </c>
      <c r="H96">
        <f>INT(VLOOKUP($E96,技能升级,11,FALSE)*$C96*I96*J96)</f>
        <v>0</v>
      </c>
      <c r="I96">
        <v>1</v>
      </c>
      <c r="J96">
        <v>1</v>
      </c>
    </row>
    <row r="97" spans="1:10" x14ac:dyDescent="0.15">
      <c r="E97" t="s">
        <v>194</v>
      </c>
      <c r="F97">
        <f>SUM(F92:F95)/1000</f>
        <v>40.698</v>
      </c>
      <c r="G97">
        <f>SUM(G92:G95)/1000</f>
        <v>0</v>
      </c>
      <c r="H97">
        <f>SUM(H92:H95)</f>
        <v>2418</v>
      </c>
      <c r="I97" t="s">
        <v>196</v>
      </c>
      <c r="J97" t="s">
        <v>197</v>
      </c>
    </row>
    <row r="98" spans="1:10" x14ac:dyDescent="0.15">
      <c r="E98" t="s">
        <v>195</v>
      </c>
      <c r="F98">
        <f>INT((IF($A90&gt;10000,VLOOKUP($A90,实战属性,13,FALSE),VLOOKUP($A90,总基本属性,7,FALSE))-
IF($B90&gt;10000,VLOOKUP($B90,实战属性,15,FALSE),VLOOKUP($B90,总基本属性,9,FALSE))*$L$13)*F97)</f>
        <v>28325</v>
      </c>
      <c r="G98">
        <f>INT((IF($A90&gt;10000,VLOOKUP($A90,实战属性,14,FALSE),VLOOKUP($A90,总基本属性,8,FALSE))-
IF($B90&gt;10000,VLOOKUP($B90,实战属性,16,FALSE),VLOOKUP($B90,总基本属性,10,FALSE))*$L$13)*G97)</f>
        <v>0</v>
      </c>
      <c r="H98">
        <f>H97+F98+G98</f>
        <v>30743</v>
      </c>
      <c r="I98">
        <f>IF($B90&gt;10000,VLOOKUP($B90,实战属性,12,FALSE),VLOOKUP($B90,总基本属性,6,FALSE))</f>
        <v>30773</v>
      </c>
      <c r="J98">
        <f>ROUND(I98/H98,2)</f>
        <v>1</v>
      </c>
    </row>
    <row r="101" spans="1:10" x14ac:dyDescent="0.15">
      <c r="A101" s="8" t="s">
        <v>2</v>
      </c>
      <c r="B101" s="8" t="s">
        <v>198</v>
      </c>
      <c r="C101" s="8" t="s">
        <v>178</v>
      </c>
      <c r="D101" s="8" t="s">
        <v>0</v>
      </c>
    </row>
    <row r="102" spans="1:10" x14ac:dyDescent="0.15">
      <c r="A102">
        <f>A78+1</f>
        <v>11104</v>
      </c>
      <c r="B102">
        <f>B78+10</f>
        <v>5040</v>
      </c>
      <c r="C102">
        <v>20</v>
      </c>
      <c r="D102">
        <f>MOD(B102,1000)</f>
        <v>40</v>
      </c>
    </row>
    <row r="103" spans="1:10" x14ac:dyDescent="0.15">
      <c r="A103" t="s">
        <v>156</v>
      </c>
      <c r="B103" t="s">
        <v>95</v>
      </c>
      <c r="C103" t="s">
        <v>177</v>
      </c>
      <c r="D103" t="s">
        <v>143</v>
      </c>
      <c r="E103" t="s">
        <v>182</v>
      </c>
      <c r="F103" t="s">
        <v>192</v>
      </c>
      <c r="G103" t="s">
        <v>193</v>
      </c>
      <c r="H103" t="s">
        <v>176</v>
      </c>
      <c r="I103" t="s">
        <v>205</v>
      </c>
      <c r="J103" t="s">
        <v>206</v>
      </c>
    </row>
    <row r="104" spans="1:10" x14ac:dyDescent="0.15">
      <c r="A104">
        <v>12</v>
      </c>
      <c r="B104" t="s">
        <v>9</v>
      </c>
      <c r="C104">
        <f>INT(C102-C108)</f>
        <v>16</v>
      </c>
      <c r="D104">
        <f>VLOOKUP(A104,技能参数,4,FALSE)</f>
        <v>0.6</v>
      </c>
      <c r="E104">
        <f>VLOOKUP(A104*1000+D102,学习等级编码,2)</f>
        <v>1204</v>
      </c>
      <c r="F104">
        <f>INT(VLOOKUP($E104,技能升级,9,FALSE)*$C104*I104*J104)</f>
        <v>0</v>
      </c>
      <c r="G104">
        <f>INT(VLOOKUP($E104,技能升级,10,FALSE)*$C104*I104*J104)</f>
        <v>17600</v>
      </c>
      <c r="H104">
        <f>INT(VLOOKUP($E104,技能升级,11,FALSE)*$C104*I104*J104)</f>
        <v>1712</v>
      </c>
      <c r="I104">
        <v>1</v>
      </c>
      <c r="J104">
        <f>VLOOKUP(A102,$A$2:$I$21,8,FALSE)</f>
        <v>1</v>
      </c>
    </row>
    <row r="105" spans="1:10" x14ac:dyDescent="0.15">
      <c r="A105">
        <v>15</v>
      </c>
      <c r="B105" t="s">
        <v>12</v>
      </c>
      <c r="C105">
        <v>1</v>
      </c>
      <c r="D105">
        <f>VLOOKUP(A105,技能参数,4,FALSE)</f>
        <v>1.5</v>
      </c>
      <c r="E105">
        <f>VLOOKUP(A105*1000+D102,学习等级编码,2)</f>
        <v>1503</v>
      </c>
      <c r="F105">
        <f>INT(VLOOKUP($E105,技能升级,9,FALSE)*$C105*I105*J105)</f>
        <v>0</v>
      </c>
      <c r="G105">
        <f>INT(VLOOKUP($E105,技能升级,10,FALSE)*$C105*I105*J105)</f>
        <v>0</v>
      </c>
      <c r="H105">
        <f>INT(VLOOKUP($E105,技能升级,11,FALSE)*$C105*I105*J105)</f>
        <v>0</v>
      </c>
      <c r="I105">
        <v>1</v>
      </c>
      <c r="J105">
        <v>1</v>
      </c>
    </row>
    <row r="106" spans="1:10" x14ac:dyDescent="0.15">
      <c r="A106">
        <v>11</v>
      </c>
      <c r="B106" t="s">
        <v>94</v>
      </c>
      <c r="C106">
        <f>INT((C102-D104-D105-C108)/D106)</f>
        <v>14</v>
      </c>
      <c r="D106">
        <f>VLOOKUP(A106,技能参数,4,FALSE)</f>
        <v>1</v>
      </c>
      <c r="E106">
        <f>VLOOKUP(A106*1000+D102,学习等级编码,2)</f>
        <v>1106</v>
      </c>
      <c r="F106">
        <f>INT(VLOOKUP($E106,技能升级,9,FALSE)*$C106*I106*J106)</f>
        <v>15540</v>
      </c>
      <c r="G106">
        <f>INT(VLOOKUP($E106,技能升级,10,FALSE)*$C106*I106*J106)</f>
        <v>0</v>
      </c>
      <c r="H106">
        <f>INT(VLOOKUP($E106,技能升级,11,FALSE)*$C106*I106*J106)</f>
        <v>1750</v>
      </c>
      <c r="I106">
        <v>1</v>
      </c>
      <c r="J106">
        <f>VLOOKUP(A102,$A$2:$I$21,7,FALSE)</f>
        <v>1</v>
      </c>
    </row>
    <row r="107" spans="1:10" x14ac:dyDescent="0.15">
      <c r="A107">
        <v>14</v>
      </c>
      <c r="B107" t="s">
        <v>11</v>
      </c>
      <c r="C107">
        <v>1</v>
      </c>
      <c r="D107">
        <v>0</v>
      </c>
      <c r="E107">
        <f>VLOOKUP(A107*1000+D102,学习等级编码,2)</f>
        <v>1404</v>
      </c>
      <c r="F107">
        <f>INT(VLOOKUP($E107,技能升级,9,FALSE)*$C107*I107*J107)</f>
        <v>0</v>
      </c>
      <c r="G107">
        <f>INT(VLOOKUP($E107,技能升级,10,FALSE)*$C107*I107*J107)</f>
        <v>0</v>
      </c>
      <c r="H107">
        <f>INT(VLOOKUP($E107,技能升级,11,FALSE)*$C107*I107*J107)</f>
        <v>0</v>
      </c>
      <c r="I107">
        <v>1</v>
      </c>
      <c r="J107">
        <v>1</v>
      </c>
    </row>
    <row r="108" spans="1:10" x14ac:dyDescent="0.15">
      <c r="B108" t="s">
        <v>399</v>
      </c>
      <c r="C108">
        <f>C116*D118+C117*D118*2</f>
        <v>3.6</v>
      </c>
    </row>
    <row r="109" spans="1:10" x14ac:dyDescent="0.15">
      <c r="E109" t="s">
        <v>194</v>
      </c>
      <c r="F109">
        <f>SUM(F104:F106)/1000</f>
        <v>15.54</v>
      </c>
      <c r="G109">
        <f>SUM(G104:G106)/1000</f>
        <v>17.600000000000001</v>
      </c>
      <c r="H109">
        <f>SUM(H104:H106)</f>
        <v>3462</v>
      </c>
      <c r="I109" t="s">
        <v>196</v>
      </c>
      <c r="J109" t="s">
        <v>197</v>
      </c>
    </row>
    <row r="110" spans="1:10" x14ac:dyDescent="0.15">
      <c r="E110" t="s">
        <v>195</v>
      </c>
      <c r="F110">
        <f>INT((IF($A102&gt;10000,VLOOKUP($A102,实战属性,13,FALSE),VLOOKUP($A102,总基本属性,7,FALSE))-
IF($B102&gt;10000,VLOOKUP($B102,实战属性,15,FALSE),VLOOKUP($B102,总基本属性,9,FALSE))*$L$13)*F109)</f>
        <v>12781</v>
      </c>
      <c r="G110">
        <f>INT((IF($A102&gt;10000,VLOOKUP($A102,实战属性,14,FALSE),VLOOKUP($A102,总基本属性,8,FALSE))-
IF($B102&gt;10000,VLOOKUP($B102,实战属性,16,FALSE),VLOOKUP($B102,总基本属性,10,FALSE))*$L$13)*G109)</f>
        <v>12962</v>
      </c>
      <c r="H110">
        <f>H109+F110+G110</f>
        <v>29205</v>
      </c>
      <c r="I110">
        <f>IF($B102&gt;10000,VLOOKUP($B102,实战属性,12,FALSE),VLOOKUP($B102,总基本属性,6,FALSE))</f>
        <v>29184</v>
      </c>
      <c r="J110">
        <f>ROUND(I110/H110,2)</f>
        <v>1</v>
      </c>
    </row>
    <row r="113" spans="1:10" x14ac:dyDescent="0.15">
      <c r="A113" s="9" t="s">
        <v>198</v>
      </c>
      <c r="B113" s="9" t="s">
        <v>2</v>
      </c>
      <c r="C113" s="9" t="s">
        <v>178</v>
      </c>
      <c r="D113" s="9" t="s">
        <v>144</v>
      </c>
    </row>
    <row r="114" spans="1:10" x14ac:dyDescent="0.15">
      <c r="A114">
        <f>A90+10</f>
        <v>5040</v>
      </c>
      <c r="B114">
        <f>B90+1</f>
        <v>11104</v>
      </c>
      <c r="C114">
        <v>20</v>
      </c>
      <c r="D114">
        <f>MOD(A114,1000)</f>
        <v>40</v>
      </c>
    </row>
    <row r="115" spans="1:10" x14ac:dyDescent="0.15">
      <c r="A115" t="s">
        <v>156</v>
      </c>
      <c r="B115" t="s">
        <v>95</v>
      </c>
      <c r="C115" t="s">
        <v>142</v>
      </c>
      <c r="D115" t="s">
        <v>143</v>
      </c>
      <c r="E115" t="s">
        <v>182</v>
      </c>
      <c r="F115" t="s">
        <v>192</v>
      </c>
      <c r="G115" t="s">
        <v>193</v>
      </c>
      <c r="H115" t="s">
        <v>176</v>
      </c>
      <c r="I115" t="s">
        <v>205</v>
      </c>
      <c r="J115" t="s">
        <v>206</v>
      </c>
    </row>
    <row r="116" spans="1:10" x14ac:dyDescent="0.15">
      <c r="A116">
        <v>52</v>
      </c>
      <c r="B116" t="s">
        <v>44</v>
      </c>
      <c r="C116">
        <f>INT(C114/(VLOOKUP(A116,技能参数,5,FALSE)+2*VLOOKUP(A116,技能参数,4,FALSE))+1)</f>
        <v>2</v>
      </c>
      <c r="D116">
        <f>VLOOKUP(A116,技能参数,4,FALSE)</f>
        <v>1.5</v>
      </c>
      <c r="E116">
        <f>VLOOKUP(A116*1000+D114,学习等级编码,2)</f>
        <v>5204</v>
      </c>
      <c r="F116">
        <f>INT(VLOOKUP($E116,技能升级,9,FALSE)*$C116*I116*J116)</f>
        <v>5500</v>
      </c>
      <c r="G116">
        <f>INT(VLOOKUP($E116,技能升级,10,FALSE)*$C116*I116*J116)</f>
        <v>0</v>
      </c>
      <c r="H116">
        <f>INT(VLOOKUP($E116,技能升级,11,FALSE)*$C116*I116*J116)</f>
        <v>234</v>
      </c>
      <c r="I116">
        <v>1</v>
      </c>
      <c r="J116">
        <v>1</v>
      </c>
    </row>
    <row r="117" spans="1:10" x14ac:dyDescent="0.15">
      <c r="A117">
        <v>54</v>
      </c>
      <c r="B117" t="s">
        <v>40</v>
      </c>
      <c r="C117">
        <f>INT(C114/(VLOOKUP(A117,技能参数,5,FALSE)+2*VLOOKUP(A117,技能参数,4,FALSE))+1)</f>
        <v>1</v>
      </c>
      <c r="D117">
        <f>VLOOKUP(A117,技能参数,4,FALSE)</f>
        <v>1.2</v>
      </c>
      <c r="E117">
        <f>VLOOKUP(A117*1000+D114,学习等级编码,2)</f>
        <v>5404</v>
      </c>
      <c r="F117">
        <f>INT(VLOOKUP($E117,技能升级,9,FALSE)*$C117*I117*J117)</f>
        <v>2200</v>
      </c>
      <c r="G117">
        <f>INT(VLOOKUP($E117,技能升级,10,FALSE)*$C117*I117*J117)</f>
        <v>0</v>
      </c>
      <c r="H117">
        <f>INT(VLOOKUP($E117,技能升级,11,FALSE)*$C117*I117*J117)</f>
        <v>140</v>
      </c>
      <c r="I117">
        <v>1</v>
      </c>
      <c r="J117">
        <v>1</v>
      </c>
    </row>
    <row r="118" spans="1:10" x14ac:dyDescent="0.15">
      <c r="A118">
        <v>51</v>
      </c>
      <c r="B118" t="s">
        <v>203</v>
      </c>
      <c r="C118">
        <v>2</v>
      </c>
      <c r="D118">
        <f>VLOOKUP(A118,技能参数,4,FALSE)</f>
        <v>0.9</v>
      </c>
      <c r="E118">
        <f>VLOOKUP(A118*1000+D114,学习等级编码,2)</f>
        <v>5106</v>
      </c>
      <c r="F118">
        <f>INT(VLOOKUP($E118,技能升级,9,FALSE)*$C118*I118*J118)</f>
        <v>2720</v>
      </c>
      <c r="G118">
        <f>INT(VLOOKUP($E118,技能升级,10,FALSE)*$C118*I118*J118)</f>
        <v>0</v>
      </c>
      <c r="H118">
        <f>INT(VLOOKUP($E118,技能升级,11,FALSE)*$C118*I118*J118)</f>
        <v>250</v>
      </c>
      <c r="I118">
        <v>1</v>
      </c>
      <c r="J118">
        <v>1</v>
      </c>
    </row>
    <row r="119" spans="1:10" x14ac:dyDescent="0.15">
      <c r="A119">
        <v>51</v>
      </c>
      <c r="B119" t="s">
        <v>204</v>
      </c>
      <c r="C119">
        <f>INT((C114-C116*D116-C117*D117-D118*C118)/D119*3)</f>
        <v>46</v>
      </c>
      <c r="D119">
        <f>VLOOKUP(A119,技能参数,4,FALSE)</f>
        <v>0.9</v>
      </c>
      <c r="E119">
        <f>VLOOKUP(A119*1000+D114,学习等级编码,2)</f>
        <v>5106</v>
      </c>
      <c r="F119">
        <f>INT(VLOOKUP($E119,技能升级,9,FALSE)*$C119*I119*J119)</f>
        <v>34345</v>
      </c>
      <c r="G119">
        <f>INT(VLOOKUP($E119,技能升级,10,FALSE)*$C119*I119*J119)</f>
        <v>0</v>
      </c>
      <c r="H119">
        <f>INT(VLOOKUP($E119,技能升级,11,FALSE)*$C119*I119*J119)</f>
        <v>3156</v>
      </c>
      <c r="I119">
        <f>F120/1000</f>
        <v>0.45</v>
      </c>
      <c r="J119">
        <f>VLOOKUP(A114,$A$2:$I$21,9,FALSE)</f>
        <v>1.2199999999999998</v>
      </c>
    </row>
    <row r="120" spans="1:10" x14ac:dyDescent="0.15">
      <c r="A120">
        <v>55</v>
      </c>
      <c r="B120" t="s">
        <v>271</v>
      </c>
      <c r="C120">
        <v>1</v>
      </c>
      <c r="D120">
        <v>0</v>
      </c>
      <c r="E120">
        <f>VLOOKUP(A120*1000+D114,学习等级编码,2)</f>
        <v>5503</v>
      </c>
      <c r="F120">
        <f>INT(VLOOKUP($E120,技能升级,14,FALSE)*$C120*I120)</f>
        <v>450</v>
      </c>
      <c r="G120">
        <f>INT(VLOOKUP($E120,技能升级,10,FALSE)*$C120*I120)</f>
        <v>0</v>
      </c>
      <c r="H120">
        <f>INT(VLOOKUP($E120,技能升级,11,FALSE)*$C120*I120*J120)</f>
        <v>0</v>
      </c>
      <c r="I120">
        <v>1</v>
      </c>
      <c r="J120">
        <v>1</v>
      </c>
    </row>
    <row r="121" spans="1:10" x14ac:dyDescent="0.15">
      <c r="E121" t="s">
        <v>194</v>
      </c>
      <c r="F121">
        <f>SUM(F116:F119)/1000</f>
        <v>44.765000000000001</v>
      </c>
      <c r="G121">
        <f>SUM(G116:G119)/1000</f>
        <v>0</v>
      </c>
      <c r="H121">
        <f>SUM(H116:H119)</f>
        <v>3780</v>
      </c>
      <c r="I121" t="s">
        <v>196</v>
      </c>
      <c r="J121" t="s">
        <v>197</v>
      </c>
    </row>
    <row r="122" spans="1:10" x14ac:dyDescent="0.15">
      <c r="E122" t="s">
        <v>195</v>
      </c>
      <c r="F122">
        <f>INT((IF($A114&gt;10000,VLOOKUP($A114,实战属性,13,FALSE),VLOOKUP($A114,总基本属性,7,FALSE))-
IF($B114&gt;10000,VLOOKUP($B114,实战属性,15,FALSE),VLOOKUP($B114,总基本属性,9,FALSE))*$L$13)*F121)</f>
        <v>48749</v>
      </c>
      <c r="G122">
        <f>INT((IF($A114&gt;10000,VLOOKUP($A114,实战属性,14,FALSE),VLOOKUP($A114,总基本属性,8,FALSE))-
IF($B114&gt;10000,VLOOKUP($B114,实战属性,16,FALSE),VLOOKUP($B114,总基本属性,10,FALSE))*$L$13)*G121)</f>
        <v>0</v>
      </c>
      <c r="H122">
        <f>H121+F122+G122</f>
        <v>52529</v>
      </c>
      <c r="I122">
        <f>IF($B114&gt;10000,VLOOKUP($B114,实战属性,12,FALSE),VLOOKUP($B114,总基本属性,6,FALSE))</f>
        <v>52819</v>
      </c>
      <c r="J122">
        <f>ROUND(I122/H122,2)</f>
        <v>1.01</v>
      </c>
    </row>
    <row r="125" spans="1:10" x14ac:dyDescent="0.15">
      <c r="A125" s="8" t="s">
        <v>2</v>
      </c>
      <c r="B125" s="8" t="s">
        <v>198</v>
      </c>
      <c r="C125" s="8" t="s">
        <v>178</v>
      </c>
      <c r="D125" s="8" t="s">
        <v>0</v>
      </c>
    </row>
    <row r="126" spans="1:10" x14ac:dyDescent="0.15">
      <c r="A126">
        <f>A102+1</f>
        <v>11105</v>
      </c>
      <c r="B126">
        <f>B102+10</f>
        <v>5050</v>
      </c>
      <c r="C126">
        <v>20</v>
      </c>
      <c r="D126">
        <f>MOD(B126,1000)</f>
        <v>50</v>
      </c>
    </row>
    <row r="127" spans="1:10" x14ac:dyDescent="0.15">
      <c r="A127" t="s">
        <v>156</v>
      </c>
      <c r="B127" t="s">
        <v>95</v>
      </c>
      <c r="C127" t="s">
        <v>177</v>
      </c>
      <c r="D127" t="s">
        <v>143</v>
      </c>
      <c r="E127" t="s">
        <v>182</v>
      </c>
      <c r="F127" t="s">
        <v>192</v>
      </c>
      <c r="G127" t="s">
        <v>193</v>
      </c>
      <c r="H127" t="s">
        <v>176</v>
      </c>
      <c r="I127" t="s">
        <v>205</v>
      </c>
      <c r="J127" t="s">
        <v>206</v>
      </c>
    </row>
    <row r="128" spans="1:10" x14ac:dyDescent="0.15">
      <c r="A128">
        <v>12</v>
      </c>
      <c r="B128" t="s">
        <v>9</v>
      </c>
      <c r="C128">
        <f>INT(C126-C132)</f>
        <v>16</v>
      </c>
      <c r="D128">
        <f>VLOOKUP(A128,技能参数,4,FALSE)</f>
        <v>0.6</v>
      </c>
      <c r="E128">
        <f>VLOOKUP(A128*1000+D126,学习等级编码,2)</f>
        <v>1205</v>
      </c>
      <c r="F128">
        <f>INT(VLOOKUP($E128,技能升级,9,FALSE)*$C128*I128*J128)</f>
        <v>0</v>
      </c>
      <c r="G128">
        <f>INT(VLOOKUP($E128,技能升级,10,FALSE)*$C128*I128*J128)</f>
        <v>16724</v>
      </c>
      <c r="H128">
        <f>INT(VLOOKUP($E128,技能升级,11,FALSE)*$C128*I128*J128)</f>
        <v>2456</v>
      </c>
      <c r="I128">
        <v>1</v>
      </c>
      <c r="J128">
        <f>VLOOKUP(A126,$A$2:$I$21,8,FALSE)</f>
        <v>0.92499999999999993</v>
      </c>
    </row>
    <row r="129" spans="1:10" x14ac:dyDescent="0.15">
      <c r="A129">
        <v>15</v>
      </c>
      <c r="B129" t="s">
        <v>12</v>
      </c>
      <c r="C129">
        <v>1</v>
      </c>
      <c r="D129">
        <f>VLOOKUP(A129,技能参数,4,FALSE)</f>
        <v>1.5</v>
      </c>
      <c r="E129">
        <f>VLOOKUP(A129*1000+D126,学习等级编码,2)</f>
        <v>1503</v>
      </c>
      <c r="F129">
        <f>INT(VLOOKUP($E129,技能升级,9,FALSE)*$C129*I129*J129)</f>
        <v>0</v>
      </c>
      <c r="G129">
        <f>INT(VLOOKUP($E129,技能升级,10,FALSE)*$C129*I129*J129)</f>
        <v>0</v>
      </c>
      <c r="H129">
        <f>INT(VLOOKUP($E129,技能升级,11,FALSE)*$C129*I129*J129)</f>
        <v>0</v>
      </c>
      <c r="I129">
        <v>1</v>
      </c>
      <c r="J129">
        <v>1</v>
      </c>
    </row>
    <row r="130" spans="1:10" x14ac:dyDescent="0.15">
      <c r="A130">
        <v>11</v>
      </c>
      <c r="B130" t="s">
        <v>94</v>
      </c>
      <c r="C130">
        <f>INT((C126-D128-D129-C132)/D130)</f>
        <v>14</v>
      </c>
      <c r="D130">
        <f>VLOOKUP(A130,技能参数,4,FALSE)</f>
        <v>1</v>
      </c>
      <c r="E130">
        <f>VLOOKUP(A130*1000+D126,学习等级编码,2)</f>
        <v>1108</v>
      </c>
      <c r="F130">
        <f>INT(VLOOKUP($E130,技能升级,9,FALSE)*$C130*I130*J130)</f>
        <v>16100</v>
      </c>
      <c r="G130">
        <f>INT(VLOOKUP($E130,技能升级,10,FALSE)*$C130*I130*J130)</f>
        <v>0</v>
      </c>
      <c r="H130">
        <f>INT(VLOOKUP($E130,技能升级,11,FALSE)*$C130*I130*J130)</f>
        <v>3066</v>
      </c>
      <c r="I130">
        <v>1</v>
      </c>
      <c r="J130">
        <f>VLOOKUP(A126,$A$2:$I$21,7,FALSE)</f>
        <v>1</v>
      </c>
    </row>
    <row r="131" spans="1:10" x14ac:dyDescent="0.15">
      <c r="A131">
        <v>14</v>
      </c>
      <c r="B131" t="s">
        <v>11</v>
      </c>
      <c r="C131">
        <v>1</v>
      </c>
      <c r="D131">
        <v>0</v>
      </c>
      <c r="E131">
        <f>VLOOKUP(A131*1000+D126,学习等级编码,2)</f>
        <v>1405</v>
      </c>
      <c r="F131">
        <f>INT(VLOOKUP($E131,技能升级,9,FALSE)*$C131*I131*J131)</f>
        <v>0</v>
      </c>
      <c r="G131">
        <f>INT(VLOOKUP($E131,技能升级,10,FALSE)*$C131*I131*J131)</f>
        <v>0</v>
      </c>
      <c r="H131">
        <f>INT(VLOOKUP($E131,技能升级,11,FALSE)*$C131*I131*J131)</f>
        <v>0</v>
      </c>
      <c r="I131">
        <v>1</v>
      </c>
      <c r="J131">
        <v>1</v>
      </c>
    </row>
    <row r="132" spans="1:10" x14ac:dyDescent="0.15">
      <c r="B132" t="s">
        <v>399</v>
      </c>
      <c r="C132">
        <f>C140*D142+C141*D142*2</f>
        <v>3.6</v>
      </c>
    </row>
    <row r="133" spans="1:10" x14ac:dyDescent="0.15">
      <c r="E133" t="s">
        <v>194</v>
      </c>
      <c r="F133">
        <f>SUM(F128:F130)/1000</f>
        <v>16.100000000000001</v>
      </c>
      <c r="G133">
        <f>SUM(G128:G130)/1000</f>
        <v>16.724</v>
      </c>
      <c r="H133">
        <f>SUM(H128:H130)</f>
        <v>5522</v>
      </c>
      <c r="I133" t="s">
        <v>196</v>
      </c>
      <c r="J133" t="s">
        <v>197</v>
      </c>
    </row>
    <row r="134" spans="1:10" x14ac:dyDescent="0.15">
      <c r="E134" t="s">
        <v>195</v>
      </c>
      <c r="F134">
        <f>INT((IF($A126&gt;10000,VLOOKUP($A126,实战属性,13,FALSE),VLOOKUP($A126,总基本属性,7,FALSE))-
IF($B126&gt;10000,VLOOKUP($B126,实战属性,15,FALSE),VLOOKUP($B126,总基本属性,9,FALSE))*$L$13)*F133)</f>
        <v>19609</v>
      </c>
      <c r="G134">
        <f>INT((IF($A126&gt;10000,VLOOKUP($A126,实战属性,14,FALSE),VLOOKUP($A126,总基本属性,8,FALSE))-
IF($B126&gt;10000,VLOOKUP($B126,实战属性,16,FALSE),VLOOKUP($B126,总基本属性,10,FALSE))*$L$13)*G133)</f>
        <v>18346</v>
      </c>
      <c r="H134">
        <f>H133+F134+G134</f>
        <v>43477</v>
      </c>
      <c r="I134">
        <f>IF($B126&gt;10000,VLOOKUP($B126,实战属性,12,FALSE),VLOOKUP($B126,总基本属性,6,FALSE))</f>
        <v>44352</v>
      </c>
      <c r="J134">
        <f>ROUND(I134/H134,2)</f>
        <v>1.02</v>
      </c>
    </row>
    <row r="137" spans="1:10" x14ac:dyDescent="0.15">
      <c r="A137" s="9" t="s">
        <v>198</v>
      </c>
      <c r="B137" s="9" t="s">
        <v>2</v>
      </c>
      <c r="C137" s="9" t="s">
        <v>178</v>
      </c>
      <c r="D137" s="9" t="s">
        <v>144</v>
      </c>
    </row>
    <row r="138" spans="1:10" x14ac:dyDescent="0.15">
      <c r="A138">
        <f>A114+10</f>
        <v>5050</v>
      </c>
      <c r="B138">
        <f>B114+1</f>
        <v>11105</v>
      </c>
      <c r="C138">
        <v>20</v>
      </c>
      <c r="D138">
        <f>MOD(A138,1000)</f>
        <v>50</v>
      </c>
    </row>
    <row r="139" spans="1:10" x14ac:dyDescent="0.15">
      <c r="A139" t="s">
        <v>156</v>
      </c>
      <c r="B139" t="s">
        <v>95</v>
      </c>
      <c r="C139" t="s">
        <v>142</v>
      </c>
      <c r="D139" t="s">
        <v>143</v>
      </c>
      <c r="E139" t="s">
        <v>182</v>
      </c>
      <c r="F139" t="s">
        <v>192</v>
      </c>
      <c r="G139" t="s">
        <v>193</v>
      </c>
      <c r="H139" t="s">
        <v>176</v>
      </c>
      <c r="I139" t="s">
        <v>205</v>
      </c>
      <c r="J139" t="s">
        <v>206</v>
      </c>
    </row>
    <row r="140" spans="1:10" x14ac:dyDescent="0.15">
      <c r="A140">
        <v>52</v>
      </c>
      <c r="B140" t="s">
        <v>44</v>
      </c>
      <c r="C140">
        <f>INT(C138/(VLOOKUP(A140,技能参数,5,FALSE)+2*VLOOKUP(A140,技能参数,4,FALSE))+1)</f>
        <v>2</v>
      </c>
      <c r="D140">
        <f>VLOOKUP(A140,技能参数,4,FALSE)</f>
        <v>1.5</v>
      </c>
      <c r="E140">
        <f>VLOOKUP(A140*1000+D138,学习等级编码,2)</f>
        <v>5205</v>
      </c>
      <c r="F140">
        <f>INT(VLOOKUP($E140,技能升级,9,FALSE)*$C140*I140*J140)</f>
        <v>5660</v>
      </c>
      <c r="G140">
        <f>INT(VLOOKUP($E140,技能升级,10,FALSE)*$C140*I140*J140)</f>
        <v>0</v>
      </c>
      <c r="H140">
        <f>INT(VLOOKUP($E140,技能升级,11,FALSE)*$C140*I140*J140)</f>
        <v>352</v>
      </c>
      <c r="I140">
        <v>1</v>
      </c>
      <c r="J140">
        <v>1</v>
      </c>
    </row>
    <row r="141" spans="1:10" x14ac:dyDescent="0.15">
      <c r="A141">
        <v>54</v>
      </c>
      <c r="B141" t="s">
        <v>40</v>
      </c>
      <c r="C141">
        <f>INT(C138/(VLOOKUP(A141,技能参数,5,FALSE)+2*VLOOKUP(A141,技能参数,4,FALSE))+1)</f>
        <v>1</v>
      </c>
      <c r="D141">
        <f>VLOOKUP(A141,技能参数,4,FALSE)</f>
        <v>1.2</v>
      </c>
      <c r="E141">
        <f>VLOOKUP(A141*1000+D138,学习等级编码,2)</f>
        <v>5405</v>
      </c>
      <c r="F141">
        <f>INT(VLOOKUP($E141,技能升级,9,FALSE)*$C141*I141*J141)</f>
        <v>2270</v>
      </c>
      <c r="G141">
        <f>INT(VLOOKUP($E141,技能升级,10,FALSE)*$C141*I141*J141)</f>
        <v>0</v>
      </c>
      <c r="H141">
        <f>INT(VLOOKUP($E141,技能升级,11,FALSE)*$C141*I141*J141)</f>
        <v>205</v>
      </c>
      <c r="I141">
        <v>1</v>
      </c>
      <c r="J141">
        <v>1</v>
      </c>
    </row>
    <row r="142" spans="1:10" x14ac:dyDescent="0.15">
      <c r="A142">
        <v>51</v>
      </c>
      <c r="B142" t="s">
        <v>203</v>
      </c>
      <c r="C142">
        <v>2</v>
      </c>
      <c r="D142">
        <f>VLOOKUP(A142,技能参数,4,FALSE)</f>
        <v>0.9</v>
      </c>
      <c r="E142">
        <f>VLOOKUP(A142*1000+D138,学习等级编码,2)</f>
        <v>5108</v>
      </c>
      <c r="F142">
        <f>INT(VLOOKUP($E142,技能升级,9,FALSE)*$C142*I142*J142)</f>
        <v>2820</v>
      </c>
      <c r="G142">
        <f>INT(VLOOKUP($E142,技能升级,10,FALSE)*$C142*I142*J142)</f>
        <v>0</v>
      </c>
      <c r="H142">
        <f>INT(VLOOKUP($E142,技能升级,11,FALSE)*$C142*I142*J142)</f>
        <v>438</v>
      </c>
      <c r="I142">
        <v>1</v>
      </c>
      <c r="J142">
        <v>1</v>
      </c>
    </row>
    <row r="143" spans="1:10" x14ac:dyDescent="0.15">
      <c r="A143">
        <v>51</v>
      </c>
      <c r="B143" t="s">
        <v>204</v>
      </c>
      <c r="C143">
        <f>INT((C138-C140*D140-C141*D141-D142*C142)/D143*3)</f>
        <v>46</v>
      </c>
      <c r="D143">
        <f>VLOOKUP(A143,技能参数,4,FALSE)</f>
        <v>0.9</v>
      </c>
      <c r="E143">
        <f>VLOOKUP(A143*1000+D138,学习等级编码,2)</f>
        <v>5108</v>
      </c>
      <c r="F143">
        <f>INT(VLOOKUP($E143,技能升级,9,FALSE)*$C143*I143*J143)</f>
        <v>36483</v>
      </c>
      <c r="G143">
        <f>INT(VLOOKUP($E143,技能升级,10,FALSE)*$C143*I143*J143)</f>
        <v>0</v>
      </c>
      <c r="H143">
        <f>INT(VLOOKUP($E143,技能升级,11,FALSE)*$C143*I143*J143)</f>
        <v>5666</v>
      </c>
      <c r="I143">
        <f>F144/1000</f>
        <v>0.45</v>
      </c>
      <c r="J143">
        <f>VLOOKUP(A138,$A$2:$I$21,9,FALSE)</f>
        <v>1.2499999999999998</v>
      </c>
    </row>
    <row r="144" spans="1:10" x14ac:dyDescent="0.15">
      <c r="A144">
        <v>55</v>
      </c>
      <c r="B144" t="s">
        <v>271</v>
      </c>
      <c r="C144">
        <v>1</v>
      </c>
      <c r="D144">
        <v>0</v>
      </c>
      <c r="E144">
        <f>VLOOKUP(A144*1000+D138,学习等级编码,2)</f>
        <v>5503</v>
      </c>
      <c r="F144">
        <f>INT(VLOOKUP($E144,技能升级,14,FALSE)*$C144*I144)</f>
        <v>450</v>
      </c>
      <c r="G144">
        <f>INT(VLOOKUP($E144,技能升级,10,FALSE)*$C144*I144)</f>
        <v>0</v>
      </c>
      <c r="H144">
        <f>INT(VLOOKUP($E144,技能升级,11,FALSE)*$C144*I144*J144)</f>
        <v>0</v>
      </c>
      <c r="I144">
        <v>1</v>
      </c>
      <c r="J144">
        <v>1</v>
      </c>
    </row>
    <row r="145" spans="1:10" x14ac:dyDescent="0.15">
      <c r="E145" t="s">
        <v>194</v>
      </c>
      <c r="F145">
        <f>SUM(F140:F143)/1000</f>
        <v>47.232999999999997</v>
      </c>
      <c r="G145">
        <f>SUM(G140:G143)/1000</f>
        <v>0</v>
      </c>
      <c r="H145">
        <f>SUM(H140:H143)</f>
        <v>6661</v>
      </c>
      <c r="I145" t="s">
        <v>196</v>
      </c>
      <c r="J145" t="s">
        <v>197</v>
      </c>
    </row>
    <row r="146" spans="1:10" x14ac:dyDescent="0.15">
      <c r="E146" t="s">
        <v>195</v>
      </c>
      <c r="F146">
        <f>INT((IF($A138&gt;10000,VLOOKUP($A138,实战属性,13,FALSE),VLOOKUP($A138,总基本属性,7,FALSE))-
IF($B138&gt;10000,VLOOKUP($B138,实战属性,15,FALSE),VLOOKUP($B138,总基本属性,9,FALSE))*$L$13)*F145)</f>
        <v>71416</v>
      </c>
      <c r="G146">
        <f>INT((IF($A138&gt;10000,VLOOKUP($A138,实战属性,14,FALSE),VLOOKUP($A138,总基本属性,8,FALSE))-
IF($B138&gt;10000,VLOOKUP($B138,实战属性,16,FALSE),VLOOKUP($B138,总基本属性,10,FALSE))*$L$13)*G145)</f>
        <v>0</v>
      </c>
      <c r="H146">
        <f>H145+F146+G146</f>
        <v>78077</v>
      </c>
      <c r="I146">
        <f>IF($B138&gt;10000,VLOOKUP($B138,实战属性,12,FALSE),VLOOKUP($B138,总基本属性,6,FALSE))</f>
        <v>78666</v>
      </c>
      <c r="J146">
        <f>ROUND(I146/H146,2)</f>
        <v>1.01</v>
      </c>
    </row>
    <row r="149" spans="1:10" x14ac:dyDescent="0.15">
      <c r="A149" s="8" t="s">
        <v>2</v>
      </c>
      <c r="B149" s="8" t="s">
        <v>198</v>
      </c>
      <c r="C149" s="8" t="s">
        <v>178</v>
      </c>
      <c r="D149" s="8" t="s">
        <v>0</v>
      </c>
    </row>
    <row r="150" spans="1:10" x14ac:dyDescent="0.15">
      <c r="A150">
        <f>A126+1</f>
        <v>11106</v>
      </c>
      <c r="B150">
        <f>B126+10</f>
        <v>5060</v>
      </c>
      <c r="C150">
        <v>21</v>
      </c>
      <c r="D150">
        <f>MOD(B150,1000)</f>
        <v>60</v>
      </c>
    </row>
    <row r="151" spans="1:10" x14ac:dyDescent="0.15">
      <c r="A151" t="s">
        <v>156</v>
      </c>
      <c r="B151" t="s">
        <v>95</v>
      </c>
      <c r="C151" t="s">
        <v>177</v>
      </c>
      <c r="D151" t="s">
        <v>143</v>
      </c>
      <c r="E151" t="s">
        <v>182</v>
      </c>
      <c r="F151" t="s">
        <v>192</v>
      </c>
      <c r="G151" t="s">
        <v>193</v>
      </c>
      <c r="H151" t="s">
        <v>176</v>
      </c>
      <c r="I151" t="s">
        <v>205</v>
      </c>
      <c r="J151" t="s">
        <v>206</v>
      </c>
    </row>
    <row r="152" spans="1:10" x14ac:dyDescent="0.15">
      <c r="A152">
        <v>12</v>
      </c>
      <c r="B152" t="s">
        <v>9</v>
      </c>
      <c r="C152">
        <f>INT(C150-C156)</f>
        <v>17</v>
      </c>
      <c r="D152">
        <f>VLOOKUP(A152,技能参数,4,FALSE)</f>
        <v>0.6</v>
      </c>
      <c r="E152">
        <f>VLOOKUP(A152*1000+D150,学习等级编码,2)</f>
        <v>1206</v>
      </c>
      <c r="F152">
        <f>INT(VLOOKUP($E152,技能升级,9,FALSE)*$C152*I152*J152)</f>
        <v>0</v>
      </c>
      <c r="G152">
        <f>INT(VLOOKUP($E152,技能升级,10,FALSE)*$C152*I152*J152)</f>
        <v>18000</v>
      </c>
      <c r="H152">
        <f>INT(VLOOKUP($E152,技能升级,11,FALSE)*$C152*I152*J152)</f>
        <v>3692</v>
      </c>
      <c r="I152">
        <v>1</v>
      </c>
      <c r="J152">
        <f>VLOOKUP(A150,$A$2:$I$21,8,FALSE)</f>
        <v>0.90500000000000003</v>
      </c>
    </row>
    <row r="153" spans="1:10" x14ac:dyDescent="0.15">
      <c r="A153">
        <v>15</v>
      </c>
      <c r="B153" t="s">
        <v>12</v>
      </c>
      <c r="C153">
        <v>1</v>
      </c>
      <c r="D153">
        <f>VLOOKUP(A153,技能参数,4,FALSE)</f>
        <v>1.5</v>
      </c>
      <c r="E153">
        <f>VLOOKUP(A153*1000+D150,学习等级编码,2)</f>
        <v>1504</v>
      </c>
      <c r="F153">
        <f>INT(VLOOKUP($E153,技能升级,9,FALSE)*$C153*I153*J153)</f>
        <v>0</v>
      </c>
      <c r="G153">
        <f>INT(VLOOKUP($E153,技能升级,10,FALSE)*$C153*I153*J153)</f>
        <v>0</v>
      </c>
      <c r="H153">
        <f>INT(VLOOKUP($E153,技能升级,11,FALSE)*$C153*I153*J153)</f>
        <v>0</v>
      </c>
      <c r="I153">
        <v>1</v>
      </c>
      <c r="J153">
        <v>1</v>
      </c>
    </row>
    <row r="154" spans="1:10" x14ac:dyDescent="0.15">
      <c r="A154">
        <v>11</v>
      </c>
      <c r="B154" t="s">
        <v>94</v>
      </c>
      <c r="C154">
        <f>INT((C150-D152-D153-C156)/D154)</f>
        <v>15</v>
      </c>
      <c r="D154">
        <f>VLOOKUP(A154,技能参数,4,FALSE)</f>
        <v>1</v>
      </c>
      <c r="E154">
        <f>VLOOKUP(A154*1000+D150,学习等级编码,2)</f>
        <v>1109</v>
      </c>
      <c r="F154">
        <f>INT(VLOOKUP($E154,技能升级,9,FALSE)*$C154*I154*J154)</f>
        <v>17550</v>
      </c>
      <c r="G154">
        <f>INT(VLOOKUP($E154,技能升级,10,FALSE)*$C154*I154*J154)</f>
        <v>0</v>
      </c>
      <c r="H154">
        <f>INT(VLOOKUP($E154,技能升级,11,FALSE)*$C154*I154*J154)</f>
        <v>4050</v>
      </c>
      <c r="I154">
        <v>1</v>
      </c>
      <c r="J154">
        <f>VLOOKUP(A150,$A$2:$I$21,7,FALSE)</f>
        <v>1</v>
      </c>
    </row>
    <row r="155" spans="1:10" x14ac:dyDescent="0.15">
      <c r="A155">
        <v>14</v>
      </c>
      <c r="B155" t="s">
        <v>11</v>
      </c>
      <c r="C155">
        <v>1</v>
      </c>
      <c r="D155">
        <v>0</v>
      </c>
      <c r="E155">
        <f>VLOOKUP(A155*1000+D150,学习等级编码,2)</f>
        <v>1406</v>
      </c>
      <c r="F155">
        <f>INT(VLOOKUP($E155,技能升级,9,FALSE)*$C155*I155*J155)</f>
        <v>0</v>
      </c>
      <c r="G155">
        <f>INT(VLOOKUP($E155,技能升级,10,FALSE)*$C155*I155*J155)</f>
        <v>0</v>
      </c>
      <c r="H155">
        <f>INT(VLOOKUP($E155,技能升级,11,FALSE)*$C155*I155*J155)</f>
        <v>0</v>
      </c>
      <c r="I155">
        <v>1</v>
      </c>
      <c r="J155">
        <v>1</v>
      </c>
    </row>
    <row r="156" spans="1:10" x14ac:dyDescent="0.15">
      <c r="B156" t="s">
        <v>399</v>
      </c>
      <c r="C156">
        <f>C164*D166+C165*D166*2</f>
        <v>3.6</v>
      </c>
    </row>
    <row r="157" spans="1:10" x14ac:dyDescent="0.15">
      <c r="E157" t="s">
        <v>194</v>
      </c>
      <c r="F157">
        <f>SUM(F152:F154)/1000</f>
        <v>17.55</v>
      </c>
      <c r="G157">
        <f>SUM(G152:G154)/1000</f>
        <v>18</v>
      </c>
      <c r="H157">
        <f>SUM(H152:H154)</f>
        <v>7742</v>
      </c>
      <c r="I157" t="s">
        <v>196</v>
      </c>
      <c r="J157" t="s">
        <v>197</v>
      </c>
    </row>
    <row r="158" spans="1:10" x14ac:dyDescent="0.15">
      <c r="E158" t="s">
        <v>195</v>
      </c>
      <c r="F158">
        <f>INT((IF($A150&gt;10000,VLOOKUP($A150,实战属性,13,FALSE),VLOOKUP($A150,总基本属性,7,FALSE))-
IF($B150&gt;10000,VLOOKUP($B150,实战属性,15,FALSE),VLOOKUP($B150,总基本属性,9,FALSE))*$L$13)*F157)</f>
        <v>30150</v>
      </c>
      <c r="G158">
        <f>INT((IF($A150&gt;10000,VLOOKUP($A150,实战属性,14,FALSE),VLOOKUP($A150,总基本属性,8,FALSE))-
IF($B150&gt;10000,VLOOKUP($B150,实战属性,16,FALSE),VLOOKUP($B150,总基本属性,10,FALSE))*$L$13)*G157)</f>
        <v>24516</v>
      </c>
      <c r="H158">
        <f>H157+F158+G158</f>
        <v>62408</v>
      </c>
      <c r="I158">
        <f>IF($B150&gt;10000,VLOOKUP($B150,实战属性,12,FALSE),VLOOKUP($B150,总基本属性,6,FALSE))</f>
        <v>62784</v>
      </c>
      <c r="J158">
        <f>ROUND(I158/H158,2)</f>
        <v>1.01</v>
      </c>
    </row>
    <row r="161" spans="1:10" x14ac:dyDescent="0.15">
      <c r="A161" s="9" t="s">
        <v>198</v>
      </c>
      <c r="B161" s="9" t="s">
        <v>2</v>
      </c>
      <c r="C161" s="9" t="s">
        <v>178</v>
      </c>
      <c r="D161" s="9" t="s">
        <v>144</v>
      </c>
    </row>
    <row r="162" spans="1:10" x14ac:dyDescent="0.15">
      <c r="A162">
        <f>A138+10</f>
        <v>5060</v>
      </c>
      <c r="B162">
        <f>B138+1</f>
        <v>11106</v>
      </c>
      <c r="C162">
        <v>21</v>
      </c>
      <c r="D162">
        <f>MOD(A162,1000)</f>
        <v>60</v>
      </c>
    </row>
    <row r="163" spans="1:10" x14ac:dyDescent="0.15">
      <c r="A163" t="s">
        <v>156</v>
      </c>
      <c r="B163" t="s">
        <v>95</v>
      </c>
      <c r="C163" t="s">
        <v>142</v>
      </c>
      <c r="D163" t="s">
        <v>143</v>
      </c>
      <c r="E163" t="s">
        <v>182</v>
      </c>
      <c r="F163" t="s">
        <v>192</v>
      </c>
      <c r="G163" t="s">
        <v>193</v>
      </c>
      <c r="H163" t="s">
        <v>176</v>
      </c>
      <c r="I163" t="s">
        <v>205</v>
      </c>
      <c r="J163" t="s">
        <v>206</v>
      </c>
    </row>
    <row r="164" spans="1:10" x14ac:dyDescent="0.15">
      <c r="A164">
        <v>52</v>
      </c>
      <c r="B164" t="s">
        <v>44</v>
      </c>
      <c r="C164">
        <f>INT(C162/(VLOOKUP(A164,技能参数,5,FALSE)+2*VLOOKUP(A164,技能参数,4,FALSE))+1)</f>
        <v>2</v>
      </c>
      <c r="D164">
        <f>VLOOKUP(A164,技能参数,4,FALSE)</f>
        <v>1.5</v>
      </c>
      <c r="E164">
        <f>VLOOKUP(A164*1000+D162,学习等级编码,2)</f>
        <v>5206</v>
      </c>
      <c r="F164">
        <f>INT(VLOOKUP($E164,技能升级,9,FALSE)*$C164*I164*J164)</f>
        <v>5840</v>
      </c>
      <c r="G164">
        <f>INT(VLOOKUP($E164,技能升级,10,FALSE)*$C164*I164*J164)</f>
        <v>0</v>
      </c>
      <c r="H164">
        <f>INT(VLOOKUP($E164,技能升级,11,FALSE)*$C164*I164*J164)</f>
        <v>500</v>
      </c>
      <c r="I164">
        <v>1</v>
      </c>
      <c r="J164">
        <v>1</v>
      </c>
    </row>
    <row r="165" spans="1:10" x14ac:dyDescent="0.15">
      <c r="A165">
        <v>54</v>
      </c>
      <c r="B165" t="s">
        <v>40</v>
      </c>
      <c r="C165">
        <f>INT(C162/(VLOOKUP(A165,技能参数,5,FALSE)+2*VLOOKUP(A165,技能参数,4,FALSE))+1)</f>
        <v>1</v>
      </c>
      <c r="D165">
        <f>VLOOKUP(A165,技能参数,4,FALSE)</f>
        <v>1.2</v>
      </c>
      <c r="E165">
        <f>VLOOKUP(A165*1000+D162,学习等级编码,2)</f>
        <v>5406</v>
      </c>
      <c r="F165">
        <f>INT(VLOOKUP($E165,技能升级,9,FALSE)*$C165*I165*J165)</f>
        <v>2330</v>
      </c>
      <c r="G165">
        <f>INT(VLOOKUP($E165,技能升级,10,FALSE)*$C165*I165*J165)</f>
        <v>0</v>
      </c>
      <c r="H165">
        <f>INT(VLOOKUP($E165,技能升级,11,FALSE)*$C165*I165*J165)</f>
        <v>285</v>
      </c>
      <c r="I165">
        <v>1</v>
      </c>
      <c r="J165">
        <v>1</v>
      </c>
    </row>
    <row r="166" spans="1:10" x14ac:dyDescent="0.15">
      <c r="A166">
        <v>51</v>
      </c>
      <c r="B166" t="s">
        <v>203</v>
      </c>
      <c r="C166">
        <v>2</v>
      </c>
      <c r="D166">
        <f>VLOOKUP(A166,技能参数,4,FALSE)</f>
        <v>0.9</v>
      </c>
      <c r="E166">
        <f>VLOOKUP(A166*1000+D162,学习等级编码,2)</f>
        <v>5109</v>
      </c>
      <c r="F166">
        <f>INT(VLOOKUP($E166,技能升级,9,FALSE)*$C166*I166*J166)</f>
        <v>2860</v>
      </c>
      <c r="G166">
        <f>INT(VLOOKUP($E166,技能升级,10,FALSE)*$C166*I166*J166)</f>
        <v>0</v>
      </c>
      <c r="H166">
        <f>INT(VLOOKUP($E166,技能升级,11,FALSE)*$C166*I166*J166)</f>
        <v>540</v>
      </c>
      <c r="I166">
        <v>1</v>
      </c>
      <c r="J166">
        <v>1</v>
      </c>
    </row>
    <row r="167" spans="1:10" x14ac:dyDescent="0.15">
      <c r="A167">
        <v>51</v>
      </c>
      <c r="B167" t="s">
        <v>204</v>
      </c>
      <c r="C167">
        <f>INT((C162-C164*D164-C165*D165-D166*C166)/D167*3)</f>
        <v>50</v>
      </c>
      <c r="D167">
        <f>VLOOKUP(A167,技能参数,4,FALSE)</f>
        <v>0.9</v>
      </c>
      <c r="E167">
        <f>VLOOKUP(A167*1000+D162,学习等级编码,2)</f>
        <v>5109</v>
      </c>
      <c r="F167">
        <f>INT(VLOOKUP($E167,技能升级,9,FALSE)*$C167*I167*J167)</f>
        <v>43350</v>
      </c>
      <c r="G167">
        <f>INT(VLOOKUP($E167,技能升级,10,FALSE)*$C167*I167*J167)</f>
        <v>0</v>
      </c>
      <c r="H167">
        <f>INT(VLOOKUP($E167,技能升级,11,FALSE)*$C167*I167*J167)</f>
        <v>8185</v>
      </c>
      <c r="I167">
        <f>F168/1000</f>
        <v>0.47</v>
      </c>
      <c r="J167">
        <f>VLOOKUP(A162,$A$2:$I$21,9,FALSE)</f>
        <v>1.29</v>
      </c>
    </row>
    <row r="168" spans="1:10" x14ac:dyDescent="0.15">
      <c r="A168">
        <v>55</v>
      </c>
      <c r="B168" t="s">
        <v>271</v>
      </c>
      <c r="C168">
        <v>1</v>
      </c>
      <c r="D168">
        <v>0</v>
      </c>
      <c r="E168">
        <f>VLOOKUP(A168*1000+D162,学习等级编码,2)</f>
        <v>5504</v>
      </c>
      <c r="F168">
        <f>INT(VLOOKUP($E168,技能升级,14,FALSE)*$C168*I168)</f>
        <v>470</v>
      </c>
      <c r="G168">
        <f>INT(VLOOKUP($E168,技能升级,10,FALSE)*$C168*I168)</f>
        <v>0</v>
      </c>
      <c r="H168">
        <f>INT(VLOOKUP($E168,技能升级,11,FALSE)*$C168*I168*J168)</f>
        <v>0</v>
      </c>
      <c r="I168">
        <v>1</v>
      </c>
      <c r="J168">
        <v>1</v>
      </c>
    </row>
    <row r="169" spans="1:10" x14ac:dyDescent="0.15">
      <c r="E169" t="s">
        <v>194</v>
      </c>
      <c r="F169">
        <f>SUM(F164:F167)/1000</f>
        <v>54.38</v>
      </c>
      <c r="G169">
        <f>SUM(G164:G167)/1000</f>
        <v>0</v>
      </c>
      <c r="H169">
        <f>SUM(H164:H167)</f>
        <v>9510</v>
      </c>
      <c r="I169" t="s">
        <v>196</v>
      </c>
      <c r="J169" t="s">
        <v>197</v>
      </c>
    </row>
    <row r="170" spans="1:10" x14ac:dyDescent="0.15">
      <c r="E170" t="s">
        <v>195</v>
      </c>
      <c r="F170">
        <f>INT((IF($A162&gt;10000,VLOOKUP($A162,实战属性,13,FALSE),VLOOKUP($A162,总基本属性,7,FALSE))-
IF($B162&gt;10000,VLOOKUP($B162,实战属性,15,FALSE),VLOOKUP($B162,总基本属性,9,FALSE))*$L$13)*F169)</f>
        <v>104491</v>
      </c>
      <c r="G170">
        <f>INT((IF($A162&gt;10000,VLOOKUP($A162,实战属性,14,FALSE),VLOOKUP($A162,总基本属性,8,FALSE))-
IF($B162&gt;10000,VLOOKUP($B162,实战属性,16,FALSE),VLOOKUP($B162,总基本属性,10,FALSE))*$L$13)*G169)</f>
        <v>0</v>
      </c>
      <c r="H170">
        <f>H169+F170+G170</f>
        <v>114001</v>
      </c>
      <c r="I170">
        <f>IF($B162&gt;10000,VLOOKUP($B162,实战属性,12,FALSE),VLOOKUP($B162,总基本属性,6,FALSE))</f>
        <v>112468</v>
      </c>
      <c r="J170">
        <f>ROUND(I170/H170,2)</f>
        <v>0.99</v>
      </c>
    </row>
    <row r="173" spans="1:10" x14ac:dyDescent="0.15">
      <c r="A173" s="8" t="s">
        <v>2</v>
      </c>
      <c r="B173" s="8" t="s">
        <v>198</v>
      </c>
      <c r="C173" s="8" t="s">
        <v>178</v>
      </c>
      <c r="D173" s="8" t="s">
        <v>0</v>
      </c>
    </row>
    <row r="174" spans="1:10" x14ac:dyDescent="0.15">
      <c r="A174">
        <f>A150+1</f>
        <v>11107</v>
      </c>
      <c r="B174">
        <f>B150+10</f>
        <v>5070</v>
      </c>
      <c r="C174">
        <v>20</v>
      </c>
      <c r="D174">
        <f>MOD(B174,1000)</f>
        <v>70</v>
      </c>
    </row>
    <row r="175" spans="1:10" x14ac:dyDescent="0.15">
      <c r="A175" t="s">
        <v>156</v>
      </c>
      <c r="B175" t="s">
        <v>95</v>
      </c>
      <c r="C175" t="s">
        <v>177</v>
      </c>
      <c r="D175" t="s">
        <v>143</v>
      </c>
      <c r="E175" t="s">
        <v>182</v>
      </c>
      <c r="F175" t="s">
        <v>192</v>
      </c>
      <c r="G175" t="s">
        <v>193</v>
      </c>
      <c r="H175" t="s">
        <v>176</v>
      </c>
      <c r="I175" t="s">
        <v>205</v>
      </c>
      <c r="J175" t="s">
        <v>206</v>
      </c>
    </row>
    <row r="176" spans="1:10" x14ac:dyDescent="0.15">
      <c r="A176">
        <v>12</v>
      </c>
      <c r="B176" t="s">
        <v>9</v>
      </c>
      <c r="C176">
        <f>INT(C174-C180)</f>
        <v>16</v>
      </c>
      <c r="D176">
        <f>VLOOKUP(A176,技能参数,4,FALSE)</f>
        <v>0.6</v>
      </c>
      <c r="E176">
        <f>VLOOKUP(A176*1000+D174,学习等级编码,2)</f>
        <v>1207</v>
      </c>
      <c r="F176">
        <f>INT(VLOOKUP($E176,技能升级,9,FALSE)*$C176*I176*J176)</f>
        <v>0</v>
      </c>
      <c r="G176">
        <f>INT(VLOOKUP($E176,技能升级,10,FALSE)*$C176*I176*J176)</f>
        <v>17952</v>
      </c>
      <c r="H176">
        <f>INT(VLOOKUP($E176,技能升级,11,FALSE)*$C176*I176*J176)</f>
        <v>4921</v>
      </c>
      <c r="I176">
        <v>1</v>
      </c>
      <c r="J176">
        <f>VLOOKUP(A174,$A$2:$I$21,8,FALSE)</f>
        <v>0.93499999999999994</v>
      </c>
    </row>
    <row r="177" spans="1:10" x14ac:dyDescent="0.15">
      <c r="A177">
        <v>15</v>
      </c>
      <c r="B177" t="s">
        <v>12</v>
      </c>
      <c r="C177">
        <v>1</v>
      </c>
      <c r="D177">
        <f>VLOOKUP(A177,技能参数,4,FALSE)</f>
        <v>1.5</v>
      </c>
      <c r="E177">
        <f>VLOOKUP(A177*1000+D174,学习等级编码,2)</f>
        <v>1505</v>
      </c>
      <c r="F177">
        <f>INT(VLOOKUP($E177,技能升级,9,FALSE)*$C177*I177*J177)</f>
        <v>0</v>
      </c>
      <c r="G177">
        <f>INT(VLOOKUP($E177,技能升级,10,FALSE)*$C177*I177*J177)</f>
        <v>0</v>
      </c>
      <c r="H177">
        <f>INT(VLOOKUP($E177,技能升级,11,FALSE)*$C177*I177*J177)</f>
        <v>0</v>
      </c>
      <c r="I177">
        <v>1</v>
      </c>
      <c r="J177">
        <v>1</v>
      </c>
    </row>
    <row r="178" spans="1:10" x14ac:dyDescent="0.15">
      <c r="A178">
        <v>11</v>
      </c>
      <c r="B178" t="s">
        <v>94</v>
      </c>
      <c r="C178">
        <f>INT((C174-D176-D177-C180)/D178)</f>
        <v>14</v>
      </c>
      <c r="D178">
        <f>VLOOKUP(A178,技能参数,4,FALSE)</f>
        <v>1</v>
      </c>
      <c r="E178">
        <f>VLOOKUP(A178*1000+D174,学习等级编码,2)</f>
        <v>1111</v>
      </c>
      <c r="F178">
        <f>INT(VLOOKUP($E178,技能升级,9,FALSE)*$C178*I178*J178)</f>
        <v>18041</v>
      </c>
      <c r="G178">
        <f>INT(VLOOKUP($E178,技能升级,10,FALSE)*$C178*I178*J178)</f>
        <v>0</v>
      </c>
      <c r="H178">
        <f>INT(VLOOKUP($E178,技能升级,11,FALSE)*$C178*I178*J178)</f>
        <v>6053</v>
      </c>
      <c r="I178">
        <v>1</v>
      </c>
      <c r="J178">
        <f>VLOOKUP(A174,$A$2:$I$21,7,FALSE)</f>
        <v>1.0649999999999999</v>
      </c>
    </row>
    <row r="179" spans="1:10" x14ac:dyDescent="0.15">
      <c r="A179">
        <v>14</v>
      </c>
      <c r="B179" t="s">
        <v>11</v>
      </c>
      <c r="C179">
        <v>1</v>
      </c>
      <c r="D179">
        <v>0</v>
      </c>
      <c r="E179">
        <f>VLOOKUP(A179*1000+D174,学习等级编码,2)</f>
        <v>1407</v>
      </c>
      <c r="F179">
        <f>INT(VLOOKUP($E179,技能升级,9,FALSE)*$C179*I179*J179)</f>
        <v>0</v>
      </c>
      <c r="G179">
        <f>INT(VLOOKUP($E179,技能升级,10,FALSE)*$C179*I179*J179)</f>
        <v>0</v>
      </c>
      <c r="H179">
        <f>INT(VLOOKUP($E179,技能升级,11,FALSE)*$C179*I179*J179)</f>
        <v>0</v>
      </c>
      <c r="I179">
        <v>1</v>
      </c>
      <c r="J179">
        <v>1</v>
      </c>
    </row>
    <row r="180" spans="1:10" x14ac:dyDescent="0.15">
      <c r="B180" t="s">
        <v>399</v>
      </c>
      <c r="C180">
        <f>C188*D190+C189*D190*2</f>
        <v>3.6</v>
      </c>
    </row>
    <row r="181" spans="1:10" x14ac:dyDescent="0.15">
      <c r="E181" t="s">
        <v>194</v>
      </c>
      <c r="F181">
        <f>SUM(F176:F178)/1000</f>
        <v>18.041</v>
      </c>
      <c r="G181">
        <f>SUM(G176:G178)/1000</f>
        <v>17.952000000000002</v>
      </c>
      <c r="H181">
        <f>SUM(H176:H178)</f>
        <v>10974</v>
      </c>
      <c r="I181" t="s">
        <v>196</v>
      </c>
      <c r="J181" t="s">
        <v>197</v>
      </c>
    </row>
    <row r="182" spans="1:10" x14ac:dyDescent="0.15">
      <c r="E182" t="s">
        <v>195</v>
      </c>
      <c r="F182">
        <f>INT((IF($A174&gt;10000,VLOOKUP($A174,实战属性,13,FALSE),VLOOKUP($A174,总基本属性,7,FALSE))-
IF($B174&gt;10000,VLOOKUP($B174,实战属性,15,FALSE),VLOOKUP($B174,总基本属性,9,FALSE))*$L$13)*F181)</f>
        <v>41548</v>
      </c>
      <c r="G182">
        <f>INT((IF($A174&gt;10000,VLOOKUP($A174,实战属性,14,FALSE),VLOOKUP($A174,总基本属性,8,FALSE))-
IF($B174&gt;10000,VLOOKUP($B174,实战属性,16,FALSE),VLOOKUP($B174,总基本属性,10,FALSE))*$L$13)*G181)</f>
        <v>28364</v>
      </c>
      <c r="H182">
        <f>H181+F182+G182</f>
        <v>80886</v>
      </c>
      <c r="I182">
        <f>IF($B174&gt;10000,VLOOKUP($B174,实战属性,12,FALSE),VLOOKUP($B174,总基本属性,6,FALSE))</f>
        <v>84384</v>
      </c>
      <c r="J182">
        <f>ROUND(I182/H182,2)</f>
        <v>1.04</v>
      </c>
    </row>
    <row r="185" spans="1:10" x14ac:dyDescent="0.15">
      <c r="A185" s="9" t="s">
        <v>198</v>
      </c>
      <c r="B185" s="9" t="s">
        <v>2</v>
      </c>
      <c r="C185" s="9" t="s">
        <v>178</v>
      </c>
      <c r="D185" s="9" t="s">
        <v>144</v>
      </c>
    </row>
    <row r="186" spans="1:10" x14ac:dyDescent="0.15">
      <c r="A186">
        <f>A162+10</f>
        <v>5070</v>
      </c>
      <c r="B186">
        <f>B162+1</f>
        <v>11107</v>
      </c>
      <c r="C186">
        <v>20</v>
      </c>
      <c r="D186">
        <f>MOD(A186,1000)</f>
        <v>70</v>
      </c>
    </row>
    <row r="187" spans="1:10" x14ac:dyDescent="0.15">
      <c r="A187" t="s">
        <v>156</v>
      </c>
      <c r="B187" t="s">
        <v>95</v>
      </c>
      <c r="C187" t="s">
        <v>142</v>
      </c>
      <c r="D187" t="s">
        <v>143</v>
      </c>
      <c r="E187" t="s">
        <v>182</v>
      </c>
      <c r="F187" t="s">
        <v>192</v>
      </c>
      <c r="G187" t="s">
        <v>193</v>
      </c>
      <c r="H187" t="s">
        <v>176</v>
      </c>
      <c r="I187" t="s">
        <v>205</v>
      </c>
      <c r="J187" t="s">
        <v>206</v>
      </c>
    </row>
    <row r="188" spans="1:10" x14ac:dyDescent="0.15">
      <c r="A188">
        <v>52</v>
      </c>
      <c r="B188" t="s">
        <v>44</v>
      </c>
      <c r="C188">
        <f>INT(C186/(VLOOKUP(A188,技能参数,5,FALSE)+2*VLOOKUP(A188,技能参数,4,FALSE))+1)</f>
        <v>2</v>
      </c>
      <c r="D188">
        <f>VLOOKUP(A188,技能参数,4,FALSE)</f>
        <v>1.5</v>
      </c>
      <c r="E188">
        <f>VLOOKUP(A188*1000+D186,学习等级编码,2)</f>
        <v>5207</v>
      </c>
      <c r="F188">
        <f>INT(VLOOKUP($E188,技能升级,9,FALSE)*$C188*I188*J188)</f>
        <v>6000</v>
      </c>
      <c r="G188">
        <f>INT(VLOOKUP($E188,技能升级,10,FALSE)*$C188*I188*J188)</f>
        <v>0</v>
      </c>
      <c r="H188">
        <f>INT(VLOOKUP($E188,技能升级,11,FALSE)*$C188*I188*J188)</f>
        <v>678</v>
      </c>
      <c r="I188">
        <v>1</v>
      </c>
      <c r="J188">
        <v>1</v>
      </c>
    </row>
    <row r="189" spans="1:10" x14ac:dyDescent="0.15">
      <c r="A189">
        <v>54</v>
      </c>
      <c r="B189" t="s">
        <v>40</v>
      </c>
      <c r="C189">
        <f>INT(C186/(VLOOKUP(A189,技能参数,5,FALSE)+2*VLOOKUP(A189,技能参数,4,FALSE))+1)</f>
        <v>1</v>
      </c>
      <c r="D189">
        <f>VLOOKUP(A189,技能参数,4,FALSE)</f>
        <v>1.2</v>
      </c>
      <c r="E189">
        <f>VLOOKUP(A189*1000+D186,学习等级编码,2)</f>
        <v>5407</v>
      </c>
      <c r="F189">
        <f>INT(VLOOKUP($E189,技能升级,9,FALSE)*$C189*I189*J189)</f>
        <v>2400</v>
      </c>
      <c r="G189">
        <f>INT(VLOOKUP($E189,技能升级,10,FALSE)*$C189*I189*J189)</f>
        <v>0</v>
      </c>
      <c r="H189">
        <f>INT(VLOOKUP($E189,技能升级,11,FALSE)*$C189*I189*J189)</f>
        <v>380</v>
      </c>
      <c r="I189">
        <v>1</v>
      </c>
      <c r="J189">
        <v>1</v>
      </c>
    </row>
    <row r="190" spans="1:10" x14ac:dyDescent="0.15">
      <c r="A190">
        <v>51</v>
      </c>
      <c r="B190" t="s">
        <v>203</v>
      </c>
      <c r="C190">
        <v>2</v>
      </c>
      <c r="D190">
        <f>VLOOKUP(A190,技能参数,4,FALSE)</f>
        <v>0.9</v>
      </c>
      <c r="E190">
        <f>VLOOKUP(A190*1000+D186,学习等级编码,2)</f>
        <v>5111</v>
      </c>
      <c r="F190">
        <f>INT(VLOOKUP($E190,技能升级,9,FALSE)*$C190*I190*J190)</f>
        <v>2940</v>
      </c>
      <c r="G190">
        <f>INT(VLOOKUP($E190,技能升级,10,FALSE)*$C190*I190*J190)</f>
        <v>0</v>
      </c>
      <c r="H190">
        <f>INT(VLOOKUP($E190,技能升级,11,FALSE)*$C190*I190*J190)</f>
        <v>812</v>
      </c>
      <c r="I190">
        <v>1</v>
      </c>
      <c r="J190">
        <v>1</v>
      </c>
    </row>
    <row r="191" spans="1:10" x14ac:dyDescent="0.15">
      <c r="A191">
        <v>51</v>
      </c>
      <c r="B191" t="s">
        <v>204</v>
      </c>
      <c r="C191">
        <f>INT((C186-C188*D188-C189*D189-D190*C190)/D191*3)</f>
        <v>46</v>
      </c>
      <c r="D191">
        <f>VLOOKUP(A191,技能参数,4,FALSE)</f>
        <v>0.9</v>
      </c>
      <c r="E191">
        <f>VLOOKUP(A191*1000+D186,学习等级编码,2)</f>
        <v>5111</v>
      </c>
      <c r="F191">
        <f>INT(VLOOKUP($E191,技能升级,9,FALSE)*$C191*I191*J191)</f>
        <v>44067</v>
      </c>
      <c r="G191">
        <f>INT(VLOOKUP($E191,技能升级,10,FALSE)*$C191*I191*J191)</f>
        <v>0</v>
      </c>
      <c r="H191">
        <f>INT(VLOOKUP($E191,技能升级,11,FALSE)*$C191*I191*J191)</f>
        <v>12171</v>
      </c>
      <c r="I191">
        <f>F192/1000</f>
        <v>0.49</v>
      </c>
      <c r="J191">
        <f>VLOOKUP(A186,$A$2:$I$21,9,FALSE)</f>
        <v>1.33</v>
      </c>
    </row>
    <row r="192" spans="1:10" x14ac:dyDescent="0.15">
      <c r="A192">
        <v>55</v>
      </c>
      <c r="B192" t="s">
        <v>271</v>
      </c>
      <c r="C192">
        <v>1</v>
      </c>
      <c r="D192">
        <v>0</v>
      </c>
      <c r="E192">
        <f>VLOOKUP(A192*1000+D186,学习等级编码,2)</f>
        <v>5505</v>
      </c>
      <c r="F192">
        <f>INT(VLOOKUP($E192,技能升级,14,FALSE)*$C192*I192)</f>
        <v>490</v>
      </c>
      <c r="G192">
        <f>INT(VLOOKUP($E192,技能升级,10,FALSE)*$C192*I192)</f>
        <v>0</v>
      </c>
      <c r="H192">
        <f>INT(VLOOKUP($E192,技能升级,11,FALSE)*$C192*I192*J192)</f>
        <v>0</v>
      </c>
      <c r="I192">
        <v>1</v>
      </c>
      <c r="J192">
        <v>1</v>
      </c>
    </row>
    <row r="193" spans="1:10" x14ac:dyDescent="0.15">
      <c r="E193" t="s">
        <v>194</v>
      </c>
      <c r="F193">
        <f>SUM(F188:F191)/1000</f>
        <v>55.406999999999996</v>
      </c>
      <c r="G193">
        <f>SUM(G188:G191)/1000</f>
        <v>0</v>
      </c>
      <c r="H193">
        <f>SUM(H188:H191)</f>
        <v>14041</v>
      </c>
      <c r="I193" t="s">
        <v>196</v>
      </c>
      <c r="J193" t="s">
        <v>197</v>
      </c>
    </row>
    <row r="194" spans="1:10" x14ac:dyDescent="0.15">
      <c r="E194" t="s">
        <v>195</v>
      </c>
      <c r="F194">
        <f>INT((IF($A186&gt;10000,VLOOKUP($A186,实战属性,13,FALSE),VLOOKUP($A186,总基本属性,7,FALSE))-
IF($B186&gt;10000,VLOOKUP($B186,实战属性,15,FALSE),VLOOKUP($B186,总基本属性,9,FALSE))*$L$13)*F193)</f>
        <v>133780</v>
      </c>
      <c r="G194">
        <f>INT((IF($A186&gt;10000,VLOOKUP($A186,实战属性,14,FALSE),VLOOKUP($A186,总基本属性,8,FALSE))-
IF($B186&gt;10000,VLOOKUP($B186,实战属性,16,FALSE),VLOOKUP($B186,总基本属性,10,FALSE))*$L$13)*G193)</f>
        <v>0</v>
      </c>
      <c r="H194">
        <f>H193+F194+G194</f>
        <v>147821</v>
      </c>
      <c r="I194">
        <f>IF($B186&gt;10000,VLOOKUP($B186,实战属性,12,FALSE),VLOOKUP($B186,总基本属性,6,FALSE))</f>
        <v>152179</v>
      </c>
      <c r="J194">
        <f>ROUND(I194/H194,2)</f>
        <v>1.03</v>
      </c>
    </row>
    <row r="197" spans="1:10" x14ac:dyDescent="0.15">
      <c r="A197" s="8" t="s">
        <v>2</v>
      </c>
      <c r="B197" s="8" t="s">
        <v>198</v>
      </c>
      <c r="C197" s="8" t="s">
        <v>178</v>
      </c>
      <c r="D197" s="8" t="s">
        <v>0</v>
      </c>
    </row>
    <row r="198" spans="1:10" x14ac:dyDescent="0.15">
      <c r="A198">
        <f>A174+1</f>
        <v>11108</v>
      </c>
      <c r="B198">
        <f>B174+10</f>
        <v>5080</v>
      </c>
      <c r="C198">
        <v>21</v>
      </c>
      <c r="D198">
        <f>MOD(B198,1000)</f>
        <v>80</v>
      </c>
    </row>
    <row r="199" spans="1:10" x14ac:dyDescent="0.15">
      <c r="A199" t="s">
        <v>156</v>
      </c>
      <c r="B199" t="s">
        <v>95</v>
      </c>
      <c r="C199" t="s">
        <v>177</v>
      </c>
      <c r="D199" t="s">
        <v>143</v>
      </c>
      <c r="E199" t="s">
        <v>182</v>
      </c>
      <c r="F199" t="s">
        <v>192</v>
      </c>
      <c r="G199" t="s">
        <v>193</v>
      </c>
      <c r="H199" t="s">
        <v>176</v>
      </c>
      <c r="I199" t="s">
        <v>205</v>
      </c>
      <c r="J199" t="s">
        <v>206</v>
      </c>
    </row>
    <row r="200" spans="1:10" x14ac:dyDescent="0.15">
      <c r="A200">
        <v>12</v>
      </c>
      <c r="B200" t="s">
        <v>9</v>
      </c>
      <c r="C200">
        <f>INT(C198-C204)</f>
        <v>17</v>
      </c>
      <c r="D200">
        <f>VLOOKUP(A200,技能参数,4,FALSE)</f>
        <v>0.6</v>
      </c>
      <c r="E200">
        <f>VLOOKUP(A200*1000+D198,学习等级编码,2)</f>
        <v>1208</v>
      </c>
      <c r="F200">
        <f>INT(VLOOKUP($E200,技能升级,9,FALSE)*$C200*I200*J200)</f>
        <v>0</v>
      </c>
      <c r="G200">
        <f>INT(VLOOKUP($E200,技能升级,10,FALSE)*$C200*I200*J200)</f>
        <v>19341</v>
      </c>
      <c r="H200">
        <f>INT(VLOOKUP($E200,技能升级,11,FALSE)*$C200*I200*J200)</f>
        <v>6808</v>
      </c>
      <c r="I200">
        <v>1</v>
      </c>
      <c r="J200">
        <f>VLOOKUP(A198,$A$2:$I$21,8,FALSE)</f>
        <v>0.92500000000000004</v>
      </c>
    </row>
    <row r="201" spans="1:10" x14ac:dyDescent="0.15">
      <c r="A201">
        <v>15</v>
      </c>
      <c r="B201" t="s">
        <v>12</v>
      </c>
      <c r="C201">
        <v>1</v>
      </c>
      <c r="D201">
        <f>VLOOKUP(A201,技能参数,4,FALSE)</f>
        <v>1.5</v>
      </c>
      <c r="E201">
        <f>VLOOKUP(A201*1000+D198,学习等级编码,2)</f>
        <v>1505</v>
      </c>
      <c r="F201">
        <f>INT(VLOOKUP($E201,技能升级,9,FALSE)*$C201*I201*J201)</f>
        <v>0</v>
      </c>
      <c r="G201">
        <f>INT(VLOOKUP($E201,技能升级,10,FALSE)*$C201*I201*J201)</f>
        <v>0</v>
      </c>
      <c r="H201">
        <f>INT(VLOOKUP($E201,技能升级,11,FALSE)*$C201*I201*J201)</f>
        <v>0</v>
      </c>
      <c r="I201">
        <v>1</v>
      </c>
      <c r="J201">
        <v>1</v>
      </c>
    </row>
    <row r="202" spans="1:10" x14ac:dyDescent="0.15">
      <c r="A202">
        <v>11</v>
      </c>
      <c r="B202" t="s">
        <v>94</v>
      </c>
      <c r="C202">
        <f>INT((C198-D200-D201-C204)/D202)</f>
        <v>15</v>
      </c>
      <c r="D202">
        <f>VLOOKUP(A202,技能参数,4,FALSE)</f>
        <v>1</v>
      </c>
      <c r="E202">
        <f>VLOOKUP(A202*1000+D198,学习等级编码,2)</f>
        <v>1112</v>
      </c>
      <c r="F202">
        <f>INT(VLOOKUP($E202,技能升级,9,FALSE)*$C202*I202*J202)</f>
        <v>20274</v>
      </c>
      <c r="G202">
        <f>INT(VLOOKUP($E202,技能升级,10,FALSE)*$C202*I202*J202)</f>
        <v>0</v>
      </c>
      <c r="H202">
        <f>INT(VLOOKUP($E202,技能升级,11,FALSE)*$C202*I202*J202)</f>
        <v>7962</v>
      </c>
      <c r="I202">
        <v>1</v>
      </c>
      <c r="J202">
        <f>VLOOKUP(A198,$A$2:$I$21,7,FALSE)</f>
        <v>1.0900000000000001</v>
      </c>
    </row>
    <row r="203" spans="1:10" x14ac:dyDescent="0.15">
      <c r="A203">
        <v>14</v>
      </c>
      <c r="B203" t="s">
        <v>11</v>
      </c>
      <c r="C203">
        <v>1</v>
      </c>
      <c r="D203">
        <v>0</v>
      </c>
      <c r="E203">
        <f>VLOOKUP(A203*1000+D198,学习等级编码,2)</f>
        <v>1408</v>
      </c>
      <c r="F203">
        <f>INT(VLOOKUP($E203,技能升级,9,FALSE)*$C203*I203*J203)</f>
        <v>0</v>
      </c>
      <c r="G203">
        <f>INT(VLOOKUP($E203,技能升级,10,FALSE)*$C203*I203*J203)</f>
        <v>0</v>
      </c>
      <c r="H203">
        <f>INT(VLOOKUP($E203,技能升级,11,FALSE)*$C203*I203*J203)</f>
        <v>0</v>
      </c>
      <c r="I203">
        <v>1</v>
      </c>
      <c r="J203">
        <v>1</v>
      </c>
    </row>
    <row r="204" spans="1:10" x14ac:dyDescent="0.15">
      <c r="B204" t="s">
        <v>399</v>
      </c>
      <c r="C204">
        <f>C212*D214+C213*D214*2</f>
        <v>3.6</v>
      </c>
    </row>
    <row r="205" spans="1:10" x14ac:dyDescent="0.15">
      <c r="E205" t="s">
        <v>194</v>
      </c>
      <c r="F205">
        <f>SUM(F200:F202)/1000</f>
        <v>20.274000000000001</v>
      </c>
      <c r="G205">
        <f>SUM(G200:G202)/1000</f>
        <v>19.341000000000001</v>
      </c>
      <c r="H205">
        <f>SUM(H200:H202)</f>
        <v>14770</v>
      </c>
      <c r="I205" t="s">
        <v>196</v>
      </c>
      <c r="J205" t="s">
        <v>197</v>
      </c>
    </row>
    <row r="206" spans="1:10" x14ac:dyDescent="0.15">
      <c r="E206" t="s">
        <v>195</v>
      </c>
      <c r="F206">
        <f>INT((IF($A198&gt;10000,VLOOKUP($A198,实战属性,13,FALSE),VLOOKUP($A198,总基本属性,7,FALSE))-
IF($B198&gt;10000,VLOOKUP($B198,实战属性,15,FALSE),VLOOKUP($B198,总基本属性,9,FALSE))*$L$13)*F205)</f>
        <v>59696</v>
      </c>
      <c r="G206">
        <f>INT((IF($A198&gt;10000,VLOOKUP($A198,实战属性,14,FALSE),VLOOKUP($A198,总基本属性,8,FALSE))-
IF($B198&gt;10000,VLOOKUP($B198,实战属性,16,FALSE),VLOOKUP($B198,总基本属性,10,FALSE))*$L$13)*G205)</f>
        <v>35461</v>
      </c>
      <c r="H206">
        <f>H205+F206+G206</f>
        <v>109927</v>
      </c>
      <c r="I206">
        <f>IF($B198&gt;10000,VLOOKUP($B198,实战属性,12,FALSE),VLOOKUP($B198,总基本属性,6,FALSE))</f>
        <v>109152</v>
      </c>
      <c r="J206">
        <f>ROUND(I206/H206,2)</f>
        <v>0.99</v>
      </c>
    </row>
    <row r="209" spans="1:10" x14ac:dyDescent="0.15">
      <c r="A209" s="9" t="s">
        <v>198</v>
      </c>
      <c r="B209" s="9" t="s">
        <v>2</v>
      </c>
      <c r="C209" s="9" t="s">
        <v>178</v>
      </c>
      <c r="D209" s="9" t="s">
        <v>144</v>
      </c>
    </row>
    <row r="210" spans="1:10" x14ac:dyDescent="0.15">
      <c r="A210">
        <f>A186+10</f>
        <v>5080</v>
      </c>
      <c r="B210">
        <f>B186+1</f>
        <v>11108</v>
      </c>
      <c r="C210">
        <v>21</v>
      </c>
      <c r="D210">
        <f>MOD(A210,1000)</f>
        <v>80</v>
      </c>
    </row>
    <row r="211" spans="1:10" x14ac:dyDescent="0.15">
      <c r="A211" t="s">
        <v>156</v>
      </c>
      <c r="B211" t="s">
        <v>95</v>
      </c>
      <c r="C211" t="s">
        <v>142</v>
      </c>
      <c r="D211" t="s">
        <v>143</v>
      </c>
      <c r="E211" t="s">
        <v>182</v>
      </c>
      <c r="F211" t="s">
        <v>192</v>
      </c>
      <c r="G211" t="s">
        <v>193</v>
      </c>
      <c r="H211" t="s">
        <v>176</v>
      </c>
      <c r="I211" t="s">
        <v>205</v>
      </c>
      <c r="J211" t="s">
        <v>206</v>
      </c>
    </row>
    <row r="212" spans="1:10" x14ac:dyDescent="0.15">
      <c r="A212">
        <v>52</v>
      </c>
      <c r="B212" t="s">
        <v>44</v>
      </c>
      <c r="C212">
        <f>INT(C210/(VLOOKUP(A212,技能参数,5,FALSE)+2*VLOOKUP(A212,技能参数,4,FALSE))+1)</f>
        <v>2</v>
      </c>
      <c r="D212">
        <f>VLOOKUP(A212,技能参数,4,FALSE)</f>
        <v>1.5</v>
      </c>
      <c r="E212">
        <f>VLOOKUP(A212*1000+D210,学习等级编码,2)</f>
        <v>5208</v>
      </c>
      <c r="F212">
        <f>INT(VLOOKUP($E212,技能升级,9,FALSE)*$C212*I212*J212)</f>
        <v>6160</v>
      </c>
      <c r="G212">
        <f>INT(VLOOKUP($E212,技能升级,10,FALSE)*$C212*I212*J212)</f>
        <v>0</v>
      </c>
      <c r="H212">
        <f>INT(VLOOKUP($E212,技能升级,11,FALSE)*$C212*I212*J212)</f>
        <v>886</v>
      </c>
      <c r="I212">
        <v>1</v>
      </c>
      <c r="J212">
        <v>1</v>
      </c>
    </row>
    <row r="213" spans="1:10" x14ac:dyDescent="0.15">
      <c r="A213">
        <v>54</v>
      </c>
      <c r="B213" t="s">
        <v>40</v>
      </c>
      <c r="C213">
        <f>INT(C210/(VLOOKUP(A213,技能参数,5,FALSE)+2*VLOOKUP(A213,技能参数,4,FALSE))+1)</f>
        <v>1</v>
      </c>
      <c r="D213">
        <f>VLOOKUP(A213,技能参数,4,FALSE)</f>
        <v>1.2</v>
      </c>
      <c r="E213">
        <f>VLOOKUP(A213*1000+D210,学习等级编码,2)</f>
        <v>5408</v>
      </c>
      <c r="F213">
        <f>INT(VLOOKUP($E213,技能升级,9,FALSE)*$C213*I213*J213)</f>
        <v>2470</v>
      </c>
      <c r="G213">
        <f>INT(VLOOKUP($E213,技能升级,10,FALSE)*$C213*I213*J213)</f>
        <v>0</v>
      </c>
      <c r="H213">
        <f>INT(VLOOKUP($E213,技能升级,11,FALSE)*$C213*I213*J213)</f>
        <v>490</v>
      </c>
      <c r="I213">
        <v>1</v>
      </c>
      <c r="J213">
        <v>1</v>
      </c>
    </row>
    <row r="214" spans="1:10" x14ac:dyDescent="0.15">
      <c r="A214">
        <v>51</v>
      </c>
      <c r="B214" t="s">
        <v>203</v>
      </c>
      <c r="C214">
        <v>2</v>
      </c>
      <c r="D214">
        <f>VLOOKUP(A214,技能参数,4,FALSE)</f>
        <v>0.9</v>
      </c>
      <c r="E214">
        <f>VLOOKUP(A214*1000+D210,学习等级编码,2)</f>
        <v>5112</v>
      </c>
      <c r="F214">
        <f>INT(VLOOKUP($E214,技能升级,9,FALSE)*$C214*I214*J214)</f>
        <v>3000</v>
      </c>
      <c r="G214">
        <f>INT(VLOOKUP($E214,技能升级,10,FALSE)*$C214*I214*J214)</f>
        <v>0</v>
      </c>
      <c r="H214">
        <f>INT(VLOOKUP($E214,技能升级,11,FALSE)*$C214*I214*J214)</f>
        <v>974</v>
      </c>
      <c r="I214">
        <v>1</v>
      </c>
      <c r="J214">
        <v>1</v>
      </c>
    </row>
    <row r="215" spans="1:10" x14ac:dyDescent="0.15">
      <c r="A215">
        <v>51</v>
      </c>
      <c r="B215" t="s">
        <v>204</v>
      </c>
      <c r="C215">
        <f>INT((C210-C212*D212-C213*D213-D214*C214)/D215*3)</f>
        <v>50</v>
      </c>
      <c r="D215">
        <f>VLOOKUP(A215,技能参数,4,FALSE)</f>
        <v>0.9</v>
      </c>
      <c r="E215">
        <f>VLOOKUP(A215*1000+D210,学习等级编码,2)</f>
        <v>5112</v>
      </c>
      <c r="F215">
        <f>INT(VLOOKUP($E215,技能升级,9,FALSE)*$C215*I215*J215)</f>
        <v>49980</v>
      </c>
      <c r="G215">
        <f>INT(VLOOKUP($E215,技能升级,10,FALSE)*$C215*I215*J215)</f>
        <v>0</v>
      </c>
      <c r="H215">
        <f>INT(VLOOKUP($E215,技能升级,11,FALSE)*$C215*I215*J215)</f>
        <v>16226</v>
      </c>
      <c r="I215">
        <f>F216/1000</f>
        <v>0.49</v>
      </c>
      <c r="J215">
        <f>VLOOKUP(A210,$A$2:$I$21,9,FALSE)</f>
        <v>1.36</v>
      </c>
    </row>
    <row r="216" spans="1:10" x14ac:dyDescent="0.15">
      <c r="A216">
        <v>55</v>
      </c>
      <c r="B216" t="s">
        <v>271</v>
      </c>
      <c r="C216">
        <v>1</v>
      </c>
      <c r="D216">
        <v>0</v>
      </c>
      <c r="E216">
        <f>VLOOKUP(A216*1000+D210,学习等级编码,2)</f>
        <v>5505</v>
      </c>
      <c r="F216">
        <f>INT(VLOOKUP($E216,技能升级,14,FALSE)*$C216*I216)</f>
        <v>490</v>
      </c>
      <c r="G216">
        <f>INT(VLOOKUP($E216,技能升级,10,FALSE)*$C216*I216)</f>
        <v>0</v>
      </c>
      <c r="H216">
        <f>INT(VLOOKUP($E216,技能升级,11,FALSE)*$C216*I216*J216)</f>
        <v>0</v>
      </c>
      <c r="I216">
        <v>1</v>
      </c>
      <c r="J216">
        <v>1</v>
      </c>
    </row>
    <row r="217" spans="1:10" x14ac:dyDescent="0.15">
      <c r="E217" t="s">
        <v>194</v>
      </c>
      <c r="F217">
        <f>SUM(F212:F215)/1000</f>
        <v>61.61</v>
      </c>
      <c r="G217">
        <f>SUM(G212:G215)/1000</f>
        <v>0</v>
      </c>
      <c r="H217">
        <f>SUM(H212:H215)</f>
        <v>18576</v>
      </c>
      <c r="I217" t="s">
        <v>196</v>
      </c>
      <c r="J217" t="s">
        <v>197</v>
      </c>
    </row>
    <row r="218" spans="1:10" x14ac:dyDescent="0.15">
      <c r="E218" t="s">
        <v>195</v>
      </c>
      <c r="F218">
        <f>INT((IF($A210&gt;10000,VLOOKUP($A210,实战属性,13,FALSE),VLOOKUP($A210,总基本属性,7,FALSE))-
IF($B210&gt;10000,VLOOKUP($B210,实战属性,15,FALSE),VLOOKUP($B210,总基本属性,9,FALSE))*$L$13)*F217)</f>
        <v>176327</v>
      </c>
      <c r="G218">
        <f>INT((IF($A210&gt;10000,VLOOKUP($A210,实战属性,14,FALSE),VLOOKUP($A210,总基本属性,8,FALSE))-
IF($B210&gt;10000,VLOOKUP($B210,实战属性,16,FALSE),VLOOKUP($B210,总基本属性,10,FALSE))*$L$13)*G217)</f>
        <v>0</v>
      </c>
      <c r="H218">
        <f>H217+F218+G218</f>
        <v>194903</v>
      </c>
      <c r="I218">
        <f>IF($B210&gt;10000,VLOOKUP($B210,实战属性,12,FALSE),VLOOKUP($B210,总基本属性,6,FALSE))</f>
        <v>194386</v>
      </c>
      <c r="J218">
        <f>ROUND(I218/H218,2)</f>
        <v>1</v>
      </c>
    </row>
    <row r="221" spans="1:10" x14ac:dyDescent="0.15">
      <c r="A221" s="8" t="s">
        <v>2</v>
      </c>
      <c r="B221" s="8" t="s">
        <v>198</v>
      </c>
      <c r="C221" s="8" t="s">
        <v>178</v>
      </c>
      <c r="D221" s="8" t="s">
        <v>0</v>
      </c>
    </row>
    <row r="222" spans="1:10" x14ac:dyDescent="0.15">
      <c r="A222">
        <f>A198+1</f>
        <v>11109</v>
      </c>
      <c r="B222">
        <f>B198+10</f>
        <v>5090</v>
      </c>
      <c r="C222">
        <v>20</v>
      </c>
      <c r="D222">
        <f>MOD(B222,1000)</f>
        <v>90</v>
      </c>
    </row>
    <row r="223" spans="1:10" x14ac:dyDescent="0.15">
      <c r="A223" t="s">
        <v>156</v>
      </c>
      <c r="B223" t="s">
        <v>95</v>
      </c>
      <c r="C223" t="s">
        <v>177</v>
      </c>
      <c r="D223" t="s">
        <v>143</v>
      </c>
      <c r="E223" t="s">
        <v>182</v>
      </c>
      <c r="F223" t="s">
        <v>192</v>
      </c>
      <c r="G223" t="s">
        <v>193</v>
      </c>
      <c r="H223" t="s">
        <v>176</v>
      </c>
      <c r="I223" t="s">
        <v>205</v>
      </c>
      <c r="J223" t="s">
        <v>206</v>
      </c>
    </row>
    <row r="224" spans="1:10" x14ac:dyDescent="0.15">
      <c r="A224">
        <v>12</v>
      </c>
      <c r="B224" t="s">
        <v>9</v>
      </c>
      <c r="C224">
        <f>INT(C222-C228)</f>
        <v>16</v>
      </c>
      <c r="D224">
        <f>VLOOKUP(A224,技能参数,4,FALSE)</f>
        <v>0.6</v>
      </c>
      <c r="E224">
        <f>VLOOKUP(A224*1000+D222,学习等级编码,2)</f>
        <v>1209</v>
      </c>
      <c r="F224">
        <f>INT(VLOOKUP($E224,技能升级,9,FALSE)*$C224*I224*J224)</f>
        <v>0</v>
      </c>
      <c r="G224">
        <f>INT(VLOOKUP($E224,技能升级,10,FALSE)*$C224*I224*J224)</f>
        <v>18592</v>
      </c>
      <c r="H224">
        <f>INT(VLOOKUP($E224,技能升级,11,FALSE)*$C224*I224*J224)</f>
        <v>8081</v>
      </c>
      <c r="I224">
        <v>1</v>
      </c>
      <c r="J224">
        <f>VLOOKUP(A222,$A$2:$I$21,8,FALSE)</f>
        <v>0.91500000000000004</v>
      </c>
    </row>
    <row r="225" spans="1:10" x14ac:dyDescent="0.15">
      <c r="A225">
        <v>15</v>
      </c>
      <c r="B225" t="s">
        <v>12</v>
      </c>
      <c r="C225">
        <v>1</v>
      </c>
      <c r="D225">
        <f>VLOOKUP(A225,技能参数,4,FALSE)</f>
        <v>1.5</v>
      </c>
      <c r="E225">
        <f>VLOOKUP(A225*1000+D222,学习等级编码,2)</f>
        <v>1506</v>
      </c>
      <c r="F225">
        <f>INT(VLOOKUP($E225,技能升级,9,FALSE)*$C225*I225*J225)</f>
        <v>0</v>
      </c>
      <c r="G225">
        <f>INT(VLOOKUP($E225,技能升级,10,FALSE)*$C225*I225*J225)</f>
        <v>0</v>
      </c>
      <c r="H225">
        <f>INT(VLOOKUP($E225,技能升级,11,FALSE)*$C225*I225*J225)</f>
        <v>0</v>
      </c>
      <c r="I225">
        <v>1</v>
      </c>
      <c r="J225">
        <v>1</v>
      </c>
    </row>
    <row r="226" spans="1:10" x14ac:dyDescent="0.15">
      <c r="A226">
        <v>11</v>
      </c>
      <c r="B226" t="s">
        <v>94</v>
      </c>
      <c r="C226">
        <f>INT((C222-D224-D225-C228)/D226)</f>
        <v>14</v>
      </c>
      <c r="D226">
        <f>VLOOKUP(A226,技能参数,4,FALSE)</f>
        <v>1</v>
      </c>
      <c r="E226">
        <f>VLOOKUP(A226*1000+D222,学习等级编码,2)</f>
        <v>1114</v>
      </c>
      <c r="F226">
        <f>INT(VLOOKUP($E226,技能升级,9,FALSE)*$C226*I226*J226)</f>
        <v>20070</v>
      </c>
      <c r="G226">
        <f>INT(VLOOKUP($E226,技能升级,10,FALSE)*$C226*I226*J226)</f>
        <v>0</v>
      </c>
      <c r="H226">
        <f>INT(VLOOKUP($E226,技能升级,11,FALSE)*$C226*I226*J226)</f>
        <v>10458</v>
      </c>
      <c r="I226">
        <v>1</v>
      </c>
      <c r="J226">
        <f>VLOOKUP(A222,$A$2:$I$21,7,FALSE)</f>
        <v>1.1199999999999999</v>
      </c>
    </row>
    <row r="227" spans="1:10" x14ac:dyDescent="0.15">
      <c r="A227">
        <v>14</v>
      </c>
      <c r="B227" t="s">
        <v>11</v>
      </c>
      <c r="C227">
        <v>1</v>
      </c>
      <c r="D227">
        <v>0</v>
      </c>
      <c r="E227">
        <f>VLOOKUP(A227*1000+D222,学习等级编码,2)</f>
        <v>1409</v>
      </c>
      <c r="F227">
        <f>INT(VLOOKUP($E227,技能升级,9,FALSE)*$C227*I227*J227)</f>
        <v>0</v>
      </c>
      <c r="G227">
        <f>INT(VLOOKUP($E227,技能升级,10,FALSE)*$C227*I227*J227)</f>
        <v>0</v>
      </c>
      <c r="H227">
        <f>INT(VLOOKUP($E227,技能升级,11,FALSE)*$C227*I227*J227)</f>
        <v>0</v>
      </c>
      <c r="I227">
        <v>1</v>
      </c>
      <c r="J227">
        <v>1</v>
      </c>
    </row>
    <row r="228" spans="1:10" x14ac:dyDescent="0.15">
      <c r="B228" t="s">
        <v>399</v>
      </c>
      <c r="C228">
        <f>C236*D238+C237*D238*2</f>
        <v>3.6</v>
      </c>
    </row>
    <row r="229" spans="1:10" x14ac:dyDescent="0.15">
      <c r="E229" t="s">
        <v>194</v>
      </c>
      <c r="F229">
        <f>SUM(F224:F226)/1000</f>
        <v>20.07</v>
      </c>
      <c r="G229">
        <f>SUM(G224:G226)/1000</f>
        <v>18.591999999999999</v>
      </c>
      <c r="H229">
        <f>SUM(H224:H226)</f>
        <v>18539</v>
      </c>
      <c r="I229" t="s">
        <v>196</v>
      </c>
      <c r="J229" t="s">
        <v>197</v>
      </c>
    </row>
    <row r="230" spans="1:10" x14ac:dyDescent="0.15">
      <c r="E230" t="s">
        <v>195</v>
      </c>
      <c r="F230">
        <f>INT((IF($A222&gt;10000,VLOOKUP($A222,实战属性,13,FALSE),VLOOKUP($A222,总基本属性,7,FALSE))-
IF($B222&gt;10000,VLOOKUP($B222,实战属性,15,FALSE),VLOOKUP($B222,总基本属性,9,FALSE))*$L$13)*F229)</f>
        <v>74319</v>
      </c>
      <c r="G230">
        <f>INT((IF($A222&gt;10000,VLOOKUP($A222,实战属性,14,FALSE),VLOOKUP($A222,总基本属性,8,FALSE))-
IF($B222&gt;10000,VLOOKUP($B222,实战属性,16,FALSE),VLOOKUP($B222,总基本属性,10,FALSE))*$L$13)*G229)</f>
        <v>39954</v>
      </c>
      <c r="H230">
        <f>H229+F230+G230</f>
        <v>132812</v>
      </c>
      <c r="I230">
        <f>IF($B222&gt;10000,VLOOKUP($B222,实战属性,12,FALSE),VLOOKUP($B222,总基本属性,6,FALSE))</f>
        <v>137184</v>
      </c>
      <c r="J230">
        <f>ROUND(I230/H230,2)</f>
        <v>1.03</v>
      </c>
    </row>
    <row r="233" spans="1:10" x14ac:dyDescent="0.15">
      <c r="A233" s="9" t="s">
        <v>198</v>
      </c>
      <c r="B233" s="9" t="s">
        <v>2</v>
      </c>
      <c r="C233" s="9" t="s">
        <v>178</v>
      </c>
      <c r="D233" s="9" t="s">
        <v>144</v>
      </c>
    </row>
    <row r="234" spans="1:10" x14ac:dyDescent="0.15">
      <c r="A234">
        <f>A210+10</f>
        <v>5090</v>
      </c>
      <c r="B234">
        <f>B210+1</f>
        <v>11109</v>
      </c>
      <c r="C234">
        <v>20</v>
      </c>
      <c r="D234">
        <f>MOD(A234,1000)</f>
        <v>90</v>
      </c>
    </row>
    <row r="235" spans="1:10" x14ac:dyDescent="0.15">
      <c r="A235" t="s">
        <v>156</v>
      </c>
      <c r="B235" t="s">
        <v>95</v>
      </c>
      <c r="C235" t="s">
        <v>142</v>
      </c>
      <c r="D235" t="s">
        <v>143</v>
      </c>
      <c r="E235" t="s">
        <v>182</v>
      </c>
      <c r="F235" t="s">
        <v>192</v>
      </c>
      <c r="G235" t="s">
        <v>193</v>
      </c>
      <c r="H235" t="s">
        <v>176</v>
      </c>
      <c r="I235" t="s">
        <v>205</v>
      </c>
      <c r="J235" t="s">
        <v>206</v>
      </c>
    </row>
    <row r="236" spans="1:10" x14ac:dyDescent="0.15">
      <c r="A236">
        <v>52</v>
      </c>
      <c r="B236" t="s">
        <v>44</v>
      </c>
      <c r="C236">
        <f>INT(C234/(VLOOKUP(A236,技能参数,5,FALSE)+2*VLOOKUP(A236,技能参数,4,FALSE))+1)</f>
        <v>2</v>
      </c>
      <c r="D236">
        <f>VLOOKUP(A236,技能参数,4,FALSE)</f>
        <v>1.5</v>
      </c>
      <c r="E236">
        <f>VLOOKUP(A236*1000+D234,学习等级编码,2)</f>
        <v>5209</v>
      </c>
      <c r="F236">
        <f>INT(VLOOKUP($E236,技能升级,9,FALSE)*$C236*I236*J236)</f>
        <v>6340</v>
      </c>
      <c r="G236">
        <f>INT(VLOOKUP($E236,技能升级,10,FALSE)*$C236*I236*J236)</f>
        <v>0</v>
      </c>
      <c r="H236">
        <f>INT(VLOOKUP($E236,技能升级,11,FALSE)*$C236*I236*J236)</f>
        <v>1124</v>
      </c>
      <c r="I236">
        <v>1</v>
      </c>
      <c r="J236">
        <v>1</v>
      </c>
    </row>
    <row r="237" spans="1:10" x14ac:dyDescent="0.15">
      <c r="A237">
        <v>54</v>
      </c>
      <c r="B237" t="s">
        <v>40</v>
      </c>
      <c r="C237">
        <f>INT(C234/(VLOOKUP(A237,技能参数,5,FALSE)+2*VLOOKUP(A237,技能参数,4,FALSE))+1)</f>
        <v>1</v>
      </c>
      <c r="D237">
        <f>VLOOKUP(A237,技能参数,4,FALSE)</f>
        <v>1.2</v>
      </c>
      <c r="E237">
        <f>VLOOKUP(A237*1000+D234,学习等级编码,2)</f>
        <v>5409</v>
      </c>
      <c r="F237">
        <f>INT(VLOOKUP($E237,技能升级,9,FALSE)*$C237*I237*J237)</f>
        <v>2530</v>
      </c>
      <c r="G237">
        <f>INT(VLOOKUP($E237,技能升级,10,FALSE)*$C237*I237*J237)</f>
        <v>0</v>
      </c>
      <c r="H237">
        <f>INT(VLOOKUP($E237,技能升级,11,FALSE)*$C237*I237*J237)</f>
        <v>615</v>
      </c>
      <c r="I237">
        <v>1</v>
      </c>
      <c r="J237">
        <v>1</v>
      </c>
    </row>
    <row r="238" spans="1:10" x14ac:dyDescent="0.15">
      <c r="A238">
        <v>51</v>
      </c>
      <c r="B238" t="s">
        <v>203</v>
      </c>
      <c r="C238">
        <v>2</v>
      </c>
      <c r="D238">
        <f>VLOOKUP(A238,技能参数,4,FALSE)</f>
        <v>0.9</v>
      </c>
      <c r="E238">
        <f>VLOOKUP(A238*1000+D234,学习等级编码,2)</f>
        <v>5114</v>
      </c>
      <c r="F238">
        <f>INT(VLOOKUP($E238,技能升级,9,FALSE)*$C238*I238*J238)</f>
        <v>3080</v>
      </c>
      <c r="G238">
        <f>INT(VLOOKUP($E238,技能升级,10,FALSE)*$C238*I238*J238)</f>
        <v>0</v>
      </c>
      <c r="H238">
        <f>INT(VLOOKUP($E238,技能升级,11,FALSE)*$C238*I238*J238)</f>
        <v>1334</v>
      </c>
      <c r="I238">
        <v>1</v>
      </c>
      <c r="J238">
        <v>1</v>
      </c>
    </row>
    <row r="239" spans="1:10" x14ac:dyDescent="0.15">
      <c r="A239">
        <v>51</v>
      </c>
      <c r="B239" t="s">
        <v>204</v>
      </c>
      <c r="C239">
        <f>INT((C234-C236*D236-C237*D237-D238*C238)/D239*3)</f>
        <v>46</v>
      </c>
      <c r="D239">
        <f>VLOOKUP(A239,技能参数,4,FALSE)</f>
        <v>0.9</v>
      </c>
      <c r="E239">
        <f>VLOOKUP(A239*1000+D234,学习等级编码,2)</f>
        <v>5114</v>
      </c>
      <c r="F239">
        <f>INT(VLOOKUP($E239,技能升级,9,FALSE)*$C239*I239*J239)</f>
        <v>51571</v>
      </c>
      <c r="G239">
        <f>INT(VLOOKUP($E239,技能升级,10,FALSE)*$C239*I239*J239)</f>
        <v>0</v>
      </c>
      <c r="H239">
        <f>INT(VLOOKUP($E239,技能升级,11,FALSE)*$C239*I239*J239)</f>
        <v>22336</v>
      </c>
      <c r="I239">
        <f>F240/1000</f>
        <v>0.52</v>
      </c>
      <c r="J239">
        <f>VLOOKUP(A234,$A$2:$I$21,9,FALSE)</f>
        <v>1.4</v>
      </c>
    </row>
    <row r="240" spans="1:10" x14ac:dyDescent="0.15">
      <c r="A240">
        <v>55</v>
      </c>
      <c r="B240" t="s">
        <v>271</v>
      </c>
      <c r="C240">
        <v>1</v>
      </c>
      <c r="D240">
        <v>0</v>
      </c>
      <c r="E240">
        <f>VLOOKUP(A240*1000+D234,学习等级编码,2)</f>
        <v>5506</v>
      </c>
      <c r="F240">
        <f>INT(VLOOKUP($E240,技能升级,14,FALSE)*$C240*I240)</f>
        <v>520</v>
      </c>
      <c r="G240">
        <f>INT(VLOOKUP($E240,技能升级,10,FALSE)*$C240*I240)</f>
        <v>0</v>
      </c>
      <c r="H240">
        <f>INT(VLOOKUP($E240,技能升级,11,FALSE)*$C240*I240*J240)</f>
        <v>0</v>
      </c>
      <c r="I240">
        <v>1</v>
      </c>
      <c r="J240">
        <v>1</v>
      </c>
    </row>
    <row r="241" spans="1:10" x14ac:dyDescent="0.15">
      <c r="E241" t="s">
        <v>194</v>
      </c>
      <c r="F241">
        <f>SUM(F236:F239)/1000</f>
        <v>63.521000000000001</v>
      </c>
      <c r="G241">
        <f>SUM(G236:G239)/1000</f>
        <v>0</v>
      </c>
      <c r="H241">
        <f>SUM(H236:H239)</f>
        <v>25409</v>
      </c>
      <c r="I241" t="s">
        <v>196</v>
      </c>
      <c r="J241" t="s">
        <v>197</v>
      </c>
    </row>
    <row r="242" spans="1:10" x14ac:dyDescent="0.15">
      <c r="E242" t="s">
        <v>195</v>
      </c>
      <c r="F242">
        <f>INT((IF($A234&gt;10000,VLOOKUP($A234,实战属性,13,FALSE),VLOOKUP($A234,总基本属性,7,FALSE))-
IF($B234&gt;10000,VLOOKUP($B234,实战属性,15,FALSE),VLOOKUP($B234,总基本属性,9,FALSE))*$L$13)*F241)</f>
        <v>223752</v>
      </c>
      <c r="G242">
        <f>INT((IF($A234&gt;10000,VLOOKUP($A234,实战属性,14,FALSE),VLOOKUP($A234,总基本属性,8,FALSE))-
IF($B234&gt;10000,VLOOKUP($B234,实战属性,16,FALSE),VLOOKUP($B234,总基本属性,10,FALSE))*$L$13)*G241)</f>
        <v>0</v>
      </c>
      <c r="H242">
        <f>H241+F242+G242</f>
        <v>249161</v>
      </c>
      <c r="I242">
        <f>IF($B234&gt;10000,VLOOKUP($B234,实战属性,12,FALSE),VLOOKUP($B234,总基本属性,6,FALSE))</f>
        <v>256315</v>
      </c>
      <c r="J242">
        <f>ROUND(I242/H242,2)</f>
        <v>1.03</v>
      </c>
    </row>
    <row r="245" spans="1:10" x14ac:dyDescent="0.15">
      <c r="A245" s="8" t="s">
        <v>2</v>
      </c>
      <c r="B245" s="8" t="s">
        <v>198</v>
      </c>
      <c r="C245" s="8" t="s">
        <v>178</v>
      </c>
      <c r="D245" s="8" t="s">
        <v>0</v>
      </c>
    </row>
    <row r="246" spans="1:10" x14ac:dyDescent="0.15">
      <c r="A246">
        <f>A222+1</f>
        <v>11110</v>
      </c>
      <c r="B246">
        <f>B222+10</f>
        <v>5100</v>
      </c>
      <c r="C246">
        <v>20</v>
      </c>
      <c r="D246">
        <f>MOD(B246,1000)</f>
        <v>100</v>
      </c>
    </row>
    <row r="247" spans="1:10" x14ac:dyDescent="0.15">
      <c r="A247" t="s">
        <v>156</v>
      </c>
      <c r="B247" t="s">
        <v>95</v>
      </c>
      <c r="C247" t="s">
        <v>177</v>
      </c>
      <c r="D247" t="s">
        <v>143</v>
      </c>
      <c r="E247" t="s">
        <v>182</v>
      </c>
      <c r="F247" t="s">
        <v>192</v>
      </c>
      <c r="G247" t="s">
        <v>193</v>
      </c>
      <c r="H247" t="s">
        <v>176</v>
      </c>
      <c r="I247" t="s">
        <v>205</v>
      </c>
      <c r="J247" t="s">
        <v>206</v>
      </c>
    </row>
    <row r="248" spans="1:10" x14ac:dyDescent="0.15">
      <c r="A248">
        <v>12</v>
      </c>
      <c r="B248" t="s">
        <v>9</v>
      </c>
      <c r="C248">
        <f>INT(C246-C252)</f>
        <v>16</v>
      </c>
      <c r="D248">
        <f>VLOOKUP(A248,技能参数,4,FALSE)</f>
        <v>0.6</v>
      </c>
      <c r="E248">
        <f>VLOOKUP(A248*1000+D246,学习等级编码,2)</f>
        <v>1210</v>
      </c>
      <c r="F248">
        <f>INT(VLOOKUP($E248,技能升级,9,FALSE)*$C248*I248*J248)</f>
        <v>0</v>
      </c>
      <c r="G248">
        <f>INT(VLOOKUP($E248,技能升级,10,FALSE)*$C248*I248*J248)</f>
        <v>18824</v>
      </c>
      <c r="H248">
        <f>INT(VLOOKUP($E248,技能升级,11,FALSE)*$C248*I248*J248)</f>
        <v>9933</v>
      </c>
      <c r="I248">
        <v>1</v>
      </c>
      <c r="J248">
        <f>VLOOKUP(A246,$A$2:$I$21,8,FALSE)</f>
        <v>0.9049999999999998</v>
      </c>
    </row>
    <row r="249" spans="1:10" x14ac:dyDescent="0.15">
      <c r="A249">
        <v>15</v>
      </c>
      <c r="B249" t="s">
        <v>12</v>
      </c>
      <c r="C249">
        <v>1</v>
      </c>
      <c r="D249">
        <f>VLOOKUP(A249,技能参数,4,FALSE)</f>
        <v>1.5</v>
      </c>
      <c r="E249">
        <f>VLOOKUP(A249*1000+D246,学习等级编码,2)</f>
        <v>1507</v>
      </c>
      <c r="F249">
        <f>INT(VLOOKUP($E249,技能升级,9,FALSE)*$C249*I249*J249)</f>
        <v>0</v>
      </c>
      <c r="G249">
        <f>INT(VLOOKUP($E249,技能升级,10,FALSE)*$C249*I249*J249)</f>
        <v>0</v>
      </c>
      <c r="H249">
        <f>INT(VLOOKUP($E249,技能升级,11,FALSE)*$C249*I249*J249)</f>
        <v>0</v>
      </c>
      <c r="I249">
        <v>1</v>
      </c>
      <c r="J249">
        <v>1</v>
      </c>
    </row>
    <row r="250" spans="1:10" x14ac:dyDescent="0.15">
      <c r="A250">
        <v>11</v>
      </c>
      <c r="B250" t="s">
        <v>94</v>
      </c>
      <c r="C250">
        <f>INT((C246-D248-D249-C252)/D250)</f>
        <v>14</v>
      </c>
      <c r="D250">
        <f>VLOOKUP(A250,技能参数,4,FALSE)</f>
        <v>1</v>
      </c>
      <c r="E250">
        <f>VLOOKUP(A250*1000+D246,学习等级编码,2)</f>
        <v>1115</v>
      </c>
      <c r="F250">
        <f>INT(VLOOKUP($E250,技能升级,9,FALSE)*$C250*I250*J250)</f>
        <v>20839</v>
      </c>
      <c r="G250">
        <f>INT(VLOOKUP($E250,技能升级,10,FALSE)*$C250*I250*J250)</f>
        <v>0</v>
      </c>
      <c r="H250">
        <f>INT(VLOOKUP($E250,技能升级,11,FALSE)*$C250*I250*J250)</f>
        <v>12327</v>
      </c>
      <c r="I250">
        <v>1</v>
      </c>
      <c r="J250">
        <f>VLOOKUP(A246,$A$2:$I$21,7,FALSE)</f>
        <v>1.145</v>
      </c>
    </row>
    <row r="251" spans="1:10" x14ac:dyDescent="0.15">
      <c r="A251">
        <v>14</v>
      </c>
      <c r="B251" t="s">
        <v>11</v>
      </c>
      <c r="C251">
        <v>1</v>
      </c>
      <c r="D251">
        <v>0</v>
      </c>
      <c r="E251">
        <f>VLOOKUP(A251*1000+D246,学习等级编码,2)</f>
        <v>1410</v>
      </c>
      <c r="F251">
        <f>INT(VLOOKUP($E251,技能升级,9,FALSE)*$C251*I251*J251)</f>
        <v>0</v>
      </c>
      <c r="G251">
        <f>INT(VLOOKUP($E251,技能升级,10,FALSE)*$C251*I251*J251)</f>
        <v>0</v>
      </c>
      <c r="H251">
        <f>INT(VLOOKUP($E251,技能升级,11,FALSE)*$C251*I251*J251)</f>
        <v>0</v>
      </c>
      <c r="I251">
        <v>1</v>
      </c>
      <c r="J251">
        <v>1</v>
      </c>
    </row>
    <row r="252" spans="1:10" x14ac:dyDescent="0.15">
      <c r="B252" t="s">
        <v>399</v>
      </c>
      <c r="C252">
        <f>C260*D262+C261*D262*2</f>
        <v>3.6</v>
      </c>
    </row>
    <row r="253" spans="1:10" x14ac:dyDescent="0.15">
      <c r="E253" t="s">
        <v>194</v>
      </c>
      <c r="F253">
        <f>SUM(F248:F250)/1000</f>
        <v>20.838999999999999</v>
      </c>
      <c r="G253">
        <f>SUM(G248:G250)/1000</f>
        <v>18.824000000000002</v>
      </c>
      <c r="H253">
        <f>SUM(H248:H250)</f>
        <v>22260</v>
      </c>
      <c r="I253" t="s">
        <v>196</v>
      </c>
      <c r="J253" t="s">
        <v>197</v>
      </c>
    </row>
    <row r="254" spans="1:10" x14ac:dyDescent="0.15">
      <c r="E254" t="s">
        <v>195</v>
      </c>
      <c r="F254">
        <f>INT((IF($A246&gt;10000,VLOOKUP($A246,实战属性,13,FALSE),VLOOKUP($A246,总基本属性,7,FALSE))-
IF($B246&gt;10000,VLOOKUP($B246,实战属性,15,FALSE),VLOOKUP($B246,总基本属性,9,FALSE))*$L$13)*F253)</f>
        <v>94838</v>
      </c>
      <c r="G254">
        <f>INT((IF($A246&gt;10000,VLOOKUP($A246,实战属性,14,FALSE),VLOOKUP($A246,总基本属性,8,FALSE))-
IF($B246&gt;10000,VLOOKUP($B246,实战属性,16,FALSE),VLOOKUP($B246,总基本属性,10,FALSE))*$L$13)*G253)</f>
        <v>49695</v>
      </c>
      <c r="H254">
        <f>H253+F254+G254</f>
        <v>166793</v>
      </c>
      <c r="I254">
        <f>IF($B246&gt;10000,VLOOKUP($B246,实战属性,12,FALSE),VLOOKUP($B246,总基本属性,6,FALSE))</f>
        <v>168384</v>
      </c>
      <c r="J254">
        <f>ROUND(I254/H254,2)</f>
        <v>1.01</v>
      </c>
    </row>
    <row r="257" spans="1:10" x14ac:dyDescent="0.15">
      <c r="A257" s="9" t="s">
        <v>198</v>
      </c>
      <c r="B257" s="9" t="s">
        <v>2</v>
      </c>
      <c r="C257" s="9" t="s">
        <v>178</v>
      </c>
      <c r="D257" s="9" t="s">
        <v>144</v>
      </c>
    </row>
    <row r="258" spans="1:10" x14ac:dyDescent="0.15">
      <c r="A258">
        <f>A234+10</f>
        <v>5100</v>
      </c>
      <c r="B258">
        <f>B234+1</f>
        <v>11110</v>
      </c>
      <c r="C258">
        <v>20</v>
      </c>
      <c r="D258">
        <f>MOD(A258,1000)</f>
        <v>100</v>
      </c>
    </row>
    <row r="259" spans="1:10" x14ac:dyDescent="0.15">
      <c r="A259" t="s">
        <v>156</v>
      </c>
      <c r="B259" t="s">
        <v>95</v>
      </c>
      <c r="C259" t="s">
        <v>142</v>
      </c>
      <c r="D259" t="s">
        <v>143</v>
      </c>
      <c r="E259" t="s">
        <v>182</v>
      </c>
      <c r="F259" t="s">
        <v>192</v>
      </c>
      <c r="G259" t="s">
        <v>193</v>
      </c>
      <c r="H259" t="s">
        <v>176</v>
      </c>
      <c r="I259" t="s">
        <v>205</v>
      </c>
      <c r="J259" t="s">
        <v>206</v>
      </c>
    </row>
    <row r="260" spans="1:10" x14ac:dyDescent="0.15">
      <c r="A260">
        <v>52</v>
      </c>
      <c r="B260" t="s">
        <v>44</v>
      </c>
      <c r="C260">
        <f>INT(C258/(VLOOKUP(A260,技能参数,5,FALSE)+2*VLOOKUP(A260,技能参数,4,FALSE))+1)</f>
        <v>2</v>
      </c>
      <c r="D260">
        <f>VLOOKUP(A260,技能参数,4,FALSE)</f>
        <v>1.5</v>
      </c>
      <c r="E260">
        <f>VLOOKUP(A260*1000+D258,学习等级编码,2)</f>
        <v>5210</v>
      </c>
      <c r="F260">
        <f>INT(VLOOKUP($E260,技能升级,9,FALSE)*$C260*I260*J260)</f>
        <v>6500</v>
      </c>
      <c r="G260">
        <f>INT(VLOOKUP($E260,技能升级,10,FALSE)*$C260*I260*J260)</f>
        <v>0</v>
      </c>
      <c r="H260">
        <f>INT(VLOOKUP($E260,技能升级,11,FALSE)*$C260*I260*J260)</f>
        <v>1392</v>
      </c>
      <c r="I260">
        <v>1</v>
      </c>
      <c r="J260">
        <v>1</v>
      </c>
    </row>
    <row r="261" spans="1:10" x14ac:dyDescent="0.15">
      <c r="A261">
        <v>54</v>
      </c>
      <c r="B261" t="s">
        <v>40</v>
      </c>
      <c r="C261">
        <f>INT(C258/(VLOOKUP(A261,技能参数,5,FALSE)+2*VLOOKUP(A261,技能参数,4,FALSE))+1)</f>
        <v>1</v>
      </c>
      <c r="D261">
        <f>VLOOKUP(A261,技能参数,4,FALSE)</f>
        <v>1.2</v>
      </c>
      <c r="E261">
        <f>VLOOKUP(A261*1000+D258,学习等级编码,2)</f>
        <v>5410</v>
      </c>
      <c r="F261">
        <f>INT(VLOOKUP($E261,技能升级,9,FALSE)*$C261*I261*J261)</f>
        <v>2600</v>
      </c>
      <c r="G261">
        <f>INT(VLOOKUP($E261,技能升级,10,FALSE)*$C261*I261*J261)</f>
        <v>0</v>
      </c>
      <c r="H261">
        <f>INT(VLOOKUP($E261,技能升级,11,FALSE)*$C261*I261*J261)</f>
        <v>755</v>
      </c>
      <c r="I261">
        <v>1</v>
      </c>
      <c r="J261">
        <v>1</v>
      </c>
    </row>
    <row r="262" spans="1:10" x14ac:dyDescent="0.15">
      <c r="A262">
        <v>51</v>
      </c>
      <c r="B262" t="s">
        <v>203</v>
      </c>
      <c r="C262">
        <v>2</v>
      </c>
      <c r="D262">
        <f>VLOOKUP(A262,技能参数,4,FALSE)</f>
        <v>0.9</v>
      </c>
      <c r="E262">
        <f>VLOOKUP(A262*1000+D258,学习等级编码,2)</f>
        <v>5115</v>
      </c>
      <c r="F262">
        <f>INT(VLOOKUP($E262,技能升级,9,FALSE)*$C262*I262*J262)</f>
        <v>3120</v>
      </c>
      <c r="G262">
        <f>INT(VLOOKUP($E262,技能升级,10,FALSE)*$C262*I262*J262)</f>
        <v>0</v>
      </c>
      <c r="H262">
        <f>INT(VLOOKUP($E262,技能升级,11,FALSE)*$C262*I262*J262)</f>
        <v>1538</v>
      </c>
      <c r="I262">
        <v>1</v>
      </c>
      <c r="J262">
        <v>1</v>
      </c>
    </row>
    <row r="263" spans="1:10" x14ac:dyDescent="0.15">
      <c r="A263">
        <v>51</v>
      </c>
      <c r="B263" t="s">
        <v>204</v>
      </c>
      <c r="C263">
        <f>INT((C258-C260*D260-C261*D261-D262*C262)/D263*3)</f>
        <v>46</v>
      </c>
      <c r="D263">
        <f>VLOOKUP(A263,技能参数,4,FALSE)</f>
        <v>0.9</v>
      </c>
      <c r="E263">
        <f>VLOOKUP(A263*1000+D258,学习等级编码,2)</f>
        <v>5115</v>
      </c>
      <c r="F263">
        <f>INT(VLOOKUP($E263,技能升级,9,FALSE)*$C263*I263*J263)</f>
        <v>55800</v>
      </c>
      <c r="G263">
        <f>INT(VLOOKUP($E263,技能升级,10,FALSE)*$C263*I263*J263)</f>
        <v>0</v>
      </c>
      <c r="H263">
        <f>INT(VLOOKUP($E263,技能升级,11,FALSE)*$C263*I263*J263)</f>
        <v>27506</v>
      </c>
      <c r="I263">
        <f>F264/1000</f>
        <v>0.54</v>
      </c>
      <c r="J263">
        <f>VLOOKUP(A258,$A$2:$I$21,9,FALSE)</f>
        <v>1.4399999999999997</v>
      </c>
    </row>
    <row r="264" spans="1:10" x14ac:dyDescent="0.15">
      <c r="A264">
        <v>55</v>
      </c>
      <c r="B264" t="s">
        <v>271</v>
      </c>
      <c r="C264">
        <v>1</v>
      </c>
      <c r="D264">
        <v>0</v>
      </c>
      <c r="E264">
        <f>VLOOKUP(A264*1000+D258,学习等级编码,2)</f>
        <v>5507</v>
      </c>
      <c r="F264">
        <f>INT(VLOOKUP($E264,技能升级,14,FALSE)*$C264*I264)</f>
        <v>540</v>
      </c>
      <c r="G264">
        <f>INT(VLOOKUP($E264,技能升级,10,FALSE)*$C264*I264)</f>
        <v>0</v>
      </c>
      <c r="H264">
        <f>INT(VLOOKUP($E264,技能升级,11,FALSE)*$C264*I264*J264)</f>
        <v>0</v>
      </c>
      <c r="I264">
        <v>1</v>
      </c>
      <c r="J264">
        <v>1</v>
      </c>
    </row>
    <row r="265" spans="1:10" x14ac:dyDescent="0.15">
      <c r="E265" t="s">
        <v>194</v>
      </c>
      <c r="F265">
        <f>SUM(F260:F263)/1000</f>
        <v>68.02</v>
      </c>
      <c r="G265">
        <f>SUM(G260:G263)/1000</f>
        <v>0</v>
      </c>
      <c r="H265">
        <f>SUM(H260:H263)</f>
        <v>31191</v>
      </c>
      <c r="I265" t="s">
        <v>196</v>
      </c>
      <c r="J265" t="s">
        <v>197</v>
      </c>
    </row>
    <row r="266" spans="1:10" x14ac:dyDescent="0.15">
      <c r="E266" t="s">
        <v>195</v>
      </c>
      <c r="F266">
        <f>INT((IF($A258&gt;10000,VLOOKUP($A258,实战属性,13,FALSE),VLOOKUP($A258,总基本属性,7,FALSE))-
IF($B258&gt;10000,VLOOKUP($B258,实战属性,15,FALSE),VLOOKUP($B258,总基本属性,9,FALSE))*$L$13)*F265)</f>
        <v>298539</v>
      </c>
      <c r="G266">
        <f>INT((IF($A258&gt;10000,VLOOKUP($A258,实战属性,14,FALSE),VLOOKUP($A258,总基本属性,8,FALSE))-
IF($B258&gt;10000,VLOOKUP($B258,实战属性,16,FALSE),VLOOKUP($B258,总基本属性,10,FALSE))*$L$13)*G265)</f>
        <v>0</v>
      </c>
      <c r="H266">
        <f>H265+F266+G266</f>
        <v>329730</v>
      </c>
      <c r="I266">
        <f>IF($B258&gt;10000,VLOOKUP($B258,实战属性,12,FALSE),VLOOKUP($B258,总基本属性,6,FALSE))</f>
        <v>333153</v>
      </c>
      <c r="J266">
        <f>ROUND(I266/H266,2)</f>
        <v>1.01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9</vt:i4>
      </vt:variant>
    </vt:vector>
  </HeadingPairs>
  <TitlesOfParts>
    <vt:vector size="30" baseType="lpstr">
      <vt:lpstr>职业PK规划</vt:lpstr>
      <vt:lpstr>职业设计</vt:lpstr>
      <vt:lpstr>操作设计</vt:lpstr>
      <vt:lpstr>技能参数</vt:lpstr>
      <vt:lpstr>技能升级表</vt:lpstr>
      <vt:lpstr>实战属性</vt:lpstr>
      <vt:lpstr>力士对力士</vt:lpstr>
      <vt:lpstr>龙女对龙女</vt:lpstr>
      <vt:lpstr>力士对龙女</vt:lpstr>
      <vt:lpstr>夜叉对夜叉</vt:lpstr>
      <vt:lpstr>夜叉对力士</vt:lpstr>
      <vt:lpstr>夜叉对龙女</vt:lpstr>
      <vt:lpstr>修罗对修罗</vt:lpstr>
      <vt:lpstr>修罗对力士</vt:lpstr>
      <vt:lpstr>修罗对龙女</vt:lpstr>
      <vt:lpstr>修罗对夜叉</vt:lpstr>
      <vt:lpstr>判官对判官</vt:lpstr>
      <vt:lpstr>修罗对判官</vt:lpstr>
      <vt:lpstr>力士对判官</vt:lpstr>
      <vt:lpstr>龙女对判官</vt:lpstr>
      <vt:lpstr>夜叉对判官</vt:lpstr>
      <vt:lpstr>buff属性</vt:lpstr>
      <vt:lpstr>技能参数</vt:lpstr>
      <vt:lpstr>技能升级</vt:lpstr>
      <vt:lpstr>实战属性</vt:lpstr>
      <vt:lpstr>学习等级编码</vt:lpstr>
      <vt:lpstr>召唤物生存</vt:lpstr>
      <vt:lpstr>召唤物属性</vt:lpstr>
      <vt:lpstr>中毒数据</vt:lpstr>
      <vt:lpstr>总基本属性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2019-04-11T10:16:58Z</dcterms:modified>
</cp:coreProperties>
</file>