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ma2\Documents\pe_2\5\data\"/>
    </mc:Choice>
  </mc:AlternateContent>
  <xr:revisionPtr revIDLastSave="0" documentId="13_ncr:1_{1A92C49F-8954-4B03-9A65-847EC49086CD}" xr6:coauthVersionLast="47" xr6:coauthVersionMax="47" xr10:uidLastSave="{00000000-0000-0000-0000-000000000000}"/>
  <bookViews>
    <workbookView xWindow="-120" yWindow="-120" windowWidth="29040" windowHeight="16440" tabRatio="1000" firstSheet="10" activeTab="13" xr2:uid="{3573288A-466D-4422-8044-13D2BEE97D22}"/>
  </bookViews>
  <sheets>
    <sheet name="没" sheetId="1" r:id="rId1"/>
    <sheet name="power cable1" sheetId="2" r:id="rId2"/>
    <sheet name="power_cable2" sheetId="3" r:id="rId3"/>
    <sheet name="power_cable2 (2)" sheetId="4" r:id="rId4"/>
    <sheet name="exp2_2" sheetId="5" r:id="rId5"/>
    <sheet name="exp2_2_retry" sheetId="16" r:id="rId6"/>
    <sheet name="exp2_3_IN_FWD" sheetId="13" r:id="rId7"/>
    <sheet name="exp2_3_coil" sheetId="6" r:id="rId8"/>
    <sheet name="exp2_3_coil_retry" sheetId="8" r:id="rId9"/>
    <sheet name="exp2_3_coil_retry2" sheetId="14" r:id="rId10"/>
    <sheet name="exp2_3_condenser" sheetId="7" r:id="rId11"/>
    <sheet name="exp2_3_condenser_retry" sheetId="10" r:id="rId12"/>
    <sheet name="exp2_3_condenser_retry2" sheetId="15" r:id="rId13"/>
    <sheet name="exp3_1" sheetId="11" r:id="rId14"/>
    <sheet name="exp3_2" sheetId="12" r:id="rId15"/>
    <sheet name="exp4_2" sheetId="17" r:id="rId16"/>
    <sheet name="exp5_1" sheetId="18" r:id="rId17"/>
    <sheet name="exp5_2" sheetId="19" r:id="rId18"/>
    <sheet name="exp5_3" sheetId="20" r:id="rId19"/>
    <sheet name="exp5_4" sheetId="21" r:id="rId20"/>
    <sheet name="exp5_5" sheetId="22" r:id="rId21"/>
  </sheets>
  <definedNames>
    <definedName name="_xlnm._FilterDatabase" localSheetId="14" hidden="1">exp3_2!$A$1:$E$40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H3" i="11"/>
  <c r="H2" i="11"/>
  <c r="G3" i="11"/>
  <c r="G4" i="11"/>
  <c r="G5" i="11"/>
  <c r="G6" i="11"/>
  <c r="G7" i="11"/>
  <c r="G8" i="11"/>
  <c r="G9" i="11"/>
  <c r="G10" i="11"/>
  <c r="G11" i="11"/>
  <c r="H11" i="11" s="1"/>
  <c r="G12" i="11"/>
  <c r="H12" i="11" s="1"/>
  <c r="G13" i="11"/>
  <c r="H13" i="11" s="1"/>
  <c r="G14" i="11"/>
  <c r="H14" i="11" s="1"/>
  <c r="G15" i="11"/>
  <c r="H15" i="11" s="1"/>
  <c r="G16" i="11"/>
  <c r="H16" i="11" s="1"/>
  <c r="G17" i="11"/>
  <c r="H17" i="11" s="1"/>
  <c r="G18" i="11"/>
  <c r="H18" i="11" s="1"/>
  <c r="G19" i="11"/>
  <c r="G20" i="11"/>
  <c r="G21" i="11"/>
  <c r="G22" i="11"/>
  <c r="G23" i="11"/>
  <c r="G24" i="11"/>
  <c r="G25" i="11"/>
  <c r="G26" i="11"/>
  <c r="G27" i="11"/>
  <c r="H27" i="11" s="1"/>
  <c r="G28" i="11"/>
  <c r="H28" i="11" s="1"/>
  <c r="G29" i="11"/>
  <c r="H29" i="11" s="1"/>
  <c r="G30" i="11"/>
  <c r="H30" i="11" s="1"/>
  <c r="G31" i="11"/>
  <c r="H31" i="11" s="1"/>
  <c r="G32" i="11"/>
  <c r="H32" i="11" s="1"/>
  <c r="G33" i="11"/>
  <c r="H33" i="11" s="1"/>
  <c r="G34" i="11"/>
  <c r="H34" i="11" s="1"/>
  <c r="G35" i="11"/>
  <c r="G36" i="11"/>
  <c r="G37" i="11"/>
  <c r="G38" i="11"/>
  <c r="G39" i="11"/>
  <c r="G40" i="11"/>
  <c r="G41" i="11"/>
  <c r="G2" i="11"/>
  <c r="H4" i="11"/>
  <c r="H5" i="11"/>
  <c r="H6" i="11"/>
  <c r="H7" i="11"/>
  <c r="H8" i="11"/>
  <c r="H9" i="11"/>
  <c r="H10" i="11"/>
  <c r="H19" i="11"/>
  <c r="H20" i="11"/>
  <c r="H21" i="11"/>
  <c r="H22" i="11"/>
  <c r="H23" i="11"/>
  <c r="H24" i="11"/>
  <c r="H25" i="11"/>
  <c r="H26" i="11"/>
  <c r="H35" i="11"/>
  <c r="H36" i="11"/>
  <c r="H37" i="11"/>
  <c r="H38" i="11"/>
  <c r="H39" i="11"/>
  <c r="H40" i="11"/>
  <c r="H41" i="11"/>
  <c r="H2" i="17"/>
  <c r="M16" i="12"/>
  <c r="M22" i="12"/>
  <c r="M4" i="11"/>
  <c r="M6" i="11" s="1"/>
  <c r="E2" i="12"/>
  <c r="E3" i="11"/>
  <c r="J4" i="10"/>
  <c r="E4" i="10"/>
  <c r="D12" i="4"/>
  <c r="E12" i="4"/>
  <c r="D2" i="18"/>
  <c r="H3" i="17"/>
  <c r="G2" i="17"/>
  <c r="F2" i="17"/>
  <c r="F3" i="17"/>
  <c r="F4" i="17"/>
  <c r="F5" i="17"/>
  <c r="F6" i="17"/>
  <c r="F7" i="17"/>
  <c r="F8" i="17"/>
  <c r="F9" i="17"/>
  <c r="F10" i="17"/>
  <c r="F11" i="17"/>
  <c r="G6" i="17"/>
  <c r="G7" i="22"/>
  <c r="G6" i="22"/>
  <c r="G4" i="22"/>
  <c r="I7" i="19"/>
  <c r="I6" i="19"/>
  <c r="C3" i="22"/>
  <c r="C4" i="22"/>
  <c r="C5" i="22"/>
  <c r="C2" i="22"/>
  <c r="B3" i="21"/>
  <c r="C3" i="21" s="1"/>
  <c r="B2" i="21"/>
  <c r="C2" i="21" s="1"/>
  <c r="B9" i="20"/>
  <c r="C9" i="20" s="1"/>
  <c r="B8" i="20"/>
  <c r="C8" i="20"/>
  <c r="B7" i="20"/>
  <c r="C7" i="20" s="1"/>
  <c r="C3" i="19"/>
  <c r="C4" i="19"/>
  <c r="C5" i="19"/>
  <c r="C6" i="19"/>
  <c r="C7" i="19"/>
  <c r="C8" i="19"/>
  <c r="C9" i="19"/>
  <c r="C10" i="19"/>
  <c r="C11" i="19"/>
  <c r="C12" i="19"/>
  <c r="C13" i="19"/>
  <c r="C14" i="19"/>
  <c r="C2" i="19"/>
  <c r="B6" i="20"/>
  <c r="C6" i="20" s="1"/>
  <c r="B3" i="20"/>
  <c r="C3" i="20" s="1"/>
  <c r="B4" i="20"/>
  <c r="C4" i="20" s="1"/>
  <c r="B5" i="20"/>
  <c r="C5" i="20" s="1"/>
  <c r="B2" i="20"/>
  <c r="C2" i="20" s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I6" i="18"/>
  <c r="I5" i="18"/>
  <c r="A2" i="18"/>
  <c r="G3" i="17"/>
  <c r="E2" i="17"/>
  <c r="E3" i="17"/>
  <c r="E4" i="17"/>
  <c r="I9" i="12"/>
  <c r="I6" i="12"/>
  <c r="E2" i="13"/>
  <c r="K4" i="16"/>
  <c r="E2" i="16"/>
  <c r="H4" i="16"/>
  <c r="E12" i="3"/>
  <c r="D2" i="4"/>
  <c r="E2" i="4"/>
  <c r="E2" i="3"/>
  <c r="H7" i="17"/>
  <c r="J3" i="15"/>
  <c r="J4" i="15"/>
  <c r="J5" i="15"/>
  <c r="J6" i="15"/>
  <c r="J7" i="15"/>
  <c r="J4" i="14"/>
  <c r="J5" i="14"/>
  <c r="J6" i="14"/>
  <c r="J7" i="14"/>
  <c r="J3" i="14"/>
  <c r="H6" i="8"/>
  <c r="I6" i="8" s="1"/>
  <c r="H5" i="8"/>
  <c r="H4" i="8"/>
  <c r="H3" i="8"/>
  <c r="E3" i="13"/>
  <c r="E4" i="8" s="1"/>
  <c r="E4" i="13"/>
  <c r="E5" i="10" s="1"/>
  <c r="E5" i="13"/>
  <c r="E6" i="8" s="1"/>
  <c r="E6" i="13"/>
  <c r="E3" i="8"/>
  <c r="B6" i="13"/>
  <c r="B3" i="13"/>
  <c r="B4" i="13"/>
  <c r="B5" i="13"/>
  <c r="B2" i="13"/>
  <c r="H3" i="16"/>
  <c r="H2" i="16"/>
  <c r="H9" i="17"/>
  <c r="H5" i="17"/>
  <c r="E6" i="17"/>
  <c r="H4" i="17"/>
  <c r="H6" i="17"/>
  <c r="H8" i="17"/>
  <c r="H10" i="17"/>
  <c r="H11" i="17"/>
  <c r="E5" i="17"/>
  <c r="E7" i="17"/>
  <c r="E8" i="17"/>
  <c r="E9" i="17"/>
  <c r="E10" i="17"/>
  <c r="E11" i="17"/>
  <c r="B3" i="17"/>
  <c r="B4" i="17"/>
  <c r="B5" i="17"/>
  <c r="B6" i="17"/>
  <c r="B7" i="17"/>
  <c r="B8" i="17"/>
  <c r="B9" i="17"/>
  <c r="B10" i="17"/>
  <c r="B11" i="17"/>
  <c r="B2" i="17"/>
  <c r="G5" i="16"/>
  <c r="H5" i="16" s="1"/>
  <c r="D5" i="16"/>
  <c r="E5" i="16" s="1"/>
  <c r="G4" i="16"/>
  <c r="D4" i="16"/>
  <c r="E4" i="16" s="1"/>
  <c r="K3" i="16"/>
  <c r="G3" i="16"/>
  <c r="D3" i="16"/>
  <c r="E3" i="16" s="1"/>
  <c r="G2" i="16"/>
  <c r="D2" i="16"/>
  <c r="H4" i="5"/>
  <c r="G3" i="5"/>
  <c r="E3" i="5"/>
  <c r="H3" i="5"/>
  <c r="G2" i="5"/>
  <c r="D6" i="15"/>
  <c r="E6" i="15" s="1"/>
  <c r="D7" i="15"/>
  <c r="E7" i="15" s="1"/>
  <c r="E4" i="15"/>
  <c r="G7" i="15"/>
  <c r="H7" i="15" s="1"/>
  <c r="G6" i="15"/>
  <c r="H6" i="15" s="1"/>
  <c r="I6" i="15" s="1"/>
  <c r="G4" i="15"/>
  <c r="G5" i="15"/>
  <c r="H5" i="15" s="1"/>
  <c r="N7" i="15"/>
  <c r="K5" i="15" s="1"/>
  <c r="N6" i="15"/>
  <c r="D5" i="15"/>
  <c r="N4" i="15"/>
  <c r="D4" i="15"/>
  <c r="N3" i="15"/>
  <c r="G3" i="15"/>
  <c r="H3" i="15" s="1"/>
  <c r="D3" i="15"/>
  <c r="E3" i="15" s="1"/>
  <c r="K6" i="14"/>
  <c r="K7" i="14"/>
  <c r="G6" i="14"/>
  <c r="H6" i="14" s="1"/>
  <c r="D6" i="14"/>
  <c r="N7" i="14"/>
  <c r="N6" i="14"/>
  <c r="K3" i="14" s="1"/>
  <c r="G7" i="14"/>
  <c r="H7" i="14" s="1"/>
  <c r="D7" i="14"/>
  <c r="E7" i="14" s="1"/>
  <c r="K5" i="14"/>
  <c r="G5" i="14"/>
  <c r="H5" i="14" s="1"/>
  <c r="D5" i="14"/>
  <c r="E5" i="14" s="1"/>
  <c r="N4" i="14"/>
  <c r="E6" i="14" s="1"/>
  <c r="K4" i="14"/>
  <c r="G4" i="14"/>
  <c r="H4" i="14" s="1"/>
  <c r="I4" i="14" s="1"/>
  <c r="D4" i="14"/>
  <c r="E4" i="14" s="1"/>
  <c r="N3" i="14"/>
  <c r="G3" i="14"/>
  <c r="H3" i="14" s="1"/>
  <c r="D3" i="14"/>
  <c r="J6" i="8"/>
  <c r="I3" i="12"/>
  <c r="I4" i="12"/>
  <c r="I5" i="12"/>
  <c r="I7" i="12"/>
  <c r="I8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2" i="12"/>
  <c r="M30" i="12"/>
  <c r="F2" i="12"/>
  <c r="D31" i="4"/>
  <c r="J3" i="6"/>
  <c r="J4" i="6"/>
  <c r="J5" i="6"/>
  <c r="J5" i="8"/>
  <c r="M6" i="6"/>
  <c r="E6" i="10"/>
  <c r="M4" i="8"/>
  <c r="M4" i="6"/>
  <c r="E3" i="6"/>
  <c r="I6" i="10"/>
  <c r="I3" i="10"/>
  <c r="D3" i="8"/>
  <c r="M7" i="12"/>
  <c r="M13" i="12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2" i="11"/>
  <c r="M26" i="12"/>
  <c r="M25" i="12"/>
  <c r="M21" i="12"/>
  <c r="M18" i="12"/>
  <c r="B34" i="12"/>
  <c r="E34" i="12"/>
  <c r="B35" i="12"/>
  <c r="E35" i="12"/>
  <c r="E26" i="12"/>
  <c r="B20" i="12"/>
  <c r="B43" i="12"/>
  <c r="E36" i="12"/>
  <c r="E32" i="12"/>
  <c r="B32" i="12"/>
  <c r="E31" i="12"/>
  <c r="B31" i="12"/>
  <c r="E30" i="12"/>
  <c r="B30" i="12"/>
  <c r="E17" i="12"/>
  <c r="B17" i="12"/>
  <c r="E16" i="12"/>
  <c r="B16" i="12"/>
  <c r="E14" i="12"/>
  <c r="B14" i="12"/>
  <c r="E13" i="12"/>
  <c r="B13" i="12"/>
  <c r="E12" i="12"/>
  <c r="B12" i="12"/>
  <c r="E41" i="12"/>
  <c r="B41" i="12"/>
  <c r="E40" i="12"/>
  <c r="B40" i="12"/>
  <c r="E39" i="12"/>
  <c r="B39" i="12"/>
  <c r="E38" i="12"/>
  <c r="B38" i="12"/>
  <c r="E37" i="12"/>
  <c r="B37" i="12"/>
  <c r="B36" i="12"/>
  <c r="E33" i="12"/>
  <c r="B33" i="12"/>
  <c r="E29" i="12"/>
  <c r="B29" i="12"/>
  <c r="E28" i="12"/>
  <c r="B28" i="12"/>
  <c r="E27" i="12"/>
  <c r="B27" i="12"/>
  <c r="B26" i="12"/>
  <c r="E25" i="12"/>
  <c r="B25" i="12"/>
  <c r="E23" i="12"/>
  <c r="B23" i="12"/>
  <c r="E22" i="12"/>
  <c r="B22" i="12"/>
  <c r="E21" i="12"/>
  <c r="B21" i="12"/>
  <c r="E20" i="12"/>
  <c r="E19" i="12"/>
  <c r="B19" i="12"/>
  <c r="E18" i="12"/>
  <c r="B18" i="12"/>
  <c r="E15" i="12"/>
  <c r="B15" i="12"/>
  <c r="E11" i="12"/>
  <c r="B11" i="12"/>
  <c r="E9" i="12"/>
  <c r="B9" i="12"/>
  <c r="E8" i="12"/>
  <c r="B8" i="12"/>
  <c r="E7" i="12"/>
  <c r="B7" i="12"/>
  <c r="E6" i="12"/>
  <c r="B6" i="12"/>
  <c r="E43" i="12"/>
  <c r="E42" i="12"/>
  <c r="B42" i="12"/>
  <c r="E24" i="12"/>
  <c r="B24" i="12"/>
  <c r="E10" i="12"/>
  <c r="B10" i="12"/>
  <c r="E5" i="12"/>
  <c r="B5" i="12"/>
  <c r="E4" i="12"/>
  <c r="B4" i="12"/>
  <c r="E3" i="12"/>
  <c r="B3" i="12"/>
  <c r="B2" i="12"/>
  <c r="M5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2" i="11"/>
  <c r="I4" i="7"/>
  <c r="I5" i="7"/>
  <c r="I6" i="7"/>
  <c r="I3" i="7"/>
  <c r="I3" i="8"/>
  <c r="I4" i="8"/>
  <c r="I5" i="8"/>
  <c r="H3" i="10"/>
  <c r="H4" i="10"/>
  <c r="I4" i="10" s="1"/>
  <c r="H5" i="10"/>
  <c r="I5" i="10" s="1"/>
  <c r="H6" i="10"/>
  <c r="H3" i="7"/>
  <c r="H4" i="6"/>
  <c r="H3" i="6"/>
  <c r="H5" i="6"/>
  <c r="H6" i="6"/>
  <c r="I4" i="6"/>
  <c r="G4" i="10"/>
  <c r="G5" i="10"/>
  <c r="G6" i="10"/>
  <c r="G3" i="10"/>
  <c r="H4" i="7"/>
  <c r="H5" i="7"/>
  <c r="H6" i="7"/>
  <c r="G4" i="7"/>
  <c r="G5" i="7"/>
  <c r="G6" i="7"/>
  <c r="G3" i="7"/>
  <c r="I5" i="6"/>
  <c r="I6" i="6"/>
  <c r="I3" i="6"/>
  <c r="G4" i="6"/>
  <c r="G5" i="6"/>
  <c r="G6" i="6"/>
  <c r="G3" i="6"/>
  <c r="D3" i="6"/>
  <c r="D4" i="6"/>
  <c r="D5" i="6"/>
  <c r="E5" i="6"/>
  <c r="D6" i="6"/>
  <c r="E6" i="6" s="1"/>
  <c r="J6" i="6"/>
  <c r="G4" i="8"/>
  <c r="G5" i="8"/>
  <c r="G6" i="8"/>
  <c r="G3" i="8"/>
  <c r="M7" i="10"/>
  <c r="M6" i="10"/>
  <c r="J6" i="10"/>
  <c r="D6" i="10"/>
  <c r="D5" i="10"/>
  <c r="M4" i="10"/>
  <c r="D4" i="10"/>
  <c r="M3" i="10"/>
  <c r="D3" i="10"/>
  <c r="M7" i="8"/>
  <c r="M6" i="8"/>
  <c r="D6" i="8"/>
  <c r="D5" i="8"/>
  <c r="D4" i="8"/>
  <c r="M3" i="8"/>
  <c r="D6" i="7"/>
  <c r="D5" i="7"/>
  <c r="D4" i="7"/>
  <c r="D3" i="7"/>
  <c r="M7" i="7"/>
  <c r="J6" i="7" s="1"/>
  <c r="M6" i="7"/>
  <c r="M4" i="7"/>
  <c r="M3" i="7"/>
  <c r="M7" i="6"/>
  <c r="E4" i="6"/>
  <c r="M3" i="6"/>
  <c r="D3" i="5"/>
  <c r="D4" i="5"/>
  <c r="E4" i="5"/>
  <c r="D5" i="5"/>
  <c r="E5" i="5"/>
  <c r="H5" i="5"/>
  <c r="H2" i="5"/>
  <c r="G4" i="5"/>
  <c r="G5" i="5"/>
  <c r="E2" i="5"/>
  <c r="K4" i="5"/>
  <c r="D2" i="5"/>
  <c r="K3" i="5"/>
  <c r="D5" i="4"/>
  <c r="D4" i="4"/>
  <c r="D20" i="4"/>
  <c r="E20" i="4" s="1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 s="1"/>
  <c r="D30" i="4"/>
  <c r="E30" i="4"/>
  <c r="E31" i="4"/>
  <c r="D32" i="4"/>
  <c r="E32" i="4"/>
  <c r="D33" i="4"/>
  <c r="E33" i="4"/>
  <c r="D34" i="4"/>
  <c r="E34" i="4"/>
  <c r="D35" i="4"/>
  <c r="E35" i="4"/>
  <c r="D36" i="4"/>
  <c r="E36" i="4" s="1"/>
  <c r="I2" i="4"/>
  <c r="E25" i="3"/>
  <c r="E7" i="3"/>
  <c r="D2" i="3"/>
  <c r="I2" i="3"/>
  <c r="D12" i="3" s="1"/>
  <c r="D3" i="2"/>
  <c r="D4" i="2"/>
  <c r="D5" i="2"/>
  <c r="D6" i="2"/>
  <c r="D7" i="2"/>
  <c r="D8" i="2"/>
  <c r="D9" i="2"/>
  <c r="D10" i="2"/>
  <c r="D11" i="2"/>
  <c r="D2" i="2"/>
  <c r="E11" i="1"/>
  <c r="E3" i="1"/>
  <c r="E4" i="1"/>
  <c r="E5" i="1"/>
  <c r="E6" i="1"/>
  <c r="E7" i="1"/>
  <c r="E8" i="1"/>
  <c r="E9" i="1"/>
  <c r="E10" i="1"/>
  <c r="E12" i="1"/>
  <c r="J2" i="20" l="1"/>
  <c r="G10" i="17"/>
  <c r="G8" i="17"/>
  <c r="G11" i="17"/>
  <c r="G9" i="17"/>
  <c r="K6" i="15"/>
  <c r="K3" i="15"/>
  <c r="K7" i="15"/>
  <c r="H4" i="15"/>
  <c r="I4" i="15" s="1"/>
  <c r="E5" i="15"/>
  <c r="E3" i="14"/>
  <c r="I5" i="14"/>
  <c r="I6" i="14"/>
  <c r="I3" i="14"/>
  <c r="I5" i="15"/>
  <c r="I7" i="15"/>
  <c r="I7" i="14"/>
  <c r="E5" i="8"/>
  <c r="E3" i="10"/>
  <c r="G5" i="17"/>
  <c r="G7" i="17"/>
  <c r="G4" i="17"/>
  <c r="I3" i="15"/>
  <c r="K4" i="15"/>
  <c r="G2" i="12"/>
  <c r="H2" i="12" s="1"/>
  <c r="M27" i="12"/>
  <c r="M28" i="12" s="1"/>
  <c r="M7" i="11"/>
  <c r="M14" i="12"/>
  <c r="M15" i="12" s="1"/>
  <c r="M9" i="12"/>
  <c r="J5" i="10"/>
  <c r="J3" i="10"/>
  <c r="J3" i="8"/>
  <c r="J4" i="8"/>
  <c r="J3" i="7"/>
  <c r="E3" i="7"/>
  <c r="J4" i="7"/>
  <c r="E5" i="7"/>
  <c r="E6" i="7"/>
  <c r="E4" i="7"/>
  <c r="J5" i="7"/>
  <c r="D21" i="4"/>
  <c r="E21" i="4" s="1"/>
  <c r="D29" i="4"/>
  <c r="E29" i="4" s="1"/>
  <c r="D19" i="4"/>
  <c r="E19" i="4" s="1"/>
  <c r="D18" i="4"/>
  <c r="E18" i="4" s="1"/>
  <c r="D10" i="4"/>
  <c r="E10" i="4" s="1"/>
  <c r="D44" i="4"/>
  <c r="E44" i="4" s="1"/>
  <c r="D52" i="4"/>
  <c r="E52" i="4" s="1"/>
  <c r="D54" i="4"/>
  <c r="E54" i="4" s="1"/>
  <c r="D3" i="4"/>
  <c r="E3" i="4" s="1"/>
  <c r="D11" i="4"/>
  <c r="E11" i="4" s="1"/>
  <c r="D37" i="4"/>
  <c r="E37" i="4" s="1"/>
  <c r="D45" i="4"/>
  <c r="E45" i="4" s="1"/>
  <c r="D53" i="4"/>
  <c r="E53" i="4" s="1"/>
  <c r="E4" i="4"/>
  <c r="D38" i="4"/>
  <c r="E38" i="4" s="1"/>
  <c r="D46" i="4"/>
  <c r="E46" i="4" s="1"/>
  <c r="E5" i="4"/>
  <c r="D13" i="4"/>
  <c r="E13" i="4" s="1"/>
  <c r="D39" i="4"/>
  <c r="E39" i="4" s="1"/>
  <c r="D47" i="4"/>
  <c r="E47" i="4" s="1"/>
  <c r="D55" i="4"/>
  <c r="E55" i="4" s="1"/>
  <c r="D6" i="4"/>
  <c r="E6" i="4" s="1"/>
  <c r="D14" i="4"/>
  <c r="E14" i="4" s="1"/>
  <c r="D40" i="4"/>
  <c r="E40" i="4" s="1"/>
  <c r="D48" i="4"/>
  <c r="E48" i="4" s="1"/>
  <c r="D56" i="4"/>
  <c r="E56" i="4" s="1"/>
  <c r="D7" i="4"/>
  <c r="E7" i="4" s="1"/>
  <c r="D15" i="4"/>
  <c r="E15" i="4" s="1"/>
  <c r="D41" i="4"/>
  <c r="E41" i="4" s="1"/>
  <c r="D49" i="4"/>
  <c r="E49" i="4" s="1"/>
  <c r="D57" i="4"/>
  <c r="E57" i="4" s="1"/>
  <c r="D8" i="4"/>
  <c r="E8" i="4" s="1"/>
  <c r="D16" i="4"/>
  <c r="E16" i="4" s="1"/>
  <c r="D42" i="4"/>
  <c r="E42" i="4" s="1"/>
  <c r="D50" i="4"/>
  <c r="E50" i="4" s="1"/>
  <c r="D58" i="4"/>
  <c r="E58" i="4" s="1"/>
  <c r="D9" i="4"/>
  <c r="E9" i="4" s="1"/>
  <c r="D17" i="4"/>
  <c r="E17" i="4" s="1"/>
  <c r="D43" i="4"/>
  <c r="E43" i="4" s="1"/>
  <c r="D51" i="4"/>
  <c r="E51" i="4" s="1"/>
  <c r="D59" i="4"/>
  <c r="E59" i="4" s="1"/>
  <c r="D11" i="3"/>
  <c r="E11" i="3" s="1"/>
  <c r="D27" i="3"/>
  <c r="E27" i="3" s="1"/>
  <c r="D25" i="3"/>
  <c r="D24" i="3"/>
  <c r="E24" i="3" s="1"/>
  <c r="D7" i="3"/>
  <c r="D26" i="3"/>
  <c r="E26" i="3" s="1"/>
  <c r="D10" i="3"/>
  <c r="E10" i="3" s="1"/>
  <c r="D41" i="3"/>
  <c r="E41" i="3" s="1"/>
  <c r="D9" i="3"/>
  <c r="E9" i="3" s="1"/>
  <c r="D40" i="3"/>
  <c r="E40" i="3" s="1"/>
  <c r="D8" i="3"/>
  <c r="E8" i="3" s="1"/>
  <c r="D39" i="3"/>
  <c r="E39" i="3" s="1"/>
  <c r="D23" i="3"/>
  <c r="E23" i="3" s="1"/>
  <c r="D38" i="3"/>
  <c r="E38" i="3" s="1"/>
  <c r="D22" i="3"/>
  <c r="E22" i="3" s="1"/>
  <c r="D6" i="3"/>
  <c r="E6" i="3" s="1"/>
  <c r="D37" i="3"/>
  <c r="E37" i="3" s="1"/>
  <c r="D21" i="3"/>
  <c r="E21" i="3" s="1"/>
  <c r="D5" i="3"/>
  <c r="E5" i="3" s="1"/>
  <c r="D36" i="3"/>
  <c r="E36" i="3" s="1"/>
  <c r="D20" i="3"/>
  <c r="E20" i="3" s="1"/>
  <c r="D4" i="3"/>
  <c r="E4" i="3" s="1"/>
  <c r="D35" i="3"/>
  <c r="E35" i="3" s="1"/>
  <c r="D19" i="3"/>
  <c r="E19" i="3" s="1"/>
  <c r="D3" i="3"/>
  <c r="E3" i="3" s="1"/>
  <c r="D34" i="3"/>
  <c r="E34" i="3" s="1"/>
  <c r="D18" i="3"/>
  <c r="E18" i="3" s="1"/>
  <c r="D33" i="3"/>
  <c r="E33" i="3" s="1"/>
  <c r="D17" i="3"/>
  <c r="E17" i="3" s="1"/>
  <c r="D32" i="3"/>
  <c r="E32" i="3" s="1"/>
  <c r="D16" i="3"/>
  <c r="E16" i="3" s="1"/>
  <c r="D31" i="3"/>
  <c r="E31" i="3" s="1"/>
  <c r="D15" i="3"/>
  <c r="E15" i="3" s="1"/>
  <c r="D30" i="3"/>
  <c r="E30" i="3" s="1"/>
  <c r="D14" i="3"/>
  <c r="E14" i="3" s="1"/>
  <c r="D29" i="3"/>
  <c r="E29" i="3" s="1"/>
  <c r="D13" i="3"/>
  <c r="E13" i="3" s="1"/>
  <c r="D28" i="3"/>
  <c r="E28" i="3" s="1"/>
  <c r="M10" i="12" l="1"/>
  <c r="M12" i="12" s="1"/>
  <c r="M17" i="12" l="1"/>
  <c r="F5" i="12" l="1"/>
  <c r="G5" i="12" s="1"/>
  <c r="H5" i="12" s="1"/>
  <c r="F21" i="12"/>
  <c r="G21" i="12" s="1"/>
  <c r="H21" i="12" s="1"/>
  <c r="F37" i="12"/>
  <c r="G37" i="12" s="1"/>
  <c r="H37" i="12" s="1"/>
  <c r="F23" i="12"/>
  <c r="G23" i="12" s="1"/>
  <c r="H23" i="12" s="1"/>
  <c r="F24" i="12"/>
  <c r="G24" i="12" s="1"/>
  <c r="H24" i="12" s="1"/>
  <c r="F25" i="12"/>
  <c r="G25" i="12" s="1"/>
  <c r="H25" i="12" s="1"/>
  <c r="F10" i="12"/>
  <c r="G10" i="12" s="1"/>
  <c r="H10" i="12" s="1"/>
  <c r="F26" i="12"/>
  <c r="G26" i="12" s="1"/>
  <c r="H26" i="12" s="1"/>
  <c r="F42" i="12"/>
  <c r="G42" i="12" s="1"/>
  <c r="H42" i="12" s="1"/>
  <c r="F27" i="12"/>
  <c r="G27" i="12" s="1"/>
  <c r="H27" i="12" s="1"/>
  <c r="F43" i="12"/>
  <c r="G43" i="12" s="1"/>
  <c r="H43" i="12" s="1"/>
  <c r="F17" i="12"/>
  <c r="G17" i="12" s="1"/>
  <c r="H17" i="12" s="1"/>
  <c r="F34" i="12"/>
  <c r="G34" i="12" s="1"/>
  <c r="H34" i="12" s="1"/>
  <c r="F3" i="12"/>
  <c r="G3" i="12" s="1"/>
  <c r="H3" i="12" s="1"/>
  <c r="F4" i="12"/>
  <c r="G4" i="12" s="1"/>
  <c r="H4" i="12" s="1"/>
  <c r="F6" i="12"/>
  <c r="G6" i="12" s="1"/>
  <c r="H6" i="12" s="1"/>
  <c r="F22" i="12"/>
  <c r="G22" i="12" s="1"/>
  <c r="H22" i="12" s="1"/>
  <c r="F38" i="12"/>
  <c r="G38" i="12" s="1"/>
  <c r="H38" i="12" s="1"/>
  <c r="F7" i="12"/>
  <c r="G7" i="12" s="1"/>
  <c r="H7" i="12" s="1"/>
  <c r="F39" i="12"/>
  <c r="G39" i="12" s="1"/>
  <c r="H39" i="12" s="1"/>
  <c r="F8" i="12"/>
  <c r="G8" i="12" s="1"/>
  <c r="H8" i="12" s="1"/>
  <c r="F40" i="12"/>
  <c r="G40" i="12" s="1"/>
  <c r="H40" i="12" s="1"/>
  <c r="F9" i="12"/>
  <c r="G9" i="12" s="1"/>
  <c r="H9" i="12" s="1"/>
  <c r="F41" i="12"/>
  <c r="G41" i="12" s="1"/>
  <c r="H41" i="12" s="1"/>
  <c r="F11" i="12"/>
  <c r="G11" i="12" s="1"/>
  <c r="H11" i="12" s="1"/>
  <c r="F33" i="12"/>
  <c r="G33" i="12" s="1"/>
  <c r="H33" i="12" s="1"/>
  <c r="F18" i="12"/>
  <c r="G18" i="12" s="1"/>
  <c r="H18" i="12" s="1"/>
  <c r="F35" i="12"/>
  <c r="G35" i="12" s="1"/>
  <c r="H35" i="12" s="1"/>
  <c r="F36" i="12"/>
  <c r="G36" i="12" s="1"/>
  <c r="H36" i="12" s="1"/>
  <c r="F12" i="12"/>
  <c r="G12" i="12" s="1"/>
  <c r="H12" i="12" s="1"/>
  <c r="F28" i="12"/>
  <c r="G28" i="12" s="1"/>
  <c r="H28" i="12" s="1"/>
  <c r="F13" i="12"/>
  <c r="G13" i="12" s="1"/>
  <c r="H13" i="12" s="1"/>
  <c r="F29" i="12"/>
  <c r="G29" i="12" s="1"/>
  <c r="H29" i="12" s="1"/>
  <c r="F14" i="12"/>
  <c r="G14" i="12" s="1"/>
  <c r="H14" i="12" s="1"/>
  <c r="F30" i="12"/>
  <c r="G30" i="12" s="1"/>
  <c r="H30" i="12" s="1"/>
  <c r="F15" i="12"/>
  <c r="G15" i="12" s="1"/>
  <c r="H15" i="12" s="1"/>
  <c r="F31" i="12"/>
  <c r="G31" i="12" s="1"/>
  <c r="H31" i="12" s="1"/>
  <c r="F16" i="12"/>
  <c r="G16" i="12" s="1"/>
  <c r="H16" i="12" s="1"/>
  <c r="F32" i="12"/>
  <c r="G32" i="12" s="1"/>
  <c r="H32" i="12" s="1"/>
  <c r="F19" i="12"/>
  <c r="G19" i="12" s="1"/>
  <c r="H19" i="12" s="1"/>
  <c r="F20" i="12"/>
  <c r="G20" i="12" s="1"/>
  <c r="H20" i="12" s="1"/>
  <c r="M23" i="12"/>
  <c r="O23" i="12" s="1"/>
  <c r="M19" i="12"/>
  <c r="M20" i="12" s="1"/>
  <c r="O20" i="12" s="1"/>
</calcChain>
</file>

<file path=xl/sharedStrings.xml><?xml version="1.0" encoding="utf-8"?>
<sst xmlns="http://schemas.openxmlformats.org/spreadsheetml/2006/main" count="378" uniqueCount="129">
  <si>
    <t>A power [dBm]</t>
    <phoneticPr fontId="1"/>
  </si>
  <si>
    <t>req [MHz]</t>
    <phoneticPr fontId="1"/>
  </si>
  <si>
    <t>B/A [dB]</t>
    <phoneticPr fontId="1"/>
  </si>
  <si>
    <t>減衰率 [dBm^-1]</t>
    <rPh sb="0" eb="3">
      <t>ゲンスイリツ</t>
    </rPh>
    <phoneticPr fontId="1"/>
  </si>
  <si>
    <t>10m同軸ケーブルの不良により没</t>
    <rPh sb="3" eb="5">
      <t>ドウジク</t>
    </rPh>
    <rPh sb="10" eb="12">
      <t>フリョウ</t>
    </rPh>
    <rPh sb="15" eb="16">
      <t>ボツ</t>
    </rPh>
    <phoneticPr fontId="1"/>
  </si>
  <si>
    <t>wave length [m]</t>
    <phoneticPr fontId="1"/>
  </si>
  <si>
    <t>c</t>
    <phoneticPr fontId="1"/>
  </si>
  <si>
    <t>m/s</t>
    <phoneticPr fontId="1"/>
  </si>
  <si>
    <t>phase delay [rad]</t>
    <phoneticPr fontId="1"/>
  </si>
  <si>
    <t>note: 波長が光路長に対応 (∵位相差が2pi)</t>
    <rPh sb="6" eb="8">
      <t>ハチョウ</t>
    </rPh>
    <rPh sb="9" eb="12">
      <t>コウロチョウ</t>
    </rPh>
    <rPh sb="13" eb="15">
      <t>タイオウ</t>
    </rPh>
    <rPh sb="18" eb="21">
      <t>イソウサ</t>
    </rPh>
    <phoneticPr fontId="1"/>
  </si>
  <si>
    <t>note: 16-18[MHz]を0.1[MHz]ごとに測定</t>
    <rPh sb="28" eb="30">
      <t>ソクテイ</t>
    </rPh>
    <phoneticPr fontId="1"/>
  </si>
  <si>
    <t>freq</t>
    <phoneticPr fontId="1"/>
  </si>
  <si>
    <t>Hz</t>
    <phoneticPr fontId="1"/>
  </si>
  <si>
    <t>T</t>
    <phoneticPr fontId="1"/>
  </si>
  <si>
    <t>IN terminal</t>
    <phoneticPr fontId="1"/>
  </si>
  <si>
    <t>Ch.2 PP</t>
    <phoneticPr fontId="1"/>
  </si>
  <si>
    <t>Ch.1 PP</t>
    <phoneticPr fontId="1"/>
  </si>
  <si>
    <t>Ch.2/Ch.1</t>
    <phoneticPr fontId="1"/>
  </si>
  <si>
    <t>reflection</t>
    <phoneticPr fontId="1"/>
  </si>
  <si>
    <t>open</t>
    <phoneticPr fontId="1"/>
  </si>
  <si>
    <t>short</t>
    <phoneticPr fontId="1"/>
  </si>
  <si>
    <t>75 ohm</t>
    <phoneticPr fontId="1"/>
  </si>
  <si>
    <t>50 ohm</t>
    <phoneticPr fontId="1"/>
  </si>
  <si>
    <t>IN-FWD decay</t>
    <phoneticPr fontId="1"/>
  </si>
  <si>
    <t>delay [ns]</t>
    <phoneticPr fontId="1"/>
  </si>
  <si>
    <t>delay calibrated [ns]</t>
    <phoneticPr fontId="1"/>
  </si>
  <si>
    <t>IN-FWD delay</t>
    <phoneticPr fontId="1"/>
  </si>
  <si>
    <t>ns</t>
    <phoneticPr fontId="1"/>
  </si>
  <si>
    <t>-</t>
    <phoneticPr fontId="1"/>
  </si>
  <si>
    <t>coil</t>
    <phoneticPr fontId="1"/>
  </si>
  <si>
    <t>freq [Hz]</t>
    <phoneticPr fontId="1"/>
  </si>
  <si>
    <t>phase diff [rad]</t>
    <phoneticPr fontId="1"/>
  </si>
  <si>
    <t>condenser</t>
    <phoneticPr fontId="1"/>
  </si>
  <si>
    <t>L</t>
    <phoneticPr fontId="1"/>
  </si>
  <si>
    <t>H</t>
    <phoneticPr fontId="1"/>
  </si>
  <si>
    <t>C</t>
    <phoneticPr fontId="1"/>
  </si>
  <si>
    <t>F</t>
    <phoneticPr fontId="1"/>
  </si>
  <si>
    <t>Z_0</t>
    <phoneticPr fontId="1"/>
  </si>
  <si>
    <t>ohm</t>
    <phoneticPr fontId="1"/>
  </si>
  <si>
    <t>phase diff (ideal) [rad]</t>
    <phoneticPr fontId="1"/>
  </si>
  <si>
    <t>T[ns]</t>
    <phoneticPr fontId="1"/>
  </si>
  <si>
    <t>T [ns]</t>
    <phoneticPr fontId="1"/>
  </si>
  <si>
    <t>freq [MHz]</t>
    <phoneticPr fontId="1"/>
  </si>
  <si>
    <t>attenuator</t>
    <phoneticPr fontId="1"/>
  </si>
  <si>
    <t>impedance</t>
    <phoneticPr fontId="1"/>
  </si>
  <si>
    <t>decay</t>
    <phoneticPr fontId="1"/>
  </si>
  <si>
    <t>dB</t>
    <phoneticPr fontId="1"/>
  </si>
  <si>
    <t>A-B ratio [dB]</t>
    <phoneticPr fontId="1"/>
  </si>
  <si>
    <t>DUT (RL)</t>
    <phoneticPr fontId="1"/>
  </si>
  <si>
    <t>f</t>
    <phoneticPr fontId="1"/>
  </si>
  <si>
    <t>MHz</t>
    <phoneticPr fontId="1"/>
  </si>
  <si>
    <t>DUT</t>
    <phoneticPr fontId="1"/>
  </si>
  <si>
    <t>epsilon_r</t>
    <phoneticPr fontId="1"/>
  </si>
  <si>
    <t>h</t>
    <phoneticPr fontId="1"/>
  </si>
  <si>
    <t>m</t>
    <phoneticPr fontId="1"/>
  </si>
  <si>
    <t>w</t>
    <phoneticPr fontId="1"/>
  </si>
  <si>
    <t>t</t>
    <phoneticPr fontId="1"/>
  </si>
  <si>
    <t>d</t>
    <phoneticPr fontId="1"/>
  </si>
  <si>
    <t>lambda_0</t>
    <phoneticPr fontId="1"/>
  </si>
  <si>
    <t>lambda_1</t>
    <phoneticPr fontId="1"/>
  </si>
  <si>
    <t>f_1</t>
    <phoneticPr fontId="1"/>
  </si>
  <si>
    <t>impedance_calc</t>
    <phoneticPr fontId="1"/>
  </si>
  <si>
    <t>W_eff</t>
    <phoneticPr fontId="1"/>
  </si>
  <si>
    <t>ita</t>
    <phoneticPr fontId="1"/>
  </si>
  <si>
    <t>W_eff'</t>
    <phoneticPr fontId="1"/>
  </si>
  <si>
    <t>ita'</t>
    <phoneticPr fontId="1"/>
  </si>
  <si>
    <t>impedance_calc'</t>
    <phoneticPr fontId="1"/>
  </si>
  <si>
    <t>v</t>
    <phoneticPr fontId="1"/>
  </si>
  <si>
    <t>v/c</t>
    <phoneticPr fontId="1"/>
  </si>
  <si>
    <t>f_0</t>
    <phoneticPr fontId="1"/>
  </si>
  <si>
    <t>f_0_exp</t>
    <phoneticPr fontId="1"/>
  </si>
  <si>
    <t>f_1_exp</t>
    <phoneticPr fontId="1"/>
  </si>
  <si>
    <t>v_exp</t>
    <phoneticPr fontId="1"/>
  </si>
  <si>
    <t>Z_0'/Z_0</t>
    <phoneticPr fontId="1"/>
  </si>
  <si>
    <t>omega [rad/s]</t>
    <phoneticPr fontId="1"/>
  </si>
  <si>
    <t>reflective</t>
    <phoneticPr fontId="1"/>
  </si>
  <si>
    <t>DUT transpalent [dB]</t>
    <phoneticPr fontId="1"/>
  </si>
  <si>
    <t>transparent_ideal [dB]</t>
    <phoneticPr fontId="1"/>
  </si>
  <si>
    <t>transpalent_ideal</t>
    <phoneticPr fontId="1"/>
  </si>
  <si>
    <t>impedance_design</t>
    <phoneticPr fontId="1"/>
  </si>
  <si>
    <t>ch1</t>
    <phoneticPr fontId="1"/>
  </si>
  <si>
    <t>ch2</t>
    <phoneticPr fontId="1"/>
  </si>
  <si>
    <t>impedance</t>
    <phoneticPr fontId="1"/>
  </si>
  <si>
    <t>complex impedance [ohm]</t>
    <phoneticPr fontId="1"/>
  </si>
  <si>
    <t>wave number [m^-1]</t>
    <phoneticPr fontId="1"/>
  </si>
  <si>
    <t>transpalent_ideal[dB]</t>
    <phoneticPr fontId="1"/>
  </si>
  <si>
    <t>Ch.1 PP [mV]</t>
    <phoneticPr fontId="1"/>
  </si>
  <si>
    <t>Ch.1 PP [mv]</t>
    <phoneticPr fontId="1"/>
  </si>
  <si>
    <t>Ch.2 PP [mV]</t>
    <phoneticPr fontId="1"/>
  </si>
  <si>
    <t>ratio</t>
    <phoneticPr fontId="1"/>
  </si>
  <si>
    <t>T [dB]</t>
    <phoneticPr fontId="1"/>
  </si>
  <si>
    <t>ratio [dB]</t>
    <phoneticPr fontId="1"/>
  </si>
  <si>
    <t>Ch.1 PP [V]</t>
    <phoneticPr fontId="1"/>
  </si>
  <si>
    <t>n</t>
    <phoneticPr fontId="1"/>
  </si>
  <si>
    <t>T (ideal) [dB]</t>
    <phoneticPr fontId="1"/>
  </si>
  <si>
    <t>f_c</t>
    <phoneticPr fontId="1"/>
  </si>
  <si>
    <t>g1</t>
    <phoneticPr fontId="1"/>
  </si>
  <si>
    <t>uH</t>
    <phoneticPr fontId="1"/>
  </si>
  <si>
    <t>LPF parameters</t>
    <phoneticPr fontId="1"/>
  </si>
  <si>
    <t>phase diff2 [rad]</t>
    <phoneticPr fontId="1"/>
  </si>
  <si>
    <t>unit</t>
    <phoneticPr fontId="1"/>
  </si>
  <si>
    <t>note</t>
    <phoneticPr fontId="1"/>
  </si>
  <si>
    <t>送信側201, 受信側202</t>
    <rPh sb="0" eb="3">
      <t>ソウシンガワ</t>
    </rPh>
    <rPh sb="8" eb="11">
      <t>ジュシンガワ</t>
    </rPh>
    <phoneticPr fontId="1"/>
  </si>
  <si>
    <t>r</t>
    <phoneticPr fontId="1"/>
  </si>
  <si>
    <t>f0</t>
    <phoneticPr fontId="1"/>
  </si>
  <si>
    <t>r [m]</t>
    <phoneticPr fontId="1"/>
  </si>
  <si>
    <t>A/B [dB]</t>
    <phoneticPr fontId="1"/>
  </si>
  <si>
    <t>B/A max</t>
    <phoneticPr fontId="1"/>
  </si>
  <si>
    <t>half wave length [m]</t>
    <phoneticPr fontId="1"/>
  </si>
  <si>
    <t>ln r</t>
    <phoneticPr fontId="1"/>
  </si>
  <si>
    <t>slope</t>
    <phoneticPr fontId="1"/>
  </si>
  <si>
    <t>theta [deg]</t>
    <phoneticPr fontId="1"/>
  </si>
  <si>
    <t>sin(theta)</t>
    <phoneticPr fontId="1"/>
  </si>
  <si>
    <t>expected: 2</t>
    <phoneticPr fontId="1"/>
  </si>
  <si>
    <t>log10(sin(theata)</t>
    <phoneticPr fontId="1"/>
  </si>
  <si>
    <t>expected: -2</t>
    <phoneticPr fontId="1"/>
  </si>
  <si>
    <t>obj</t>
    <phoneticPr fontId="1"/>
  </si>
  <si>
    <t>厚紙</t>
    <rPh sb="0" eb="2">
      <t>アツガミ</t>
    </rPh>
    <phoneticPr fontId="1"/>
  </si>
  <si>
    <t>N/A</t>
    <phoneticPr fontId="1"/>
  </si>
  <si>
    <t>アクリル板</t>
    <rPh sb="4" eb="5">
      <t>バン</t>
    </rPh>
    <phoneticPr fontId="1"/>
  </si>
  <si>
    <t>アルミ板</t>
    <rPh sb="3" eb="4">
      <t>バン</t>
    </rPh>
    <phoneticPr fontId="1"/>
  </si>
  <si>
    <t>decay ratio</t>
    <phoneticPr fontId="1"/>
  </si>
  <si>
    <t>rho</t>
    <phoneticPr fontId="1"/>
  </si>
  <si>
    <t>ohm m</t>
    <phoneticPr fontId="1"/>
  </si>
  <si>
    <t>omega</t>
    <phoneticPr fontId="1"/>
  </si>
  <si>
    <t>rad/s</t>
    <phoneticPr fontId="1"/>
  </si>
  <si>
    <t>mu</t>
    <phoneticPr fontId="1"/>
  </si>
  <si>
    <t>skin depth</t>
    <phoneticPr fontId="1"/>
  </si>
  <si>
    <t>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</si>
</sst>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.0"/>
    <numFmt numFmtId="179" formatCode="0.0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1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没!$E$2</c:f>
              <c:strCache>
                <c:ptCount val="1"/>
                <c:pt idx="0">
                  <c:v>減衰率 [dBm^-1]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没!$B$3:$B$13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没!$E$3:$E$13</c:f>
              <c:numCache>
                <c:formatCode>General</c:formatCode>
                <c:ptCount val="11"/>
                <c:pt idx="0">
                  <c:v>-3.4777777777777779</c:v>
                </c:pt>
                <c:pt idx="1">
                  <c:v>-4.666666666666667</c:v>
                </c:pt>
                <c:pt idx="2">
                  <c:v>-4.3888888888888893</c:v>
                </c:pt>
                <c:pt idx="3">
                  <c:v>-3.8333333333333335</c:v>
                </c:pt>
                <c:pt idx="4">
                  <c:v>-4.5</c:v>
                </c:pt>
                <c:pt idx="5">
                  <c:v>-3.6222222222222222</c:v>
                </c:pt>
                <c:pt idx="6">
                  <c:v>-4.4222222222222216</c:v>
                </c:pt>
                <c:pt idx="7">
                  <c:v>-4.333333333333333</c:v>
                </c:pt>
                <c:pt idx="8">
                  <c:v>-3.7444444444444449</c:v>
                </c:pt>
                <c:pt idx="9">
                  <c:v>-2.8111111111111113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7-4EE5-96E9-537CD47A2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31568"/>
        <c:axId val="950329232"/>
      </c:scatterChart>
      <c:valAx>
        <c:axId val="476131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29232"/>
        <c:crosses val="autoZero"/>
        <c:crossBetween val="midCat"/>
      </c:valAx>
      <c:valAx>
        <c:axId val="9503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13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exp2_3_coil_retry!$E$2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exp2_3_coil_retry!$E$3:$E$6</c:f>
              <c:numCache>
                <c:formatCode>General</c:formatCode>
                <c:ptCount val="4"/>
                <c:pt idx="0">
                  <c:v>0.89529761904761906</c:v>
                </c:pt>
                <c:pt idx="1">
                  <c:v>0.59070464135021095</c:v>
                </c:pt>
                <c:pt idx="2">
                  <c:v>0.4568451693388163</c:v>
                </c:pt>
                <c:pt idx="3">
                  <c:v>0.85260743015129836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8-402C-8020-00D5A81D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935712"/>
        <c:axId val="1408595056"/>
      </c:scatterChart>
      <c:valAx>
        <c:axId val="12229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595056"/>
        <c:crosses val="autoZero"/>
        <c:crossBetween val="midCat"/>
      </c:valAx>
      <c:valAx>
        <c:axId val="14085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9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exp2_3_coil_retry!$I$2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exp2_3_coil_retry!$I$3:$I$6</c:f>
              <c:numCache>
                <c:formatCode>General</c:formatCode>
                <c:ptCount val="4"/>
                <c:pt idx="0">
                  <c:v>2.638937829015426</c:v>
                </c:pt>
                <c:pt idx="1">
                  <c:v>2.211681228127214</c:v>
                </c:pt>
                <c:pt idx="2">
                  <c:v>1.350884841043611</c:v>
                </c:pt>
                <c:pt idx="3">
                  <c:v>0.35185837720205715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E-4FCE-85B5-C903B580D69B}"/>
            </c:ext>
          </c:extLst>
        </c:ser>
        <c:ser>
          <c:idx val="1"/>
          <c:order val="1"/>
          <c:tx>
            <c:strRef>
              <c:f>exp2_3_coil_retry!$J$2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exp2_3_coil_retry!$A$3:$A$6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exp2_3_coil_retry!$J$3:$J$6</c:f>
              <c:numCache>
                <c:formatCode>General</c:formatCode>
                <c:ptCount val="4"/>
                <c:pt idx="0">
                  <c:v>2.6021462603983401</c:v>
                </c:pt>
                <c:pt idx="1">
                  <c:v>2.1314276053458201</c:v>
                </c:pt>
                <c:pt idx="2">
                  <c:v>1.2525587231454822</c:v>
                </c:pt>
                <c:pt idx="3" formatCode="0.00E+00">
                  <c:v>0.69414735227159585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E-4FCE-85B5-C903B580D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548144"/>
        <c:axId val="1386421360"/>
      </c:scatterChart>
      <c:valAx>
        <c:axId val="13925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421360"/>
        <c:crosses val="autoZero"/>
        <c:crossBetween val="midCat"/>
      </c:valAx>
      <c:valAx>
        <c:axId val="13864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5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exp2_3_coil_retry2!$E$2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exp2_3_coil_retry2!$E$3:$E$7</c:f>
              <c:numCache>
                <c:formatCode>General</c:formatCode>
                <c:ptCount val="5"/>
                <c:pt idx="0">
                  <c:v>0.91642403456600796</c:v>
                </c:pt>
                <c:pt idx="1">
                  <c:v>0.90388349514563104</c:v>
                </c:pt>
                <c:pt idx="2">
                  <c:v>0.81054769945124516</c:v>
                </c:pt>
                <c:pt idx="3">
                  <c:v>0.78004933948750599</c:v>
                </c:pt>
                <c:pt idx="4">
                  <c:v>0.77644300235747421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0-4606-962F-E233C97DF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935712"/>
        <c:axId val="1408595056"/>
      </c:scatterChart>
      <c:valAx>
        <c:axId val="12229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595056"/>
        <c:crosses val="autoZero"/>
        <c:crossBetween val="midCat"/>
      </c:valAx>
      <c:valAx>
        <c:axId val="140859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9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exp2_3_coil_retry2!$I$2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exp2_3_coil_retry2!$A$3:$A$7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exp2_3_coil_retry2!$I$3:$I$7</c:f>
              <c:numCache>
                <c:formatCode>General</c:formatCode>
                <c:ptCount val="5"/>
                <c:pt idx="0">
                  <c:v>2.6892033114728631</c:v>
                </c:pt>
                <c:pt idx="1">
                  <c:v>2.1362830044410597</c:v>
                </c:pt>
                <c:pt idx="2">
                  <c:v>1.0807078728348889</c:v>
                </c:pt>
                <c:pt idx="3">
                  <c:v>0.59061941887488123</c:v>
                </c:pt>
                <c:pt idx="4">
                  <c:v>5.0265482457436735E-2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5-4878-AB2B-8C272740824D}"/>
            </c:ext>
          </c:extLst>
        </c:ser>
        <c:ser>
          <c:idx val="1"/>
          <c:order val="1"/>
          <c:tx>
            <c:strRef>
              <c:f>exp2_3_coil_retry2!$J$2</c:f>
              <c:strCache>
                <c:ptCount val="1"/>
                <c:pt idx="0">
                  <c:v>phase diff2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exp2_3_coil_retry2!$A$3:$A$7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exp2_3_coil_retry2!$J$3:$J$7</c:f>
              <c:numCache>
                <c:formatCode>General</c:formatCode>
                <c:ptCount val="5"/>
                <c:pt idx="0">
                  <c:v>2.6892033114728631</c:v>
                </c:pt>
                <c:pt idx="1">
                  <c:v>2.1865484868984959</c:v>
                </c:pt>
                <c:pt idx="2">
                  <c:v>1.2377875055143785</c:v>
                </c:pt>
                <c:pt idx="3">
                  <c:v>0.7916813487046277</c:v>
                </c:pt>
                <c:pt idx="4">
                  <c:v>0.35185837720205715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5-4878-AB2B-8C272740824D}"/>
            </c:ext>
          </c:extLst>
        </c:ser>
        <c:ser>
          <c:idx val="2"/>
          <c:order val="2"/>
          <c:tx>
            <c:strRef>
              <c:f>exp2_3_coil_retry2!$K$2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exp2_3_coil_retry2!$A$3:$A$7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exp2_3_coil_retry2!$K$3:$K$7</c:f>
              <c:numCache>
                <c:formatCode>General</c:formatCode>
                <c:ptCount val="5"/>
                <c:pt idx="0">
                  <c:v>2.6021462603983401</c:v>
                </c:pt>
                <c:pt idx="1">
                  <c:v>2.1314276053458201</c:v>
                </c:pt>
                <c:pt idx="2">
                  <c:v>1.2525587231454822</c:v>
                </c:pt>
                <c:pt idx="3">
                  <c:v>0.95389448927389076</c:v>
                </c:pt>
                <c:pt idx="4">
                  <c:v>0.69414735227159585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5-4878-AB2B-8C2727408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55312"/>
        <c:axId val="1995540976"/>
      </c:scatterChart>
      <c:valAx>
        <c:axId val="3924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5540976"/>
        <c:crosses val="autoZero"/>
        <c:crossBetween val="midCat"/>
      </c:valAx>
      <c:valAx>
        <c:axId val="19955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exp2_3_condenser!$E$3:$E$6</c:f>
              <c:numCache>
                <c:formatCode>General</c:formatCode>
                <c:ptCount val="4"/>
                <c:pt idx="0">
                  <c:v>1.0287292817679556</c:v>
                </c:pt>
                <c:pt idx="1">
                  <c:v>0.36218696125578437</c:v>
                </c:pt>
                <c:pt idx="2">
                  <c:v>0.89670981661272919</c:v>
                </c:pt>
                <c:pt idx="3">
                  <c:v>1.4152233009708737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F-4292-AB36-C0B3F1A1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187232"/>
        <c:axId val="1302186752"/>
      </c:scatterChart>
      <c:valAx>
        <c:axId val="13021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186752"/>
        <c:crosses val="autoZero"/>
        <c:crossBetween val="midCat"/>
      </c:valAx>
      <c:valAx>
        <c:axId val="1302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1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exp2_3_condenser!$I$3:$I$6</c:f>
              <c:numCache>
                <c:formatCode>0.00E+00</c:formatCode>
                <c:ptCount val="4"/>
                <c:pt idx="0">
                  <c:v>0.62831853071795862</c:v>
                </c:pt>
                <c:pt idx="1">
                  <c:v>1.2566370614359172</c:v>
                </c:pt>
                <c:pt idx="2">
                  <c:v>2.5132741228718345</c:v>
                </c:pt>
                <c:pt idx="3">
                  <c:v>2.5132741228718345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F-40CB-BDAA-24C72EA589FE}"/>
            </c:ext>
          </c:extLst>
        </c:ser>
        <c:ser>
          <c:idx val="1"/>
          <c:order val="1"/>
          <c:tx>
            <c:strRef>
              <c:f>exp2_3_condenser!$J$2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exp2_3_condenser!$A$3:$A$6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exp2_3_condenser!$J$3:$J$6</c:f>
              <c:numCache>
                <c:formatCode>0.00E+00</c:formatCode>
                <c:ptCount val="4"/>
                <c:pt idx="0">
                  <c:v>-0.60879159472923017</c:v>
                </c:pt>
                <c:pt idx="1">
                  <c:v>-1.1219642322172476</c:v>
                </c:pt>
                <c:pt idx="2">
                  <c:v>-2.0077696437077743</c:v>
                </c:pt>
                <c:pt idx="3">
                  <c:v>-2.5252545113578235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F-40CB-BDAA-24C72EA58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684224"/>
        <c:axId val="1309684704"/>
      </c:scatterChart>
      <c:valAx>
        <c:axId val="13096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684704"/>
        <c:crosses val="autoZero"/>
        <c:crossBetween val="midCat"/>
      </c:valAx>
      <c:valAx>
        <c:axId val="13096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68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exp2_3_condenser_retry!$I$2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exp2_3_condenser_retry!$I$3:$I$6</c:f>
              <c:numCache>
                <c:formatCode>0.00E+00</c:formatCode>
                <c:ptCount val="4"/>
                <c:pt idx="0">
                  <c:v>-0.62831853071795862</c:v>
                </c:pt>
                <c:pt idx="1">
                  <c:v>-1.2315043202071989</c:v>
                </c:pt>
                <c:pt idx="2">
                  <c:v>-2.4504422698000385</c:v>
                </c:pt>
                <c:pt idx="3">
                  <c:v>-3.4934510307918503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6-473F-B3FD-DD7CEC3A5791}"/>
            </c:ext>
          </c:extLst>
        </c:ser>
        <c:ser>
          <c:idx val="1"/>
          <c:order val="1"/>
          <c:tx>
            <c:strRef>
              <c:f>exp2_3_condenser_retry!$J$2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exp2_3_condenser_retry!$A$3:$A$6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exp2_3_condenser_retry!$J$3:$J$6</c:f>
              <c:numCache>
                <c:formatCode>0.00E+00</c:formatCode>
                <c:ptCount val="4"/>
                <c:pt idx="0">
                  <c:v>-0.60879159472923017</c:v>
                </c:pt>
                <c:pt idx="1">
                  <c:v>-1.1219642322172476</c:v>
                </c:pt>
                <c:pt idx="2">
                  <c:v>-2.0077696437077743</c:v>
                </c:pt>
                <c:pt idx="3">
                  <c:v>-2.5252545113578235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6-473F-B3FD-DD7CEC3A5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463888"/>
        <c:axId val="1410747808"/>
      </c:scatterChart>
      <c:valAx>
        <c:axId val="14084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747808"/>
        <c:crosses val="autoZero"/>
        <c:crossBetween val="midCat"/>
      </c:valAx>
      <c:valAx>
        <c:axId val="14107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46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exp2_3_condenser_retry!$E$2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exp2_3_condenser_retry!$E$3:$E$6</c:f>
              <c:numCache>
                <c:formatCode>General</c:formatCode>
                <c:ptCount val="4"/>
                <c:pt idx="0">
                  <c:v>1.0493404004711424</c:v>
                </c:pt>
                <c:pt idx="1">
                  <c:v>0.88971519999999982</c:v>
                </c:pt>
                <c:pt idx="2">
                  <c:v>0.72051009564293311</c:v>
                </c:pt>
                <c:pt idx="3">
                  <c:v>0.49013921113689091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8-483A-9440-FB9F983C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57040"/>
        <c:axId val="1285157520"/>
      </c:scatterChart>
      <c:valAx>
        <c:axId val="12851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57520"/>
        <c:crosses val="autoZero"/>
        <c:crossBetween val="midCat"/>
      </c:valAx>
      <c:valAx>
        <c:axId val="12851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exp2_3_condenser_retry2!$E$2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exp2_3_condenser_retry2!$E$3:$E$7</c:f>
              <c:numCache>
                <c:formatCode>General</c:formatCode>
                <c:ptCount val="5"/>
                <c:pt idx="0">
                  <c:v>0.90388349514563093</c:v>
                </c:pt>
                <c:pt idx="1">
                  <c:v>0.90388349514563093</c:v>
                </c:pt>
                <c:pt idx="2">
                  <c:v>0.88307038834951457</c:v>
                </c:pt>
                <c:pt idx="3">
                  <c:v>0.88580582524271834</c:v>
                </c:pt>
                <c:pt idx="4">
                  <c:v>0.86473893433223759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7-467A-B8A3-44357A85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57040"/>
        <c:axId val="1285157520"/>
      </c:scatterChart>
      <c:valAx>
        <c:axId val="12851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57520"/>
        <c:crosses val="autoZero"/>
        <c:crossBetween val="midCat"/>
      </c:valAx>
      <c:valAx>
        <c:axId val="128515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43000720740798"/>
          <c:y val="0.21946859903381644"/>
          <c:w val="0.77717681925636917"/>
          <c:h val="0.62654532313895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exp2_3_condenser_retry2!$I$2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exp2_3_condenser_retry2!$A$3:$A$7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exp2_3_condenser_retry2!$I$3:$I$7</c:f>
              <c:numCache>
                <c:formatCode>0.00E+00</c:formatCode>
                <c:ptCount val="5"/>
                <c:pt idx="0">
                  <c:v>-0.6031857894892404</c:v>
                </c:pt>
                <c:pt idx="1">
                  <c:v>-1.3320352851220723</c:v>
                </c:pt>
                <c:pt idx="2">
                  <c:v>-2.5132741228718345</c:v>
                </c:pt>
                <c:pt idx="3">
                  <c:v>-3.0360351404291759</c:v>
                </c:pt>
                <c:pt idx="4">
                  <c:v>-3.5437165132492865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12-4476-AE29-8CA626F91E61}"/>
            </c:ext>
          </c:extLst>
        </c:ser>
        <c:ser>
          <c:idx val="1"/>
          <c:order val="1"/>
          <c:tx>
            <c:strRef>
              <c:f>exp2_3_condenser_retry2!$J$2</c:f>
              <c:strCache>
                <c:ptCount val="1"/>
                <c:pt idx="0">
                  <c:v>phase diff2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exp2_3_condenser_retry2!$A$3:$A$7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exp2_3_condenser_retry2!$J$3:$J$7</c:f>
              <c:numCache>
                <c:formatCode>0.00E+00</c:formatCode>
                <c:ptCount val="5"/>
                <c:pt idx="0">
                  <c:v>-0.60318578948923995</c:v>
                </c:pt>
                <c:pt idx="1">
                  <c:v>-1.281769802664636</c:v>
                </c:pt>
                <c:pt idx="2">
                  <c:v>-2.3561944901923448</c:v>
                </c:pt>
                <c:pt idx="3">
                  <c:v>-2.8349732105994296</c:v>
                </c:pt>
                <c:pt idx="4">
                  <c:v>-3.242123618504666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12-4476-AE29-8CA626F91E61}"/>
            </c:ext>
          </c:extLst>
        </c:ser>
        <c:ser>
          <c:idx val="2"/>
          <c:order val="2"/>
          <c:tx>
            <c:strRef>
              <c:f>exp2_3_condenser_retry2!$K$2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exp2_3_condenser_retry2!$A$3:$A$7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exp2_3_condenser_retry2!$K$3:$K$7</c:f>
              <c:numCache>
                <c:formatCode>0.00E+00</c:formatCode>
                <c:ptCount val="5"/>
                <c:pt idx="0">
                  <c:v>-0.60879159472923017</c:v>
                </c:pt>
                <c:pt idx="1">
                  <c:v>-1.1219642322172476</c:v>
                </c:pt>
                <c:pt idx="2">
                  <c:v>-2.0077696437077743</c:v>
                </c:pt>
                <c:pt idx="3">
                  <c:v>-2.2880344352386657</c:v>
                </c:pt>
                <c:pt idx="4">
                  <c:v>-2.5252545113578235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12-4476-AE29-8CA626F9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57424"/>
        <c:axId val="278932464"/>
      </c:scatterChart>
      <c:valAx>
        <c:axId val="4101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932464"/>
        <c:crosses val="autoZero"/>
        <c:crossBetween val="midCat"/>
      </c:valAx>
      <c:valAx>
        <c:axId val="2789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15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 cable1'!$B$1</c:f>
              <c:strCache>
                <c:ptCount val="1"/>
                <c:pt idx="0">
                  <c:v>A power [dBm]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'power cable1'!$A$2:$A$11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'power cable1'!$B$2:$B$11</c:f>
              <c:numCache>
                <c:formatCode>General</c:formatCode>
                <c:ptCount val="10"/>
                <c:pt idx="0">
                  <c:v>-7.03</c:v>
                </c:pt>
                <c:pt idx="1">
                  <c:v>-7.03</c:v>
                </c:pt>
                <c:pt idx="2">
                  <c:v>-6.39</c:v>
                </c:pt>
                <c:pt idx="3">
                  <c:v>-6.4</c:v>
                </c:pt>
                <c:pt idx="4">
                  <c:v>-6.48</c:v>
                </c:pt>
                <c:pt idx="5">
                  <c:v>-6.47</c:v>
                </c:pt>
                <c:pt idx="6">
                  <c:v>-6.63</c:v>
                </c:pt>
                <c:pt idx="7">
                  <c:v>-6.67</c:v>
                </c:pt>
                <c:pt idx="8">
                  <c:v>-6.99</c:v>
                </c:pt>
                <c:pt idx="9">
                  <c:v>-7.46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4-4C55-8C09-E6E8011635E1}"/>
            </c:ext>
          </c:extLst>
        </c:ser>
        <c:ser>
          <c:idx val="1"/>
          <c:order val="1"/>
          <c:tx>
            <c:strRef>
              <c:f>'power cable1'!$C$1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'power cable1'!$A$2:$A$11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'power cable1'!$C$2:$C$11</c:f>
              <c:numCache>
                <c:formatCode>General</c:formatCode>
                <c:ptCount val="10"/>
                <c:pt idx="0">
                  <c:v>0.05</c:v>
                </c:pt>
                <c:pt idx="1">
                  <c:v>0.21</c:v>
                </c:pt>
                <c:pt idx="2">
                  <c:v>-0.44</c:v>
                </c:pt>
                <c:pt idx="3">
                  <c:v>-0.6</c:v>
                </c:pt>
                <c:pt idx="4">
                  <c:v>-0.76</c:v>
                </c:pt>
                <c:pt idx="5">
                  <c:v>-1.39</c:v>
                </c:pt>
                <c:pt idx="6">
                  <c:v>-1.88</c:v>
                </c:pt>
                <c:pt idx="7">
                  <c:v>-2.52</c:v>
                </c:pt>
                <c:pt idx="8">
                  <c:v>-4.08</c:v>
                </c:pt>
                <c:pt idx="9">
                  <c:v>-5.63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34-4C55-8C09-E6E8011635E1}"/>
            </c:ext>
          </c:extLst>
        </c:ser>
        <c:ser>
          <c:idx val="2"/>
          <c:order val="2"/>
          <c:tx>
            <c:strRef>
              <c:f>'power cable1'!$D$1</c:f>
              <c:strCache>
                <c:ptCount val="1"/>
                <c:pt idx="0">
                  <c:v>減衰率 [dBm^-1]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'power cable1'!$A$2:$A$11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'power cable1'!$D$2:$D$11</c:f>
              <c:numCache>
                <c:formatCode>General</c:formatCode>
                <c:ptCount val="10"/>
                <c:pt idx="0">
                  <c:v>5.5555555555555558E-3</c:v>
                </c:pt>
                <c:pt idx="1">
                  <c:v>2.3333333333333331E-2</c:v>
                </c:pt>
                <c:pt idx="2">
                  <c:v>-4.8888888888888891E-2</c:v>
                </c:pt>
                <c:pt idx="3">
                  <c:v>-6.6666666666666666E-2</c:v>
                </c:pt>
                <c:pt idx="4">
                  <c:v>-8.4444444444444447E-2</c:v>
                </c:pt>
                <c:pt idx="5">
                  <c:v>-0.15444444444444444</c:v>
                </c:pt>
                <c:pt idx="6">
                  <c:v>-0.20888888888888887</c:v>
                </c:pt>
                <c:pt idx="7">
                  <c:v>-0.28000000000000003</c:v>
                </c:pt>
                <c:pt idx="8">
                  <c:v>-0.45333333333333337</c:v>
                </c:pt>
                <c:pt idx="9">
                  <c:v>-0.62555555555555553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34-4C55-8C09-E6E801163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65008"/>
        <c:axId val="817265488"/>
      </c:scatterChart>
      <c:valAx>
        <c:axId val="817265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265488"/>
        <c:crosses val="autoZero"/>
        <c:crossBetween val="midCat"/>
      </c:valAx>
      <c:valAx>
        <c:axId val="8172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2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exp3_1!$E$1</c:f>
              <c:strCache>
                <c:ptCount val="1"/>
                <c:pt idx="0">
                  <c:v>DUT transpalent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exp3_1!$B$2:$B$41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exp3_1!$E$2:$E$41</c:f>
              <c:numCache>
                <c:formatCode>General</c:formatCode>
                <c:ptCount val="40"/>
                <c:pt idx="0">
                  <c:v>-0.38999999999999968</c:v>
                </c:pt>
                <c:pt idx="1">
                  <c:v>-0.42999999999999972</c:v>
                </c:pt>
                <c:pt idx="2">
                  <c:v>-0.46999999999999975</c:v>
                </c:pt>
                <c:pt idx="3">
                  <c:v>-0.51999999999999957</c:v>
                </c:pt>
                <c:pt idx="4">
                  <c:v>-0.57000000000000028</c:v>
                </c:pt>
                <c:pt idx="5">
                  <c:v>-0.62999999999999989</c:v>
                </c:pt>
                <c:pt idx="6">
                  <c:v>-0.69000000000000039</c:v>
                </c:pt>
                <c:pt idx="7">
                  <c:v>-0.74000000000000021</c:v>
                </c:pt>
                <c:pt idx="8">
                  <c:v>-0.79</c:v>
                </c:pt>
                <c:pt idx="9">
                  <c:v>-0.83999999999999986</c:v>
                </c:pt>
                <c:pt idx="10">
                  <c:v>-0.88999999999999968</c:v>
                </c:pt>
                <c:pt idx="11">
                  <c:v>-0.95000000000000018</c:v>
                </c:pt>
                <c:pt idx="12">
                  <c:v>-1.0099999999999998</c:v>
                </c:pt>
                <c:pt idx="13">
                  <c:v>-1.1200000000000001</c:v>
                </c:pt>
                <c:pt idx="14">
                  <c:v>-1.3499999999999996</c:v>
                </c:pt>
                <c:pt idx="15">
                  <c:v>-1.8200000000000003</c:v>
                </c:pt>
                <c:pt idx="16">
                  <c:v>-2.7699999999999996</c:v>
                </c:pt>
                <c:pt idx="17">
                  <c:v>-4.2200000000000006</c:v>
                </c:pt>
                <c:pt idx="18">
                  <c:v>-5.2799999999999994</c:v>
                </c:pt>
                <c:pt idx="19">
                  <c:v>-5.2899999999999991</c:v>
                </c:pt>
                <c:pt idx="20">
                  <c:v>-4.82</c:v>
                </c:pt>
                <c:pt idx="21">
                  <c:v>-4.3499999999999996</c:v>
                </c:pt>
                <c:pt idx="22">
                  <c:v>-3.9499999999999993</c:v>
                </c:pt>
                <c:pt idx="23">
                  <c:v>-3.6300000000000008</c:v>
                </c:pt>
                <c:pt idx="24">
                  <c:v>-3.3900000000000006</c:v>
                </c:pt>
                <c:pt idx="25">
                  <c:v>-3.1999999999999993</c:v>
                </c:pt>
                <c:pt idx="26">
                  <c:v>-3.0299999999999994</c:v>
                </c:pt>
                <c:pt idx="27">
                  <c:v>-2.8800000000000008</c:v>
                </c:pt>
                <c:pt idx="28">
                  <c:v>-2.7300000000000004</c:v>
                </c:pt>
                <c:pt idx="29">
                  <c:v>-2.59</c:v>
                </c:pt>
                <c:pt idx="30">
                  <c:v>-2.4499999999999993</c:v>
                </c:pt>
                <c:pt idx="31">
                  <c:v>-2.33</c:v>
                </c:pt>
                <c:pt idx="32">
                  <c:v>-2.2200000000000006</c:v>
                </c:pt>
                <c:pt idx="33">
                  <c:v>-2.1300000000000008</c:v>
                </c:pt>
                <c:pt idx="34">
                  <c:v>-2.0399999999999991</c:v>
                </c:pt>
                <c:pt idx="35">
                  <c:v>-1.9500000000000002</c:v>
                </c:pt>
                <c:pt idx="36">
                  <c:v>-1.8600000000000003</c:v>
                </c:pt>
                <c:pt idx="37">
                  <c:v>-1.79</c:v>
                </c:pt>
                <c:pt idx="38">
                  <c:v>-1.7400000000000002</c:v>
                </c:pt>
                <c:pt idx="39">
                  <c:v>-1.6900000000000004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E-4A8D-8160-4C5D5A284756}"/>
            </c:ext>
          </c:extLst>
        </c:ser>
        <c:ser>
          <c:idx val="1"/>
          <c:order val="1"/>
          <c:tx>
            <c:strRef>
              <c:f>exp3_1!$I$1</c:f>
              <c:strCache>
                <c:ptCount val="1"/>
                <c:pt idx="0">
                  <c:v>transparent_ideal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exp3_1!$B$2:$B$41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exp3_1!$I$2:$I$41</c:f>
              <c:numCache>
                <c:formatCode>General</c:formatCode>
                <c:ptCount val="40"/>
                <c:pt idx="0" formatCode="0.00E+00">
                  <c:v>-2.0470788226473767E-2</c:v>
                </c:pt>
                <c:pt idx="1">
                  <c:v>-8.2333310242444377E-2</c:v>
                </c:pt>
                <c:pt idx="2">
                  <c:v>-0.12484108196825447</c:v>
                </c:pt>
                <c:pt idx="3">
                  <c:v>-0.16918913011795889</c:v>
                </c:pt>
                <c:pt idx="4">
                  <c:v>-0.21620328461618166</c:v>
                </c:pt>
                <c:pt idx="5">
                  <c:v>-0.26686660437437532</c:v>
                </c:pt>
                <c:pt idx="6">
                  <c:v>-0.32239584703663499</c:v>
                </c:pt>
                <c:pt idx="7">
                  <c:v>-0.38435225022369246</c:v>
                </c:pt>
                <c:pt idx="8">
                  <c:v>-0.45480948144627109</c:v>
                </c:pt>
                <c:pt idx="9">
                  <c:v>-0.53661957154941642</c:v>
                </c:pt>
                <c:pt idx="10">
                  <c:v>-0.63385367048915842</c:v>
                </c:pt>
                <c:pt idx="11">
                  <c:v>-0.75257112826198191</c:v>
                </c:pt>
                <c:pt idx="12">
                  <c:v>-0.90224587189193373</c:v>
                </c:pt>
                <c:pt idx="13">
                  <c:v>-1.0986186236681126</c:v>
                </c:pt>
                <c:pt idx="14">
                  <c:v>-1.3699788792750989</c:v>
                </c:pt>
                <c:pt idx="15">
                  <c:v>-1.7729239051768251</c:v>
                </c:pt>
                <c:pt idx="16">
                  <c:v>-2.4400512674201518</c:v>
                </c:pt>
                <c:pt idx="17">
                  <c:v>-3.7755211295743734</c:v>
                </c:pt>
                <c:pt idx="18">
                  <c:v>-7.9853527106651825</c:v>
                </c:pt>
                <c:pt idx="19">
                  <c:v>-10.188785412647576</c:v>
                </c:pt>
                <c:pt idx="20">
                  <c:v>-4.422544999955206</c:v>
                </c:pt>
                <c:pt idx="21">
                  <c:v>-2.9043192295281002</c:v>
                </c:pt>
                <c:pt idx="22">
                  <c:v>-2.1879785078136158</c:v>
                </c:pt>
                <c:pt idx="23">
                  <c:v>-1.7685917443527777</c:v>
                </c:pt>
                <c:pt idx="24">
                  <c:v>-1.4923096927412884</c:v>
                </c:pt>
                <c:pt idx="25">
                  <c:v>-1.2960714245793308</c:v>
                </c:pt>
                <c:pt idx="26">
                  <c:v>-1.149182153737192</c:v>
                </c:pt>
                <c:pt idx="27">
                  <c:v>-1.0348925465938206</c:v>
                </c:pt>
                <c:pt idx="28">
                  <c:v>-0.94328054924173954</c:v>
                </c:pt>
                <c:pt idx="29">
                  <c:v>-0.86809163333458461</c:v>
                </c:pt>
                <c:pt idx="30">
                  <c:v>-0.80518606178940033</c:v>
                </c:pt>
                <c:pt idx="31">
                  <c:v>-0.75171379954598483</c:v>
                </c:pt>
                <c:pt idx="32">
                  <c:v>-0.70564793552912919</c:v>
                </c:pt>
                <c:pt idx="33">
                  <c:v>-0.66550709203853986</c:v>
                </c:pt>
                <c:pt idx="34">
                  <c:v>-0.63018313525180547</c:v>
                </c:pt>
                <c:pt idx="35">
                  <c:v>-0.59883034185759809</c:v>
                </c:pt>
                <c:pt idx="36">
                  <c:v>-0.57079187397661335</c:v>
                </c:pt>
                <c:pt idx="37">
                  <c:v>-0.54554968425626438</c:v>
                </c:pt>
                <c:pt idx="38">
                  <c:v>-0.52268957645093261</c:v>
                </c:pt>
                <c:pt idx="39">
                  <c:v>-0.50187632687235573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E-4A8D-8160-4C5D5A28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08943"/>
        <c:axId val="1690813263"/>
      </c:scatterChart>
      <c:valAx>
        <c:axId val="169080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0813263"/>
        <c:crosses val="autoZero"/>
        <c:crossBetween val="midCat"/>
      </c:valAx>
      <c:valAx>
        <c:axId val="16908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080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exp3_1!$G$1</c:f>
              <c:strCache>
                <c:ptCount val="1"/>
                <c:pt idx="0">
                  <c:v>impedance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exp3_1!$B$2:$B$41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exp3_1!$G$2:$G$41</c:f>
              <c:numCache>
                <c:formatCode>0.00E+00</c:formatCode>
                <c:ptCount val="40"/>
                <c:pt idx="0">
                  <c:v>5291.3417620540495</c:v>
                </c:pt>
                <c:pt idx="1">
                  <c:v>2624.9363695133325</c:v>
                </c:pt>
                <c:pt idx="2">
                  <c:v>1726.9192335492298</c:v>
                </c:pt>
                <c:pt idx="3">
                  <c:v>1270.9991617292808</c:v>
                </c:pt>
                <c:pt idx="4">
                  <c:v>991.91791556699354</c:v>
                </c:pt>
                <c:pt idx="5">
                  <c:v>801.25608223353697</c:v>
                </c:pt>
                <c:pt idx="6">
                  <c:v>661.11962765941212</c:v>
                </c:pt>
                <c:pt idx="7">
                  <c:v>552.56153480986995</c:v>
                </c:pt>
                <c:pt idx="8">
                  <c:v>465.05568311004913</c:v>
                </c:pt>
                <c:pt idx="9">
                  <c:v>392.28640021503361</c:v>
                </c:pt>
                <c:pt idx="10">
                  <c:v>330.23462190533081</c:v>
                </c:pt>
                <c:pt idx="11">
                  <c:v>276.22097203461271</c:v>
                </c:pt>
                <c:pt idx="12">
                  <c:v>228.39049788619045</c:v>
                </c:pt>
                <c:pt idx="13">
                  <c:v>185.41823323385765</c:v>
                </c:pt>
                <c:pt idx="14">
                  <c:v>146.33253617839665</c:v>
                </c:pt>
                <c:pt idx="15">
                  <c:v>110.40467529539387</c:v>
                </c:pt>
                <c:pt idx="16">
                  <c:v>77.077385377944921</c:v>
                </c:pt>
                <c:pt idx="17">
                  <c:v>45.917237931790851</c:v>
                </c:pt>
                <c:pt idx="18">
                  <c:v>16.582052566727214</c:v>
                </c:pt>
                <c:pt idx="19">
                  <c:v>11.20191502940952</c:v>
                </c:pt>
                <c:pt idx="20">
                  <c:v>37.656267395037588</c:v>
                </c:pt>
                <c:pt idx="21">
                  <c:v>62.962315697953585</c:v>
                </c:pt>
                <c:pt idx="22">
                  <c:v>87.269838728945928</c:v>
                </c:pt>
                <c:pt idx="23">
                  <c:v>110.70365214700522</c:v>
                </c:pt>
                <c:pt idx="24">
                  <c:v>133.36860110568341</c:v>
                </c:pt>
                <c:pt idx="25">
                  <c:v>155.35340073490897</c:v>
                </c:pt>
                <c:pt idx="26">
                  <c:v>176.73362318239904</c:v>
                </c:pt>
                <c:pt idx="27">
                  <c:v>197.57404457476804</c:v>
                </c:pt>
                <c:pt idx="28">
                  <c:v>217.93050640047676</c:v>
                </c:pt>
                <c:pt idx="29">
                  <c:v>237.85140461619116</c:v>
                </c:pt>
                <c:pt idx="30">
                  <c:v>257.37889053900761</c:v>
                </c:pt>
                <c:pt idx="31">
                  <c:v>276.54984657138522</c:v>
                </c:pt>
                <c:pt idx="32">
                  <c:v>295.39668452154569</c:v>
                </c:pt>
                <c:pt idx="33">
                  <c:v>313.94800304380232</c:v>
                </c:pt>
                <c:pt idx="34">
                  <c:v>332.22913237483255</c:v>
                </c:pt>
                <c:pt idx="35">
                  <c:v>350.262588280572</c:v>
                </c:pt>
                <c:pt idx="36">
                  <c:v>368.06845239009817</c:v>
                </c:pt>
                <c:pt idx="37">
                  <c:v>385.66469247679646</c:v>
                </c:pt>
                <c:pt idx="38">
                  <c:v>403.06743346549968</c:v>
                </c:pt>
                <c:pt idx="39">
                  <c:v>420.29118778855741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E-4C97-A620-A0E05BDB7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37168"/>
        <c:axId val="725040048"/>
      </c:scatterChart>
      <c:valAx>
        <c:axId val="72503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040048"/>
        <c:crosses val="autoZero"/>
        <c:crossBetween val="midCat"/>
      </c:valAx>
      <c:valAx>
        <c:axId val="7250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03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exp3_2!$E$1</c:f>
              <c:strCache>
                <c:ptCount val="1"/>
                <c:pt idx="0">
                  <c:v>DUT transpalent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exp3_2!$B$2:$B$42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225</c:v>
                </c:pt>
                <c:pt idx="11">
                  <c:v>230</c:v>
                </c:pt>
                <c:pt idx="12">
                  <c:v>235</c:v>
                </c:pt>
                <c:pt idx="13">
                  <c:v>240</c:v>
                </c:pt>
                <c:pt idx="14">
                  <c:v>245</c:v>
                </c:pt>
                <c:pt idx="15">
                  <c:v>250</c:v>
                </c:pt>
                <c:pt idx="16">
                  <c:v>260</c:v>
                </c:pt>
                <c:pt idx="17">
                  <c:v>280</c:v>
                </c:pt>
                <c:pt idx="18">
                  <c:v>300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550</c:v>
                </c:pt>
                <c:pt idx="24">
                  <c:v>600</c:v>
                </c:pt>
                <c:pt idx="25">
                  <c:v>650</c:v>
                </c:pt>
                <c:pt idx="26">
                  <c:v>700</c:v>
                </c:pt>
                <c:pt idx="27">
                  <c:v>720</c:v>
                </c:pt>
                <c:pt idx="28">
                  <c:v>725</c:v>
                </c:pt>
                <c:pt idx="29">
                  <c:v>730</c:v>
                </c:pt>
                <c:pt idx="30">
                  <c:v>735</c:v>
                </c:pt>
                <c:pt idx="31">
                  <c:v>740</c:v>
                </c:pt>
                <c:pt idx="32">
                  <c:v>745</c:v>
                </c:pt>
                <c:pt idx="33">
                  <c:v>750</c:v>
                </c:pt>
                <c:pt idx="34">
                  <c:v>760</c:v>
                </c:pt>
                <c:pt idx="35">
                  <c:v>780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exp3_2!$E$2:$E$42</c:f>
              <c:numCache>
                <c:formatCode>General</c:formatCode>
                <c:ptCount val="41"/>
                <c:pt idx="0">
                  <c:v>-0.45000000000000018</c:v>
                </c:pt>
                <c:pt idx="1">
                  <c:v>-0.48000000000000043</c:v>
                </c:pt>
                <c:pt idx="2">
                  <c:v>-0.59999999999999964</c:v>
                </c:pt>
                <c:pt idx="3">
                  <c:v>-1.04</c:v>
                </c:pt>
                <c:pt idx="4">
                  <c:v>-1.4100000000000001</c:v>
                </c:pt>
                <c:pt idx="5">
                  <c:v>-2.0399999999999991</c:v>
                </c:pt>
                <c:pt idx="6">
                  <c:v>-3.0700000000000003</c:v>
                </c:pt>
                <c:pt idx="7">
                  <c:v>-4.8000000000000007</c:v>
                </c:pt>
                <c:pt idx="8">
                  <c:v>-7.76</c:v>
                </c:pt>
                <c:pt idx="9">
                  <c:v>-12.809999999999999</c:v>
                </c:pt>
                <c:pt idx="10">
                  <c:v>-14.920000000000002</c:v>
                </c:pt>
                <c:pt idx="11">
                  <c:v>-17.510000000000002</c:v>
                </c:pt>
                <c:pt idx="12">
                  <c:v>-20.51</c:v>
                </c:pt>
                <c:pt idx="13">
                  <c:v>-22.64</c:v>
                </c:pt>
                <c:pt idx="14">
                  <c:v>-21.59</c:v>
                </c:pt>
                <c:pt idx="15">
                  <c:v>-18.72</c:v>
                </c:pt>
                <c:pt idx="16">
                  <c:v>-13.879999999999999</c:v>
                </c:pt>
                <c:pt idx="17">
                  <c:v>-8.4600000000000009</c:v>
                </c:pt>
                <c:pt idx="18">
                  <c:v>-5.5600000000000005</c:v>
                </c:pt>
                <c:pt idx="19">
                  <c:v>-2.1799999999999997</c:v>
                </c:pt>
                <c:pt idx="20">
                  <c:v>-1.2000000000000002</c:v>
                </c:pt>
                <c:pt idx="21">
                  <c:v>-1.3099999999999996</c:v>
                </c:pt>
                <c:pt idx="22">
                  <c:v>-1.87</c:v>
                </c:pt>
                <c:pt idx="23">
                  <c:v>-2.6400000000000006</c:v>
                </c:pt>
                <c:pt idx="24">
                  <c:v>-3.49</c:v>
                </c:pt>
                <c:pt idx="25">
                  <c:v>-4.9700000000000006</c:v>
                </c:pt>
                <c:pt idx="26">
                  <c:v>-9.09</c:v>
                </c:pt>
                <c:pt idx="27">
                  <c:v>-12.45</c:v>
                </c:pt>
                <c:pt idx="28">
                  <c:v>-13.23</c:v>
                </c:pt>
                <c:pt idx="29">
                  <c:v>-13.71</c:v>
                </c:pt>
                <c:pt idx="30">
                  <c:v>-13.71</c:v>
                </c:pt>
                <c:pt idx="31">
                  <c:v>-13.2</c:v>
                </c:pt>
                <c:pt idx="32">
                  <c:v>-12.329999999999998</c:v>
                </c:pt>
                <c:pt idx="33">
                  <c:v>-11.280000000000001</c:v>
                </c:pt>
                <c:pt idx="34">
                  <c:v>-9.16</c:v>
                </c:pt>
                <c:pt idx="35">
                  <c:v>-6.0399999999999991</c:v>
                </c:pt>
                <c:pt idx="36">
                  <c:v>-4.2699999999999996</c:v>
                </c:pt>
                <c:pt idx="37">
                  <c:v>-2.58</c:v>
                </c:pt>
                <c:pt idx="38">
                  <c:v>-2.34</c:v>
                </c:pt>
                <c:pt idx="39">
                  <c:v>-2.5199999999999996</c:v>
                </c:pt>
                <c:pt idx="40">
                  <c:v>-2.8599999999999994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F-4B52-B4EF-6BDF1EC5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98175"/>
        <c:axId val="332596735"/>
      </c:scatterChart>
      <c:valAx>
        <c:axId val="332598175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2596735"/>
        <c:crosses val="autoZero"/>
        <c:crossBetween val="midCat"/>
      </c:valAx>
      <c:valAx>
        <c:axId val="33259673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259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exp3_2!$I$1</c:f>
              <c:strCache>
                <c:ptCount val="1"/>
                <c:pt idx="0">
                  <c:v>transpalent_ideal[dB]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exp3_2!$B$2:$B$42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225</c:v>
                </c:pt>
                <c:pt idx="11">
                  <c:v>230</c:v>
                </c:pt>
                <c:pt idx="12">
                  <c:v>235</c:v>
                </c:pt>
                <c:pt idx="13">
                  <c:v>240</c:v>
                </c:pt>
                <c:pt idx="14">
                  <c:v>245</c:v>
                </c:pt>
                <c:pt idx="15">
                  <c:v>250</c:v>
                </c:pt>
                <c:pt idx="16">
                  <c:v>260</c:v>
                </c:pt>
                <c:pt idx="17">
                  <c:v>280</c:v>
                </c:pt>
                <c:pt idx="18">
                  <c:v>300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550</c:v>
                </c:pt>
                <c:pt idx="24">
                  <c:v>600</c:v>
                </c:pt>
                <c:pt idx="25">
                  <c:v>650</c:v>
                </c:pt>
                <c:pt idx="26">
                  <c:v>700</c:v>
                </c:pt>
                <c:pt idx="27">
                  <c:v>720</c:v>
                </c:pt>
                <c:pt idx="28">
                  <c:v>725</c:v>
                </c:pt>
                <c:pt idx="29">
                  <c:v>730</c:v>
                </c:pt>
                <c:pt idx="30">
                  <c:v>735</c:v>
                </c:pt>
                <c:pt idx="31">
                  <c:v>740</c:v>
                </c:pt>
                <c:pt idx="32">
                  <c:v>745</c:v>
                </c:pt>
                <c:pt idx="33">
                  <c:v>750</c:v>
                </c:pt>
                <c:pt idx="34">
                  <c:v>760</c:v>
                </c:pt>
                <c:pt idx="35">
                  <c:v>780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exp3_2!$I$2:$I$42</c:f>
              <c:numCache>
                <c:formatCode>General</c:formatCode>
                <c:ptCount val="41"/>
                <c:pt idx="0">
                  <c:v>-3.5538673020731757</c:v>
                </c:pt>
                <c:pt idx="1">
                  <c:v>-3.6274000626537175</c:v>
                </c:pt>
                <c:pt idx="2">
                  <c:v>-4.103792523532058</c:v>
                </c:pt>
                <c:pt idx="3">
                  <c:v>-5.4890993351063102</c:v>
                </c:pt>
                <c:pt idx="4">
                  <c:v>-6.178418443414575</c:v>
                </c:pt>
                <c:pt idx="5">
                  <c:v>-6.9210455391751067</c:v>
                </c:pt>
                <c:pt idx="6">
                  <c:v>-7.6926373356489517</c:v>
                </c:pt>
                <c:pt idx="7">
                  <c:v>-8.4432778919454048</c:v>
                </c:pt>
                <c:pt idx="8">
                  <c:v>-9.079512941307442</c:v>
                </c:pt>
                <c:pt idx="9">
                  <c:v>-9.4668747854991011</c:v>
                </c:pt>
                <c:pt idx="10">
                  <c:v>-9.5093734182893623</c:v>
                </c:pt>
                <c:pt idx="11">
                  <c:v>-9.5274631078961001</c:v>
                </c:pt>
                <c:pt idx="12">
                  <c:v>-9.5207086351865815</c:v>
                </c:pt>
                <c:pt idx="13">
                  <c:v>-9.4892731765035805</c:v>
                </c:pt>
                <c:pt idx="14">
                  <c:v>-9.4339056845981553</c:v>
                </c:pt>
                <c:pt idx="15">
                  <c:v>-9.3558841778914559</c:v>
                </c:pt>
                <c:pt idx="16">
                  <c:v>-9.1390611904767045</c:v>
                </c:pt>
                <c:pt idx="17">
                  <c:v>-8.524012764558293</c:v>
                </c:pt>
                <c:pt idx="18">
                  <c:v>-7.7807691595488606</c:v>
                </c:pt>
                <c:pt idx="19">
                  <c:v>-5.9053043828881657</c:v>
                </c:pt>
                <c:pt idx="20">
                  <c:v>-4.3884870115239512</c:v>
                </c:pt>
                <c:pt idx="21">
                  <c:v>-3.5664628606773623</c:v>
                </c:pt>
                <c:pt idx="22">
                  <c:v>-3.8669233768327764</c:v>
                </c:pt>
                <c:pt idx="23">
                  <c:v>-5.0986401357077717</c:v>
                </c:pt>
                <c:pt idx="24">
                  <c:v>-6.8341246610220807</c:v>
                </c:pt>
                <c:pt idx="25">
                  <c:v>-8.709015705401379</c:v>
                </c:pt>
                <c:pt idx="26">
                  <c:v>-9.506666359408424</c:v>
                </c:pt>
                <c:pt idx="27">
                  <c:v>-9.1951282340539979</c:v>
                </c:pt>
                <c:pt idx="28">
                  <c:v>-9.0679314108322835</c:v>
                </c:pt>
                <c:pt idx="29">
                  <c:v>-8.9253273217035662</c:v>
                </c:pt>
                <c:pt idx="30">
                  <c:v>-8.7696388484025576</c:v>
                </c:pt>
                <c:pt idx="31">
                  <c:v>-8.6031249224868702</c:v>
                </c:pt>
                <c:pt idx="32">
                  <c:v>-8.4279127997552621</c:v>
                </c:pt>
                <c:pt idx="33">
                  <c:v>-8.2459528194410741</c:v>
                </c:pt>
                <c:pt idx="34">
                  <c:v>-7.8685715597224961</c:v>
                </c:pt>
                <c:pt idx="35">
                  <c:v>-7.0960513727656824</c:v>
                </c:pt>
                <c:pt idx="36">
                  <c:v>-6.3440375019128936</c:v>
                </c:pt>
                <c:pt idx="37">
                  <c:v>-4.7133562535804732</c:v>
                </c:pt>
                <c:pt idx="38">
                  <c:v>-3.6764286177540417</c:v>
                </c:pt>
                <c:pt idx="39">
                  <c:v>-3.6866943793972053</c:v>
                </c:pt>
                <c:pt idx="40">
                  <c:v>-4.7374454245088575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5-45EC-A52D-5F32CEC0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41728"/>
        <c:axId val="707988912"/>
      </c:scatterChart>
      <c:valAx>
        <c:axId val="7065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7988912"/>
        <c:crosses val="autoZero"/>
        <c:crossBetween val="midCat"/>
      </c:valAx>
      <c:valAx>
        <c:axId val="707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65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297798629906348E-2"/>
          <c:y val="0.14325865313838113"/>
          <c:w val="0.90261999467922971"/>
          <c:h val="0.8204566315836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exp4_2!$G$1</c:f>
              <c:strCache>
                <c:ptCount val="1"/>
                <c:pt idx="0">
                  <c:v>T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exp4_2!$A$2:$A$24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exp4_2!$G$2:$G$24</c:f>
              <c:numCache>
                <c:formatCode>General</c:formatCode>
                <c:ptCount val="23"/>
                <c:pt idx="0">
                  <c:v>4.8732470240725938</c:v>
                </c:pt>
                <c:pt idx="1">
                  <c:v>2.2897312330415023</c:v>
                </c:pt>
                <c:pt idx="2">
                  <c:v>14</c:v>
                </c:pt>
                <c:pt idx="3">
                  <c:v>19.829693555155018</c:v>
                </c:pt>
                <c:pt idx="4">
                  <c:v>25.530573103681515</c:v>
                </c:pt>
                <c:pt idx="5">
                  <c:v>30.373524280212834</c:v>
                </c:pt>
                <c:pt idx="6">
                  <c:v>34.576526523574124</c:v>
                </c:pt>
                <c:pt idx="7">
                  <c:v>35.505019048383851</c:v>
                </c:pt>
                <c:pt idx="8">
                  <c:v>40.103719108702776</c:v>
                </c:pt>
                <c:pt idx="9">
                  <c:v>43.236495597407185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A-483C-8F88-EF6D15CDF204}"/>
            </c:ext>
          </c:extLst>
        </c:ser>
        <c:ser>
          <c:idx val="1"/>
          <c:order val="1"/>
          <c:tx>
            <c:strRef>
              <c:f>exp4_2!$H$1</c:f>
              <c:strCache>
                <c:ptCount val="1"/>
                <c:pt idx="0">
                  <c:v>T (ideal)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exp4_2!$A$2:$A$24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exp4_2!$H$2:$H$24</c:f>
              <c:numCache>
                <c:formatCode>General</c:formatCode>
                <c:ptCount val="23"/>
                <c:pt idx="0">
                  <c:v>6.7333826589684023E-2</c:v>
                </c:pt>
                <c:pt idx="1">
                  <c:v>3.0102999566398121</c:v>
                </c:pt>
                <c:pt idx="2">
                  <c:v>10.930932133337166</c:v>
                </c:pt>
                <c:pt idx="3">
                  <c:v>18.129133566428553</c:v>
                </c:pt>
                <c:pt idx="4">
                  <c:v>23.894152890216382</c:v>
                </c:pt>
                <c:pt idx="5">
                  <c:v>28.633228601204557</c:v>
                </c:pt>
                <c:pt idx="6">
                  <c:v>32.646444541653757</c:v>
                </c:pt>
                <c:pt idx="7">
                  <c:v>36.124659639531423</c:v>
                </c:pt>
                <c:pt idx="8">
                  <c:v>39.193273804110746</c:v>
                </c:pt>
                <c:pt idx="9">
                  <c:v>41.93847819973557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A-483C-8F88-EF6D15CDF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01056"/>
        <c:axId val="1915500576"/>
      </c:scatterChart>
      <c:valAx>
        <c:axId val="1915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5500576"/>
        <c:crosses val="autoZero"/>
        <c:crossBetween val="midCat"/>
      </c:valAx>
      <c:valAx>
        <c:axId val="19155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5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54738686197431"/>
          <c:y val="3.868657082627508E-2"/>
          <c:w val="0.20383407099292541"/>
          <c:h val="0.11141902853424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exp5_1!$C$1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exp5_1!$B$2:$B$26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690</c:v>
                </c:pt>
                <c:pt idx="11">
                  <c:v>700</c:v>
                </c:pt>
                <c:pt idx="12">
                  <c:v>710</c:v>
                </c:pt>
                <c:pt idx="13">
                  <c:v>720</c:v>
                </c:pt>
                <c:pt idx="14">
                  <c:v>730</c:v>
                </c:pt>
                <c:pt idx="15">
                  <c:v>740</c:v>
                </c:pt>
                <c:pt idx="16">
                  <c:v>750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exp5_1!$C$2:$C$26</c:f>
              <c:numCache>
                <c:formatCode>General</c:formatCode>
                <c:ptCount val="25"/>
                <c:pt idx="0">
                  <c:v>-35.700000000000003</c:v>
                </c:pt>
                <c:pt idx="1">
                  <c:v>-26.9</c:v>
                </c:pt>
                <c:pt idx="2">
                  <c:v>-20.100000000000001</c:v>
                </c:pt>
                <c:pt idx="3">
                  <c:v>-22</c:v>
                </c:pt>
                <c:pt idx="4">
                  <c:v>-7.1</c:v>
                </c:pt>
                <c:pt idx="5">
                  <c:v>1.79</c:v>
                </c:pt>
                <c:pt idx="6">
                  <c:v>5.85</c:v>
                </c:pt>
                <c:pt idx="7">
                  <c:v>7.82</c:v>
                </c:pt>
                <c:pt idx="8">
                  <c:v>8.9</c:v>
                </c:pt>
                <c:pt idx="9">
                  <c:v>8.58</c:v>
                </c:pt>
                <c:pt idx="10">
                  <c:v>6.91</c:v>
                </c:pt>
                <c:pt idx="11">
                  <c:v>5.33</c:v>
                </c:pt>
                <c:pt idx="12">
                  <c:v>3.9</c:v>
                </c:pt>
                <c:pt idx="13">
                  <c:v>4.55</c:v>
                </c:pt>
                <c:pt idx="14">
                  <c:v>4.5199999999999996</c:v>
                </c:pt>
                <c:pt idx="15">
                  <c:v>3.44</c:v>
                </c:pt>
                <c:pt idx="16">
                  <c:v>2.56</c:v>
                </c:pt>
                <c:pt idx="17">
                  <c:v>3.05</c:v>
                </c:pt>
                <c:pt idx="18">
                  <c:v>-2.64</c:v>
                </c:pt>
                <c:pt idx="19">
                  <c:v>-2.93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7-470C-99D0-1715D5B3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594191"/>
        <c:axId val="2059595631"/>
      </c:scatterChart>
      <c:valAx>
        <c:axId val="20595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95631"/>
        <c:crosses val="autoZero"/>
        <c:crossBetween val="midCat"/>
      </c:valAx>
      <c:valAx>
        <c:axId val="20595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exp5_2!$B$1</c:f>
              <c:strCache>
                <c:ptCount val="1"/>
                <c:pt idx="0">
                  <c:v>A/B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lg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6765708276247611E-2"/>
                  <c:y val="-0.50123056371934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exp5_2!$A$5:$A$14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exp5_2!$B$5:$B$14</c:f>
              <c:numCache>
                <c:formatCode>0.0</c:formatCode>
                <c:ptCount val="10"/>
                <c:pt idx="0" formatCode="General">
                  <c:v>4.4800000000000004</c:v>
                </c:pt>
                <c:pt idx="1">
                  <c:v>-2</c:v>
                </c:pt>
                <c:pt idx="2" formatCode="General">
                  <c:v>-3.88</c:v>
                </c:pt>
                <c:pt idx="3" formatCode="General">
                  <c:v>-6.28</c:v>
                </c:pt>
                <c:pt idx="4">
                  <c:v>-7</c:v>
                </c:pt>
                <c:pt idx="5">
                  <c:v>-6.8</c:v>
                </c:pt>
                <c:pt idx="6">
                  <c:v>-7.5</c:v>
                </c:pt>
                <c:pt idx="7">
                  <c:v>-13.6</c:v>
                </c:pt>
                <c:pt idx="8">
                  <c:v>-16.5</c:v>
                </c:pt>
                <c:pt idx="9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B-4711-A7D1-F01C0650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20031"/>
        <c:axId val="435621951"/>
      </c:scatterChart>
      <c:valAx>
        <c:axId val="435620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621951"/>
        <c:crosses val="autoZero"/>
        <c:crossBetween val="midCat"/>
      </c:valAx>
      <c:valAx>
        <c:axId val="4356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62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exp5_3!$D$1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exp5_3!$C$2:$C$8</c:f>
              <c:numCache>
                <c:formatCode>General</c:formatCode>
                <c:ptCount val="7"/>
                <c:pt idx="0">
                  <c:v>0</c:v>
                </c:pt>
                <c:pt idx="1">
                  <c:v>-0.19403684354108869</c:v>
                </c:pt>
                <c:pt idx="2">
                  <c:v>-0.42724288513601444</c:v>
                </c:pt>
                <c:pt idx="3">
                  <c:v>-0.81425786478003093</c:v>
                </c:pt>
                <c:pt idx="4">
                  <c:v>-1.5051499783199058</c:v>
                </c:pt>
                <c:pt idx="5">
                  <c:v>-3.0102999566398125</c:v>
                </c:pt>
                <c:pt idx="6">
                  <c:v>-5.3406466002262567</c:v>
                </c:pt>
              </c:numCache>
            </c:numRef>
          </c:xVal>
          <c:yVal>
            <c:numRef>
              <c:f>exp5_3!$D$2:$D$8</c:f>
              <c:numCache>
                <c:formatCode>General</c:formatCode>
                <c:ptCount val="7"/>
                <c:pt idx="0">
                  <c:v>-4.5999999999999996</c:v>
                </c:pt>
                <c:pt idx="1">
                  <c:v>-5.8</c:v>
                </c:pt>
                <c:pt idx="2">
                  <c:v>-6.3</c:v>
                </c:pt>
                <c:pt idx="3">
                  <c:v>-7.7</c:v>
                </c:pt>
                <c:pt idx="4">
                  <c:v>-7.2</c:v>
                </c:pt>
                <c:pt idx="5">
                  <c:v>-10.3</c:v>
                </c:pt>
                <c:pt idx="6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8-4B45-956D-AADFDBC6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07919"/>
        <c:axId val="595291039"/>
      </c:scatterChart>
      <c:valAx>
        <c:axId val="6117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291039"/>
        <c:crosses val="autoZero"/>
        <c:crossBetween val="midCat"/>
      </c:valAx>
      <c:valAx>
        <c:axId val="5952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70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0680161161439612E-2"/>
          <c:y val="0.16692987118010452"/>
          <c:w val="0.88117953837949126"/>
          <c:h val="0.70286591278598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power_cable2!$B$1</c:f>
              <c:strCache>
                <c:ptCount val="1"/>
                <c:pt idx="0">
                  <c:v>A power [dBm]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power_cable2!$A$2:$A$41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power_cable2!$B$2:$B$41</c:f>
              <c:numCache>
                <c:formatCode>General</c:formatCode>
                <c:ptCount val="40"/>
                <c:pt idx="0">
                  <c:v>-5.43</c:v>
                </c:pt>
                <c:pt idx="1">
                  <c:v>-5.65</c:v>
                </c:pt>
                <c:pt idx="2">
                  <c:v>-6.03</c:v>
                </c:pt>
                <c:pt idx="3">
                  <c:v>-6.4</c:v>
                </c:pt>
                <c:pt idx="4">
                  <c:v>-6.66</c:v>
                </c:pt>
                <c:pt idx="5">
                  <c:v>-6.88</c:v>
                </c:pt>
                <c:pt idx="6">
                  <c:v>-7.03</c:v>
                </c:pt>
                <c:pt idx="7">
                  <c:v>-7.08</c:v>
                </c:pt>
                <c:pt idx="8">
                  <c:v>-7.08</c:v>
                </c:pt>
                <c:pt idx="9">
                  <c:v>-7</c:v>
                </c:pt>
                <c:pt idx="10">
                  <c:v>-6.86</c:v>
                </c:pt>
                <c:pt idx="11">
                  <c:v>-6.64</c:v>
                </c:pt>
                <c:pt idx="12">
                  <c:v>-6.33</c:v>
                </c:pt>
                <c:pt idx="13">
                  <c:v>-5.98</c:v>
                </c:pt>
                <c:pt idx="14">
                  <c:v>-5.59</c:v>
                </c:pt>
                <c:pt idx="15">
                  <c:v>-5.21</c:v>
                </c:pt>
                <c:pt idx="16">
                  <c:v>-4.9800000000000004</c:v>
                </c:pt>
                <c:pt idx="17">
                  <c:v>-5</c:v>
                </c:pt>
                <c:pt idx="18">
                  <c:v>-5.27</c:v>
                </c:pt>
                <c:pt idx="19">
                  <c:v>-5.66</c:v>
                </c:pt>
                <c:pt idx="20">
                  <c:v>-6.07</c:v>
                </c:pt>
                <c:pt idx="21">
                  <c:v>-6.43</c:v>
                </c:pt>
                <c:pt idx="22">
                  <c:v>-6.7</c:v>
                </c:pt>
                <c:pt idx="23">
                  <c:v>-6.9</c:v>
                </c:pt>
                <c:pt idx="24">
                  <c:v>-7.01</c:v>
                </c:pt>
                <c:pt idx="25">
                  <c:v>-7.04</c:v>
                </c:pt>
                <c:pt idx="26">
                  <c:v>-7.02</c:v>
                </c:pt>
                <c:pt idx="27">
                  <c:v>-6.93</c:v>
                </c:pt>
                <c:pt idx="28">
                  <c:v>-6.78</c:v>
                </c:pt>
                <c:pt idx="29">
                  <c:v>-6.56</c:v>
                </c:pt>
                <c:pt idx="30">
                  <c:v>-6.29</c:v>
                </c:pt>
                <c:pt idx="31">
                  <c:v>-5.96</c:v>
                </c:pt>
                <c:pt idx="32">
                  <c:v>-5.62</c:v>
                </c:pt>
                <c:pt idx="33">
                  <c:v>-5.32</c:v>
                </c:pt>
                <c:pt idx="34">
                  <c:v>-5.16</c:v>
                </c:pt>
                <c:pt idx="35">
                  <c:v>-5.21</c:v>
                </c:pt>
                <c:pt idx="36">
                  <c:v>-5.46</c:v>
                </c:pt>
                <c:pt idx="37">
                  <c:v>-5.81</c:v>
                </c:pt>
                <c:pt idx="38">
                  <c:v>-6.18</c:v>
                </c:pt>
                <c:pt idx="39">
                  <c:v>-6.49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3-4618-B99C-A83558F28D03}"/>
            </c:ext>
          </c:extLst>
        </c:ser>
        <c:ser>
          <c:idx val="1"/>
          <c:order val="1"/>
          <c:tx>
            <c:strRef>
              <c:f>power_cable2!$C$1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power_cable2!$A$2:$A$41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power_cable2!$C$2:$C$41</c:f>
              <c:numCache>
                <c:formatCode>General</c:formatCode>
                <c:ptCount val="40"/>
                <c:pt idx="0">
                  <c:v>-5.44</c:v>
                </c:pt>
                <c:pt idx="1">
                  <c:v>-6.11</c:v>
                </c:pt>
                <c:pt idx="2">
                  <c:v>-6.96</c:v>
                </c:pt>
                <c:pt idx="3">
                  <c:v>-8.0500000000000007</c:v>
                </c:pt>
                <c:pt idx="4">
                  <c:v>-9.4</c:v>
                </c:pt>
                <c:pt idx="5">
                  <c:v>-11.01</c:v>
                </c:pt>
                <c:pt idx="6">
                  <c:v>-13</c:v>
                </c:pt>
                <c:pt idx="7">
                  <c:v>-15.58</c:v>
                </c:pt>
                <c:pt idx="8">
                  <c:v>-19.28</c:v>
                </c:pt>
                <c:pt idx="9">
                  <c:v>-25.99</c:v>
                </c:pt>
                <c:pt idx="10">
                  <c:v>-36.619999999999997</c:v>
                </c:pt>
                <c:pt idx="11">
                  <c:v>-22.49</c:v>
                </c:pt>
                <c:pt idx="12">
                  <c:v>-17.03</c:v>
                </c:pt>
                <c:pt idx="13">
                  <c:v>-13.59</c:v>
                </c:pt>
                <c:pt idx="14">
                  <c:v>-11.11</c:v>
                </c:pt>
                <c:pt idx="15">
                  <c:v>-9.27</c:v>
                </c:pt>
                <c:pt idx="16">
                  <c:v>-7.93</c:v>
                </c:pt>
                <c:pt idx="17">
                  <c:v>-7.04</c:v>
                </c:pt>
                <c:pt idx="18">
                  <c:v>-6.53</c:v>
                </c:pt>
                <c:pt idx="19">
                  <c:v>-6.36</c:v>
                </c:pt>
                <c:pt idx="20">
                  <c:v>-6.47</c:v>
                </c:pt>
                <c:pt idx="21">
                  <c:v>-6.79</c:v>
                </c:pt>
                <c:pt idx="22">
                  <c:v>-7.26</c:v>
                </c:pt>
                <c:pt idx="23">
                  <c:v>-7.87</c:v>
                </c:pt>
                <c:pt idx="24">
                  <c:v>-8.61</c:v>
                </c:pt>
                <c:pt idx="25">
                  <c:v>-9.49</c:v>
                </c:pt>
                <c:pt idx="26">
                  <c:v>-10.54</c:v>
                </c:pt>
                <c:pt idx="27">
                  <c:v>-11.83</c:v>
                </c:pt>
                <c:pt idx="28">
                  <c:v>-13.49</c:v>
                </c:pt>
                <c:pt idx="29">
                  <c:v>-15.77</c:v>
                </c:pt>
                <c:pt idx="30">
                  <c:v>-19.260000000000002</c:v>
                </c:pt>
                <c:pt idx="31">
                  <c:v>-25.79</c:v>
                </c:pt>
                <c:pt idx="32">
                  <c:v>-29.95</c:v>
                </c:pt>
                <c:pt idx="33">
                  <c:v>-20.47</c:v>
                </c:pt>
                <c:pt idx="34">
                  <c:v>-15.7</c:v>
                </c:pt>
                <c:pt idx="35">
                  <c:v>-12.76</c:v>
                </c:pt>
                <c:pt idx="36">
                  <c:v>-10.85</c:v>
                </c:pt>
                <c:pt idx="37">
                  <c:v>-9.58</c:v>
                </c:pt>
                <c:pt idx="38">
                  <c:v>-8.76</c:v>
                </c:pt>
                <c:pt idx="39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3-4618-B99C-A83558F2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608"/>
        <c:axId val="14113088"/>
      </c:scatterChart>
      <c:valAx>
        <c:axId val="141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3088"/>
        <c:crosses val="autoZero"/>
        <c:crossBetween val="midCat"/>
      </c:valAx>
      <c:valAx>
        <c:axId val="14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power_cable2!$C$1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power_cable2!$A$2:$A$41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power_cable2!$C$2:$C$41</c:f>
              <c:numCache>
                <c:formatCode>General</c:formatCode>
                <c:ptCount val="40"/>
                <c:pt idx="0">
                  <c:v>-5.44</c:v>
                </c:pt>
                <c:pt idx="1">
                  <c:v>-6.11</c:v>
                </c:pt>
                <c:pt idx="2">
                  <c:v>-6.96</c:v>
                </c:pt>
                <c:pt idx="3">
                  <c:v>-8.0500000000000007</c:v>
                </c:pt>
                <c:pt idx="4">
                  <c:v>-9.4</c:v>
                </c:pt>
                <c:pt idx="5">
                  <c:v>-11.01</c:v>
                </c:pt>
                <c:pt idx="6">
                  <c:v>-13</c:v>
                </c:pt>
                <c:pt idx="7">
                  <c:v>-15.58</c:v>
                </c:pt>
                <c:pt idx="8">
                  <c:v>-19.28</c:v>
                </c:pt>
                <c:pt idx="9">
                  <c:v>-25.99</c:v>
                </c:pt>
                <c:pt idx="10">
                  <c:v>-36.619999999999997</c:v>
                </c:pt>
                <c:pt idx="11">
                  <c:v>-22.49</c:v>
                </c:pt>
                <c:pt idx="12">
                  <c:v>-17.03</c:v>
                </c:pt>
                <c:pt idx="13">
                  <c:v>-13.59</c:v>
                </c:pt>
                <c:pt idx="14">
                  <c:v>-11.11</c:v>
                </c:pt>
                <c:pt idx="15">
                  <c:v>-9.27</c:v>
                </c:pt>
                <c:pt idx="16">
                  <c:v>-7.93</c:v>
                </c:pt>
                <c:pt idx="17">
                  <c:v>-7.04</c:v>
                </c:pt>
                <c:pt idx="18">
                  <c:v>-6.53</c:v>
                </c:pt>
                <c:pt idx="19">
                  <c:v>-6.36</c:v>
                </c:pt>
                <c:pt idx="20">
                  <c:v>-6.47</c:v>
                </c:pt>
                <c:pt idx="21">
                  <c:v>-6.79</c:v>
                </c:pt>
                <c:pt idx="22">
                  <c:v>-7.26</c:v>
                </c:pt>
                <c:pt idx="23">
                  <c:v>-7.87</c:v>
                </c:pt>
                <c:pt idx="24">
                  <c:v>-8.61</c:v>
                </c:pt>
                <c:pt idx="25">
                  <c:v>-9.49</c:v>
                </c:pt>
                <c:pt idx="26">
                  <c:v>-10.54</c:v>
                </c:pt>
                <c:pt idx="27">
                  <c:v>-11.83</c:v>
                </c:pt>
                <c:pt idx="28">
                  <c:v>-13.49</c:v>
                </c:pt>
                <c:pt idx="29">
                  <c:v>-15.77</c:v>
                </c:pt>
                <c:pt idx="30">
                  <c:v>-19.260000000000002</c:v>
                </c:pt>
                <c:pt idx="31">
                  <c:v>-25.79</c:v>
                </c:pt>
                <c:pt idx="32">
                  <c:v>-29.95</c:v>
                </c:pt>
                <c:pt idx="33">
                  <c:v>-20.47</c:v>
                </c:pt>
                <c:pt idx="34">
                  <c:v>-15.7</c:v>
                </c:pt>
                <c:pt idx="35">
                  <c:v>-12.76</c:v>
                </c:pt>
                <c:pt idx="36">
                  <c:v>-10.85</c:v>
                </c:pt>
                <c:pt idx="37">
                  <c:v>-9.58</c:v>
                </c:pt>
                <c:pt idx="38">
                  <c:v>-8.76</c:v>
                </c:pt>
                <c:pt idx="39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7-4585-A9CD-82D137B251DD}"/>
            </c:ext>
          </c:extLst>
        </c:ser>
        <c:ser>
          <c:idx val="1"/>
          <c:order val="1"/>
          <c:tx>
            <c:strRef>
              <c:f>power_cable2!$E$1</c:f>
              <c:strCache>
                <c:ptCount val="1"/>
                <c:pt idx="0">
                  <c:v>phase delay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power_cable2!$A$2:$A$41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power_cable2!$E$2:$E$41</c:f>
              <c:numCache>
                <c:formatCode>General</c:formatCode>
                <c:ptCount val="40"/>
                <c:pt idx="0">
                  <c:v>0.28274333882308139</c:v>
                </c:pt>
                <c:pt idx="1">
                  <c:v>0.56548667764616278</c:v>
                </c:pt>
                <c:pt idx="2">
                  <c:v>0.84823001646924412</c:v>
                </c:pt>
                <c:pt idx="3">
                  <c:v>1.1309733552923256</c:v>
                </c:pt>
                <c:pt idx="4">
                  <c:v>1.4137166941154069</c:v>
                </c:pt>
                <c:pt idx="5">
                  <c:v>1.6964600329384882</c:v>
                </c:pt>
                <c:pt idx="6">
                  <c:v>1.9792033717615696</c:v>
                </c:pt>
                <c:pt idx="7">
                  <c:v>2.2619467105846511</c:v>
                </c:pt>
                <c:pt idx="8">
                  <c:v>2.5446900494077327</c:v>
                </c:pt>
                <c:pt idx="9">
                  <c:v>2.8274333882308138</c:v>
                </c:pt>
                <c:pt idx="10">
                  <c:v>3.1101767270538949</c:v>
                </c:pt>
                <c:pt idx="11">
                  <c:v>3.3929200658769765</c:v>
                </c:pt>
                <c:pt idx="12">
                  <c:v>3.675663404700058</c:v>
                </c:pt>
                <c:pt idx="13">
                  <c:v>3.9584067435231391</c:v>
                </c:pt>
                <c:pt idx="14">
                  <c:v>4.2411500823462207</c:v>
                </c:pt>
                <c:pt idx="15">
                  <c:v>4.5238934211693023</c:v>
                </c:pt>
                <c:pt idx="16">
                  <c:v>4.8066367599923829</c:v>
                </c:pt>
                <c:pt idx="17">
                  <c:v>5.0893800988154654</c:v>
                </c:pt>
                <c:pt idx="18">
                  <c:v>5.3721234376385461</c:v>
                </c:pt>
                <c:pt idx="19">
                  <c:v>5.6548667764616276</c:v>
                </c:pt>
                <c:pt idx="20">
                  <c:v>5.9376101152847092</c:v>
                </c:pt>
                <c:pt idx="21">
                  <c:v>6.2203534541077898</c:v>
                </c:pt>
                <c:pt idx="22">
                  <c:v>6.5030967929308723</c:v>
                </c:pt>
                <c:pt idx="23">
                  <c:v>6.785840131753953</c:v>
                </c:pt>
                <c:pt idx="24">
                  <c:v>7.0685834705770345</c:v>
                </c:pt>
                <c:pt idx="25">
                  <c:v>7.3513268094001161</c:v>
                </c:pt>
                <c:pt idx="26">
                  <c:v>7.6340701482231976</c:v>
                </c:pt>
                <c:pt idx="27">
                  <c:v>7.9168134870462783</c:v>
                </c:pt>
                <c:pt idx="28">
                  <c:v>8.1995568258693599</c:v>
                </c:pt>
                <c:pt idx="29">
                  <c:v>8.4823001646924414</c:v>
                </c:pt>
                <c:pt idx="30">
                  <c:v>8.765043503515523</c:v>
                </c:pt>
                <c:pt idx="31">
                  <c:v>9.0477868423386045</c:v>
                </c:pt>
                <c:pt idx="32">
                  <c:v>9.3305301811616861</c:v>
                </c:pt>
                <c:pt idx="33">
                  <c:v>9.6132735199847659</c:v>
                </c:pt>
                <c:pt idx="34">
                  <c:v>9.8960168588078474</c:v>
                </c:pt>
                <c:pt idx="35">
                  <c:v>10.178760197630931</c:v>
                </c:pt>
                <c:pt idx="36">
                  <c:v>10.461503536454011</c:v>
                </c:pt>
                <c:pt idx="37">
                  <c:v>10.744246875277092</c:v>
                </c:pt>
                <c:pt idx="38">
                  <c:v>11.026990214100174</c:v>
                </c:pt>
                <c:pt idx="39">
                  <c:v>11.309733552923255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7-4585-A9CD-82D137B2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3504"/>
        <c:axId val="982743984"/>
      </c:scatterChart>
      <c:valAx>
        <c:axId val="9827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43984"/>
        <c:crosses val="autoZero"/>
        <c:crossBetween val="midCat"/>
      </c:valAx>
      <c:valAx>
        <c:axId val="9827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4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'power_cable2 (2)'!$B$1</c:f>
              <c:strCache>
                <c:ptCount val="1"/>
                <c:pt idx="0">
                  <c:v>A power [dBm]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'power_cable2 (2)'!$A$2:$A$59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16.8</c:v>
                </c:pt>
                <c:pt idx="24">
                  <c:v>16.899999999999999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</c:numCache>
            </c:numRef>
          </c:xVal>
          <c:yVal>
            <c:numRef>
              <c:f>'power_cable2 (2)'!$B$2:$B$59</c:f>
              <c:numCache>
                <c:formatCode>General</c:formatCode>
                <c:ptCount val="58"/>
                <c:pt idx="0">
                  <c:v>-5.43</c:v>
                </c:pt>
                <c:pt idx="1">
                  <c:v>-5.65</c:v>
                </c:pt>
                <c:pt idx="2">
                  <c:v>-6.03</c:v>
                </c:pt>
                <c:pt idx="3">
                  <c:v>-6.4</c:v>
                </c:pt>
                <c:pt idx="4">
                  <c:v>-6.66</c:v>
                </c:pt>
                <c:pt idx="5">
                  <c:v>-6.88</c:v>
                </c:pt>
                <c:pt idx="6">
                  <c:v>-7.03</c:v>
                </c:pt>
                <c:pt idx="7">
                  <c:v>-7.08</c:v>
                </c:pt>
                <c:pt idx="8">
                  <c:v>-7.08</c:v>
                </c:pt>
                <c:pt idx="9">
                  <c:v>-7</c:v>
                </c:pt>
                <c:pt idx="10">
                  <c:v>-6.86</c:v>
                </c:pt>
                <c:pt idx="11">
                  <c:v>-6.64</c:v>
                </c:pt>
                <c:pt idx="12">
                  <c:v>-6.33</c:v>
                </c:pt>
                <c:pt idx="13">
                  <c:v>-5.98</c:v>
                </c:pt>
                <c:pt idx="14">
                  <c:v>-5.59</c:v>
                </c:pt>
                <c:pt idx="15">
                  <c:v>-5.3</c:v>
                </c:pt>
                <c:pt idx="16">
                  <c:v>-5.25</c:v>
                </c:pt>
                <c:pt idx="17">
                  <c:v>-5.21</c:v>
                </c:pt>
                <c:pt idx="18">
                  <c:v>-5.18</c:v>
                </c:pt>
                <c:pt idx="19">
                  <c:v>-5.14</c:v>
                </c:pt>
                <c:pt idx="20">
                  <c:v>-5.12</c:v>
                </c:pt>
                <c:pt idx="21">
                  <c:v>-5.09</c:v>
                </c:pt>
                <c:pt idx="22">
                  <c:v>-5.07</c:v>
                </c:pt>
                <c:pt idx="23">
                  <c:v>-5.05</c:v>
                </c:pt>
                <c:pt idx="24">
                  <c:v>-5.04</c:v>
                </c:pt>
                <c:pt idx="25">
                  <c:v>-5.0199999999999996</c:v>
                </c:pt>
                <c:pt idx="26">
                  <c:v>-5.01</c:v>
                </c:pt>
                <c:pt idx="27">
                  <c:v>-5</c:v>
                </c:pt>
                <c:pt idx="28">
                  <c:v>-4.99</c:v>
                </c:pt>
                <c:pt idx="29">
                  <c:v>-4.99</c:v>
                </c:pt>
                <c:pt idx="30">
                  <c:v>-4.99</c:v>
                </c:pt>
                <c:pt idx="31">
                  <c:v>-5</c:v>
                </c:pt>
                <c:pt idx="32">
                  <c:v>-5</c:v>
                </c:pt>
                <c:pt idx="33">
                  <c:v>-5.01</c:v>
                </c:pt>
                <c:pt idx="34">
                  <c:v>-5.0199999999999996</c:v>
                </c:pt>
                <c:pt idx="35">
                  <c:v>-5.03</c:v>
                </c:pt>
                <c:pt idx="36">
                  <c:v>-5.27</c:v>
                </c:pt>
                <c:pt idx="37">
                  <c:v>-5.66</c:v>
                </c:pt>
                <c:pt idx="38">
                  <c:v>-6.07</c:v>
                </c:pt>
                <c:pt idx="39">
                  <c:v>-6.43</c:v>
                </c:pt>
                <c:pt idx="40">
                  <c:v>-6.7</c:v>
                </c:pt>
                <c:pt idx="41">
                  <c:v>-6.9</c:v>
                </c:pt>
                <c:pt idx="42">
                  <c:v>-7.01</c:v>
                </c:pt>
                <c:pt idx="43">
                  <c:v>-7.04</c:v>
                </c:pt>
                <c:pt idx="44">
                  <c:v>-7.02</c:v>
                </c:pt>
                <c:pt idx="45">
                  <c:v>-6.93</c:v>
                </c:pt>
                <c:pt idx="46">
                  <c:v>-6.78</c:v>
                </c:pt>
                <c:pt idx="47">
                  <c:v>-6.56</c:v>
                </c:pt>
                <c:pt idx="48">
                  <c:v>-6.29</c:v>
                </c:pt>
                <c:pt idx="49">
                  <c:v>-5.96</c:v>
                </c:pt>
                <c:pt idx="50">
                  <c:v>-5.62</c:v>
                </c:pt>
                <c:pt idx="51">
                  <c:v>-5.32</c:v>
                </c:pt>
                <c:pt idx="52">
                  <c:v>-5.16</c:v>
                </c:pt>
                <c:pt idx="53">
                  <c:v>-5.21</c:v>
                </c:pt>
                <c:pt idx="54">
                  <c:v>-5.46</c:v>
                </c:pt>
                <c:pt idx="55">
                  <c:v>-5.81</c:v>
                </c:pt>
                <c:pt idx="56">
                  <c:v>-6.18</c:v>
                </c:pt>
                <c:pt idx="57">
                  <c:v>-6.49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0-4059-BF3A-45384B238A95}"/>
            </c:ext>
          </c:extLst>
        </c:ser>
        <c:ser>
          <c:idx val="1"/>
          <c:order val="1"/>
          <c:tx>
            <c:strRef>
              <c:f>'power_cable2 (2)'!$C$1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'power_cable2 (2)'!$A$2:$A$59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16.8</c:v>
                </c:pt>
                <c:pt idx="24">
                  <c:v>16.899999999999999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</c:numCache>
            </c:numRef>
          </c:xVal>
          <c:yVal>
            <c:numRef>
              <c:f>'power_cable2 (2)'!$C$2:$C$59</c:f>
              <c:numCache>
                <c:formatCode>General</c:formatCode>
                <c:ptCount val="58"/>
                <c:pt idx="0">
                  <c:v>-5.44</c:v>
                </c:pt>
                <c:pt idx="1">
                  <c:v>-6.11</c:v>
                </c:pt>
                <c:pt idx="2">
                  <c:v>-6.96</c:v>
                </c:pt>
                <c:pt idx="3">
                  <c:v>-8.0500000000000007</c:v>
                </c:pt>
                <c:pt idx="4">
                  <c:v>-9.4</c:v>
                </c:pt>
                <c:pt idx="5">
                  <c:v>-11.01</c:v>
                </c:pt>
                <c:pt idx="6">
                  <c:v>-13</c:v>
                </c:pt>
                <c:pt idx="7">
                  <c:v>-15.58</c:v>
                </c:pt>
                <c:pt idx="8">
                  <c:v>-19.28</c:v>
                </c:pt>
                <c:pt idx="9">
                  <c:v>-25.99</c:v>
                </c:pt>
                <c:pt idx="10">
                  <c:v>-36.619999999999997</c:v>
                </c:pt>
                <c:pt idx="11">
                  <c:v>-22.49</c:v>
                </c:pt>
                <c:pt idx="12">
                  <c:v>-17.03</c:v>
                </c:pt>
                <c:pt idx="13">
                  <c:v>-13.59</c:v>
                </c:pt>
                <c:pt idx="14">
                  <c:v>-11.11</c:v>
                </c:pt>
                <c:pt idx="15">
                  <c:v>-9.2799999999999994</c:v>
                </c:pt>
                <c:pt idx="16">
                  <c:v>-9.1</c:v>
                </c:pt>
                <c:pt idx="17">
                  <c:v>-8.9700000000000006</c:v>
                </c:pt>
                <c:pt idx="18">
                  <c:v>-8.82</c:v>
                </c:pt>
                <c:pt idx="19">
                  <c:v>-8.68</c:v>
                </c:pt>
                <c:pt idx="20">
                  <c:v>-8.5500000000000007</c:v>
                </c:pt>
                <c:pt idx="21">
                  <c:v>-8.42</c:v>
                </c:pt>
                <c:pt idx="22">
                  <c:v>-8.2899999999999991</c:v>
                </c:pt>
                <c:pt idx="23">
                  <c:v>-8.16</c:v>
                </c:pt>
                <c:pt idx="24">
                  <c:v>-8.0399999999999991</c:v>
                </c:pt>
                <c:pt idx="25">
                  <c:v>-7.93</c:v>
                </c:pt>
                <c:pt idx="26">
                  <c:v>-7.83</c:v>
                </c:pt>
                <c:pt idx="27">
                  <c:v>-7.72</c:v>
                </c:pt>
                <c:pt idx="28">
                  <c:v>-7.62</c:v>
                </c:pt>
                <c:pt idx="29">
                  <c:v>-7.53</c:v>
                </c:pt>
                <c:pt idx="30">
                  <c:v>-7.43</c:v>
                </c:pt>
                <c:pt idx="31">
                  <c:v>-7.35</c:v>
                </c:pt>
                <c:pt idx="32">
                  <c:v>-7.27</c:v>
                </c:pt>
                <c:pt idx="33">
                  <c:v>-7.1</c:v>
                </c:pt>
                <c:pt idx="34">
                  <c:v>-7.11</c:v>
                </c:pt>
                <c:pt idx="35">
                  <c:v>-7.04</c:v>
                </c:pt>
                <c:pt idx="36">
                  <c:v>-6.53</c:v>
                </c:pt>
                <c:pt idx="37">
                  <c:v>-6.36</c:v>
                </c:pt>
                <c:pt idx="38">
                  <c:v>-6.47</c:v>
                </c:pt>
                <c:pt idx="39">
                  <c:v>-6.79</c:v>
                </c:pt>
                <c:pt idx="40">
                  <c:v>-7.26</c:v>
                </c:pt>
                <c:pt idx="41">
                  <c:v>-7.87</c:v>
                </c:pt>
                <c:pt idx="42">
                  <c:v>-8.61</c:v>
                </c:pt>
                <c:pt idx="43">
                  <c:v>-9.49</c:v>
                </c:pt>
                <c:pt idx="44">
                  <c:v>-10.54</c:v>
                </c:pt>
                <c:pt idx="45">
                  <c:v>-11.83</c:v>
                </c:pt>
                <c:pt idx="46">
                  <c:v>-13.49</c:v>
                </c:pt>
                <c:pt idx="47">
                  <c:v>-15.77</c:v>
                </c:pt>
                <c:pt idx="48">
                  <c:v>-19.260000000000002</c:v>
                </c:pt>
                <c:pt idx="49">
                  <c:v>-25.79</c:v>
                </c:pt>
                <c:pt idx="50">
                  <c:v>-29.95</c:v>
                </c:pt>
                <c:pt idx="51">
                  <c:v>-20.47</c:v>
                </c:pt>
                <c:pt idx="52">
                  <c:v>-15.7</c:v>
                </c:pt>
                <c:pt idx="53">
                  <c:v>-12.76</c:v>
                </c:pt>
                <c:pt idx="54">
                  <c:v>-10.85</c:v>
                </c:pt>
                <c:pt idx="55">
                  <c:v>-9.58</c:v>
                </c:pt>
                <c:pt idx="56">
                  <c:v>-8.76</c:v>
                </c:pt>
                <c:pt idx="57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0-4059-BF3A-45384B23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608"/>
        <c:axId val="14113088"/>
      </c:scatterChart>
      <c:valAx>
        <c:axId val="141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3088"/>
        <c:crosses val="autoZero"/>
        <c:crossBetween val="midCat"/>
      </c:valAx>
      <c:valAx>
        <c:axId val="14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'power_cable2 (2)'!$C$1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'power_cable2 (2)'!$A$2:$A$59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16.8</c:v>
                </c:pt>
                <c:pt idx="24">
                  <c:v>16.899999999999999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</c:numCache>
            </c:numRef>
          </c:xVal>
          <c:yVal>
            <c:numRef>
              <c:f>'power_cable2 (2)'!$C$2:$C$59</c:f>
              <c:numCache>
                <c:formatCode>General</c:formatCode>
                <c:ptCount val="58"/>
                <c:pt idx="0">
                  <c:v>-5.44</c:v>
                </c:pt>
                <c:pt idx="1">
                  <c:v>-6.11</c:v>
                </c:pt>
                <c:pt idx="2">
                  <c:v>-6.96</c:v>
                </c:pt>
                <c:pt idx="3">
                  <c:v>-8.0500000000000007</c:v>
                </c:pt>
                <c:pt idx="4">
                  <c:v>-9.4</c:v>
                </c:pt>
                <c:pt idx="5">
                  <c:v>-11.01</c:v>
                </c:pt>
                <c:pt idx="6">
                  <c:v>-13</c:v>
                </c:pt>
                <c:pt idx="7">
                  <c:v>-15.58</c:v>
                </c:pt>
                <c:pt idx="8">
                  <c:v>-19.28</c:v>
                </c:pt>
                <c:pt idx="9">
                  <c:v>-25.99</c:v>
                </c:pt>
                <c:pt idx="10">
                  <c:v>-36.619999999999997</c:v>
                </c:pt>
                <c:pt idx="11">
                  <c:v>-22.49</c:v>
                </c:pt>
                <c:pt idx="12">
                  <c:v>-17.03</c:v>
                </c:pt>
                <c:pt idx="13">
                  <c:v>-13.59</c:v>
                </c:pt>
                <c:pt idx="14">
                  <c:v>-11.11</c:v>
                </c:pt>
                <c:pt idx="15">
                  <c:v>-9.2799999999999994</c:v>
                </c:pt>
                <c:pt idx="16">
                  <c:v>-9.1</c:v>
                </c:pt>
                <c:pt idx="17">
                  <c:v>-8.9700000000000006</c:v>
                </c:pt>
                <c:pt idx="18">
                  <c:v>-8.82</c:v>
                </c:pt>
                <c:pt idx="19">
                  <c:v>-8.68</c:v>
                </c:pt>
                <c:pt idx="20">
                  <c:v>-8.5500000000000007</c:v>
                </c:pt>
                <c:pt idx="21">
                  <c:v>-8.42</c:v>
                </c:pt>
                <c:pt idx="22">
                  <c:v>-8.2899999999999991</c:v>
                </c:pt>
                <c:pt idx="23">
                  <c:v>-8.16</c:v>
                </c:pt>
                <c:pt idx="24">
                  <c:v>-8.0399999999999991</c:v>
                </c:pt>
                <c:pt idx="25">
                  <c:v>-7.93</c:v>
                </c:pt>
                <c:pt idx="26">
                  <c:v>-7.83</c:v>
                </c:pt>
                <c:pt idx="27">
                  <c:v>-7.72</c:v>
                </c:pt>
                <c:pt idx="28">
                  <c:v>-7.62</c:v>
                </c:pt>
                <c:pt idx="29">
                  <c:v>-7.53</c:v>
                </c:pt>
                <c:pt idx="30">
                  <c:v>-7.43</c:v>
                </c:pt>
                <c:pt idx="31">
                  <c:v>-7.35</c:v>
                </c:pt>
                <c:pt idx="32">
                  <c:v>-7.27</c:v>
                </c:pt>
                <c:pt idx="33">
                  <c:v>-7.1</c:v>
                </c:pt>
                <c:pt idx="34">
                  <c:v>-7.11</c:v>
                </c:pt>
                <c:pt idx="35">
                  <c:v>-7.04</c:v>
                </c:pt>
                <c:pt idx="36">
                  <c:v>-6.53</c:v>
                </c:pt>
                <c:pt idx="37">
                  <c:v>-6.36</c:v>
                </c:pt>
                <c:pt idx="38">
                  <c:v>-6.47</c:v>
                </c:pt>
                <c:pt idx="39">
                  <c:v>-6.79</c:v>
                </c:pt>
                <c:pt idx="40">
                  <c:v>-7.26</c:v>
                </c:pt>
                <c:pt idx="41">
                  <c:v>-7.87</c:v>
                </c:pt>
                <c:pt idx="42">
                  <c:v>-8.61</c:v>
                </c:pt>
                <c:pt idx="43">
                  <c:v>-9.49</c:v>
                </c:pt>
                <c:pt idx="44">
                  <c:v>-10.54</c:v>
                </c:pt>
                <c:pt idx="45">
                  <c:v>-11.83</c:v>
                </c:pt>
                <c:pt idx="46">
                  <c:v>-13.49</c:v>
                </c:pt>
                <c:pt idx="47">
                  <c:v>-15.77</c:v>
                </c:pt>
                <c:pt idx="48">
                  <c:v>-19.260000000000002</c:v>
                </c:pt>
                <c:pt idx="49">
                  <c:v>-25.79</c:v>
                </c:pt>
                <c:pt idx="50">
                  <c:v>-29.95</c:v>
                </c:pt>
                <c:pt idx="51">
                  <c:v>-20.47</c:v>
                </c:pt>
                <c:pt idx="52">
                  <c:v>-15.7</c:v>
                </c:pt>
                <c:pt idx="53">
                  <c:v>-12.76</c:v>
                </c:pt>
                <c:pt idx="54">
                  <c:v>-10.85</c:v>
                </c:pt>
                <c:pt idx="55">
                  <c:v>-9.58</c:v>
                </c:pt>
                <c:pt idx="56">
                  <c:v>-8.76</c:v>
                </c:pt>
                <c:pt idx="57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B-413E-997D-E9C2F369CC6A}"/>
            </c:ext>
          </c:extLst>
        </c:ser>
        <c:ser>
          <c:idx val="1"/>
          <c:order val="1"/>
          <c:tx>
            <c:strRef>
              <c:f>'power_cable2 (2)'!$E$1</c:f>
              <c:strCache>
                <c:ptCount val="1"/>
                <c:pt idx="0">
                  <c:v>phase delay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'power_cable2 (2)'!$A$2:$A$59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16.8</c:v>
                </c:pt>
                <c:pt idx="24">
                  <c:v>16.899999999999999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</c:numCache>
            </c:numRef>
          </c:xVal>
          <c:yVal>
            <c:numRef>
              <c:f>'power_cable2 (2)'!$E$2:$E$59</c:f>
              <c:numCache>
                <c:formatCode>General</c:formatCode>
                <c:ptCount val="58"/>
                <c:pt idx="0">
                  <c:v>0.28274333882308139</c:v>
                </c:pt>
                <c:pt idx="1">
                  <c:v>0.56548667764616278</c:v>
                </c:pt>
                <c:pt idx="2">
                  <c:v>0.84823001646924412</c:v>
                </c:pt>
                <c:pt idx="3">
                  <c:v>1.1309733552923256</c:v>
                </c:pt>
                <c:pt idx="4">
                  <c:v>1.4137166941154069</c:v>
                </c:pt>
                <c:pt idx="5">
                  <c:v>1.6964600329384882</c:v>
                </c:pt>
                <c:pt idx="6">
                  <c:v>1.9792033717615696</c:v>
                </c:pt>
                <c:pt idx="7">
                  <c:v>2.2619467105846511</c:v>
                </c:pt>
                <c:pt idx="8">
                  <c:v>2.5446900494077327</c:v>
                </c:pt>
                <c:pt idx="9">
                  <c:v>2.8274333882308138</c:v>
                </c:pt>
                <c:pt idx="10">
                  <c:v>3.1101767270538949</c:v>
                </c:pt>
                <c:pt idx="11">
                  <c:v>3.3929200658769765</c:v>
                </c:pt>
                <c:pt idx="12">
                  <c:v>3.675663404700058</c:v>
                </c:pt>
                <c:pt idx="13">
                  <c:v>3.9584067435231391</c:v>
                </c:pt>
                <c:pt idx="14">
                  <c:v>4.2411500823462207</c:v>
                </c:pt>
                <c:pt idx="15">
                  <c:v>4.5238934211693023</c:v>
                </c:pt>
                <c:pt idx="16">
                  <c:v>4.5521677550516104</c:v>
                </c:pt>
                <c:pt idx="17">
                  <c:v>4.5804420889339186</c:v>
                </c:pt>
                <c:pt idx="18">
                  <c:v>4.6087164228162267</c:v>
                </c:pt>
                <c:pt idx="19">
                  <c:v>4.636990756698534</c:v>
                </c:pt>
                <c:pt idx="20">
                  <c:v>4.665265090580843</c:v>
                </c:pt>
                <c:pt idx="21">
                  <c:v>4.6935394244631512</c:v>
                </c:pt>
                <c:pt idx="22">
                  <c:v>4.7218137583454594</c:v>
                </c:pt>
                <c:pt idx="23">
                  <c:v>4.7500880922277666</c:v>
                </c:pt>
                <c:pt idx="24">
                  <c:v>4.7783624261100757</c:v>
                </c:pt>
                <c:pt idx="25">
                  <c:v>4.8066367599923829</c:v>
                </c:pt>
                <c:pt idx="26">
                  <c:v>4.8349110938746911</c:v>
                </c:pt>
                <c:pt idx="27">
                  <c:v>4.8631854277570001</c:v>
                </c:pt>
                <c:pt idx="28">
                  <c:v>4.8914597616393074</c:v>
                </c:pt>
                <c:pt idx="29">
                  <c:v>4.9197340955216164</c:v>
                </c:pt>
                <c:pt idx="30">
                  <c:v>4.9480084294039237</c:v>
                </c:pt>
                <c:pt idx="31">
                  <c:v>4.9762827632862328</c:v>
                </c:pt>
                <c:pt idx="32">
                  <c:v>5.00455709716854</c:v>
                </c:pt>
                <c:pt idx="33">
                  <c:v>5.0328314310508482</c:v>
                </c:pt>
                <c:pt idx="34">
                  <c:v>5.0611057649331572</c:v>
                </c:pt>
                <c:pt idx="35">
                  <c:v>5.0893800988154654</c:v>
                </c:pt>
                <c:pt idx="36">
                  <c:v>5.3721234376385461</c:v>
                </c:pt>
                <c:pt idx="37">
                  <c:v>5.6548667764616276</c:v>
                </c:pt>
                <c:pt idx="38">
                  <c:v>5.9376101152847092</c:v>
                </c:pt>
                <c:pt idx="39">
                  <c:v>6.2203534541077898</c:v>
                </c:pt>
                <c:pt idx="40">
                  <c:v>6.5030967929308723</c:v>
                </c:pt>
                <c:pt idx="41">
                  <c:v>6.785840131753953</c:v>
                </c:pt>
                <c:pt idx="42">
                  <c:v>7.0685834705770345</c:v>
                </c:pt>
                <c:pt idx="43">
                  <c:v>7.3513268094001161</c:v>
                </c:pt>
                <c:pt idx="44">
                  <c:v>7.6340701482231976</c:v>
                </c:pt>
                <c:pt idx="45">
                  <c:v>7.9168134870462783</c:v>
                </c:pt>
                <c:pt idx="46">
                  <c:v>8.1995568258693599</c:v>
                </c:pt>
                <c:pt idx="47">
                  <c:v>8.4823001646924414</c:v>
                </c:pt>
                <c:pt idx="48">
                  <c:v>8.765043503515523</c:v>
                </c:pt>
                <c:pt idx="49">
                  <c:v>9.0477868423386045</c:v>
                </c:pt>
                <c:pt idx="50">
                  <c:v>9.3305301811616861</c:v>
                </c:pt>
                <c:pt idx="51">
                  <c:v>9.6132735199847659</c:v>
                </c:pt>
                <c:pt idx="52">
                  <c:v>9.8960168588078474</c:v>
                </c:pt>
                <c:pt idx="53">
                  <c:v>10.178760197630931</c:v>
                </c:pt>
                <c:pt idx="54">
                  <c:v>10.461503536454011</c:v>
                </c:pt>
                <c:pt idx="55">
                  <c:v>10.744246875277092</c:v>
                </c:pt>
                <c:pt idx="56">
                  <c:v>11.026990214100174</c:v>
                </c:pt>
                <c:pt idx="57">
                  <c:v>11.309733552923255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B-413E-997D-E9C2F369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3504"/>
        <c:axId val="982743984"/>
      </c:scatterChart>
      <c:valAx>
        <c:axId val="9827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43984"/>
        <c:crosses val="autoZero"/>
        <c:crossBetween val="midCat"/>
      </c:valAx>
      <c:valAx>
        <c:axId val="9827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4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exp2_3_IN_FWD!$E$1</c:f>
              <c:strCache>
                <c:ptCount val="1"/>
                <c:pt idx="0">
                  <c:v>decay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exp2_3_IN_FWD!$B$2:$B$6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exp2_3_IN_FWD!$E$2:$E$6</c:f>
              <c:numCache>
                <c:formatCode>General</c:formatCode>
                <c:ptCount val="5"/>
                <c:pt idx="0">
                  <c:v>0.10214504596527069</c:v>
                </c:pt>
                <c:pt idx="1">
                  <c:v>0.10214504596527069</c:v>
                </c:pt>
                <c:pt idx="2">
                  <c:v>0.10409292035398229</c:v>
                </c:pt>
                <c:pt idx="3">
                  <c:v>0.10201183431952664</c:v>
                </c:pt>
                <c:pt idx="4">
                  <c:v>0.10437665782493369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0-4F6F-AFDA-1BCD9AEFF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6320"/>
        <c:axId val="164226800"/>
      </c:scatterChart>
      <c:valAx>
        <c:axId val="1642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26800"/>
        <c:crosses val="autoZero"/>
        <c:crossBetween val="midCat"/>
      </c:valAx>
      <c:valAx>
        <c:axId val="164226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2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exp2_3_coil!$E$3:$E$6</c:f>
              <c:numCache>
                <c:formatCode>General</c:formatCode>
                <c:ptCount val="4"/>
                <c:pt idx="0">
                  <c:v>0.94133443503408387</c:v>
                </c:pt>
                <c:pt idx="1">
                  <c:v>6.042001972898603E-2</c:v>
                </c:pt>
                <c:pt idx="2">
                  <c:v>0.17558693733451014</c:v>
                </c:pt>
                <c:pt idx="3">
                  <c:v>0.77714850773103195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7-41EF-B19C-CD8A1EA2D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002160"/>
        <c:axId val="1217292512"/>
      </c:scatterChart>
      <c:valAx>
        <c:axId val="13840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7292512"/>
        <c:crosses val="autoZero"/>
        <c:crossBetween val="midCat"/>
      </c:valAx>
      <c:valAx>
        <c:axId val="12172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40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exp2_3_coil!$I$3:$I$6</c:f>
              <c:numCache>
                <c:formatCode>0.00E+00</c:formatCode>
                <c:ptCount val="4"/>
                <c:pt idx="0">
                  <c:v>2.6640705702441445</c:v>
                </c:pt>
                <c:pt idx="1">
                  <c:v>2.2116812281272145</c:v>
                </c:pt>
                <c:pt idx="2">
                  <c:v>1.0995574287564276</c:v>
                </c:pt>
                <c:pt idx="3">
                  <c:v>0.12566370614359185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8-4646-9DDB-1687C790C53D}"/>
            </c:ext>
          </c:extLst>
        </c:ser>
        <c:ser>
          <c:idx val="1"/>
          <c:order val="1"/>
          <c:tx>
            <c:strRef>
              <c:f>exp2_3_coil!$J$2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exp2_3_coil!$A$3:$A$6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exp2_3_coil!$J$3:$J$6</c:f>
              <c:numCache>
                <c:formatCode>0.00E+00</c:formatCode>
                <c:ptCount val="4"/>
                <c:pt idx="0">
                  <c:v>2.6021462603983401</c:v>
                </c:pt>
                <c:pt idx="1">
                  <c:v>2.1314276053458201</c:v>
                </c:pt>
                <c:pt idx="2">
                  <c:v>1.2525587231454822</c:v>
                </c:pt>
                <c:pt idx="3">
                  <c:v>0.69414735227159585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8-4646-9DDB-1687C790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9696"/>
        <c:axId val="1213722576"/>
      </c:scatterChart>
      <c:valAx>
        <c:axId val="12137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3722576"/>
        <c:crosses val="autoZero"/>
        <c:crossBetween val="midCat"/>
      </c:valAx>
      <c:valAx>
        <c:axId val="12137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37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0</xdr:row>
      <xdr:rowOff>0</xdr:rowOff>
    </xdr:from>
    <xdr:to>
      <xdr:col>14</xdr:col>
      <xdr:colOff>9524</xdr:colOff>
      <xdr:row>14</xdr:row>
      <xdr:rowOff>176212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6E637A-32D2-A971-6D52-F9A3236F4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1076324</xdr:colOff>
      <xdr:row>9</xdr:row>
      <xdr:rowOff>180974</xdr:rowOff>
    </xdr:from>
    <xdr:to>
      <xdr:col>12</xdr:col>
      <xdr:colOff>819149</xdr:colOff>
      <xdr:row>22</xdr:row>
      <xdr:rowOff>9524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192E0D1-6479-22DC-AFBB-AE2077C5E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10</xdr:row>
      <xdr:rowOff>47625</xdr:rowOff>
    </xdr:from>
    <xdr:to>
      <xdr:col>8</xdr:col>
      <xdr:colOff>47625</xdr:colOff>
      <xdr:row>21</xdr:row>
      <xdr:rowOff>171450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E50E197-7478-E554-40CF-7694F4F61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10</xdr:row>
      <xdr:rowOff>47625</xdr:rowOff>
    </xdr:from>
    <xdr:to>
      <xdr:col>8</xdr:col>
      <xdr:colOff>47625</xdr:colOff>
      <xdr:row>21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1CDF0CB-3395-48AA-ADF4-91904CFE4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233516</xdr:colOff>
      <xdr:row>7</xdr:row>
      <xdr:rowOff>157009</xdr:rowOff>
    </xdr:from>
    <xdr:to>
      <xdr:col>11</xdr:col>
      <xdr:colOff>188964</xdr:colOff>
      <xdr:row>19</xdr:row>
      <xdr:rowOff>42709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FCA289D-3139-0039-4EDE-2BAF4AACF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551448</xdr:colOff>
      <xdr:row>12</xdr:row>
      <xdr:rowOff>167439</xdr:rowOff>
    </xdr:from>
    <xdr:to>
      <xdr:col>16</xdr:col>
      <xdr:colOff>561474</xdr:colOff>
      <xdr:row>31</xdr:row>
      <xdr:rowOff>30079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235F9F2-4623-5EF4-F9F3-5E8419EF0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643507</xdr:colOff>
      <xdr:row>33</xdr:row>
      <xdr:rowOff>190530</xdr:rowOff>
    </xdr:from>
    <xdr:to>
      <xdr:col>17</xdr:col>
      <xdr:colOff>37371</xdr:colOff>
      <xdr:row>45</xdr:row>
      <xdr:rowOff>46151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E2D56F-52C0-0267-A1A2-FA7622758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417721</xdr:colOff>
      <xdr:row>31</xdr:row>
      <xdr:rowOff>51212</xdr:rowOff>
    </xdr:from>
    <xdr:to>
      <xdr:col>16</xdr:col>
      <xdr:colOff>421092</xdr:colOff>
      <xdr:row>42</xdr:row>
      <xdr:rowOff>202395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C696BF0-5FD7-2770-226C-598B906CE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147410</xdr:colOff>
      <xdr:row>0</xdr:row>
      <xdr:rowOff>74159</xdr:rowOff>
    </xdr:from>
    <xdr:to>
      <xdr:col>20</xdr:col>
      <xdr:colOff>487591</xdr:colOff>
      <xdr:row>11</xdr:row>
      <xdr:rowOff>197984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2206327-4C77-0CD2-74BA-1DF166058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29261</xdr:colOff>
      <xdr:row>7</xdr:row>
      <xdr:rowOff>9644</xdr:rowOff>
    </xdr:from>
    <xdr:to>
      <xdr:col>15</xdr:col>
      <xdr:colOff>344914</xdr:colOff>
      <xdr:row>23</xdr:row>
      <xdr:rowOff>9645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834456-BD76-F946-B2DE-E74B88D65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6</xdr:row>
      <xdr:rowOff>85725</xdr:rowOff>
    </xdr:from>
    <xdr:to>
      <xdr:col>18</xdr:col>
      <xdr:colOff>673318</xdr:colOff>
      <xdr:row>17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0B8C73-1FDE-8822-0C9D-909A3B649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7</xdr:row>
      <xdr:rowOff>95250</xdr:rowOff>
    </xdr:from>
    <xdr:to>
      <xdr:col>15</xdr:col>
      <xdr:colOff>247650</xdr:colOff>
      <xdr:row>18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180392-2F13-F311-6A27-E436A6AFC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522166</xdr:colOff>
      <xdr:row>3</xdr:row>
      <xdr:rowOff>103065</xdr:rowOff>
    </xdr:from>
    <xdr:to>
      <xdr:col>12</xdr:col>
      <xdr:colOff>312616</xdr:colOff>
      <xdr:row>15</xdr:row>
      <xdr:rowOff>2931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066704B-2475-3697-512C-3F81F25A7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3</xdr:row>
      <xdr:rowOff>223837</xdr:rowOff>
    </xdr:from>
    <xdr:to>
      <xdr:col>12</xdr:col>
      <xdr:colOff>642937</xdr:colOff>
      <xdr:row>15</xdr:row>
      <xdr:rowOff>109537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6049E2-6629-28D7-476B-8725F159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3</xdr:row>
      <xdr:rowOff>42861</xdr:rowOff>
    </xdr:from>
    <xdr:to>
      <xdr:col>14</xdr:col>
      <xdr:colOff>366712</xdr:colOff>
      <xdr:row>17</xdr:row>
      <xdr:rowOff>104774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C1DB3C-9C98-A74C-5CAC-06CEB4947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17</xdr:row>
      <xdr:rowOff>180975</xdr:rowOff>
    </xdr:from>
    <xdr:to>
      <xdr:col>14</xdr:col>
      <xdr:colOff>342901</xdr:colOff>
      <xdr:row>34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CB7A971-80FC-1482-EDC6-BDBD8109D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3</xdr:row>
      <xdr:rowOff>42861</xdr:rowOff>
    </xdr:from>
    <xdr:to>
      <xdr:col>14</xdr:col>
      <xdr:colOff>366712</xdr:colOff>
      <xdr:row>26</xdr:row>
      <xdr:rowOff>104774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A25E47A-94DA-4E79-AC69-51DE5F044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7937</xdr:colOff>
      <xdr:row>28</xdr:row>
      <xdr:rowOff>47625</xdr:rowOff>
    </xdr:from>
    <xdr:to>
      <xdr:col>14</xdr:col>
      <xdr:colOff>406401</xdr:colOff>
      <xdr:row>54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22CBD6-A3FE-4A5B-B6DC-8680D0B9A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</xdr:row>
      <xdr:rowOff>123825</xdr:rowOff>
    </xdr:from>
    <xdr:to>
      <xdr:col>15</xdr:col>
      <xdr:colOff>461962</xdr:colOff>
      <xdr:row>13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9A91AB7-5915-A3A8-813A-2964987AF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97176</xdr:colOff>
      <xdr:row>9</xdr:row>
      <xdr:rowOff>192854</xdr:rowOff>
    </xdr:from>
    <xdr:to>
      <xdr:col>7</xdr:col>
      <xdr:colOff>516276</xdr:colOff>
      <xdr:row>21</xdr:row>
      <xdr:rowOff>78554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DAD03C-F6F8-6F1F-A777-EDFBCDC81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895671</xdr:colOff>
      <xdr:row>9</xdr:row>
      <xdr:rowOff>160748</xdr:rowOff>
    </xdr:from>
    <xdr:to>
      <xdr:col>12</xdr:col>
      <xdr:colOff>386673</xdr:colOff>
      <xdr:row>21</xdr:row>
      <xdr:rowOff>46448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0BE6452-0FB4-135E-DB92-971673B25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123825</xdr:rowOff>
    </xdr:from>
    <xdr:to>
      <xdr:col>7</xdr:col>
      <xdr:colOff>619125</xdr:colOff>
      <xdr:row>21</xdr:row>
      <xdr:rowOff>9525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0AC286F-EFDA-0A20-C1DC-053CB0DB5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1076325</xdr:colOff>
      <xdr:row>9</xdr:row>
      <xdr:rowOff>180975</xdr:rowOff>
    </xdr:from>
    <xdr:to>
      <xdr:col>12</xdr:col>
      <xdr:colOff>714375</xdr:colOff>
      <xdr:row>21</xdr:row>
      <xdr:rowOff>66675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F9A355C-F3C2-9651-AF4B-28DD1DF5C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123825</xdr:rowOff>
    </xdr:from>
    <xdr:to>
      <xdr:col>7</xdr:col>
      <xdr:colOff>619125</xdr:colOff>
      <xdr:row>21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B23DB01-9A16-4288-A2E3-9D4533A87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1376362</xdr:colOff>
      <xdr:row>9</xdr:row>
      <xdr:rowOff>104775</xdr:rowOff>
    </xdr:from>
    <xdr:to>
      <xdr:col>12</xdr:col>
      <xdr:colOff>652462</xdr:colOff>
      <xdr:row>20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5501D67-C66A-A632-FBCD-88F61AF07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9</xdr:row>
      <xdr:rowOff>66675</xdr:rowOff>
    </xdr:from>
    <xdr:to>
      <xdr:col>7</xdr:col>
      <xdr:colOff>1266825</xdr:colOff>
      <xdr:row>20</xdr:row>
      <xdr:rowOff>190500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E6C832D-4FA3-DFE3-7670-F0C391B76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9</xdr:row>
      <xdr:rowOff>180975</xdr:rowOff>
    </xdr:from>
    <xdr:to>
      <xdr:col>12</xdr:col>
      <xdr:colOff>28575</xdr:colOff>
      <xdr:row>21</xdr:row>
      <xdr:rowOff>66675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8455ED0-B860-20E4-D154-C9FAAB08F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BEB1-74BA-4E0D-A2A5-44BDC9965064}">
  <dimension ref="B2:E16"/>
  <sheetViews>
    <sheetView topLeftCell="C1" workbookViewId="0">
      <selection activeCell="D27" sqref="D27"/>
    </sheetView>
  </sheetViews>
  <sheetFormatPr defaultRowHeight="18.75" x14ac:dyDescent="0.4"/>
  <cols>
    <col min="2" max="2" width="15" bestFit="1" customWidth="1"/>
    <col min="5" max="5" width="14.25" bestFit="1" customWidth="1"/>
  </cols>
  <sheetData>
    <row r="2" spans="2:5" x14ac:dyDescent="0.4">
      <c r="B2" t="s">
        <v>1</v>
      </c>
      <c r="C2" t="s">
        <v>0</v>
      </c>
      <c r="D2" t="s">
        <v>2</v>
      </c>
      <c r="E2" t="s">
        <v>3</v>
      </c>
    </row>
    <row r="3" spans="2:5" x14ac:dyDescent="0.4">
      <c r="B3">
        <v>1</v>
      </c>
      <c r="C3">
        <v>-9.19</v>
      </c>
      <c r="D3">
        <v>-31.3</v>
      </c>
      <c r="E3">
        <f>D3/9</f>
        <v>-3.4777777777777779</v>
      </c>
    </row>
    <row r="4" spans="2:5" x14ac:dyDescent="0.4">
      <c r="B4">
        <v>2</v>
      </c>
      <c r="C4">
        <v>-6.39</v>
      </c>
      <c r="D4">
        <v>-42</v>
      </c>
      <c r="E4">
        <f t="shared" ref="E4:E12" si="0">D4/9</f>
        <v>-4.666666666666667</v>
      </c>
    </row>
    <row r="5" spans="2:5" x14ac:dyDescent="0.4">
      <c r="B5">
        <v>5</v>
      </c>
      <c r="C5">
        <v>-3.37</v>
      </c>
      <c r="D5">
        <v>-39.5</v>
      </c>
      <c r="E5">
        <f t="shared" si="0"/>
        <v>-4.3888888888888893</v>
      </c>
    </row>
    <row r="6" spans="2:5" x14ac:dyDescent="0.4">
      <c r="B6">
        <v>10</v>
      </c>
      <c r="C6">
        <v>-10.7</v>
      </c>
      <c r="D6">
        <v>-34.5</v>
      </c>
      <c r="E6">
        <f t="shared" si="0"/>
        <v>-3.8333333333333335</v>
      </c>
    </row>
    <row r="7" spans="2:5" x14ac:dyDescent="0.4">
      <c r="B7">
        <v>20</v>
      </c>
      <c r="C7">
        <v>-10.11</v>
      </c>
      <c r="D7">
        <v>-40.5</v>
      </c>
      <c r="E7">
        <f t="shared" si="0"/>
        <v>-4.5</v>
      </c>
    </row>
    <row r="8" spans="2:5" x14ac:dyDescent="0.4">
      <c r="B8">
        <v>50</v>
      </c>
      <c r="C8">
        <v>-9.08</v>
      </c>
      <c r="D8">
        <v>-32.6</v>
      </c>
      <c r="E8">
        <f t="shared" si="0"/>
        <v>-3.6222222222222222</v>
      </c>
    </row>
    <row r="9" spans="2:5" x14ac:dyDescent="0.4">
      <c r="B9">
        <v>100</v>
      </c>
      <c r="C9">
        <v>-8.01</v>
      </c>
      <c r="D9">
        <v>-39.799999999999997</v>
      </c>
      <c r="E9">
        <f t="shared" si="0"/>
        <v>-4.4222222222222216</v>
      </c>
    </row>
    <row r="10" spans="2:5" x14ac:dyDescent="0.4">
      <c r="B10">
        <v>200</v>
      </c>
      <c r="C10">
        <v>-6.47</v>
      </c>
      <c r="D10">
        <v>-39</v>
      </c>
      <c r="E10">
        <f t="shared" si="0"/>
        <v>-4.333333333333333</v>
      </c>
    </row>
    <row r="11" spans="2:5" x14ac:dyDescent="0.4">
      <c r="B11">
        <v>500</v>
      </c>
      <c r="C11">
        <v>-5.5</v>
      </c>
      <c r="D11">
        <v>-33.700000000000003</v>
      </c>
      <c r="E11">
        <f t="shared" si="0"/>
        <v>-3.7444444444444449</v>
      </c>
    </row>
    <row r="12" spans="2:5" x14ac:dyDescent="0.4">
      <c r="B12">
        <v>1000</v>
      </c>
      <c r="C12">
        <v>-8.5299999999999994</v>
      </c>
      <c r="D12">
        <v>-25.3</v>
      </c>
      <c r="E12">
        <f t="shared" si="0"/>
        <v>-2.8111111111111113</v>
      </c>
    </row>
    <row r="16" spans="2:5" x14ac:dyDescent="0.4">
      <c r="B16" t="s">
        <v>4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2C03-525E-4637-BAF7-68C06DEDAC17}">
  <dimension ref="A1:O13"/>
  <sheetViews>
    <sheetView zoomScale="99" zoomScaleNormal="100" workbookViewId="0">
      <selection activeCell="I3" sqref="I3"/>
    </sheetView>
  </sheetViews>
  <sheetFormatPr defaultRowHeight="18.75" x14ac:dyDescent="0.4"/>
  <cols>
    <col min="1" max="1" width="9.5" bestFit="1" customWidth="1"/>
    <col min="2" max="2" width="13.625" bestFit="1" customWidth="1"/>
    <col min="8" max="8" width="17.875" customWidth="1"/>
    <col min="9" max="10" width="19.125" customWidth="1"/>
    <col min="11" max="11" width="22.25" bestFit="1" customWidth="1"/>
    <col min="13" max="13" width="14.375" bestFit="1" customWidth="1"/>
    <col min="14" max="14" width="11.625" bestFit="1" customWidth="1"/>
  </cols>
  <sheetData>
    <row r="1" spans="1:15" x14ac:dyDescent="0.4">
      <c r="A1" t="s">
        <v>29</v>
      </c>
    </row>
    <row r="2" spans="1:15" x14ac:dyDescent="0.4">
      <c r="A2" t="s">
        <v>30</v>
      </c>
      <c r="B2" t="s">
        <v>86</v>
      </c>
      <c r="C2" t="s">
        <v>15</v>
      </c>
      <c r="D2" t="s">
        <v>17</v>
      </c>
      <c r="E2" t="s">
        <v>18</v>
      </c>
      <c r="F2" t="s">
        <v>24</v>
      </c>
      <c r="G2" t="s">
        <v>40</v>
      </c>
      <c r="H2" t="s">
        <v>25</v>
      </c>
      <c r="I2" t="s">
        <v>31</v>
      </c>
      <c r="J2" t="s">
        <v>99</v>
      </c>
      <c r="K2" t="s">
        <v>39</v>
      </c>
      <c r="M2" t="s">
        <v>11</v>
      </c>
      <c r="N2" s="5">
        <v>10000000</v>
      </c>
      <c r="O2" t="s">
        <v>12</v>
      </c>
    </row>
    <row r="3" spans="1:15" x14ac:dyDescent="0.4">
      <c r="A3" s="5">
        <v>10000000</v>
      </c>
      <c r="B3">
        <v>937</v>
      </c>
      <c r="C3">
        <v>95</v>
      </c>
      <c r="D3">
        <f>C3/B3</f>
        <v>0.10138740661686232</v>
      </c>
      <c r="E3">
        <f>D3/$N$4</f>
        <v>0.91642403456600796</v>
      </c>
      <c r="F3">
        <v>7.2</v>
      </c>
      <c r="G3">
        <f>CONVERT(1/A3, "s","ns")</f>
        <v>100</v>
      </c>
      <c r="H3">
        <f>F3-G3/2</f>
        <v>-42.8</v>
      </c>
      <c r="I3">
        <f>-H3/G3*2*PI()</f>
        <v>2.6892033114728631</v>
      </c>
      <c r="J3">
        <f>-(F3-exp2_3_IN_FWD!F2)/G3*2*PI()</f>
        <v>2.6892033114728631</v>
      </c>
      <c r="K3">
        <f>2*ATAN($N$8/(2*A3*PI()*$N$6))</f>
        <v>2.6021462603983401</v>
      </c>
      <c r="M3" t="s">
        <v>13</v>
      </c>
      <c r="N3" s="5">
        <f>CONVERT(1/N2, "s", "ns")</f>
        <v>100</v>
      </c>
      <c r="O3" t="s">
        <v>27</v>
      </c>
    </row>
    <row r="4" spans="1:15" x14ac:dyDescent="0.4">
      <c r="A4" s="5">
        <v>20000000</v>
      </c>
      <c r="B4">
        <v>945</v>
      </c>
      <c r="C4">
        <v>94.5</v>
      </c>
      <c r="D4">
        <f t="shared" ref="D4:D6" si="0">C4/B4</f>
        <v>0.1</v>
      </c>
      <c r="E4">
        <f t="shared" ref="E4:E7" si="1">D4/$N$4</f>
        <v>0.90388349514563104</v>
      </c>
      <c r="F4">
        <v>8</v>
      </c>
      <c r="G4">
        <f t="shared" ref="G4:G6" si="2">CONVERT(1/A4, "s","ns")</f>
        <v>50</v>
      </c>
      <c r="H4">
        <f t="shared" ref="H4:H7" si="3">F4-G4/2</f>
        <v>-17</v>
      </c>
      <c r="I4">
        <f t="shared" ref="I4:I5" si="4">-H4/G4*2*PI()</f>
        <v>2.1362830044410597</v>
      </c>
      <c r="J4">
        <f>-(F4-exp2_3_IN_FWD!F3)/G4*2*PI()</f>
        <v>2.1865484868984959</v>
      </c>
      <c r="K4">
        <f t="shared" ref="K4:K7" si="5">2*ATAN($N$8/(2*A4*PI()*$N$6))</f>
        <v>2.1314276053458201</v>
      </c>
      <c r="M4" t="s">
        <v>23</v>
      </c>
      <c r="N4">
        <f>103/931</f>
        <v>0.11063372717508056</v>
      </c>
      <c r="O4" t="s">
        <v>28</v>
      </c>
    </row>
    <row r="5" spans="1:15" x14ac:dyDescent="0.4">
      <c r="A5" s="5">
        <v>50000000</v>
      </c>
      <c r="B5">
        <v>920</v>
      </c>
      <c r="C5">
        <v>82.5</v>
      </c>
      <c r="D5">
        <f t="shared" si="0"/>
        <v>8.9673913043478257E-2</v>
      </c>
      <c r="E5">
        <f t="shared" si="1"/>
        <v>0.81054769945124516</v>
      </c>
      <c r="F5">
        <v>6.56</v>
      </c>
      <c r="G5">
        <f t="shared" si="2"/>
        <v>20</v>
      </c>
      <c r="H5">
        <f t="shared" si="3"/>
        <v>-3.4400000000000004</v>
      </c>
      <c r="I5">
        <f t="shared" si="4"/>
        <v>1.0807078728348889</v>
      </c>
      <c r="J5">
        <f>-(F5-exp2_3_IN_FWD!F4)/G5*2*PI()</f>
        <v>1.2377875055143785</v>
      </c>
      <c r="K5">
        <f t="shared" si="5"/>
        <v>1.2525587231454822</v>
      </c>
      <c r="M5" t="s">
        <v>26</v>
      </c>
      <c r="N5">
        <v>50</v>
      </c>
      <c r="O5" t="s">
        <v>27</v>
      </c>
    </row>
    <row r="6" spans="1:15" x14ac:dyDescent="0.4">
      <c r="A6" s="5">
        <v>70000000</v>
      </c>
      <c r="B6">
        <v>854</v>
      </c>
      <c r="C6">
        <v>73.7</v>
      </c>
      <c r="D6">
        <f t="shared" si="0"/>
        <v>8.6299765807962531E-2</v>
      </c>
      <c r="E6">
        <f t="shared" si="1"/>
        <v>0.78004933948750599</v>
      </c>
      <c r="F6">
        <v>5.8</v>
      </c>
      <c r="G6">
        <f t="shared" si="2"/>
        <v>14.285714285714286</v>
      </c>
      <c r="H6">
        <f t="shared" si="3"/>
        <v>-1.3428571428571434</v>
      </c>
      <c r="I6">
        <f t="shared" ref="I6" si="6">-H6/G6*2*PI()</f>
        <v>0.59061941887488123</v>
      </c>
      <c r="J6">
        <f>-(F6-exp2_3_IN_FWD!F5)/G6*2*PI()</f>
        <v>0.7916813487046277</v>
      </c>
      <c r="K6">
        <f t="shared" si="5"/>
        <v>0.95389448927389076</v>
      </c>
      <c r="M6" t="s">
        <v>33</v>
      </c>
      <c r="N6">
        <f>CONVERT(0.22,"um", "m")</f>
        <v>2.1999999999999998E-7</v>
      </c>
      <c r="O6" t="s">
        <v>34</v>
      </c>
    </row>
    <row r="7" spans="1:15" x14ac:dyDescent="0.4">
      <c r="A7" s="5">
        <v>100000000</v>
      </c>
      <c r="B7">
        <v>766</v>
      </c>
      <c r="C7">
        <v>65.8</v>
      </c>
      <c r="D7">
        <f>C7/B7</f>
        <v>8.5900783289817234E-2</v>
      </c>
      <c r="E7">
        <f t="shared" si="1"/>
        <v>0.77644300235747421</v>
      </c>
      <c r="F7">
        <v>4.92</v>
      </c>
      <c r="G7">
        <f>CONVERT(1/A7, "s","ns")</f>
        <v>10</v>
      </c>
      <c r="H7">
        <f t="shared" si="3"/>
        <v>-8.0000000000000071E-2</v>
      </c>
      <c r="I7">
        <f>-H7/G7*2*PI()</f>
        <v>5.0265482457436735E-2</v>
      </c>
      <c r="J7">
        <f>-(F7-exp2_3_IN_FWD!F6)/G7*2*PI()</f>
        <v>0.35185837720205715</v>
      </c>
      <c r="K7">
        <f t="shared" si="5"/>
        <v>0.69414735227159585</v>
      </c>
      <c r="M7" t="s">
        <v>35</v>
      </c>
      <c r="N7">
        <f>CONVERT(100, "pm", "m")</f>
        <v>1E-10</v>
      </c>
      <c r="O7" t="s">
        <v>36</v>
      </c>
    </row>
    <row r="8" spans="1:15" x14ac:dyDescent="0.4">
      <c r="K8" s="5"/>
      <c r="M8" t="s">
        <v>37</v>
      </c>
      <c r="N8">
        <v>50</v>
      </c>
      <c r="O8" t="s">
        <v>38</v>
      </c>
    </row>
    <row r="10" spans="1:15" x14ac:dyDescent="0.4">
      <c r="A10" s="5"/>
      <c r="I10" s="5"/>
      <c r="J10" s="5"/>
      <c r="K10" s="5"/>
    </row>
    <row r="11" spans="1:15" x14ac:dyDescent="0.4">
      <c r="A11" s="5"/>
      <c r="I11" s="5"/>
      <c r="J11" s="5"/>
      <c r="K11" s="5"/>
    </row>
    <row r="12" spans="1:15" x14ac:dyDescent="0.4">
      <c r="A12" s="5"/>
      <c r="I12" s="5"/>
      <c r="J12" s="5"/>
      <c r="K12" s="5"/>
    </row>
    <row r="13" spans="1:15" x14ac:dyDescent="0.4">
      <c r="A13" s="5"/>
      <c r="I13" s="5"/>
      <c r="J13" s="5"/>
      <c r="K13" s="5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EFBB-EA38-441A-9EC2-41B8DB36C0AC}">
  <dimension ref="A1:N8"/>
  <sheetViews>
    <sheetView topLeftCell="B1" workbookViewId="0">
      <selection activeCell="AI31" sqref="AI31"/>
    </sheetView>
  </sheetViews>
  <sheetFormatPr defaultRowHeight="18.75" x14ac:dyDescent="0.4"/>
  <cols>
    <col min="1" max="1" width="9.5" bestFit="1" customWidth="1"/>
    <col min="8" max="8" width="17.875" customWidth="1"/>
    <col min="9" max="9" width="19.125" customWidth="1"/>
    <col min="10" max="10" width="22.25" bestFit="1" customWidth="1"/>
    <col min="12" max="12" width="14.375" bestFit="1" customWidth="1"/>
    <col min="13" max="13" width="11.625" bestFit="1" customWidth="1"/>
  </cols>
  <sheetData>
    <row r="1" spans="1:14" x14ac:dyDescent="0.4">
      <c r="A1" t="s">
        <v>32</v>
      </c>
    </row>
    <row r="2" spans="1:14" x14ac:dyDescent="0.4">
      <c r="A2" t="s">
        <v>30</v>
      </c>
      <c r="B2" t="s">
        <v>16</v>
      </c>
      <c r="C2" t="s">
        <v>15</v>
      </c>
      <c r="D2" t="s">
        <v>17</v>
      </c>
      <c r="E2" t="s">
        <v>18</v>
      </c>
      <c r="F2" t="s">
        <v>24</v>
      </c>
      <c r="G2" t="s">
        <v>41</v>
      </c>
      <c r="H2" t="s">
        <v>25</v>
      </c>
      <c r="I2" t="s">
        <v>31</v>
      </c>
      <c r="J2" t="s">
        <v>39</v>
      </c>
      <c r="L2" t="s">
        <v>11</v>
      </c>
      <c r="M2" s="5">
        <v>10000000</v>
      </c>
      <c r="N2" t="s">
        <v>12</v>
      </c>
    </row>
    <row r="3" spans="1:14" x14ac:dyDescent="0.4">
      <c r="A3" s="5">
        <v>10000000</v>
      </c>
      <c r="B3">
        <v>543</v>
      </c>
      <c r="C3">
        <v>61.8</v>
      </c>
      <c r="D3">
        <f>C3/B3</f>
        <v>0.11381215469613259</v>
      </c>
      <c r="E3">
        <f>D3/$M$4</f>
        <v>1.0287292817679556</v>
      </c>
      <c r="F3">
        <v>40</v>
      </c>
      <c r="G3">
        <f>CONVERT(1/A3, "s", "ns")</f>
        <v>100</v>
      </c>
      <c r="H3">
        <f>F3-G3/2</f>
        <v>-10</v>
      </c>
      <c r="I3" s="5">
        <f>-H3/G3*2*PI()</f>
        <v>0.62831853071795862</v>
      </c>
      <c r="J3" s="5">
        <f>-2*ATAN($M$8*2*A3*PI()*$M$7)</f>
        <v>-0.60879159472923017</v>
      </c>
      <c r="L3" t="s">
        <v>13</v>
      </c>
      <c r="M3" s="5">
        <f>CONVERT(1/M2, "s", "ns")</f>
        <v>100</v>
      </c>
      <c r="N3" t="s">
        <v>27</v>
      </c>
    </row>
    <row r="4" spans="1:14" x14ac:dyDescent="0.4">
      <c r="A4" s="5">
        <v>20000000</v>
      </c>
      <c r="B4">
        <v>856</v>
      </c>
      <c r="C4">
        <v>34.299999999999997</v>
      </c>
      <c r="D4">
        <f t="shared" ref="D4:D5" si="0">C4/B4</f>
        <v>4.007009345794392E-2</v>
      </c>
      <c r="E4">
        <f>D4/$M$4</f>
        <v>0.36218696125578437</v>
      </c>
      <c r="F4">
        <v>15</v>
      </c>
      <c r="G4">
        <f t="shared" ref="G4:G6" si="1">CONVERT(1/A4, "s", "ns")</f>
        <v>50</v>
      </c>
      <c r="H4">
        <f t="shared" ref="H4:H6" si="2">F4-G4/2</f>
        <v>-10</v>
      </c>
      <c r="I4" s="5">
        <f t="shared" ref="I4:I6" si="3">-H4/G4*2*PI()</f>
        <v>1.2566370614359172</v>
      </c>
      <c r="J4" s="5">
        <f t="shared" ref="J4:J6" si="4">-2*ATAN($M$8*2*A4*PI()*$M$7)</f>
        <v>-1.1219642322172476</v>
      </c>
      <c r="L4" t="s">
        <v>23</v>
      </c>
      <c r="M4">
        <f>103/931</f>
        <v>0.11063372717508056</v>
      </c>
      <c r="N4" t="s">
        <v>28</v>
      </c>
    </row>
    <row r="5" spans="1:14" x14ac:dyDescent="0.4">
      <c r="A5" s="5">
        <v>50000000</v>
      </c>
      <c r="B5">
        <v>756</v>
      </c>
      <c r="C5">
        <v>75</v>
      </c>
      <c r="D5">
        <f t="shared" si="0"/>
        <v>9.9206349206349201E-2</v>
      </c>
      <c r="E5">
        <f>D5/$M$4</f>
        <v>0.89670981661272919</v>
      </c>
      <c r="F5">
        <v>2</v>
      </c>
      <c r="G5">
        <f t="shared" si="1"/>
        <v>20</v>
      </c>
      <c r="H5">
        <f t="shared" si="2"/>
        <v>-8</v>
      </c>
      <c r="I5" s="5">
        <f t="shared" si="3"/>
        <v>2.5132741228718345</v>
      </c>
      <c r="J5" s="5">
        <f t="shared" si="4"/>
        <v>-2.0077696437077743</v>
      </c>
      <c r="L5" t="s">
        <v>26</v>
      </c>
      <c r="M5">
        <v>50</v>
      </c>
      <c r="N5" t="s">
        <v>27</v>
      </c>
    </row>
    <row r="6" spans="1:14" x14ac:dyDescent="0.4">
      <c r="A6" s="5">
        <v>100000000</v>
      </c>
      <c r="B6">
        <v>87.5</v>
      </c>
      <c r="C6">
        <v>13.7</v>
      </c>
      <c r="D6">
        <f>C6/B6</f>
        <v>0.15657142857142856</v>
      </c>
      <c r="E6">
        <f>D6/$M$4</f>
        <v>1.4152233009708737</v>
      </c>
      <c r="F6">
        <v>1</v>
      </c>
      <c r="G6">
        <f t="shared" si="1"/>
        <v>10</v>
      </c>
      <c r="H6">
        <f t="shared" si="2"/>
        <v>-4</v>
      </c>
      <c r="I6" s="5">
        <f t="shared" si="3"/>
        <v>2.5132741228718345</v>
      </c>
      <c r="J6" s="5">
        <f t="shared" si="4"/>
        <v>-2.5252545113578235</v>
      </c>
      <c r="L6" t="s">
        <v>33</v>
      </c>
      <c r="M6">
        <f>CONVERT(0.22,"um", "m")</f>
        <v>2.1999999999999998E-7</v>
      </c>
      <c r="N6" t="s">
        <v>34</v>
      </c>
    </row>
    <row r="7" spans="1:14" x14ac:dyDescent="0.4">
      <c r="L7" t="s">
        <v>35</v>
      </c>
      <c r="M7">
        <f>CONVERT(100, "pm", "m")</f>
        <v>1E-10</v>
      </c>
      <c r="N7" t="s">
        <v>36</v>
      </c>
    </row>
    <row r="8" spans="1:14" x14ac:dyDescent="0.4">
      <c r="L8" t="s">
        <v>37</v>
      </c>
      <c r="M8">
        <v>50</v>
      </c>
      <c r="N8" t="s">
        <v>38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014B-0CE4-49D8-8D94-DD8945EEE1C5}">
  <dimension ref="A1:N8"/>
  <sheetViews>
    <sheetView topLeftCell="A16" zoomScale="85" zoomScaleNormal="85" workbookViewId="0">
      <selection activeCell="J5" sqref="J5"/>
    </sheetView>
  </sheetViews>
  <sheetFormatPr defaultRowHeight="18.75" x14ac:dyDescent="0.4"/>
  <cols>
    <col min="1" max="1" width="9.5" bestFit="1" customWidth="1"/>
    <col min="8" max="8" width="17.875" customWidth="1"/>
    <col min="9" max="9" width="19.125" customWidth="1"/>
    <col min="10" max="10" width="22.25" bestFit="1" customWidth="1"/>
    <col min="12" max="12" width="14.375" bestFit="1" customWidth="1"/>
    <col min="13" max="13" width="11.625" bestFit="1" customWidth="1"/>
  </cols>
  <sheetData>
    <row r="1" spans="1:14" x14ac:dyDescent="0.4">
      <c r="A1" t="s">
        <v>32</v>
      </c>
    </row>
    <row r="2" spans="1:14" x14ac:dyDescent="0.4">
      <c r="A2" t="s">
        <v>30</v>
      </c>
      <c r="B2" t="s">
        <v>16</v>
      </c>
      <c r="C2" t="s">
        <v>15</v>
      </c>
      <c r="D2" t="s">
        <v>17</v>
      </c>
      <c r="E2" t="s">
        <v>18</v>
      </c>
      <c r="F2" t="s">
        <v>24</v>
      </c>
      <c r="G2" t="s">
        <v>41</v>
      </c>
      <c r="H2" t="s">
        <v>25</v>
      </c>
      <c r="I2" t="s">
        <v>31</v>
      </c>
      <c r="J2" t="s">
        <v>39</v>
      </c>
      <c r="L2" t="s">
        <v>11</v>
      </c>
      <c r="M2" s="5">
        <v>10000000</v>
      </c>
      <c r="N2" t="s">
        <v>12</v>
      </c>
    </row>
    <row r="3" spans="1:14" x14ac:dyDescent="0.4">
      <c r="A3" s="5">
        <v>10000000</v>
      </c>
      <c r="B3">
        <v>849</v>
      </c>
      <c r="C3">
        <v>91</v>
      </c>
      <c r="D3">
        <f>C3/B3</f>
        <v>0.1071849234393404</v>
      </c>
      <c r="E3">
        <f>D3/exp2_3_IN_FWD!E2</f>
        <v>1.0493404004711424</v>
      </c>
      <c r="F3">
        <v>-40</v>
      </c>
      <c r="G3">
        <f>CONVERT(1/A3, "s", "ns")</f>
        <v>100</v>
      </c>
      <c r="H3">
        <f>F3+G3/2</f>
        <v>10</v>
      </c>
      <c r="I3" s="5">
        <f>-H3/G3*2*PI()</f>
        <v>-0.62831853071795862</v>
      </c>
      <c r="J3" s="5">
        <f>-2*ATAN($M$8*2*A3*PI()*$M$7)</f>
        <v>-0.60879159472923017</v>
      </c>
      <c r="L3" t="s">
        <v>13</v>
      </c>
      <c r="M3" s="5">
        <f>CONVERT(1/M2, "s", "ns")</f>
        <v>100</v>
      </c>
      <c r="N3" t="s">
        <v>27</v>
      </c>
    </row>
    <row r="4" spans="1:14" x14ac:dyDescent="0.4">
      <c r="A4" s="5">
        <v>20000000</v>
      </c>
      <c r="B4">
        <v>625</v>
      </c>
      <c r="C4">
        <v>56.8</v>
      </c>
      <c r="D4">
        <f t="shared" ref="D4:D5" si="0">C4/B4</f>
        <v>9.0879999999999989E-2</v>
      </c>
      <c r="E4">
        <f>D4/exp2_3_IN_FWD!E3</f>
        <v>0.88971519999999982</v>
      </c>
      <c r="F4">
        <v>-15.2</v>
      </c>
      <c r="G4">
        <f t="shared" ref="G4:G6" si="1">CONVERT(1/A4, "s", "ns")</f>
        <v>50</v>
      </c>
      <c r="H4">
        <f t="shared" ref="H4:H5" si="2">F4+G4/2</f>
        <v>9.8000000000000007</v>
      </c>
      <c r="I4" s="5">
        <f t="shared" ref="I4:I5" si="3">-H4/G4*2*PI()</f>
        <v>-1.2315043202071989</v>
      </c>
      <c r="J4" s="5">
        <f>-2*ATAN($M$8*2*A4*PI()*$M$7)</f>
        <v>-1.1219642322172476</v>
      </c>
      <c r="L4" t="s">
        <v>23</v>
      </c>
      <c r="M4">
        <f>103/931</f>
        <v>0.11063372717508056</v>
      </c>
      <c r="N4" t="s">
        <v>28</v>
      </c>
    </row>
    <row r="5" spans="1:14" x14ac:dyDescent="0.4">
      <c r="A5" s="5">
        <v>50000000</v>
      </c>
      <c r="B5">
        <v>100</v>
      </c>
      <c r="C5">
        <v>7.5</v>
      </c>
      <c r="D5">
        <f t="shared" si="0"/>
        <v>7.4999999999999997E-2</v>
      </c>
      <c r="E5">
        <f>D5/exp2_3_IN_FWD!E4</f>
        <v>0.72051009564293311</v>
      </c>
      <c r="F5">
        <v>-2.2000000000000002</v>
      </c>
      <c r="G5">
        <f t="shared" si="1"/>
        <v>20</v>
      </c>
      <c r="H5">
        <f t="shared" si="2"/>
        <v>7.8</v>
      </c>
      <c r="I5" s="5">
        <f t="shared" si="3"/>
        <v>-2.4504422698000385</v>
      </c>
      <c r="J5" s="5">
        <f t="shared" ref="J5:J6" si="4">-2*ATAN($M$8*2*A5*PI()*$M$7)</f>
        <v>-2.0077696437077743</v>
      </c>
      <c r="L5" t="s">
        <v>26</v>
      </c>
      <c r="M5">
        <v>50</v>
      </c>
      <c r="N5" t="s">
        <v>27</v>
      </c>
    </row>
    <row r="6" spans="1:14" x14ac:dyDescent="0.4">
      <c r="A6" s="5">
        <v>100000000</v>
      </c>
      <c r="B6">
        <v>25</v>
      </c>
      <c r="C6">
        <v>1.25</v>
      </c>
      <c r="D6">
        <f>C6/B6</f>
        <v>0.05</v>
      </c>
      <c r="E6">
        <f>D6/exp2_3_IN_FWD!E5</f>
        <v>0.49013921113689091</v>
      </c>
      <c r="F6">
        <v>0.56000000000000005</v>
      </c>
      <c r="G6">
        <f t="shared" si="1"/>
        <v>10</v>
      </c>
      <c r="H6">
        <f>F6+G6/2</f>
        <v>5.5600000000000005</v>
      </c>
      <c r="I6" s="5">
        <f>-H6/G6*2*PI()</f>
        <v>-3.4934510307918503</v>
      </c>
      <c r="J6" s="5">
        <f t="shared" si="4"/>
        <v>-2.5252545113578235</v>
      </c>
      <c r="L6" t="s">
        <v>33</v>
      </c>
      <c r="M6">
        <f>CONVERT(0.22,"um", "m")</f>
        <v>2.1999999999999998E-7</v>
      </c>
      <c r="N6" t="s">
        <v>34</v>
      </c>
    </row>
    <row r="7" spans="1:14" x14ac:dyDescent="0.4">
      <c r="L7" t="s">
        <v>35</v>
      </c>
      <c r="M7">
        <f>CONVERT(100, "pm", "m")</f>
        <v>1E-10</v>
      </c>
      <c r="N7" t="s">
        <v>36</v>
      </c>
    </row>
    <row r="8" spans="1:14" x14ac:dyDescent="0.4">
      <c r="L8" t="s">
        <v>37</v>
      </c>
      <c r="M8">
        <v>50</v>
      </c>
      <c r="N8" t="s">
        <v>38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20EC-B124-4803-982B-804C2ADEB657}">
  <dimension ref="A1:O8"/>
  <sheetViews>
    <sheetView zoomScaleNormal="100" workbookViewId="0">
      <selection activeCell="J3" sqref="J3"/>
    </sheetView>
  </sheetViews>
  <sheetFormatPr defaultRowHeight="18.75" x14ac:dyDescent="0.4"/>
  <cols>
    <col min="1" max="1" width="9.5" bestFit="1" customWidth="1"/>
    <col min="8" max="8" width="17.875" customWidth="1"/>
    <col min="9" max="10" width="19.125" customWidth="1"/>
    <col min="11" max="11" width="22.25" bestFit="1" customWidth="1"/>
    <col min="13" max="13" width="14.375" bestFit="1" customWidth="1"/>
    <col min="14" max="14" width="11.625" bestFit="1" customWidth="1"/>
  </cols>
  <sheetData>
    <row r="1" spans="1:15" x14ac:dyDescent="0.4">
      <c r="A1" t="s">
        <v>32</v>
      </c>
    </row>
    <row r="2" spans="1:15" x14ac:dyDescent="0.4">
      <c r="A2" t="s">
        <v>30</v>
      </c>
      <c r="B2" t="s">
        <v>87</v>
      </c>
      <c r="C2" t="s">
        <v>88</v>
      </c>
      <c r="D2" t="s">
        <v>17</v>
      </c>
      <c r="E2" t="s">
        <v>18</v>
      </c>
      <c r="F2" t="s">
        <v>24</v>
      </c>
      <c r="G2" t="s">
        <v>41</v>
      </c>
      <c r="H2" t="s">
        <v>25</v>
      </c>
      <c r="I2" t="s">
        <v>31</v>
      </c>
      <c r="J2" t="s">
        <v>99</v>
      </c>
      <c r="K2" t="s">
        <v>39</v>
      </c>
      <c r="M2" t="s">
        <v>11</v>
      </c>
      <c r="N2" s="5">
        <v>10000000</v>
      </c>
      <c r="O2" t="s">
        <v>12</v>
      </c>
    </row>
    <row r="3" spans="1:15" x14ac:dyDescent="0.4">
      <c r="A3" s="5">
        <v>10000000</v>
      </c>
      <c r="B3">
        <v>941</v>
      </c>
      <c r="C3">
        <v>94.1</v>
      </c>
      <c r="D3">
        <f>C3/B3</f>
        <v>9.9999999999999992E-2</v>
      </c>
      <c r="E3">
        <f>D3/$N$4</f>
        <v>0.90388349514563093</v>
      </c>
      <c r="F3">
        <v>-40.4</v>
      </c>
      <c r="G3">
        <f>CONVERT(1/A3, "s", "ns")</f>
        <v>100</v>
      </c>
      <c r="H3">
        <f>F3+G3/2</f>
        <v>9.6000000000000014</v>
      </c>
      <c r="I3" s="5">
        <f>-H3/G3*2*PI()</f>
        <v>-0.6031857894892404</v>
      </c>
      <c r="J3" s="5">
        <f>-(F3-exp2_3_IN_FWD!F2+G3)/G3*2*PI()</f>
        <v>-0.60318578948923995</v>
      </c>
      <c r="K3" s="5">
        <f>-2*ATAN($N$8*2*A3*PI()*$N$7)</f>
        <v>-0.60879159472923017</v>
      </c>
      <c r="M3" t="s">
        <v>13</v>
      </c>
      <c r="N3" s="5">
        <f>CONVERT(1/N2, "s", "ns")</f>
        <v>100</v>
      </c>
      <c r="O3" t="s">
        <v>27</v>
      </c>
    </row>
    <row r="4" spans="1:15" x14ac:dyDescent="0.4">
      <c r="A4" s="5">
        <v>20000000</v>
      </c>
      <c r="B4">
        <v>941</v>
      </c>
      <c r="C4">
        <v>94.1</v>
      </c>
      <c r="D4">
        <f t="shared" ref="D4:D5" si="0">C4/B4</f>
        <v>9.9999999999999992E-2</v>
      </c>
      <c r="E4">
        <f t="shared" ref="E4:E7" si="1">D4/$N$4</f>
        <v>0.90388349514563093</v>
      </c>
      <c r="F4">
        <v>-14.4</v>
      </c>
      <c r="G4">
        <f t="shared" ref="G4:G5" si="2">CONVERT(1/A4, "s", "ns")</f>
        <v>50</v>
      </c>
      <c r="H4">
        <f t="shared" ref="H4:H7" si="3">F4+G4/2</f>
        <v>10.6</v>
      </c>
      <c r="I4" s="5">
        <f t="shared" ref="I4:I5" si="4">-H4/G4*2*PI()</f>
        <v>-1.3320352851220723</v>
      </c>
      <c r="J4" s="5">
        <f>-(F4-exp2_3_IN_FWD!F3+G4)/G4*2*PI()</f>
        <v>-1.281769802664636</v>
      </c>
      <c r="K4" s="5">
        <f t="shared" ref="K4:K5" si="5">-2*ATAN($N$8*2*A4*PI()*$N$7)</f>
        <v>-1.1219642322172476</v>
      </c>
      <c r="M4" t="s">
        <v>23</v>
      </c>
      <c r="N4">
        <f>103/931</f>
        <v>0.11063372717508056</v>
      </c>
      <c r="O4" t="s">
        <v>28</v>
      </c>
    </row>
    <row r="5" spans="1:15" x14ac:dyDescent="0.4">
      <c r="A5" s="5">
        <v>50000000</v>
      </c>
      <c r="B5">
        <v>912</v>
      </c>
      <c r="C5">
        <v>89.1</v>
      </c>
      <c r="D5">
        <f t="shared" si="0"/>
        <v>9.769736842105263E-2</v>
      </c>
      <c r="E5">
        <f t="shared" si="1"/>
        <v>0.88307038834951457</v>
      </c>
      <c r="F5" s="9">
        <v>-2</v>
      </c>
      <c r="G5">
        <f t="shared" si="2"/>
        <v>20</v>
      </c>
      <c r="H5">
        <f t="shared" si="3"/>
        <v>8</v>
      </c>
      <c r="I5" s="5">
        <f t="shared" si="4"/>
        <v>-2.5132741228718345</v>
      </c>
      <c r="J5" s="5">
        <f>-(F5-exp2_3_IN_FWD!F4+G5)/G5*2*PI()</f>
        <v>-2.3561944901923448</v>
      </c>
      <c r="K5" s="5">
        <f t="shared" si="5"/>
        <v>-2.0077696437077743</v>
      </c>
      <c r="M5" t="s">
        <v>26</v>
      </c>
      <c r="N5">
        <v>50</v>
      </c>
      <c r="O5" t="s">
        <v>27</v>
      </c>
    </row>
    <row r="6" spans="1:15" x14ac:dyDescent="0.4">
      <c r="A6" s="5">
        <v>70000000</v>
      </c>
      <c r="B6">
        <v>850</v>
      </c>
      <c r="C6">
        <v>83.3</v>
      </c>
      <c r="D6">
        <f t="shared" ref="D6:D7" si="6">C6/B6</f>
        <v>9.799999999999999E-2</v>
      </c>
      <c r="E6">
        <f t="shared" si="1"/>
        <v>0.88580582524271834</v>
      </c>
      <c r="F6">
        <v>-0.24</v>
      </c>
      <c r="G6">
        <f>CONVERT(1/A6, "s", "ns")</f>
        <v>14.285714285714286</v>
      </c>
      <c r="H6">
        <f t="shared" si="3"/>
        <v>6.902857142857143</v>
      </c>
      <c r="I6" s="5">
        <f t="shared" ref="I6" si="7">-H6/G6*2*PI()</f>
        <v>-3.0360351404291759</v>
      </c>
      <c r="J6" s="5">
        <f>-(F6-exp2_3_IN_FWD!F5+G6)/G6*2*PI()</f>
        <v>-2.8349732105994296</v>
      </c>
      <c r="K6" s="5">
        <f t="shared" ref="K6" si="8">-2*ATAN($N$8*2*A6*PI()*$N$7)</f>
        <v>-2.2880344352386657</v>
      </c>
      <c r="M6" t="s">
        <v>33</v>
      </c>
      <c r="N6">
        <f>CONVERT(0.22,"um", "m")</f>
        <v>2.1999999999999998E-7</v>
      </c>
      <c r="O6" t="s">
        <v>34</v>
      </c>
    </row>
    <row r="7" spans="1:15" x14ac:dyDescent="0.4">
      <c r="A7" s="5">
        <v>100000000</v>
      </c>
      <c r="B7">
        <v>762</v>
      </c>
      <c r="C7">
        <v>72.900000000000006</v>
      </c>
      <c r="D7">
        <f t="shared" si="6"/>
        <v>9.5669291338582679E-2</v>
      </c>
      <c r="E7">
        <f t="shared" si="1"/>
        <v>0.86473893433223759</v>
      </c>
      <c r="F7">
        <v>0.64</v>
      </c>
      <c r="G7">
        <f>CONVERT(1/A7, "s", "ns")</f>
        <v>10</v>
      </c>
      <c r="H7">
        <f t="shared" si="3"/>
        <v>5.64</v>
      </c>
      <c r="I7" s="5">
        <f>-H7/G7*2*PI()</f>
        <v>-3.5437165132492865</v>
      </c>
      <c r="J7" s="5">
        <f>-(F7-exp2_3_IN_FWD!F6+G7)/G7*2*PI()</f>
        <v>-3.242123618504666</v>
      </c>
      <c r="K7" s="5">
        <f>-2*ATAN($N$8*2*A7*PI()*$N$7)</f>
        <v>-2.5252545113578235</v>
      </c>
      <c r="M7" t="s">
        <v>35</v>
      </c>
      <c r="N7">
        <f>CONVERT(100, "pm", "m")</f>
        <v>1E-10</v>
      </c>
      <c r="O7" t="s">
        <v>36</v>
      </c>
    </row>
    <row r="8" spans="1:15" x14ac:dyDescent="0.4">
      <c r="M8" t="s">
        <v>37</v>
      </c>
      <c r="N8">
        <v>50</v>
      </c>
      <c r="O8" t="s">
        <v>38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A50A-57E1-464A-A84D-CAFD8C9AFBB9}">
  <dimension ref="A1:N41"/>
  <sheetViews>
    <sheetView tabSelected="1" zoomScaleNormal="100" workbookViewId="0">
      <selection activeCell="I2" sqref="I2"/>
    </sheetView>
  </sheetViews>
  <sheetFormatPr defaultRowHeight="18.75" x14ac:dyDescent="0.4"/>
  <cols>
    <col min="1" max="1" width="9.5" bestFit="1" customWidth="1"/>
    <col min="2" max="2" width="11" bestFit="1" customWidth="1"/>
    <col min="3" max="3" width="15.125" bestFit="1" customWidth="1"/>
    <col min="4" max="4" width="16" bestFit="1" customWidth="1"/>
    <col min="5" max="5" width="16.25" bestFit="1" customWidth="1"/>
    <col min="6" max="6" width="16.25" customWidth="1"/>
    <col min="7" max="7" width="10.875" customWidth="1"/>
    <col min="8" max="9" width="16.25" customWidth="1"/>
    <col min="11" max="11" width="10.25" bestFit="1" customWidth="1"/>
    <col min="12" max="12" width="11.125" bestFit="1" customWidth="1"/>
    <col min="13" max="13" width="12.375" bestFit="1" customWidth="1"/>
  </cols>
  <sheetData>
    <row r="1" spans="1:14" x14ac:dyDescent="0.4">
      <c r="A1" t="s">
        <v>30</v>
      </c>
      <c r="B1" t="s">
        <v>42</v>
      </c>
      <c r="C1" t="s">
        <v>0</v>
      </c>
      <c r="D1" t="s">
        <v>47</v>
      </c>
      <c r="E1" t="s">
        <v>76</v>
      </c>
      <c r="F1" t="s">
        <v>74</v>
      </c>
      <c r="G1" t="s">
        <v>44</v>
      </c>
      <c r="H1" t="s">
        <v>78</v>
      </c>
      <c r="I1" t="s">
        <v>77</v>
      </c>
    </row>
    <row r="2" spans="1:14" x14ac:dyDescent="0.4">
      <c r="A2" s="5">
        <v>10000000</v>
      </c>
      <c r="B2">
        <f>CONVERT(A2, "m", "Mm")</f>
        <v>10</v>
      </c>
      <c r="C2">
        <v>3.72</v>
      </c>
      <c r="D2">
        <v>-6.39</v>
      </c>
      <c r="E2">
        <f>D2+$M$3</f>
        <v>-0.38999999999999968</v>
      </c>
      <c r="F2" s="5">
        <f>A2*2*PI()</f>
        <v>62831853.071795866</v>
      </c>
      <c r="G2" s="5">
        <f>ABS(F2*$M$4-1/(F2*$M$5))</f>
        <v>5291.3417620540495</v>
      </c>
      <c r="H2" s="5">
        <f>2*G2/(2*G2+$M$2)</f>
        <v>0.9952975182712217</v>
      </c>
      <c r="I2" s="5">
        <f>10*LOG10(H2)</f>
        <v>-2.0470788226473767E-2</v>
      </c>
      <c r="K2" t="s">
        <v>43</v>
      </c>
      <c r="L2" t="s">
        <v>44</v>
      </c>
      <c r="M2">
        <v>50</v>
      </c>
      <c r="N2" t="s">
        <v>38</v>
      </c>
    </row>
    <row r="3" spans="1:14" x14ac:dyDescent="0.4">
      <c r="A3" s="5">
        <v>20000000</v>
      </c>
      <c r="B3">
        <f t="shared" ref="B3:B41" si="0">CONVERT(A3, "m", "Mm")</f>
        <v>20</v>
      </c>
      <c r="C3">
        <v>3.75</v>
      </c>
      <c r="D3">
        <v>-6.43</v>
      </c>
      <c r="E3">
        <f>D3+$M$3</f>
        <v>-0.42999999999999972</v>
      </c>
      <c r="F3" s="5">
        <f t="shared" ref="F3:F41" si="1">A3*2*PI()</f>
        <v>125663706.14359173</v>
      </c>
      <c r="G3" s="5">
        <f t="shared" ref="G3:G41" si="2">ABS(F3*$M$4-1/(F3*$M$5))</f>
        <v>2624.9363695133325</v>
      </c>
      <c r="H3" s="5">
        <f>2*G3/(2*G3+$M$2)</f>
        <v>0.99056581120678333</v>
      </c>
      <c r="I3">
        <f t="shared" ref="I3:I41" si="3">20*LOG10(H3)</f>
        <v>-8.2333310242444377E-2</v>
      </c>
      <c r="L3" t="s">
        <v>45</v>
      </c>
      <c r="M3">
        <v>6</v>
      </c>
      <c r="N3" t="s">
        <v>46</v>
      </c>
    </row>
    <row r="4" spans="1:14" x14ac:dyDescent="0.4">
      <c r="A4" s="5">
        <v>30000000</v>
      </c>
      <c r="B4">
        <f t="shared" si="0"/>
        <v>30</v>
      </c>
      <c r="C4">
        <v>3.74</v>
      </c>
      <c r="D4">
        <v>-6.47</v>
      </c>
      <c r="E4">
        <f t="shared" ref="E4:E41" si="4">D4+$M$3</f>
        <v>-0.46999999999999975</v>
      </c>
      <c r="F4" s="5">
        <f t="shared" si="1"/>
        <v>188495559.21538758</v>
      </c>
      <c r="G4" s="5">
        <f t="shared" si="2"/>
        <v>1726.9192335492298</v>
      </c>
      <c r="H4" s="5">
        <f t="shared" ref="H3:H41" si="5">2*G4/(2*G4+$M$2)</f>
        <v>0.98572993576344714</v>
      </c>
      <c r="I4">
        <f t="shared" si="3"/>
        <v>-0.12484108196825447</v>
      </c>
      <c r="K4" t="s">
        <v>48</v>
      </c>
      <c r="L4" t="s">
        <v>33</v>
      </c>
      <c r="M4">
        <f>CONVERT(0.22,"um","m")</f>
        <v>2.1999999999999998E-7</v>
      </c>
      <c r="N4" t="s">
        <v>34</v>
      </c>
    </row>
    <row r="5" spans="1:14" x14ac:dyDescent="0.4">
      <c r="A5" s="5">
        <v>40000000</v>
      </c>
      <c r="B5">
        <f t="shared" si="0"/>
        <v>40</v>
      </c>
      <c r="C5">
        <v>3.75</v>
      </c>
      <c r="D5">
        <v>-6.52</v>
      </c>
      <c r="E5">
        <f t="shared" si="4"/>
        <v>-0.51999999999999957</v>
      </c>
      <c r="F5" s="5">
        <f t="shared" si="1"/>
        <v>251327412.28718346</v>
      </c>
      <c r="G5" s="5">
        <f t="shared" si="2"/>
        <v>1270.9991617292808</v>
      </c>
      <c r="H5" s="5">
        <f t="shared" si="5"/>
        <v>0.98070986406608329</v>
      </c>
      <c r="I5">
        <f t="shared" si="3"/>
        <v>-0.16918913011795889</v>
      </c>
      <c r="L5" t="s">
        <v>35</v>
      </c>
      <c r="M5">
        <f>CONVERT(3, "pm", "m")</f>
        <v>3.0000000000000001E-12</v>
      </c>
      <c r="N5" t="s">
        <v>36</v>
      </c>
    </row>
    <row r="6" spans="1:14" x14ac:dyDescent="0.4">
      <c r="A6" s="5">
        <v>50000000</v>
      </c>
      <c r="B6">
        <f t="shared" si="0"/>
        <v>50</v>
      </c>
      <c r="C6">
        <v>3.79</v>
      </c>
      <c r="D6">
        <v>-6.57</v>
      </c>
      <c r="E6">
        <f t="shared" si="4"/>
        <v>-0.57000000000000028</v>
      </c>
      <c r="F6" s="5">
        <f t="shared" si="1"/>
        <v>314159265.35897928</v>
      </c>
      <c r="G6" s="5">
        <f t="shared" si="2"/>
        <v>991.91791556699354</v>
      </c>
      <c r="H6" s="5">
        <f t="shared" si="5"/>
        <v>0.97541591153297658</v>
      </c>
      <c r="I6">
        <f t="shared" si="3"/>
        <v>-0.21620328461618166</v>
      </c>
      <c r="L6" t="s">
        <v>49</v>
      </c>
      <c r="M6">
        <f>1/(2*PI()*SQRT(M4*M5))</f>
        <v>195906192.41912252</v>
      </c>
      <c r="N6" t="s">
        <v>12</v>
      </c>
    </row>
    <row r="7" spans="1:14" x14ac:dyDescent="0.4">
      <c r="A7" s="5">
        <v>60000000</v>
      </c>
      <c r="B7">
        <f t="shared" si="0"/>
        <v>60</v>
      </c>
      <c r="C7">
        <v>3.82</v>
      </c>
      <c r="D7">
        <v>-6.63</v>
      </c>
      <c r="E7">
        <f t="shared" si="4"/>
        <v>-0.62999999999999989</v>
      </c>
      <c r="F7" s="5">
        <f t="shared" si="1"/>
        <v>376991118.43077517</v>
      </c>
      <c r="G7" s="5">
        <f t="shared" si="2"/>
        <v>801.25608223353697</v>
      </c>
      <c r="H7" s="5">
        <f t="shared" si="5"/>
        <v>0.96974303664740358</v>
      </c>
      <c r="I7">
        <f>20*LOG10(H7)</f>
        <v>-0.26686660437437532</v>
      </c>
      <c r="M7">
        <f>CONVERT(M6, "m", "Mm")</f>
        <v>195.9061924191225</v>
      </c>
      <c r="N7" t="s">
        <v>50</v>
      </c>
    </row>
    <row r="8" spans="1:14" x14ac:dyDescent="0.4">
      <c r="A8" s="5">
        <v>70000000</v>
      </c>
      <c r="B8">
        <f t="shared" si="0"/>
        <v>70</v>
      </c>
      <c r="C8">
        <v>3.84</v>
      </c>
      <c r="D8">
        <v>-6.69</v>
      </c>
      <c r="E8">
        <f t="shared" si="4"/>
        <v>-0.69000000000000039</v>
      </c>
      <c r="F8" s="5">
        <f t="shared" si="1"/>
        <v>439822971.50257105</v>
      </c>
      <c r="G8" s="5">
        <f t="shared" si="2"/>
        <v>661.11962765941212</v>
      </c>
      <c r="H8" s="5">
        <f t="shared" si="5"/>
        <v>0.96356320531846096</v>
      </c>
      <c r="I8">
        <f t="shared" si="3"/>
        <v>-0.32239584703663499</v>
      </c>
    </row>
    <row r="9" spans="1:14" x14ac:dyDescent="0.4">
      <c r="A9" s="5">
        <v>80000000</v>
      </c>
      <c r="B9">
        <f t="shared" si="0"/>
        <v>80</v>
      </c>
      <c r="C9">
        <v>3.87</v>
      </c>
      <c r="D9">
        <v>-6.74</v>
      </c>
      <c r="E9">
        <f t="shared" si="4"/>
        <v>-0.74000000000000021</v>
      </c>
      <c r="F9" s="5">
        <f t="shared" si="1"/>
        <v>502654824.57436693</v>
      </c>
      <c r="G9" s="5">
        <f t="shared" si="2"/>
        <v>552.56153480986995</v>
      </c>
      <c r="H9" s="5">
        <f t="shared" si="5"/>
        <v>0.95671456893639939</v>
      </c>
      <c r="I9">
        <f t="shared" si="3"/>
        <v>-0.38435225022369246</v>
      </c>
    </row>
    <row r="10" spans="1:14" x14ac:dyDescent="0.4">
      <c r="A10" s="5">
        <v>90000000</v>
      </c>
      <c r="B10">
        <f t="shared" si="0"/>
        <v>90</v>
      </c>
      <c r="C10">
        <v>3.88</v>
      </c>
      <c r="D10">
        <v>-6.79</v>
      </c>
      <c r="E10">
        <f t="shared" si="4"/>
        <v>-0.79</v>
      </c>
      <c r="F10" s="5">
        <f t="shared" si="1"/>
        <v>565486677.64616275</v>
      </c>
      <c r="G10" s="5">
        <f t="shared" si="2"/>
        <v>465.05568311004913</v>
      </c>
      <c r="H10" s="5">
        <f t="shared" si="5"/>
        <v>0.94898538908610941</v>
      </c>
      <c r="I10">
        <f t="shared" si="3"/>
        <v>-0.45480948144627109</v>
      </c>
    </row>
    <row r="11" spans="1:14" x14ac:dyDescent="0.4">
      <c r="A11" s="5">
        <v>100000000</v>
      </c>
      <c r="B11">
        <f t="shared" si="0"/>
        <v>100</v>
      </c>
      <c r="C11">
        <v>3.87</v>
      </c>
      <c r="D11">
        <v>-6.84</v>
      </c>
      <c r="E11">
        <f t="shared" si="4"/>
        <v>-0.83999999999999986</v>
      </c>
      <c r="F11" s="5">
        <f t="shared" si="1"/>
        <v>628318530.71795857</v>
      </c>
      <c r="G11" s="5">
        <f t="shared" si="2"/>
        <v>392.28640021503361</v>
      </c>
      <c r="H11" s="5">
        <f t="shared" si="5"/>
        <v>0.94008910909361731</v>
      </c>
      <c r="I11">
        <f t="shared" si="3"/>
        <v>-0.53661957154941642</v>
      </c>
    </row>
    <row r="12" spans="1:14" x14ac:dyDescent="0.4">
      <c r="A12" s="5">
        <v>110000000</v>
      </c>
      <c r="B12">
        <f t="shared" si="0"/>
        <v>110</v>
      </c>
      <c r="C12">
        <v>3.86</v>
      </c>
      <c r="D12">
        <v>-6.89</v>
      </c>
      <c r="E12">
        <f t="shared" si="4"/>
        <v>-0.88999999999999968</v>
      </c>
      <c r="F12" s="5">
        <f t="shared" si="1"/>
        <v>691150383.78975451</v>
      </c>
      <c r="G12" s="5">
        <f t="shared" si="2"/>
        <v>330.23462190533081</v>
      </c>
      <c r="H12" s="5">
        <f t="shared" si="5"/>
        <v>0.9296239767793173</v>
      </c>
      <c r="I12">
        <f t="shared" si="3"/>
        <v>-0.63385367048915842</v>
      </c>
    </row>
    <row r="13" spans="1:14" x14ac:dyDescent="0.4">
      <c r="A13" s="5">
        <v>120000000</v>
      </c>
      <c r="B13">
        <f t="shared" si="0"/>
        <v>120</v>
      </c>
      <c r="C13">
        <v>3.85</v>
      </c>
      <c r="D13">
        <v>-6.95</v>
      </c>
      <c r="E13">
        <f t="shared" si="4"/>
        <v>-0.95000000000000018</v>
      </c>
      <c r="F13" s="5">
        <f t="shared" si="1"/>
        <v>753982236.86155033</v>
      </c>
      <c r="G13" s="5">
        <f t="shared" si="2"/>
        <v>276.22097203461271</v>
      </c>
      <c r="H13" s="5">
        <f t="shared" si="5"/>
        <v>0.91700445081517334</v>
      </c>
      <c r="I13">
        <f t="shared" si="3"/>
        <v>-0.75257112826198191</v>
      </c>
    </row>
    <row r="14" spans="1:14" x14ac:dyDescent="0.4">
      <c r="A14" s="5">
        <v>130000000</v>
      </c>
      <c r="B14">
        <f t="shared" si="0"/>
        <v>130</v>
      </c>
      <c r="C14">
        <v>3.82</v>
      </c>
      <c r="D14">
        <v>-7.01</v>
      </c>
      <c r="E14">
        <f t="shared" si="4"/>
        <v>-1.0099999999999998</v>
      </c>
      <c r="F14" s="5">
        <f t="shared" si="1"/>
        <v>816814089.93334615</v>
      </c>
      <c r="G14" s="5">
        <f t="shared" si="2"/>
        <v>228.39049788619045</v>
      </c>
      <c r="H14" s="5">
        <f t="shared" si="5"/>
        <v>0.9013380524978144</v>
      </c>
      <c r="I14">
        <f t="shared" si="3"/>
        <v>-0.90224587189193373</v>
      </c>
    </row>
    <row r="15" spans="1:14" x14ac:dyDescent="0.4">
      <c r="A15" s="5">
        <v>140000000</v>
      </c>
      <c r="B15">
        <f t="shared" si="0"/>
        <v>140</v>
      </c>
      <c r="C15">
        <v>3.79</v>
      </c>
      <c r="D15">
        <v>-7.12</v>
      </c>
      <c r="E15">
        <f t="shared" si="4"/>
        <v>-1.1200000000000001</v>
      </c>
      <c r="F15" s="5">
        <f t="shared" si="1"/>
        <v>879645943.00514209</v>
      </c>
      <c r="G15" s="5">
        <f t="shared" si="2"/>
        <v>185.41823323385765</v>
      </c>
      <c r="H15" s="5">
        <f t="shared" si="5"/>
        <v>0.88118900336828154</v>
      </c>
      <c r="I15">
        <f t="shared" si="3"/>
        <v>-1.0986186236681126</v>
      </c>
    </row>
    <row r="16" spans="1:14" x14ac:dyDescent="0.4">
      <c r="A16" s="5">
        <v>150000000</v>
      </c>
      <c r="B16">
        <f t="shared" si="0"/>
        <v>150</v>
      </c>
      <c r="C16">
        <v>3.75</v>
      </c>
      <c r="D16">
        <v>-7.35</v>
      </c>
      <c r="E16">
        <f t="shared" si="4"/>
        <v>-1.3499999999999996</v>
      </c>
      <c r="F16" s="5">
        <f t="shared" si="1"/>
        <v>942477796.07693791</v>
      </c>
      <c r="G16" s="5">
        <f t="shared" si="2"/>
        <v>146.33253617839665</v>
      </c>
      <c r="H16" s="5">
        <f t="shared" si="5"/>
        <v>0.85408492422029381</v>
      </c>
      <c r="I16">
        <f t="shared" si="3"/>
        <v>-1.3699788792750989</v>
      </c>
    </row>
    <row r="17" spans="1:9" x14ac:dyDescent="0.4">
      <c r="A17" s="5">
        <v>160000000</v>
      </c>
      <c r="B17">
        <f t="shared" si="0"/>
        <v>160</v>
      </c>
      <c r="C17">
        <v>3.73</v>
      </c>
      <c r="D17">
        <v>-7.82</v>
      </c>
      <c r="E17">
        <f t="shared" si="4"/>
        <v>-1.8200000000000003</v>
      </c>
      <c r="F17" s="5">
        <f t="shared" si="1"/>
        <v>1005309649.1487339</v>
      </c>
      <c r="G17" s="5">
        <f t="shared" si="2"/>
        <v>110.40467529539387</v>
      </c>
      <c r="H17" s="5">
        <f t="shared" si="5"/>
        <v>0.81536826593719225</v>
      </c>
      <c r="I17">
        <f t="shared" si="3"/>
        <v>-1.7729239051768251</v>
      </c>
    </row>
    <row r="18" spans="1:9" x14ac:dyDescent="0.4">
      <c r="A18" s="5">
        <v>170000000</v>
      </c>
      <c r="B18">
        <f t="shared" si="0"/>
        <v>170</v>
      </c>
      <c r="C18">
        <v>3.78</v>
      </c>
      <c r="D18">
        <v>-8.77</v>
      </c>
      <c r="E18">
        <f t="shared" si="4"/>
        <v>-2.7699999999999996</v>
      </c>
      <c r="F18" s="5">
        <f t="shared" si="1"/>
        <v>1068141502.2205297</v>
      </c>
      <c r="G18" s="5">
        <f t="shared" si="2"/>
        <v>77.077385377944921</v>
      </c>
      <c r="H18" s="5">
        <f t="shared" si="5"/>
        <v>0.7550877708374224</v>
      </c>
      <c r="I18">
        <f t="shared" si="3"/>
        <v>-2.4400512674201518</v>
      </c>
    </row>
    <row r="19" spans="1:9" x14ac:dyDescent="0.4">
      <c r="A19" s="5">
        <v>180000000</v>
      </c>
      <c r="B19">
        <f t="shared" si="0"/>
        <v>180</v>
      </c>
      <c r="C19">
        <v>3.89</v>
      </c>
      <c r="D19">
        <v>-10.220000000000001</v>
      </c>
      <c r="E19">
        <f t="shared" si="4"/>
        <v>-4.2200000000000006</v>
      </c>
      <c r="F19" s="5">
        <f t="shared" si="1"/>
        <v>1130973355.2923255</v>
      </c>
      <c r="G19" s="5">
        <f t="shared" si="2"/>
        <v>45.917237931790851</v>
      </c>
      <c r="H19" s="5">
        <f t="shared" si="5"/>
        <v>0.64747640025059439</v>
      </c>
      <c r="I19">
        <f t="shared" si="3"/>
        <v>-3.7755211295743734</v>
      </c>
    </row>
    <row r="20" spans="1:9" x14ac:dyDescent="0.4">
      <c r="A20" s="5">
        <v>190000000</v>
      </c>
      <c r="B20">
        <f t="shared" si="0"/>
        <v>190</v>
      </c>
      <c r="C20">
        <v>4</v>
      </c>
      <c r="D20">
        <v>-11.28</v>
      </c>
      <c r="E20">
        <f t="shared" si="4"/>
        <v>-5.2799999999999994</v>
      </c>
      <c r="F20" s="5">
        <f t="shared" si="1"/>
        <v>1193805208.3641214</v>
      </c>
      <c r="G20" s="5">
        <f t="shared" si="2"/>
        <v>16.582052566727214</v>
      </c>
      <c r="H20" s="5">
        <f t="shared" si="5"/>
        <v>0.39877907758684583</v>
      </c>
      <c r="I20">
        <f t="shared" si="3"/>
        <v>-7.9853527106651825</v>
      </c>
    </row>
    <row r="21" spans="1:9" x14ac:dyDescent="0.4">
      <c r="A21" s="5">
        <v>200000000</v>
      </c>
      <c r="B21">
        <f t="shared" si="0"/>
        <v>200</v>
      </c>
      <c r="C21">
        <v>4.05</v>
      </c>
      <c r="D21">
        <v>-11.29</v>
      </c>
      <c r="E21">
        <f t="shared" si="4"/>
        <v>-5.2899999999999991</v>
      </c>
      <c r="F21" s="5">
        <f t="shared" si="1"/>
        <v>1256637061.4359171</v>
      </c>
      <c r="G21" s="5">
        <f t="shared" si="2"/>
        <v>11.20191502940952</v>
      </c>
      <c r="H21" s="5">
        <f t="shared" si="5"/>
        <v>0.30942879735255352</v>
      </c>
      <c r="I21">
        <f t="shared" si="3"/>
        <v>-10.188785412647576</v>
      </c>
    </row>
    <row r="22" spans="1:9" x14ac:dyDescent="0.4">
      <c r="A22" s="5">
        <v>210000000</v>
      </c>
      <c r="B22">
        <f t="shared" si="0"/>
        <v>210</v>
      </c>
      <c r="C22">
        <v>4.04</v>
      </c>
      <c r="D22">
        <v>-10.82</v>
      </c>
      <c r="E22">
        <f t="shared" si="4"/>
        <v>-4.82</v>
      </c>
      <c r="F22" s="5">
        <f t="shared" si="1"/>
        <v>1319468914.5077131</v>
      </c>
      <c r="G22" s="5">
        <f t="shared" si="2"/>
        <v>37.656267395037588</v>
      </c>
      <c r="H22" s="5">
        <f t="shared" si="5"/>
        <v>0.60099761700806309</v>
      </c>
      <c r="I22">
        <f t="shared" si="3"/>
        <v>-4.422544999955206</v>
      </c>
    </row>
    <row r="23" spans="1:9" x14ac:dyDescent="0.4">
      <c r="A23" s="5">
        <v>220000000</v>
      </c>
      <c r="B23">
        <f t="shared" si="0"/>
        <v>220</v>
      </c>
      <c r="C23">
        <v>4.01</v>
      </c>
      <c r="D23">
        <v>-10.35</v>
      </c>
      <c r="E23">
        <f t="shared" si="4"/>
        <v>-4.3499999999999996</v>
      </c>
      <c r="F23" s="5">
        <f t="shared" si="1"/>
        <v>1382300767.579509</v>
      </c>
      <c r="G23" s="5">
        <f t="shared" si="2"/>
        <v>62.962315697953585</v>
      </c>
      <c r="H23" s="5">
        <f t="shared" si="5"/>
        <v>0.7157873823394395</v>
      </c>
      <c r="I23">
        <f t="shared" si="3"/>
        <v>-2.9043192295281002</v>
      </c>
    </row>
    <row r="24" spans="1:9" x14ac:dyDescent="0.4">
      <c r="A24" s="5">
        <v>230000000</v>
      </c>
      <c r="B24">
        <f t="shared" si="0"/>
        <v>230</v>
      </c>
      <c r="C24">
        <v>3.96</v>
      </c>
      <c r="D24">
        <v>-9.9499999999999993</v>
      </c>
      <c r="E24">
        <f t="shared" si="4"/>
        <v>-3.9499999999999993</v>
      </c>
      <c r="F24" s="5">
        <f t="shared" si="1"/>
        <v>1445132620.6513047</v>
      </c>
      <c r="G24" s="5">
        <f t="shared" si="2"/>
        <v>87.269838728945928</v>
      </c>
      <c r="H24" s="5">
        <f t="shared" si="5"/>
        <v>0.7773222061861359</v>
      </c>
      <c r="I24">
        <f t="shared" si="3"/>
        <v>-2.1879785078136158</v>
      </c>
    </row>
    <row r="25" spans="1:9" x14ac:dyDescent="0.4">
      <c r="A25" s="5">
        <v>240000000</v>
      </c>
      <c r="B25">
        <f t="shared" si="0"/>
        <v>240</v>
      </c>
      <c r="C25">
        <v>3.9</v>
      </c>
      <c r="D25">
        <v>-9.6300000000000008</v>
      </c>
      <c r="E25">
        <f t="shared" si="4"/>
        <v>-3.6300000000000008</v>
      </c>
      <c r="F25" s="5">
        <f t="shared" si="1"/>
        <v>1507964473.7231007</v>
      </c>
      <c r="G25" s="5">
        <f t="shared" si="2"/>
        <v>110.70365214700522</v>
      </c>
      <c r="H25" s="5">
        <f t="shared" si="5"/>
        <v>0.81577503917935845</v>
      </c>
      <c r="I25">
        <f t="shared" si="3"/>
        <v>-1.7685917443527777</v>
      </c>
    </row>
    <row r="26" spans="1:9" x14ac:dyDescent="0.4">
      <c r="A26" s="5">
        <v>250000000</v>
      </c>
      <c r="B26">
        <f t="shared" si="0"/>
        <v>250</v>
      </c>
      <c r="C26">
        <v>3.83</v>
      </c>
      <c r="D26">
        <v>-9.39</v>
      </c>
      <c r="E26">
        <f t="shared" si="4"/>
        <v>-3.3900000000000006</v>
      </c>
      <c r="F26" s="5">
        <f t="shared" si="1"/>
        <v>1570796326.7948966</v>
      </c>
      <c r="G26" s="5">
        <f t="shared" si="2"/>
        <v>133.36860110568341</v>
      </c>
      <c r="H26" s="5">
        <f t="shared" si="5"/>
        <v>0.8421404254034115</v>
      </c>
      <c r="I26">
        <f t="shared" si="3"/>
        <v>-1.4923096927412884</v>
      </c>
    </row>
    <row r="27" spans="1:9" x14ac:dyDescent="0.4">
      <c r="A27" s="5">
        <v>260000000</v>
      </c>
      <c r="B27">
        <f t="shared" si="0"/>
        <v>260</v>
      </c>
      <c r="C27">
        <v>3.76</v>
      </c>
      <c r="D27">
        <v>-9.1999999999999993</v>
      </c>
      <c r="E27">
        <f t="shared" si="4"/>
        <v>-3.1999999999999993</v>
      </c>
      <c r="F27" s="5">
        <f t="shared" si="1"/>
        <v>1633628179.8666923</v>
      </c>
      <c r="G27" s="5">
        <f t="shared" si="2"/>
        <v>155.35340073490897</v>
      </c>
      <c r="H27" s="5">
        <f t="shared" si="5"/>
        <v>0.86138326253827591</v>
      </c>
      <c r="I27">
        <f t="shared" si="3"/>
        <v>-1.2960714245793308</v>
      </c>
    </row>
    <row r="28" spans="1:9" x14ac:dyDescent="0.4">
      <c r="A28" s="5">
        <v>270000000</v>
      </c>
      <c r="B28">
        <f t="shared" si="0"/>
        <v>270</v>
      </c>
      <c r="C28">
        <v>3.68</v>
      </c>
      <c r="D28">
        <v>-9.0299999999999994</v>
      </c>
      <c r="E28">
        <f t="shared" si="4"/>
        <v>-3.0299999999999994</v>
      </c>
      <c r="F28" s="5">
        <f t="shared" si="1"/>
        <v>1696460032.9384882</v>
      </c>
      <c r="G28" s="5">
        <f t="shared" si="2"/>
        <v>176.73362318239904</v>
      </c>
      <c r="H28" s="5">
        <f t="shared" si="5"/>
        <v>0.87607420317139673</v>
      </c>
      <c r="I28">
        <f t="shared" si="3"/>
        <v>-1.149182153737192</v>
      </c>
    </row>
    <row r="29" spans="1:9" x14ac:dyDescent="0.4">
      <c r="A29" s="5">
        <v>280000000</v>
      </c>
      <c r="B29">
        <f t="shared" si="0"/>
        <v>280</v>
      </c>
      <c r="C29">
        <v>3.61</v>
      </c>
      <c r="D29">
        <v>-8.8800000000000008</v>
      </c>
      <c r="E29">
        <f t="shared" si="4"/>
        <v>-2.8800000000000008</v>
      </c>
      <c r="F29" s="5">
        <f t="shared" si="1"/>
        <v>1759291886.0102842</v>
      </c>
      <c r="G29" s="5">
        <f t="shared" si="2"/>
        <v>197.57404457476804</v>
      </c>
      <c r="H29" s="5">
        <f t="shared" si="5"/>
        <v>0.8876778285277469</v>
      </c>
      <c r="I29">
        <f t="shared" si="3"/>
        <v>-1.0348925465938206</v>
      </c>
    </row>
    <row r="30" spans="1:9" x14ac:dyDescent="0.4">
      <c r="A30" s="5">
        <v>290000000</v>
      </c>
      <c r="B30">
        <f t="shared" si="0"/>
        <v>290</v>
      </c>
      <c r="C30">
        <v>3.54</v>
      </c>
      <c r="D30">
        <v>-8.73</v>
      </c>
      <c r="E30">
        <f t="shared" si="4"/>
        <v>-2.7300000000000004</v>
      </c>
      <c r="F30" s="5">
        <f t="shared" si="1"/>
        <v>1822123739.0820801</v>
      </c>
      <c r="G30" s="5">
        <f t="shared" si="2"/>
        <v>217.93050640047676</v>
      </c>
      <c r="H30" s="5">
        <f t="shared" si="5"/>
        <v>0.89708991114196712</v>
      </c>
      <c r="I30">
        <f t="shared" si="3"/>
        <v>-0.94328054924173954</v>
      </c>
    </row>
    <row r="31" spans="1:9" x14ac:dyDescent="0.4">
      <c r="A31" s="5">
        <v>300000000</v>
      </c>
      <c r="B31">
        <f t="shared" si="0"/>
        <v>300</v>
      </c>
      <c r="C31">
        <v>3.46</v>
      </c>
      <c r="D31">
        <v>-8.59</v>
      </c>
      <c r="E31">
        <f t="shared" si="4"/>
        <v>-2.59</v>
      </c>
      <c r="F31" s="5">
        <f t="shared" si="1"/>
        <v>1884955592.1538758</v>
      </c>
      <c r="G31" s="5">
        <f t="shared" si="2"/>
        <v>237.85140461619116</v>
      </c>
      <c r="H31" s="5">
        <f t="shared" si="5"/>
        <v>0.90488922805451855</v>
      </c>
      <c r="I31">
        <f t="shared" si="3"/>
        <v>-0.86809163333458461</v>
      </c>
    </row>
    <row r="32" spans="1:9" x14ac:dyDescent="0.4">
      <c r="A32" s="5">
        <v>310000000</v>
      </c>
      <c r="B32">
        <f t="shared" si="0"/>
        <v>310</v>
      </c>
      <c r="C32">
        <v>3.41</v>
      </c>
      <c r="D32">
        <v>-8.4499999999999993</v>
      </c>
      <c r="E32">
        <f t="shared" si="4"/>
        <v>-2.4499999999999993</v>
      </c>
      <c r="F32" s="5">
        <f t="shared" si="1"/>
        <v>1947787445.2256718</v>
      </c>
      <c r="G32" s="5">
        <f t="shared" si="2"/>
        <v>257.37889053900761</v>
      </c>
      <c r="H32" s="5">
        <f t="shared" si="5"/>
        <v>0.9114664699182019</v>
      </c>
      <c r="I32">
        <f t="shared" si="3"/>
        <v>-0.80518606178940033</v>
      </c>
    </row>
    <row r="33" spans="1:9" x14ac:dyDescent="0.4">
      <c r="A33" s="5">
        <v>320000000</v>
      </c>
      <c r="B33">
        <f t="shared" si="0"/>
        <v>320</v>
      </c>
      <c r="C33">
        <v>3.31</v>
      </c>
      <c r="D33">
        <v>-8.33</v>
      </c>
      <c r="E33">
        <f t="shared" si="4"/>
        <v>-2.33</v>
      </c>
      <c r="F33" s="5">
        <f t="shared" si="1"/>
        <v>2010619298.2974677</v>
      </c>
      <c r="G33" s="5">
        <f t="shared" si="2"/>
        <v>276.54984657138522</v>
      </c>
      <c r="H33" s="5">
        <f t="shared" si="5"/>
        <v>0.91709496693747505</v>
      </c>
      <c r="I33">
        <f t="shared" si="3"/>
        <v>-0.75171379954598483</v>
      </c>
    </row>
    <row r="34" spans="1:9" x14ac:dyDescent="0.4">
      <c r="A34" s="5">
        <v>330000000</v>
      </c>
      <c r="B34">
        <f t="shared" si="0"/>
        <v>330</v>
      </c>
      <c r="C34">
        <v>3.25</v>
      </c>
      <c r="D34">
        <v>-8.2200000000000006</v>
      </c>
      <c r="E34">
        <f t="shared" si="4"/>
        <v>-2.2200000000000006</v>
      </c>
      <c r="F34" s="5">
        <f t="shared" si="1"/>
        <v>2073451151.3692634</v>
      </c>
      <c r="G34" s="5">
        <f t="shared" si="2"/>
        <v>295.39668452154569</v>
      </c>
      <c r="H34" s="5">
        <f t="shared" si="5"/>
        <v>0.92197172690056717</v>
      </c>
      <c r="I34">
        <f t="shared" si="3"/>
        <v>-0.70564793552912919</v>
      </c>
    </row>
    <row r="35" spans="1:9" x14ac:dyDescent="0.4">
      <c r="A35" s="5">
        <v>340000000</v>
      </c>
      <c r="B35">
        <f t="shared" si="0"/>
        <v>340</v>
      </c>
      <c r="C35">
        <v>3.21</v>
      </c>
      <c r="D35">
        <v>-8.1300000000000008</v>
      </c>
      <c r="E35">
        <f t="shared" si="4"/>
        <v>-2.1300000000000008</v>
      </c>
      <c r="F35" s="5">
        <f t="shared" si="1"/>
        <v>2136283004.4410594</v>
      </c>
      <c r="G35" s="5">
        <f t="shared" si="2"/>
        <v>313.94800304380232</v>
      </c>
      <c r="H35" s="5">
        <f t="shared" si="5"/>
        <v>0.92624237412377008</v>
      </c>
      <c r="I35">
        <f t="shared" si="3"/>
        <v>-0.66550709203853986</v>
      </c>
    </row>
    <row r="36" spans="1:9" x14ac:dyDescent="0.4">
      <c r="A36" s="5">
        <v>350000000</v>
      </c>
      <c r="B36">
        <f t="shared" si="0"/>
        <v>350</v>
      </c>
      <c r="C36">
        <v>3.17</v>
      </c>
      <c r="D36">
        <v>-8.0399999999999991</v>
      </c>
      <c r="E36">
        <f t="shared" si="4"/>
        <v>-2.0399999999999991</v>
      </c>
      <c r="F36" s="5">
        <f t="shared" si="1"/>
        <v>2199114857.5128551</v>
      </c>
      <c r="G36" s="5">
        <f t="shared" si="2"/>
        <v>332.22913237483255</v>
      </c>
      <c r="H36" s="5">
        <f t="shared" si="5"/>
        <v>0.9300169058615072</v>
      </c>
      <c r="I36">
        <f t="shared" si="3"/>
        <v>-0.63018313525180547</v>
      </c>
    </row>
    <row r="37" spans="1:9" x14ac:dyDescent="0.4">
      <c r="A37" s="5">
        <v>360000000</v>
      </c>
      <c r="B37">
        <f t="shared" si="0"/>
        <v>360</v>
      </c>
      <c r="C37">
        <v>3.13</v>
      </c>
      <c r="D37">
        <v>-7.95</v>
      </c>
      <c r="E37">
        <f t="shared" si="4"/>
        <v>-1.9500000000000002</v>
      </c>
      <c r="F37" s="5">
        <f t="shared" si="1"/>
        <v>2261946710.584651</v>
      </c>
      <c r="G37" s="5">
        <f t="shared" si="2"/>
        <v>350.262588280572</v>
      </c>
      <c r="H37" s="5">
        <f t="shared" si="5"/>
        <v>0.93337998302855518</v>
      </c>
      <c r="I37">
        <f t="shared" si="3"/>
        <v>-0.59883034185759809</v>
      </c>
    </row>
    <row r="38" spans="1:9" x14ac:dyDescent="0.4">
      <c r="A38" s="5">
        <v>370000000</v>
      </c>
      <c r="B38">
        <f t="shared" si="0"/>
        <v>370</v>
      </c>
      <c r="C38">
        <v>3.07</v>
      </c>
      <c r="D38">
        <v>-7.86</v>
      </c>
      <c r="E38">
        <f t="shared" si="4"/>
        <v>-1.8600000000000003</v>
      </c>
      <c r="F38" s="5">
        <f t="shared" si="1"/>
        <v>2324778563.6564469</v>
      </c>
      <c r="G38" s="5">
        <f t="shared" si="2"/>
        <v>368.06845239009817</v>
      </c>
      <c r="H38" s="5">
        <f t="shared" si="5"/>
        <v>0.9363978466142866</v>
      </c>
      <c r="I38">
        <f t="shared" si="3"/>
        <v>-0.57079187397661335</v>
      </c>
    </row>
    <row r="39" spans="1:9" x14ac:dyDescent="0.4">
      <c r="A39" s="5">
        <v>380000000</v>
      </c>
      <c r="B39">
        <f t="shared" si="0"/>
        <v>380</v>
      </c>
      <c r="C39">
        <v>3.05</v>
      </c>
      <c r="D39">
        <v>-7.79</v>
      </c>
      <c r="E39">
        <f t="shared" si="4"/>
        <v>-1.79</v>
      </c>
      <c r="F39" s="5">
        <f t="shared" si="1"/>
        <v>2387610416.7282429</v>
      </c>
      <c r="G39" s="5">
        <f t="shared" si="2"/>
        <v>385.66469247679646</v>
      </c>
      <c r="H39" s="5">
        <f t="shared" si="5"/>
        <v>0.93912308397096356</v>
      </c>
      <c r="I39">
        <f t="shared" si="3"/>
        <v>-0.54554968425626438</v>
      </c>
    </row>
    <row r="40" spans="1:9" x14ac:dyDescent="0.4">
      <c r="A40" s="5">
        <v>390000000</v>
      </c>
      <c r="B40">
        <f t="shared" si="0"/>
        <v>390</v>
      </c>
      <c r="C40">
        <v>3.02</v>
      </c>
      <c r="D40">
        <v>-7.74</v>
      </c>
      <c r="E40">
        <f t="shared" si="4"/>
        <v>-1.7400000000000002</v>
      </c>
      <c r="F40" s="5">
        <f t="shared" si="1"/>
        <v>2450442269.8000388</v>
      </c>
      <c r="G40" s="5">
        <f t="shared" si="2"/>
        <v>403.06743346549968</v>
      </c>
      <c r="H40" s="5">
        <f t="shared" si="5"/>
        <v>0.94159798656578975</v>
      </c>
      <c r="I40">
        <f t="shared" si="3"/>
        <v>-0.52268957645093261</v>
      </c>
    </row>
    <row r="41" spans="1:9" x14ac:dyDescent="0.4">
      <c r="A41" s="5">
        <v>400000000</v>
      </c>
      <c r="B41">
        <f t="shared" si="0"/>
        <v>400</v>
      </c>
      <c r="C41">
        <v>3.05</v>
      </c>
      <c r="D41">
        <v>-7.69</v>
      </c>
      <c r="E41">
        <f t="shared" si="4"/>
        <v>-1.6900000000000004</v>
      </c>
      <c r="F41" s="5">
        <f t="shared" si="1"/>
        <v>2513274122.8718343</v>
      </c>
      <c r="G41" s="5">
        <f t="shared" si="2"/>
        <v>420.29118778855741</v>
      </c>
      <c r="H41" s="5">
        <f t="shared" si="5"/>
        <v>0.943856962173096</v>
      </c>
      <c r="I41">
        <f t="shared" si="3"/>
        <v>-0.50187632687235573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0F9D-339B-4227-8E36-4C692B27FA03}">
  <dimension ref="A1:O43"/>
  <sheetViews>
    <sheetView zoomScale="85" zoomScaleNormal="85" workbookViewId="0">
      <selection activeCell="M20" sqref="M20"/>
    </sheetView>
  </sheetViews>
  <sheetFormatPr defaultRowHeight="18.75" x14ac:dyDescent="0.4"/>
  <cols>
    <col min="1" max="1" width="9.5" bestFit="1" customWidth="1"/>
    <col min="2" max="2" width="11" bestFit="1" customWidth="1"/>
    <col min="3" max="3" width="15.125" bestFit="1" customWidth="1"/>
    <col min="4" max="4" width="16" bestFit="1" customWidth="1"/>
    <col min="5" max="5" width="16.25" bestFit="1" customWidth="1"/>
    <col min="6" max="6" width="16.25" customWidth="1"/>
    <col min="7" max="7" width="23.875" customWidth="1"/>
    <col min="8" max="8" width="10.125" customWidth="1"/>
    <col min="9" max="9" width="16.25" customWidth="1"/>
    <col min="11" max="11" width="10.25" bestFit="1" customWidth="1"/>
    <col min="12" max="12" width="16.75" bestFit="1" customWidth="1"/>
    <col min="13" max="13" width="12.375" bestFit="1" customWidth="1"/>
  </cols>
  <sheetData>
    <row r="1" spans="1:14" x14ac:dyDescent="0.4">
      <c r="A1" t="s">
        <v>30</v>
      </c>
      <c r="B1" t="s">
        <v>42</v>
      </c>
      <c r="C1" t="s">
        <v>0</v>
      </c>
      <c r="D1" t="s">
        <v>47</v>
      </c>
      <c r="E1" t="s">
        <v>76</v>
      </c>
      <c r="F1" t="s">
        <v>84</v>
      </c>
      <c r="G1" t="s">
        <v>83</v>
      </c>
      <c r="H1" t="s">
        <v>82</v>
      </c>
      <c r="I1" t="s">
        <v>85</v>
      </c>
    </row>
    <row r="2" spans="1:14" x14ac:dyDescent="0.4">
      <c r="A2" s="5">
        <v>10000000</v>
      </c>
      <c r="B2">
        <f t="shared" ref="B2:B43" si="0">CONVERT(A2, "m", "Mm")</f>
        <v>10</v>
      </c>
      <c r="C2">
        <v>3.68</v>
      </c>
      <c r="D2">
        <v>-6.45</v>
      </c>
      <c r="E2">
        <f>D2+$M$3</f>
        <v>-0.45000000000000018</v>
      </c>
      <c r="F2" s="5">
        <f>2*PI()*A2/$M$16</f>
        <v>0.37944126000164857</v>
      </c>
      <c r="G2" t="str">
        <f>IMPRODUCT($M$2,IMDIV(IMSUM(1,IMPRODUCT($M$30,IMEXP(COMPLEX(0,-2*F2*$M$8)))),IMSUM(1,IMPRODUCT(-$M$30,IMEXP(COMPLEX(0,-2*F2*$M$8))))))</f>
        <v>98.4007713810905-9.9586362834312i</v>
      </c>
      <c r="H2">
        <f>IMABS(G2)</f>
        <v>98.903418773161277</v>
      </c>
      <c r="I2">
        <f>20*LOG10(2*H2/(2*H2+2*$M$2))</f>
        <v>-3.5538673020731757</v>
      </c>
      <c r="K2" t="s">
        <v>43</v>
      </c>
      <c r="L2" t="s">
        <v>44</v>
      </c>
      <c r="M2">
        <v>50</v>
      </c>
      <c r="N2" t="s">
        <v>38</v>
      </c>
    </row>
    <row r="3" spans="1:14" x14ac:dyDescent="0.4">
      <c r="A3" s="5">
        <v>20000000</v>
      </c>
      <c r="B3">
        <f t="shared" si="0"/>
        <v>20</v>
      </c>
      <c r="C3">
        <v>3.69</v>
      </c>
      <c r="D3">
        <v>-6.48</v>
      </c>
      <c r="E3">
        <f t="shared" ref="E3:E43" si="1">D3+$M$3</f>
        <v>-0.48000000000000043</v>
      </c>
      <c r="F3" s="5">
        <f t="shared" ref="F3:F43" si="2">2*PI()*A3/$M$16</f>
        <v>0.75888252000329715</v>
      </c>
      <c r="G3" t="str">
        <f t="shared" ref="G3:G43" si="3">IMPRODUCT($M$2,IMDIV(IMSUM(1,IMPRODUCT($M$30,IMEXP(COMPLEX(0,-2*F3*$M$8)))),IMSUM(1,IMPRODUCT(-$M$30,IMEXP(COMPLEX(0,-2*F3*$M$8))))))</f>
        <v>94.578051092209-18.9669686088521i</v>
      </c>
      <c r="H3">
        <f t="shared" ref="H3:H43" si="4">IMABS(G3)</f>
        <v>96.461150970790698</v>
      </c>
      <c r="I3">
        <f t="shared" ref="I3:I43" si="5">20*LOG10(2*H3/(2*H3+2*$M$2))</f>
        <v>-3.6274000626537175</v>
      </c>
      <c r="L3" t="s">
        <v>45</v>
      </c>
      <c r="M3">
        <v>6</v>
      </c>
      <c r="N3" t="s">
        <v>46</v>
      </c>
    </row>
    <row r="4" spans="1:14" x14ac:dyDescent="0.4">
      <c r="A4" s="5">
        <v>50000000</v>
      </c>
      <c r="B4">
        <f t="shared" si="0"/>
        <v>50</v>
      </c>
      <c r="C4">
        <v>3.57</v>
      </c>
      <c r="D4">
        <v>-6.6</v>
      </c>
      <c r="E4">
        <f t="shared" si="1"/>
        <v>-0.59999999999999964</v>
      </c>
      <c r="F4" s="5">
        <f t="shared" si="2"/>
        <v>1.8972063000082424</v>
      </c>
      <c r="G4" t="str">
        <f t="shared" si="3"/>
        <v>74.942991491874-35.1788702641146i</v>
      </c>
      <c r="H4">
        <f t="shared" si="4"/>
        <v>82.788917656957608</v>
      </c>
      <c r="I4">
        <f t="shared" si="5"/>
        <v>-4.103792523532058</v>
      </c>
      <c r="K4" t="s">
        <v>51</v>
      </c>
      <c r="L4" t="s">
        <v>52</v>
      </c>
      <c r="M4">
        <v>4.4000000000000004</v>
      </c>
      <c r="N4" t="s">
        <v>28</v>
      </c>
    </row>
    <row r="5" spans="1:14" x14ac:dyDescent="0.4">
      <c r="A5" s="5">
        <v>100000000</v>
      </c>
      <c r="B5">
        <f t="shared" si="0"/>
        <v>100</v>
      </c>
      <c r="C5">
        <v>3.24</v>
      </c>
      <c r="D5">
        <v>-7.04</v>
      </c>
      <c r="E5">
        <f t="shared" si="1"/>
        <v>-1.04</v>
      </c>
      <c r="F5" s="5">
        <f t="shared" si="2"/>
        <v>3.7944126000164848</v>
      </c>
      <c r="G5" t="str">
        <f t="shared" si="3"/>
        <v>45.8189260175788-33.4591162377105i</v>
      </c>
      <c r="H5">
        <f t="shared" si="4"/>
        <v>56.735231036922563</v>
      </c>
      <c r="I5">
        <f t="shared" si="5"/>
        <v>-5.4890993351063102</v>
      </c>
      <c r="L5" t="s">
        <v>53</v>
      </c>
      <c r="M5">
        <v>1.6000000000000001E-3</v>
      </c>
      <c r="N5" t="s">
        <v>54</v>
      </c>
    </row>
    <row r="6" spans="1:14" x14ac:dyDescent="0.4">
      <c r="A6" s="5">
        <v>120000000</v>
      </c>
      <c r="B6">
        <f t="shared" si="0"/>
        <v>120</v>
      </c>
      <c r="C6">
        <v>3.13</v>
      </c>
      <c r="D6">
        <v>-7.41</v>
      </c>
      <c r="E6">
        <f t="shared" si="1"/>
        <v>-1.4100000000000001</v>
      </c>
      <c r="F6" s="5">
        <f t="shared" si="2"/>
        <v>4.553295120019782</v>
      </c>
      <c r="G6" t="str">
        <f t="shared" si="3"/>
        <v>38.6673132594259-28.8287567943781i</v>
      </c>
      <c r="H6">
        <f t="shared" si="4"/>
        <v>48.23130034543933</v>
      </c>
      <c r="I6">
        <f>20*LOG10(2*H6/(2*H6+2*$M$2))</f>
        <v>-6.178418443414575</v>
      </c>
      <c r="L6" t="s">
        <v>55</v>
      </c>
      <c r="M6">
        <v>3.0000000000000001E-3</v>
      </c>
      <c r="N6" t="s">
        <v>54</v>
      </c>
    </row>
    <row r="7" spans="1:14" x14ac:dyDescent="0.4">
      <c r="A7" s="5">
        <v>140000000</v>
      </c>
      <c r="B7">
        <f t="shared" si="0"/>
        <v>140</v>
      </c>
      <c r="C7">
        <v>3.01</v>
      </c>
      <c r="D7">
        <v>-8.0399999999999991</v>
      </c>
      <c r="E7">
        <f t="shared" si="1"/>
        <v>-2.0399999999999991</v>
      </c>
      <c r="F7" s="5">
        <f t="shared" si="2"/>
        <v>5.31217764002308</v>
      </c>
      <c r="G7" t="str">
        <f t="shared" si="3"/>
        <v>33.5207869740259-23.6696390124098i</v>
      </c>
      <c r="H7">
        <f t="shared" si="4"/>
        <v>41.035289329256791</v>
      </c>
      <c r="I7">
        <f t="shared" si="5"/>
        <v>-6.9210455391751067</v>
      </c>
      <c r="L7" t="s">
        <v>56</v>
      </c>
      <c r="M7">
        <f>CONVERT(35, "um","m")</f>
        <v>3.4999999999999997E-5</v>
      </c>
      <c r="N7" t="s">
        <v>54</v>
      </c>
    </row>
    <row r="8" spans="1:14" x14ac:dyDescent="0.4">
      <c r="A8" s="5">
        <v>160000000</v>
      </c>
      <c r="B8">
        <f t="shared" si="0"/>
        <v>160</v>
      </c>
      <c r="C8">
        <v>3</v>
      </c>
      <c r="D8">
        <v>-9.07</v>
      </c>
      <c r="E8">
        <f t="shared" si="1"/>
        <v>-3.0700000000000003</v>
      </c>
      <c r="F8" s="5">
        <f t="shared" si="2"/>
        <v>6.0710601600263772</v>
      </c>
      <c r="G8" t="str">
        <f t="shared" si="3"/>
        <v>29.899618179476-18.3829225655666i</v>
      </c>
      <c r="H8">
        <f t="shared" si="4"/>
        <v>35.098703812677599</v>
      </c>
      <c r="I8">
        <f t="shared" si="5"/>
        <v>-7.6926373356489517</v>
      </c>
      <c r="L8" t="s">
        <v>57</v>
      </c>
      <c r="M8">
        <v>0.17910000000000001</v>
      </c>
      <c r="N8" t="s">
        <v>54</v>
      </c>
    </row>
    <row r="9" spans="1:14" x14ac:dyDescent="0.4">
      <c r="A9" s="5">
        <v>180000000</v>
      </c>
      <c r="B9">
        <f t="shared" si="0"/>
        <v>180</v>
      </c>
      <c r="C9">
        <v>3.18</v>
      </c>
      <c r="D9">
        <v>-10.8</v>
      </c>
      <c r="E9">
        <f t="shared" si="1"/>
        <v>-4.8000000000000007</v>
      </c>
      <c r="F9" s="5">
        <f t="shared" si="2"/>
        <v>6.8299426800296734</v>
      </c>
      <c r="G9" t="str">
        <f t="shared" si="3"/>
        <v>27.4458912259669-13.129367270631i</v>
      </c>
      <c r="H9">
        <f t="shared" si="4"/>
        <v>30.424615529447919</v>
      </c>
      <c r="I9">
        <f>20*LOG10(2*H9/(2*H9+2*$M$2))</f>
        <v>-8.4432778919454048</v>
      </c>
      <c r="L9" t="s">
        <v>62</v>
      </c>
      <c r="M9">
        <f>M6+M7*(1+M4^(-1))/(2*PI())*(1+LN(4/SQRT((M7/M5)^2+(PI()*(M6/M7+1.1))^(-2))))</f>
        <v>3.0423506587452845E-3</v>
      </c>
    </row>
    <row r="10" spans="1:14" x14ac:dyDescent="0.4">
      <c r="A10" s="5">
        <v>200000000</v>
      </c>
      <c r="B10">
        <f t="shared" si="0"/>
        <v>200</v>
      </c>
      <c r="C10">
        <v>3.42</v>
      </c>
      <c r="D10">
        <v>-13.76</v>
      </c>
      <c r="E10">
        <f t="shared" si="1"/>
        <v>-7.76</v>
      </c>
      <c r="F10" s="5">
        <f t="shared" si="2"/>
        <v>7.5888252000329697</v>
      </c>
      <c r="G10" t="str">
        <f t="shared" si="3"/>
        <v>25.9182197606184-7.9515340846595i</v>
      </c>
      <c r="H10">
        <f t="shared" si="4"/>
        <v>27.110533190241974</v>
      </c>
      <c r="I10">
        <f t="shared" si="5"/>
        <v>-9.079512941307442</v>
      </c>
      <c r="L10" t="s">
        <v>63</v>
      </c>
      <c r="M10">
        <f>(14+8*M4^(-1))/11*4*M5/M9</f>
        <v>3.0250641091186914</v>
      </c>
    </row>
    <row r="11" spans="1:14" x14ac:dyDescent="0.4">
      <c r="A11" s="5">
        <v>220000000</v>
      </c>
      <c r="B11">
        <f t="shared" si="0"/>
        <v>220</v>
      </c>
      <c r="C11">
        <v>3.73</v>
      </c>
      <c r="D11">
        <v>-18.809999999999999</v>
      </c>
      <c r="E11">
        <f t="shared" si="1"/>
        <v>-12.809999999999999</v>
      </c>
      <c r="F11" s="5">
        <f t="shared" si="2"/>
        <v>8.3477077200362686</v>
      </c>
      <c r="G11" t="str">
        <f t="shared" si="3"/>
        <v>25.1697444157954-2.83620726369089i</v>
      </c>
      <c r="H11">
        <f t="shared" si="4"/>
        <v>25.329036807566855</v>
      </c>
      <c r="I11">
        <f t="shared" si="5"/>
        <v>-9.4668747854991011</v>
      </c>
      <c r="L11" t="s">
        <v>79</v>
      </c>
      <c r="M11">
        <v>50</v>
      </c>
      <c r="N11" t="s">
        <v>38</v>
      </c>
    </row>
    <row r="12" spans="1:14" x14ac:dyDescent="0.4">
      <c r="A12" s="5">
        <v>225000000</v>
      </c>
      <c r="B12">
        <f t="shared" si="0"/>
        <v>225</v>
      </c>
      <c r="C12">
        <v>3.86</v>
      </c>
      <c r="D12">
        <v>-20.92</v>
      </c>
      <c r="E12">
        <f t="shared" si="1"/>
        <v>-14.920000000000002</v>
      </c>
      <c r="F12" s="5">
        <f t="shared" si="2"/>
        <v>8.5374283500370929</v>
      </c>
      <c r="G12" t="str">
        <f t="shared" si="3"/>
        <v>25.0946126593903-1.56299568341129i</v>
      </c>
      <c r="H12">
        <f t="shared" si="4"/>
        <v>25.143240444127212</v>
      </c>
      <c r="I12">
        <f t="shared" si="5"/>
        <v>-9.5093734182893623</v>
      </c>
      <c r="L12" t="s">
        <v>61</v>
      </c>
      <c r="M12">
        <f>42.43/SQRT(M4+1)*LN(1+4*M5/M9*(M10+SQRT(M10^2+(1+M4^(-1))/2*PI()^2)))</f>
        <v>50.123781795817273</v>
      </c>
      <c r="N12" t="s">
        <v>38</v>
      </c>
    </row>
    <row r="13" spans="1:14" x14ac:dyDescent="0.4">
      <c r="A13" s="5">
        <v>230000000</v>
      </c>
      <c r="B13">
        <f t="shared" si="0"/>
        <v>230</v>
      </c>
      <c r="C13">
        <v>3.96</v>
      </c>
      <c r="D13">
        <v>-23.51</v>
      </c>
      <c r="E13">
        <f t="shared" si="1"/>
        <v>-17.510000000000002</v>
      </c>
      <c r="F13" s="5">
        <f t="shared" si="2"/>
        <v>8.7271489800379154</v>
      </c>
      <c r="G13" t="str">
        <f t="shared" si="3"/>
        <v>25.0630220801125-0.290668243656661i</v>
      </c>
      <c r="H13">
        <f t="shared" si="4"/>
        <v>25.064707535019778</v>
      </c>
      <c r="I13">
        <f t="shared" si="5"/>
        <v>-9.5274631078961001</v>
      </c>
      <c r="L13" t="s">
        <v>64</v>
      </c>
      <c r="M13">
        <f>M6+M7*(1+1^(-1))/(2*PI())*(1+LN(4/SQRT((M7/M5)^2+(PI()*(M6/M7+1.1))^(-2))))</f>
        <v>3.0690158883256487E-3</v>
      </c>
    </row>
    <row r="14" spans="1:14" x14ac:dyDescent="0.4">
      <c r="A14" s="5">
        <v>235000000</v>
      </c>
      <c r="B14">
        <f t="shared" si="0"/>
        <v>235</v>
      </c>
      <c r="C14">
        <v>4.0599999999999996</v>
      </c>
      <c r="D14">
        <v>-26.51</v>
      </c>
      <c r="E14">
        <f t="shared" si="1"/>
        <v>-20.51</v>
      </c>
      <c r="F14" s="5">
        <f t="shared" si="2"/>
        <v>8.9168696100387397</v>
      </c>
      <c r="G14" t="str">
        <f t="shared" si="3"/>
        <v>25.0747906462682+0.981494128788105i</v>
      </c>
      <c r="H14">
        <f t="shared" si="4"/>
        <v>25.09399244199744</v>
      </c>
      <c r="I14">
        <f t="shared" si="5"/>
        <v>-9.5207086351865815</v>
      </c>
      <c r="L14" t="s">
        <v>65</v>
      </c>
      <c r="M14">
        <f>(14+8*1^(-1))/11*4*M5/M13</f>
        <v>4.1707180626501241</v>
      </c>
    </row>
    <row r="15" spans="1:14" x14ac:dyDescent="0.4">
      <c r="A15" s="8">
        <v>240000000</v>
      </c>
      <c r="B15" s="1">
        <f t="shared" si="0"/>
        <v>240</v>
      </c>
      <c r="C15" s="1">
        <v>4.1100000000000003</v>
      </c>
      <c r="D15" s="1">
        <v>-28.64</v>
      </c>
      <c r="E15" s="1">
        <f t="shared" si="1"/>
        <v>-22.64</v>
      </c>
      <c r="F15" s="5">
        <f t="shared" si="2"/>
        <v>9.106590240039564</v>
      </c>
      <c r="G15" t="str">
        <f t="shared" si="3"/>
        <v>25.1299861550284+2.25421307064714i</v>
      </c>
      <c r="H15">
        <f t="shared" si="4"/>
        <v>25.230887434250022</v>
      </c>
      <c r="I15">
        <f t="shared" si="5"/>
        <v>-9.4892731765035805</v>
      </c>
      <c r="L15" t="s">
        <v>66</v>
      </c>
      <c r="M15">
        <f>42.43/SQRT(1+1)*LN(1+4*M5/M13*(M14+SQRT(M14^2+(1+1^(-1))/2*PI()^2)))</f>
        <v>90.746361116633508</v>
      </c>
      <c r="N15" t="s">
        <v>38</v>
      </c>
    </row>
    <row r="16" spans="1:14" x14ac:dyDescent="0.4">
      <c r="A16" s="5">
        <v>245000000</v>
      </c>
      <c r="B16">
        <f t="shared" si="0"/>
        <v>245</v>
      </c>
      <c r="C16">
        <v>4.22</v>
      </c>
      <c r="D16">
        <v>-27.59</v>
      </c>
      <c r="E16">
        <f t="shared" si="1"/>
        <v>-21.59</v>
      </c>
      <c r="F16" s="5">
        <f t="shared" si="2"/>
        <v>9.2963108700403883</v>
      </c>
      <c r="G16" t="str">
        <f t="shared" si="3"/>
        <v>25.2289268308546+3.52820153455149i</v>
      </c>
      <c r="H16">
        <f t="shared" si="4"/>
        <v>25.474437287308753</v>
      </c>
      <c r="I16">
        <f t="shared" si="5"/>
        <v>-9.4339056845981553</v>
      </c>
      <c r="L16" t="s">
        <v>67</v>
      </c>
      <c r="M16">
        <f>299792458/(M15/M12)</f>
        <v>165590460.75148201</v>
      </c>
      <c r="N16" t="s">
        <v>7</v>
      </c>
    </row>
    <row r="17" spans="1:15" x14ac:dyDescent="0.4">
      <c r="A17" s="5">
        <v>250000000</v>
      </c>
      <c r="B17">
        <f t="shared" si="0"/>
        <v>250</v>
      </c>
      <c r="C17">
        <v>4.28</v>
      </c>
      <c r="D17">
        <v>-24.72</v>
      </c>
      <c r="E17">
        <f t="shared" si="1"/>
        <v>-18.72</v>
      </c>
      <c r="F17" s="5">
        <f t="shared" si="2"/>
        <v>9.4860315000412143</v>
      </c>
      <c r="G17" t="str">
        <f t="shared" si="3"/>
        <v>25.3721841303803+4.80415222629785i</v>
      </c>
      <c r="H17">
        <f t="shared" si="4"/>
        <v>25.823005366520849</v>
      </c>
      <c r="I17">
        <f t="shared" si="5"/>
        <v>-9.3558841778914559</v>
      </c>
      <c r="L17" t="s">
        <v>68</v>
      </c>
      <c r="M17">
        <f>M12/M15</f>
        <v>0.55235032214013202</v>
      </c>
    </row>
    <row r="18" spans="1:15" x14ac:dyDescent="0.4">
      <c r="A18" s="5">
        <v>260000000</v>
      </c>
      <c r="B18">
        <f t="shared" si="0"/>
        <v>260</v>
      </c>
      <c r="C18">
        <v>4.3099999999999996</v>
      </c>
      <c r="D18">
        <v>-19.88</v>
      </c>
      <c r="E18">
        <f t="shared" si="1"/>
        <v>-13.879999999999999</v>
      </c>
      <c r="F18" s="5">
        <f t="shared" si="2"/>
        <v>9.8654727600428611</v>
      </c>
      <c r="G18" t="str">
        <f t="shared" si="3"/>
        <v>25.795232936782+7.36453492910475i</v>
      </c>
      <c r="H18">
        <f t="shared" si="4"/>
        <v>26.825928073131916</v>
      </c>
      <c r="I18">
        <f t="shared" si="5"/>
        <v>-9.1390611904767045</v>
      </c>
      <c r="L18" t="s">
        <v>58</v>
      </c>
      <c r="M18">
        <f>M8*4/(2*0+1)</f>
        <v>0.71640000000000004</v>
      </c>
    </row>
    <row r="19" spans="1:15" x14ac:dyDescent="0.4">
      <c r="A19" s="5">
        <v>280000000</v>
      </c>
      <c r="B19">
        <f t="shared" si="0"/>
        <v>280</v>
      </c>
      <c r="C19">
        <v>4.28</v>
      </c>
      <c r="D19">
        <v>-14.46</v>
      </c>
      <c r="E19">
        <f t="shared" si="1"/>
        <v>-8.4600000000000009</v>
      </c>
      <c r="F19" s="5">
        <f t="shared" si="2"/>
        <v>10.62435528004616</v>
      </c>
      <c r="G19" t="str">
        <f t="shared" si="3"/>
        <v>27.2280203284636+12.5338978932181i</v>
      </c>
      <c r="H19">
        <f t="shared" si="4"/>
        <v>29.97438385363149</v>
      </c>
      <c r="I19">
        <f t="shared" si="5"/>
        <v>-8.524012764558293</v>
      </c>
      <c r="L19" t="s">
        <v>69</v>
      </c>
      <c r="M19">
        <f>M16/M18</f>
        <v>231142463.36052763</v>
      </c>
      <c r="N19" t="s">
        <v>12</v>
      </c>
    </row>
    <row r="20" spans="1:15" x14ac:dyDescent="0.4">
      <c r="A20" s="5">
        <v>300000000</v>
      </c>
      <c r="B20">
        <f t="shared" si="0"/>
        <v>300</v>
      </c>
      <c r="C20">
        <v>4.1399999999999997</v>
      </c>
      <c r="D20">
        <v>-11.56</v>
      </c>
      <c r="E20">
        <f t="shared" si="1"/>
        <v>-5.5600000000000005</v>
      </c>
      <c r="F20" s="5">
        <f t="shared" si="2"/>
        <v>11.383237800049455</v>
      </c>
      <c r="G20" t="str">
        <f t="shared" si="3"/>
        <v>29.5657092019805+17.7795112465588i</v>
      </c>
      <c r="H20">
        <f t="shared" si="4"/>
        <v>34.499886677822367</v>
      </c>
      <c r="I20">
        <f t="shared" si="5"/>
        <v>-7.7807691595488606</v>
      </c>
      <c r="M20" s="1">
        <f>CONVERT(M19, "m", "Mm")</f>
        <v>231.14246336052759</v>
      </c>
      <c r="N20" s="1" t="s">
        <v>50</v>
      </c>
      <c r="O20">
        <f>(240-M20)/240</f>
        <v>3.6906402664468395E-2</v>
      </c>
    </row>
    <row r="21" spans="1:15" x14ac:dyDescent="0.4">
      <c r="A21" s="5">
        <v>350000000</v>
      </c>
      <c r="B21">
        <f t="shared" si="0"/>
        <v>350</v>
      </c>
      <c r="C21">
        <v>3.58</v>
      </c>
      <c r="D21">
        <v>-8.18</v>
      </c>
      <c r="E21">
        <f t="shared" si="1"/>
        <v>-2.1799999999999997</v>
      </c>
      <c r="F21" s="5">
        <f t="shared" si="2"/>
        <v>13.280444100057698</v>
      </c>
      <c r="G21" t="str">
        <f t="shared" si="3"/>
        <v>41.1590773310609+30.7115298552375i</v>
      </c>
      <c r="H21">
        <f t="shared" si="4"/>
        <v>51.35433489778049</v>
      </c>
      <c r="I21">
        <f t="shared" si="5"/>
        <v>-5.9053043828881657</v>
      </c>
      <c r="L21" t="s">
        <v>59</v>
      </c>
      <c r="M21">
        <f>M8*4/(2*1+1)</f>
        <v>0.23880000000000001</v>
      </c>
    </row>
    <row r="22" spans="1:15" x14ac:dyDescent="0.4">
      <c r="A22" s="5">
        <v>400000000</v>
      </c>
      <c r="B22">
        <f t="shared" si="0"/>
        <v>400</v>
      </c>
      <c r="C22">
        <v>3.32</v>
      </c>
      <c r="D22">
        <v>-7.2</v>
      </c>
      <c r="E22">
        <f t="shared" si="1"/>
        <v>-1.2000000000000002</v>
      </c>
      <c r="F22" s="5">
        <f t="shared" si="2"/>
        <v>15.177650400065939</v>
      </c>
      <c r="G22" t="str">
        <f t="shared" si="3"/>
        <v>66.377449787916+37.133966715228i</v>
      </c>
      <c r="H22">
        <f t="shared" si="4"/>
        <v>76.058512504222506</v>
      </c>
      <c r="I22">
        <f t="shared" si="5"/>
        <v>-4.3884870115239512</v>
      </c>
      <c r="L22" t="s">
        <v>60</v>
      </c>
      <c r="M22">
        <f>M16/M21</f>
        <v>693427390.0815829</v>
      </c>
    </row>
    <row r="23" spans="1:15" x14ac:dyDescent="0.4">
      <c r="A23" s="5">
        <v>450000000</v>
      </c>
      <c r="B23">
        <f t="shared" si="0"/>
        <v>450</v>
      </c>
      <c r="C23">
        <v>3.39</v>
      </c>
      <c r="D23">
        <v>-7.31</v>
      </c>
      <c r="E23">
        <f t="shared" si="1"/>
        <v>-1.3099999999999996</v>
      </c>
      <c r="F23" s="5">
        <f t="shared" si="2"/>
        <v>17.074856700074186</v>
      </c>
      <c r="G23" t="str">
        <f t="shared" si="3"/>
        <v>97.7277474515575+12.1313718340387i</v>
      </c>
      <c r="H23">
        <f t="shared" si="4"/>
        <v>98.477828999887649</v>
      </c>
      <c r="I23">
        <f t="shared" si="5"/>
        <v>-3.5664628606773623</v>
      </c>
      <c r="M23" s="1">
        <f>CONVERT(M22, "m", "Mm")</f>
        <v>693.42739008158287</v>
      </c>
      <c r="N23" s="1" t="s">
        <v>50</v>
      </c>
      <c r="O23">
        <f>(732.5-M23)/732.5</f>
        <v>5.3341446987600176E-2</v>
      </c>
    </row>
    <row r="24" spans="1:15" x14ac:dyDescent="0.4">
      <c r="A24" s="5">
        <v>500000000</v>
      </c>
      <c r="B24">
        <f t="shared" si="0"/>
        <v>500</v>
      </c>
      <c r="C24">
        <v>3.59</v>
      </c>
      <c r="D24">
        <v>-7.87</v>
      </c>
      <c r="E24">
        <f t="shared" si="1"/>
        <v>-1.87</v>
      </c>
      <c r="F24" s="5">
        <f t="shared" si="2"/>
        <v>18.972063000082429</v>
      </c>
      <c r="G24" t="str">
        <f t="shared" si="3"/>
        <v>83.718515099991-30.6680869505753i</v>
      </c>
      <c r="H24">
        <f t="shared" si="4"/>
        <v>89.158966614443599</v>
      </c>
      <c r="I24">
        <f t="shared" si="5"/>
        <v>-3.8669233768327764</v>
      </c>
    </row>
    <row r="25" spans="1:15" x14ac:dyDescent="0.4">
      <c r="A25" s="5">
        <v>550000000</v>
      </c>
      <c r="B25">
        <f t="shared" si="0"/>
        <v>550</v>
      </c>
      <c r="C25">
        <v>3.59</v>
      </c>
      <c r="D25">
        <v>-8.64</v>
      </c>
      <c r="E25">
        <f t="shared" si="1"/>
        <v>-2.6400000000000006</v>
      </c>
      <c r="F25" s="5">
        <f t="shared" si="2"/>
        <v>20.869269300090668</v>
      </c>
      <c r="G25" t="str">
        <f t="shared" si="3"/>
        <v>51.4366541804235-35.6978072666536i</v>
      </c>
      <c r="H25">
        <f t="shared" si="4"/>
        <v>62.610405180957144</v>
      </c>
      <c r="I25">
        <f t="shared" si="5"/>
        <v>-5.0986401357077717</v>
      </c>
      <c r="L25" t="s">
        <v>70</v>
      </c>
      <c r="M25" s="5">
        <f>A15</f>
        <v>240000000</v>
      </c>
      <c r="N25" t="s">
        <v>12</v>
      </c>
    </row>
    <row r="26" spans="1:15" x14ac:dyDescent="0.4">
      <c r="A26" s="5">
        <v>600000000</v>
      </c>
      <c r="B26">
        <f t="shared" si="0"/>
        <v>600</v>
      </c>
      <c r="C26">
        <v>3.35</v>
      </c>
      <c r="D26">
        <v>-9.49</v>
      </c>
      <c r="E26">
        <f t="shared" si="1"/>
        <v>-3.49</v>
      </c>
      <c r="F26" s="5">
        <f t="shared" si="2"/>
        <v>22.766475600098911</v>
      </c>
      <c r="G26" t="str">
        <f t="shared" si="3"/>
        <v>34.0235848507229-24.2702972867014i</v>
      </c>
      <c r="H26">
        <f t="shared" si="4"/>
        <v>41.792961805538575</v>
      </c>
      <c r="I26">
        <f t="shared" si="5"/>
        <v>-6.8341246610220807</v>
      </c>
      <c r="L26" t="s">
        <v>71</v>
      </c>
      <c r="M26" s="5">
        <f>(A31+A32)/2</f>
        <v>732500000</v>
      </c>
      <c r="N26" t="s">
        <v>12</v>
      </c>
    </row>
    <row r="27" spans="1:15" x14ac:dyDescent="0.4">
      <c r="A27" s="5">
        <v>650000000</v>
      </c>
      <c r="B27">
        <f t="shared" si="0"/>
        <v>650</v>
      </c>
      <c r="C27">
        <v>2.84</v>
      </c>
      <c r="D27">
        <v>-10.97</v>
      </c>
      <c r="E27">
        <f t="shared" si="1"/>
        <v>-4.9700000000000006</v>
      </c>
      <c r="F27" s="5">
        <f t="shared" si="2"/>
        <v>24.663681900107154</v>
      </c>
      <c r="G27" t="str">
        <f t="shared" si="3"/>
        <v>26.7567707819791-11.1229457196697i</v>
      </c>
      <c r="H27">
        <f t="shared" si="4"/>
        <v>28.976623408570035</v>
      </c>
      <c r="I27">
        <f t="shared" si="5"/>
        <v>-8.709015705401379</v>
      </c>
      <c r="L27" t="s">
        <v>72</v>
      </c>
      <c r="M27" s="5">
        <f>(M26-M25)*2*M8</f>
        <v>176413500</v>
      </c>
      <c r="N27" t="s">
        <v>7</v>
      </c>
    </row>
    <row r="28" spans="1:15" x14ac:dyDescent="0.4">
      <c r="A28" s="5">
        <v>700000000</v>
      </c>
      <c r="B28">
        <f t="shared" si="0"/>
        <v>700</v>
      </c>
      <c r="C28">
        <v>2.38</v>
      </c>
      <c r="D28">
        <v>-15.09</v>
      </c>
      <c r="E28">
        <f t="shared" si="1"/>
        <v>-9.09</v>
      </c>
      <c r="F28" s="5">
        <f t="shared" si="2"/>
        <v>26.560888200115397</v>
      </c>
      <c r="G28" t="str">
        <f t="shared" si="3"/>
        <v>25.0993599598819+1.67248427650834i</v>
      </c>
      <c r="H28">
        <f t="shared" si="4"/>
        <v>25.155020851728398</v>
      </c>
      <c r="I28">
        <f t="shared" si="5"/>
        <v>-9.506666359408424</v>
      </c>
      <c r="L28" t="s">
        <v>73</v>
      </c>
      <c r="M28" s="5">
        <f>299792458/M27</f>
        <v>1.6993736760508691</v>
      </c>
    </row>
    <row r="29" spans="1:15" x14ac:dyDescent="0.4">
      <c r="A29" s="5">
        <v>720000000</v>
      </c>
      <c r="B29">
        <f t="shared" si="0"/>
        <v>720</v>
      </c>
      <c r="C29">
        <v>2.3199999999999998</v>
      </c>
      <c r="D29">
        <v>-18.45</v>
      </c>
      <c r="E29">
        <f t="shared" si="1"/>
        <v>-12.45</v>
      </c>
      <c r="F29" s="5">
        <f t="shared" si="2"/>
        <v>27.319770720118694</v>
      </c>
      <c r="G29" t="str">
        <f t="shared" si="3"/>
        <v>25.6821851963599+6.77832824058695i</v>
      </c>
      <c r="H29">
        <f t="shared" si="4"/>
        <v>26.561633424871786</v>
      </c>
      <c r="I29">
        <f t="shared" si="5"/>
        <v>-9.1951282340539979</v>
      </c>
    </row>
    <row r="30" spans="1:15" x14ac:dyDescent="0.4">
      <c r="A30" s="5">
        <v>725000000</v>
      </c>
      <c r="B30">
        <f t="shared" si="0"/>
        <v>725</v>
      </c>
      <c r="C30">
        <v>2.38</v>
      </c>
      <c r="D30">
        <v>-19.23</v>
      </c>
      <c r="E30">
        <f t="shared" si="1"/>
        <v>-13.23</v>
      </c>
      <c r="F30" s="5">
        <f t="shared" si="2"/>
        <v>27.509491350119522</v>
      </c>
      <c r="G30" t="str">
        <f t="shared" si="3"/>
        <v>25.9424962392012+8.06213159925365i</v>
      </c>
      <c r="H30">
        <f t="shared" si="4"/>
        <v>27.166359289471465</v>
      </c>
      <c r="I30">
        <f t="shared" si="5"/>
        <v>-9.0679314108322835</v>
      </c>
      <c r="L30" t="s">
        <v>75</v>
      </c>
      <c r="M30">
        <f>-(M12-2*M2)/(M12+2*M2)</f>
        <v>0.33223395792159804</v>
      </c>
    </row>
    <row r="31" spans="1:15" x14ac:dyDescent="0.4">
      <c r="A31" s="8">
        <v>730000000</v>
      </c>
      <c r="B31" s="1">
        <f t="shared" si="0"/>
        <v>730</v>
      </c>
      <c r="C31" s="1">
        <v>2.4</v>
      </c>
      <c r="D31" s="1">
        <v>-19.71</v>
      </c>
      <c r="E31" s="1">
        <f t="shared" si="1"/>
        <v>-13.71</v>
      </c>
      <c r="F31" s="5">
        <f t="shared" si="2"/>
        <v>27.699211980120346</v>
      </c>
      <c r="G31" t="str">
        <f t="shared" si="3"/>
        <v>26.251282350995+9.3499931325481i</v>
      </c>
      <c r="H31">
        <f t="shared" si="4"/>
        <v>27.866686144038699</v>
      </c>
      <c r="I31">
        <f t="shared" si="5"/>
        <v>-8.9253273217035662</v>
      </c>
    </row>
    <row r="32" spans="1:15" x14ac:dyDescent="0.4">
      <c r="A32" s="8">
        <v>735000000</v>
      </c>
      <c r="B32" s="1">
        <f t="shared" si="0"/>
        <v>735</v>
      </c>
      <c r="C32" s="1">
        <v>2.46</v>
      </c>
      <c r="D32" s="1">
        <v>-19.71</v>
      </c>
      <c r="E32" s="1">
        <f t="shared" si="1"/>
        <v>-13.71</v>
      </c>
      <c r="F32" s="5">
        <f t="shared" si="2"/>
        <v>27.888932610121167</v>
      </c>
      <c r="G32" t="str">
        <f t="shared" si="3"/>
        <v>26.6103618924171+10.6423365641779i</v>
      </c>
      <c r="H32">
        <f t="shared" si="4"/>
        <v>28.659565376862258</v>
      </c>
      <c r="I32">
        <f t="shared" si="5"/>
        <v>-8.7696388484025576</v>
      </c>
    </row>
    <row r="33" spans="1:9" x14ac:dyDescent="0.4">
      <c r="A33" s="5">
        <v>740000000</v>
      </c>
      <c r="B33">
        <f t="shared" si="0"/>
        <v>740</v>
      </c>
      <c r="C33">
        <v>2.46</v>
      </c>
      <c r="D33">
        <v>-19.2</v>
      </c>
      <c r="E33">
        <f t="shared" si="1"/>
        <v>-13.2</v>
      </c>
      <c r="F33" s="5">
        <f t="shared" si="2"/>
        <v>28.078653240121991</v>
      </c>
      <c r="G33" t="str">
        <f t="shared" si="3"/>
        <v>27.021862484914+11.9394747226271i</v>
      </c>
      <c r="H33">
        <f t="shared" si="4"/>
        <v>29.542039685943386</v>
      </c>
      <c r="I33">
        <f t="shared" si="5"/>
        <v>-8.6031249224868702</v>
      </c>
    </row>
    <row r="34" spans="1:9" x14ac:dyDescent="0.4">
      <c r="A34" s="5">
        <v>745000000</v>
      </c>
      <c r="B34">
        <f t="shared" si="0"/>
        <v>745</v>
      </c>
      <c r="C34">
        <v>2.59</v>
      </c>
      <c r="D34">
        <v>-18.329999999999998</v>
      </c>
      <c r="E34">
        <f t="shared" si="1"/>
        <v>-12.329999999999998</v>
      </c>
      <c r="F34" s="5">
        <f t="shared" si="2"/>
        <v>28.268373870122819</v>
      </c>
      <c r="G34" t="str">
        <f t="shared" si="3"/>
        <v>27.4882384009845+13.2415837337545i</v>
      </c>
      <c r="H34">
        <f t="shared" si="4"/>
        <v>30.511355102115516</v>
      </c>
      <c r="I34">
        <f t="shared" si="5"/>
        <v>-8.4279127997552621</v>
      </c>
    </row>
    <row r="35" spans="1:9" x14ac:dyDescent="0.4">
      <c r="A35" s="5">
        <v>750000000</v>
      </c>
      <c r="B35">
        <f t="shared" si="0"/>
        <v>750</v>
      </c>
      <c r="C35">
        <v>2.68</v>
      </c>
      <c r="D35">
        <v>-17.28</v>
      </c>
      <c r="E35">
        <f t="shared" si="1"/>
        <v>-11.280000000000001</v>
      </c>
      <c r="F35" s="5">
        <f t="shared" si="2"/>
        <v>28.458094500123639</v>
      </c>
      <c r="G35" t="str">
        <f t="shared" si="3"/>
        <v>28.0122900377189+14.5486724449022i</v>
      </c>
      <c r="H35">
        <f t="shared" si="4"/>
        <v>31.565048123935153</v>
      </c>
      <c r="I35">
        <f t="shared" si="5"/>
        <v>-8.2459528194410741</v>
      </c>
    </row>
    <row r="36" spans="1:9" x14ac:dyDescent="0.4">
      <c r="A36" s="5">
        <v>760000000</v>
      </c>
      <c r="B36">
        <f t="shared" si="0"/>
        <v>760</v>
      </c>
      <c r="C36">
        <v>2.81</v>
      </c>
      <c r="D36">
        <v>-15.16</v>
      </c>
      <c r="E36">
        <f t="shared" si="1"/>
        <v>-9.16</v>
      </c>
      <c r="F36" s="5">
        <f t="shared" si="2"/>
        <v>28.837535760125292</v>
      </c>
      <c r="G36" t="str">
        <f t="shared" si="3"/>
        <v>29.2464825264928+17.1767628698565i</v>
      </c>
      <c r="H36">
        <f t="shared" si="4"/>
        <v>33.917516460668658</v>
      </c>
      <c r="I36">
        <f t="shared" si="5"/>
        <v>-7.8685715597224961</v>
      </c>
    </row>
    <row r="37" spans="1:9" x14ac:dyDescent="0.4">
      <c r="A37" s="5">
        <v>780000000</v>
      </c>
      <c r="B37">
        <f t="shared" si="0"/>
        <v>780</v>
      </c>
      <c r="C37">
        <v>3.05</v>
      </c>
      <c r="D37">
        <v>-12.04</v>
      </c>
      <c r="E37">
        <f t="shared" si="1"/>
        <v>-6.0399999999999991</v>
      </c>
      <c r="F37" s="5">
        <f t="shared" si="2"/>
        <v>29.596418280128589</v>
      </c>
      <c r="G37" t="str">
        <f t="shared" si="3"/>
        <v>32.5738798967129+22.464397833667i</v>
      </c>
      <c r="H37">
        <f t="shared" si="4"/>
        <v>39.56901340133134</v>
      </c>
      <c r="I37">
        <f t="shared" si="5"/>
        <v>-7.0960513727656824</v>
      </c>
    </row>
    <row r="38" spans="1:9" x14ac:dyDescent="0.4">
      <c r="A38" s="5">
        <v>800000000</v>
      </c>
      <c r="B38">
        <f t="shared" si="0"/>
        <v>800</v>
      </c>
      <c r="C38">
        <v>3.17</v>
      </c>
      <c r="D38">
        <v>-10.27</v>
      </c>
      <c r="E38">
        <f t="shared" si="1"/>
        <v>-4.2699999999999996</v>
      </c>
      <c r="F38" s="5">
        <f t="shared" si="2"/>
        <v>30.355300800131879</v>
      </c>
      <c r="G38" t="str">
        <f t="shared" si="3"/>
        <v>37.3336813006396+27.676657717468i</v>
      </c>
      <c r="H38">
        <f t="shared" si="4"/>
        <v>46.473660732371918</v>
      </c>
      <c r="I38">
        <f t="shared" si="5"/>
        <v>-6.3440375019128936</v>
      </c>
    </row>
    <row r="39" spans="1:9" x14ac:dyDescent="0.4">
      <c r="A39" s="5">
        <v>850000000</v>
      </c>
      <c r="B39">
        <f t="shared" si="0"/>
        <v>850</v>
      </c>
      <c r="C39">
        <v>3.21</v>
      </c>
      <c r="D39">
        <v>-8.58</v>
      </c>
      <c r="E39">
        <f t="shared" si="1"/>
        <v>-2.58</v>
      </c>
      <c r="F39" s="5">
        <f t="shared" si="2"/>
        <v>32.252507100140129</v>
      </c>
      <c r="G39" t="str">
        <f t="shared" si="3"/>
        <v>58.6079227815995+37.1517923496583i</v>
      </c>
      <c r="H39">
        <f t="shared" si="4"/>
        <v>69.391240712110474</v>
      </c>
      <c r="I39">
        <f t="shared" si="5"/>
        <v>-4.7133562535804732</v>
      </c>
    </row>
    <row r="40" spans="1:9" x14ac:dyDescent="0.4">
      <c r="A40" s="5">
        <v>900000000</v>
      </c>
      <c r="B40">
        <f t="shared" si="0"/>
        <v>900</v>
      </c>
      <c r="C40">
        <v>3.13</v>
      </c>
      <c r="D40">
        <v>-8.34</v>
      </c>
      <c r="E40">
        <f t="shared" si="1"/>
        <v>-2.34</v>
      </c>
      <c r="F40" s="5">
        <f t="shared" si="2"/>
        <v>34.149713400148372</v>
      </c>
      <c r="G40" t="str">
        <f t="shared" si="3"/>
        <v>92.16601693396+22.5637114324451i</v>
      </c>
      <c r="H40">
        <f t="shared" si="4"/>
        <v>94.887806124273169</v>
      </c>
      <c r="I40">
        <f t="shared" si="5"/>
        <v>-3.6764286177540417</v>
      </c>
    </row>
    <row r="41" spans="1:9" x14ac:dyDescent="0.4">
      <c r="A41" s="5">
        <v>950000000</v>
      </c>
      <c r="B41">
        <f t="shared" si="0"/>
        <v>950</v>
      </c>
      <c r="C41">
        <v>3.15</v>
      </c>
      <c r="D41">
        <v>-8.52</v>
      </c>
      <c r="E41">
        <f t="shared" si="1"/>
        <v>-2.5199999999999996</v>
      </c>
      <c r="F41" s="5">
        <f t="shared" si="2"/>
        <v>36.046919700156614</v>
      </c>
      <c r="G41" t="str">
        <f t="shared" si="3"/>
        <v>91.674145425338-23.1981443100393i</v>
      </c>
      <c r="H41">
        <f t="shared" si="4"/>
        <v>94.563750131302569</v>
      </c>
      <c r="I41">
        <f t="shared" si="5"/>
        <v>-3.6866943793972053</v>
      </c>
    </row>
    <row r="42" spans="1:9" x14ac:dyDescent="0.4">
      <c r="A42" s="5">
        <v>1000000000</v>
      </c>
      <c r="B42">
        <f t="shared" si="0"/>
        <v>1000</v>
      </c>
      <c r="C42">
        <v>3.25</v>
      </c>
      <c r="D42">
        <v>-8.86</v>
      </c>
      <c r="E42">
        <f t="shared" si="1"/>
        <v>-2.8599999999999994</v>
      </c>
      <c r="F42" s="5">
        <f t="shared" si="2"/>
        <v>37.944126000164857</v>
      </c>
      <c r="G42" t="str">
        <f t="shared" si="3"/>
        <v>58.1013035168575-37.096484533581i</v>
      </c>
      <c r="H42">
        <f t="shared" si="4"/>
        <v>68.934103570788608</v>
      </c>
      <c r="I42">
        <f t="shared" si="5"/>
        <v>-4.7374454245088575</v>
      </c>
    </row>
    <row r="43" spans="1:9" x14ac:dyDescent="0.4">
      <c r="A43" s="5">
        <v>2000000000</v>
      </c>
      <c r="B43">
        <f t="shared" si="0"/>
        <v>2000</v>
      </c>
      <c r="C43">
        <v>2.0699999999999998</v>
      </c>
      <c r="D43">
        <v>-11.4</v>
      </c>
      <c r="E43">
        <f t="shared" si="1"/>
        <v>-5.4</v>
      </c>
      <c r="F43" s="5">
        <f t="shared" si="2"/>
        <v>75.888252000329715</v>
      </c>
      <c r="G43" t="str">
        <f t="shared" si="3"/>
        <v>31.3909591277501-20.8006808389776i</v>
      </c>
      <c r="H43">
        <f t="shared" si="4"/>
        <v>37.657145913160853</v>
      </c>
      <c r="I43">
        <f t="shared" si="5"/>
        <v>-7.3387984983054855</v>
      </c>
    </row>
  </sheetData>
  <autoFilter ref="A1:E40" xr:uid="{F56B0F9D-339B-4227-8E36-4C692B27FA03}">
    <sortState xmlns:xlrd2="http://schemas.microsoft.com/office/spreadsheetml/2017/richdata2" ref="A2:E43">
      <sortCondition ref="A1:A40"/>
    </sortState>
  </autoFilter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3B0D-B420-4C67-A68C-23C3F982C665}">
  <dimension ref="A1:L11"/>
  <sheetViews>
    <sheetView zoomScaleNormal="100" workbookViewId="0">
      <selection activeCell="G1" sqref="G1"/>
    </sheetView>
  </sheetViews>
  <sheetFormatPr defaultRowHeight="18.75" x14ac:dyDescent="0.4"/>
  <cols>
    <col min="1" max="1" width="11" bestFit="1" customWidth="1"/>
    <col min="3" max="4" width="13.625" bestFit="1" customWidth="1"/>
    <col min="8" max="8" width="13.5" bestFit="1" customWidth="1"/>
    <col min="10" max="10" width="11.75" bestFit="1" customWidth="1"/>
  </cols>
  <sheetData>
    <row r="1" spans="1:12" x14ac:dyDescent="0.4">
      <c r="A1" t="s">
        <v>42</v>
      </c>
      <c r="B1" t="s">
        <v>30</v>
      </c>
      <c r="C1" t="s">
        <v>92</v>
      </c>
      <c r="D1" t="s">
        <v>88</v>
      </c>
      <c r="E1" t="s">
        <v>89</v>
      </c>
      <c r="F1" t="s">
        <v>91</v>
      </c>
      <c r="G1" t="s">
        <v>90</v>
      </c>
      <c r="H1" t="s">
        <v>94</v>
      </c>
    </row>
    <row r="2" spans="1:12" x14ac:dyDescent="0.4">
      <c r="A2">
        <v>0.5</v>
      </c>
      <c r="B2">
        <f>CONVERT(A2,"Mm","m")</f>
        <v>500000</v>
      </c>
      <c r="C2" s="9">
        <v>1.07</v>
      </c>
      <c r="D2">
        <v>306</v>
      </c>
      <c r="E2">
        <f>D2/C2/1000</f>
        <v>0.28598130841121489</v>
      </c>
      <c r="F2">
        <f>-20*LOG10(E2)</f>
        <v>10.873247024072594</v>
      </c>
      <c r="G2">
        <f>F2-$K$2</f>
        <v>4.8732470240725938</v>
      </c>
      <c r="H2">
        <f>10*LOG10(1+(A2/$K$5)^(2*$K$4))</f>
        <v>6.7333826589684023E-2</v>
      </c>
      <c r="J2" t="s">
        <v>43</v>
      </c>
      <c r="K2">
        <v>6</v>
      </c>
      <c r="L2" t="s">
        <v>46</v>
      </c>
    </row>
    <row r="3" spans="1:12" x14ac:dyDescent="0.4">
      <c r="A3">
        <v>1</v>
      </c>
      <c r="B3">
        <f t="shared" ref="B3:B11" si="0">CONVERT(A3,"Mm","m")</f>
        <v>1000000</v>
      </c>
      <c r="C3" s="9">
        <v>1.07</v>
      </c>
      <c r="D3">
        <v>412</v>
      </c>
      <c r="E3">
        <f>D3/C3/1000</f>
        <v>0.38504672897196257</v>
      </c>
      <c r="F3">
        <f>-20*LOG10(E3)</f>
        <v>8.2897312330415023</v>
      </c>
      <c r="G3">
        <f>F3-$K$2</f>
        <v>2.2897312330415023</v>
      </c>
      <c r="H3">
        <f>10*LOG10(1+(A3/$K$5)^(2*$K$4))</f>
        <v>3.0102999566398121</v>
      </c>
      <c r="J3" t="s">
        <v>98</v>
      </c>
    </row>
    <row r="4" spans="1:12" x14ac:dyDescent="0.4">
      <c r="A4">
        <v>1.5</v>
      </c>
      <c r="B4">
        <f t="shared" si="0"/>
        <v>1500000</v>
      </c>
      <c r="C4" s="9">
        <v>1.05</v>
      </c>
      <c r="D4">
        <v>105</v>
      </c>
      <c r="E4">
        <f>D4/C4/1000</f>
        <v>0.1</v>
      </c>
      <c r="F4">
        <f t="shared" ref="F4:F11" si="1">-20*LOG10(E4)</f>
        <v>20</v>
      </c>
      <c r="G4">
        <f t="shared" ref="G4:G11" si="2">F4-$K$2</f>
        <v>14</v>
      </c>
      <c r="H4">
        <f t="shared" ref="H4:H11" si="3">10*LOG10(1+(A4/$K$5)^(2*$K$4))</f>
        <v>10.930932133337166</v>
      </c>
      <c r="J4" t="s">
        <v>93</v>
      </c>
      <c r="K4">
        <v>3</v>
      </c>
      <c r="L4" t="s">
        <v>28</v>
      </c>
    </row>
    <row r="5" spans="1:12" x14ac:dyDescent="0.4">
      <c r="A5">
        <v>2</v>
      </c>
      <c r="B5">
        <f t="shared" si="0"/>
        <v>2000000</v>
      </c>
      <c r="C5" s="9">
        <v>1.08</v>
      </c>
      <c r="D5">
        <v>55.2</v>
      </c>
      <c r="E5">
        <f t="shared" ref="E5:E11" si="4">D5/C5/1000</f>
        <v>5.1111111111111107E-2</v>
      </c>
      <c r="F5">
        <f>-20*LOG10(E5)</f>
        <v>25.829693555155018</v>
      </c>
      <c r="G5">
        <f t="shared" si="2"/>
        <v>19.829693555155018</v>
      </c>
      <c r="H5">
        <f>10*LOG10(1+(A5/$K$5)^(2*$K$4))</f>
        <v>18.129133566428553</v>
      </c>
      <c r="J5" t="s">
        <v>95</v>
      </c>
      <c r="K5">
        <v>1</v>
      </c>
      <c r="L5" t="s">
        <v>50</v>
      </c>
    </row>
    <row r="6" spans="1:12" x14ac:dyDescent="0.4">
      <c r="A6">
        <v>2.5</v>
      </c>
      <c r="B6">
        <f t="shared" si="0"/>
        <v>2500000</v>
      </c>
      <c r="C6" s="9">
        <v>1.0900000000000001</v>
      </c>
      <c r="D6">
        <v>28.9</v>
      </c>
      <c r="E6">
        <f>D6/C6/1000</f>
        <v>2.6513761467889904E-2</v>
      </c>
      <c r="F6">
        <f>-20*LOG10(E6)</f>
        <v>31.530573103681515</v>
      </c>
      <c r="G6">
        <f>F6-$K$2</f>
        <v>25.530573103681515</v>
      </c>
      <c r="H6">
        <f t="shared" si="3"/>
        <v>23.894152890216382</v>
      </c>
      <c r="J6" t="s">
        <v>96</v>
      </c>
      <c r="K6">
        <v>7.92</v>
      </c>
      <c r="L6" t="s">
        <v>97</v>
      </c>
    </row>
    <row r="7" spans="1:12" x14ac:dyDescent="0.4">
      <c r="A7">
        <v>3</v>
      </c>
      <c r="B7">
        <f t="shared" si="0"/>
        <v>3000000</v>
      </c>
      <c r="C7" s="9">
        <v>1.1000000000000001</v>
      </c>
      <c r="D7">
        <v>16.7</v>
      </c>
      <c r="E7">
        <f t="shared" si="4"/>
        <v>1.518181818181818E-2</v>
      </c>
      <c r="F7">
        <f t="shared" si="1"/>
        <v>36.373524280212834</v>
      </c>
      <c r="G7">
        <f t="shared" si="2"/>
        <v>30.373524280212834</v>
      </c>
      <c r="H7">
        <f>10*LOG10(1+(A7/$K$5)^(2*$K$4))</f>
        <v>28.633228601204557</v>
      </c>
    </row>
    <row r="8" spans="1:12" x14ac:dyDescent="0.4">
      <c r="A8">
        <v>3.5</v>
      </c>
      <c r="B8">
        <f t="shared" si="0"/>
        <v>3500000</v>
      </c>
      <c r="C8" s="9">
        <v>1.0900000000000001</v>
      </c>
      <c r="D8">
        <v>10.199999999999999</v>
      </c>
      <c r="E8">
        <f t="shared" si="4"/>
        <v>9.3577981651376124E-3</v>
      </c>
      <c r="F8">
        <f t="shared" si="1"/>
        <v>40.576526523574124</v>
      </c>
      <c r="G8">
        <f t="shared" si="2"/>
        <v>34.576526523574124</v>
      </c>
      <c r="H8">
        <f t="shared" si="3"/>
        <v>32.646444541653757</v>
      </c>
    </row>
    <row r="9" spans="1:12" x14ac:dyDescent="0.4">
      <c r="A9">
        <v>4</v>
      </c>
      <c r="B9">
        <f t="shared" si="0"/>
        <v>4000000</v>
      </c>
      <c r="C9" s="9">
        <v>1.1000000000000001</v>
      </c>
      <c r="D9">
        <v>9.25</v>
      </c>
      <c r="E9">
        <f t="shared" si="4"/>
        <v>8.4090909090909077E-3</v>
      </c>
      <c r="F9">
        <f t="shared" si="1"/>
        <v>41.505019048383851</v>
      </c>
      <c r="G9">
        <f t="shared" si="2"/>
        <v>35.505019048383851</v>
      </c>
      <c r="H9">
        <f>10*LOG10(1+(A9/$K$5)^(2*$K$4))</f>
        <v>36.124659639531423</v>
      </c>
    </row>
    <row r="10" spans="1:12" x14ac:dyDescent="0.4">
      <c r="A10">
        <v>4.5</v>
      </c>
      <c r="B10">
        <f t="shared" si="0"/>
        <v>4500000</v>
      </c>
      <c r="C10" s="9">
        <v>1.05</v>
      </c>
      <c r="D10" s="9">
        <v>5.2</v>
      </c>
      <c r="E10">
        <f t="shared" si="4"/>
        <v>4.9523809523809529E-3</v>
      </c>
      <c r="F10">
        <f t="shared" si="1"/>
        <v>46.103719108702776</v>
      </c>
      <c r="G10">
        <f t="shared" si="2"/>
        <v>40.103719108702776</v>
      </c>
      <c r="H10">
        <f t="shared" si="3"/>
        <v>39.193273804110746</v>
      </c>
    </row>
    <row r="11" spans="1:12" x14ac:dyDescent="0.4">
      <c r="A11">
        <v>5</v>
      </c>
      <c r="B11">
        <f t="shared" si="0"/>
        <v>5000000</v>
      </c>
      <c r="C11" s="9">
        <v>1.06</v>
      </c>
      <c r="D11">
        <v>3.66</v>
      </c>
      <c r="E11">
        <f t="shared" si="4"/>
        <v>3.452830188679245E-3</v>
      </c>
      <c r="F11">
        <f t="shared" si="1"/>
        <v>49.236495597407185</v>
      </c>
      <c r="G11">
        <f t="shared" si="2"/>
        <v>43.236495597407185</v>
      </c>
      <c r="H11">
        <f t="shared" si="3"/>
        <v>41.93847819973557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26C4-7C8C-401A-AE68-E32847AE3704}">
  <dimension ref="A1:K26"/>
  <sheetViews>
    <sheetView zoomScale="115" zoomScaleNormal="115" workbookViewId="0">
      <selection activeCell="D10" sqref="D10"/>
    </sheetView>
  </sheetViews>
  <sheetFormatPr defaultRowHeight="18.75" x14ac:dyDescent="0.4"/>
  <cols>
    <col min="1" max="1" width="11.625" bestFit="1" customWidth="1"/>
    <col min="2" max="2" width="11.125" bestFit="1" customWidth="1"/>
    <col min="3" max="3" width="9.125" bestFit="1" customWidth="1"/>
    <col min="9" max="9" width="10" customWidth="1"/>
  </cols>
  <sheetData>
    <row r="1" spans="1:11" x14ac:dyDescent="0.4">
      <c r="A1" t="s">
        <v>30</v>
      </c>
      <c r="B1" t="s">
        <v>42</v>
      </c>
      <c r="C1" t="s">
        <v>2</v>
      </c>
      <c r="D1" t="s">
        <v>108</v>
      </c>
      <c r="J1" t="s">
        <v>100</v>
      </c>
      <c r="K1" t="s">
        <v>101</v>
      </c>
    </row>
    <row r="2" spans="1:11" x14ac:dyDescent="0.4">
      <c r="A2">
        <f>CONVERT(B2,"Mm", "m")</f>
        <v>100000000</v>
      </c>
      <c r="B2">
        <v>100</v>
      </c>
      <c r="C2">
        <v>-35.700000000000003</v>
      </c>
      <c r="D2">
        <f>0.5*$I$4/A2</f>
        <v>1.4989622899999999</v>
      </c>
      <c r="H2" t="s">
        <v>33</v>
      </c>
      <c r="I2">
        <v>0.20100000000000001</v>
      </c>
      <c r="J2" t="s">
        <v>54</v>
      </c>
      <c r="K2" t="s">
        <v>102</v>
      </c>
    </row>
    <row r="3" spans="1:11" x14ac:dyDescent="0.4">
      <c r="A3">
        <f t="shared" ref="A3:A26" si="0">CONVERT(B3,"Mm", "m")</f>
        <v>200000000</v>
      </c>
      <c r="B3">
        <v>200</v>
      </c>
      <c r="C3">
        <v>-26.9</v>
      </c>
      <c r="D3">
        <f t="shared" ref="D3:D26" si="1">0.5*$I$4/A3</f>
        <v>0.74948114499999996</v>
      </c>
      <c r="H3" t="s">
        <v>103</v>
      </c>
      <c r="I3">
        <v>0.05</v>
      </c>
      <c r="J3" t="s">
        <v>54</v>
      </c>
    </row>
    <row r="4" spans="1:11" x14ac:dyDescent="0.4">
      <c r="A4">
        <f t="shared" si="0"/>
        <v>300000000</v>
      </c>
      <c r="B4">
        <v>300</v>
      </c>
      <c r="C4">
        <v>-20.100000000000001</v>
      </c>
      <c r="D4">
        <f t="shared" si="1"/>
        <v>0.49965409666666666</v>
      </c>
      <c r="H4" t="s">
        <v>6</v>
      </c>
      <c r="I4">
        <v>299792458</v>
      </c>
      <c r="J4" t="s">
        <v>7</v>
      </c>
    </row>
    <row r="5" spans="1:11" x14ac:dyDescent="0.4">
      <c r="A5">
        <f t="shared" si="0"/>
        <v>400000000</v>
      </c>
      <c r="B5">
        <v>400</v>
      </c>
      <c r="C5">
        <v>-22</v>
      </c>
      <c r="D5">
        <f t="shared" si="1"/>
        <v>0.37474057249999998</v>
      </c>
      <c r="H5" t="s">
        <v>107</v>
      </c>
      <c r="I5">
        <f>MAX(C:C)</f>
        <v>8.9</v>
      </c>
      <c r="J5" t="s">
        <v>46</v>
      </c>
    </row>
    <row r="6" spans="1:11" x14ac:dyDescent="0.4">
      <c r="A6">
        <f t="shared" si="0"/>
        <v>500000000</v>
      </c>
      <c r="B6">
        <v>500</v>
      </c>
      <c r="C6">
        <v>-7.1</v>
      </c>
      <c r="D6">
        <f t="shared" si="1"/>
        <v>0.29979245799999998</v>
      </c>
      <c r="H6" t="s">
        <v>69</v>
      </c>
      <c r="I6">
        <f>_xlfn.XLOOKUP(I5, C:C, A:A)</f>
        <v>670000000</v>
      </c>
      <c r="J6" t="s">
        <v>12</v>
      </c>
    </row>
    <row r="7" spans="1:11" x14ac:dyDescent="0.4">
      <c r="A7">
        <f t="shared" si="0"/>
        <v>600000000</v>
      </c>
      <c r="B7">
        <v>600</v>
      </c>
      <c r="C7">
        <v>1.79</v>
      </c>
      <c r="D7">
        <f t="shared" si="1"/>
        <v>0.24982704833333333</v>
      </c>
    </row>
    <row r="8" spans="1:11" x14ac:dyDescent="0.4">
      <c r="A8">
        <f t="shared" si="0"/>
        <v>650000000</v>
      </c>
      <c r="B8">
        <v>650</v>
      </c>
      <c r="C8">
        <v>5.85</v>
      </c>
      <c r="D8">
        <f t="shared" si="1"/>
        <v>0.23060958307692309</v>
      </c>
    </row>
    <row r="9" spans="1:11" x14ac:dyDescent="0.4">
      <c r="A9">
        <f t="shared" si="0"/>
        <v>660000000</v>
      </c>
      <c r="B9">
        <v>660</v>
      </c>
      <c r="C9">
        <v>7.82</v>
      </c>
      <c r="D9">
        <f t="shared" si="1"/>
        <v>0.22711549848484849</v>
      </c>
    </row>
    <row r="10" spans="1:11" x14ac:dyDescent="0.4">
      <c r="A10">
        <f t="shared" si="0"/>
        <v>670000000</v>
      </c>
      <c r="B10" s="1">
        <v>670</v>
      </c>
      <c r="C10" s="1">
        <v>8.9</v>
      </c>
      <c r="D10" s="1">
        <f t="shared" si="1"/>
        <v>0.22372571492537313</v>
      </c>
    </row>
    <row r="11" spans="1:11" x14ac:dyDescent="0.4">
      <c r="A11">
        <f t="shared" si="0"/>
        <v>680000000</v>
      </c>
      <c r="B11">
        <v>680</v>
      </c>
      <c r="C11">
        <v>8.58</v>
      </c>
      <c r="D11">
        <f t="shared" si="1"/>
        <v>0.22043563088235293</v>
      </c>
    </row>
    <row r="12" spans="1:11" x14ac:dyDescent="0.4">
      <c r="A12">
        <f t="shared" si="0"/>
        <v>690000000</v>
      </c>
      <c r="B12">
        <v>690</v>
      </c>
      <c r="C12">
        <v>6.91</v>
      </c>
      <c r="D12">
        <f t="shared" si="1"/>
        <v>0.21724091159420289</v>
      </c>
    </row>
    <row r="13" spans="1:11" x14ac:dyDescent="0.4">
      <c r="A13">
        <f t="shared" si="0"/>
        <v>700000000</v>
      </c>
      <c r="B13">
        <v>700</v>
      </c>
      <c r="C13">
        <v>5.33</v>
      </c>
      <c r="D13">
        <f t="shared" si="1"/>
        <v>0.21413747</v>
      </c>
    </row>
    <row r="14" spans="1:11" x14ac:dyDescent="0.4">
      <c r="A14">
        <f t="shared" si="0"/>
        <v>710000000</v>
      </c>
      <c r="B14">
        <v>710</v>
      </c>
      <c r="C14">
        <v>3.9</v>
      </c>
      <c r="D14">
        <f t="shared" si="1"/>
        <v>0.21112144929577464</v>
      </c>
    </row>
    <row r="15" spans="1:11" x14ac:dyDescent="0.4">
      <c r="A15">
        <f t="shared" si="0"/>
        <v>720000000</v>
      </c>
      <c r="B15">
        <v>720</v>
      </c>
      <c r="C15">
        <v>4.55</v>
      </c>
      <c r="D15">
        <f t="shared" si="1"/>
        <v>0.20818920694444445</v>
      </c>
    </row>
    <row r="16" spans="1:11" x14ac:dyDescent="0.4">
      <c r="A16">
        <f t="shared" si="0"/>
        <v>730000000</v>
      </c>
      <c r="B16">
        <v>730</v>
      </c>
      <c r="C16">
        <v>4.5199999999999996</v>
      </c>
      <c r="D16">
        <f t="shared" si="1"/>
        <v>0.2053373</v>
      </c>
    </row>
    <row r="17" spans="1:4" x14ac:dyDescent="0.4">
      <c r="A17">
        <f t="shared" si="0"/>
        <v>740000000</v>
      </c>
      <c r="B17">
        <v>740</v>
      </c>
      <c r="C17">
        <v>3.44</v>
      </c>
      <c r="D17">
        <f t="shared" si="1"/>
        <v>0.20256247162162161</v>
      </c>
    </row>
    <row r="18" spans="1:4" x14ac:dyDescent="0.4">
      <c r="A18">
        <f t="shared" si="0"/>
        <v>750000000</v>
      </c>
      <c r="B18">
        <v>750</v>
      </c>
      <c r="C18">
        <v>2.56</v>
      </c>
      <c r="D18">
        <f t="shared" si="1"/>
        <v>0.19986163866666667</v>
      </c>
    </row>
    <row r="19" spans="1:4" x14ac:dyDescent="0.4">
      <c r="A19">
        <f t="shared" si="0"/>
        <v>800000000</v>
      </c>
      <c r="B19">
        <v>800</v>
      </c>
      <c r="C19">
        <v>3.05</v>
      </c>
      <c r="D19">
        <f t="shared" si="1"/>
        <v>0.18737028624999999</v>
      </c>
    </row>
    <row r="20" spans="1:4" x14ac:dyDescent="0.4">
      <c r="A20">
        <f t="shared" si="0"/>
        <v>900000000</v>
      </c>
      <c r="B20">
        <v>900</v>
      </c>
      <c r="C20">
        <v>-2.64</v>
      </c>
      <c r="D20">
        <f t="shared" si="1"/>
        <v>0.16655136555555555</v>
      </c>
    </row>
    <row r="21" spans="1:4" x14ac:dyDescent="0.4">
      <c r="A21">
        <f t="shared" si="0"/>
        <v>1000000000</v>
      </c>
      <c r="B21">
        <v>1000</v>
      </c>
      <c r="C21">
        <v>-2.93</v>
      </c>
      <c r="D21">
        <f t="shared" si="1"/>
        <v>0.14989622899999999</v>
      </c>
    </row>
    <row r="22" spans="1:4" x14ac:dyDescent="0.4">
      <c r="A22">
        <f t="shared" si="0"/>
        <v>0</v>
      </c>
      <c r="D22" t="e">
        <f t="shared" si="1"/>
        <v>#DIV/0!</v>
      </c>
    </row>
    <row r="23" spans="1:4" x14ac:dyDescent="0.4">
      <c r="A23">
        <f t="shared" si="0"/>
        <v>0</v>
      </c>
      <c r="D23" t="e">
        <f t="shared" si="1"/>
        <v>#DIV/0!</v>
      </c>
    </row>
    <row r="24" spans="1:4" x14ac:dyDescent="0.4">
      <c r="A24">
        <f t="shared" si="0"/>
        <v>0</v>
      </c>
      <c r="D24" t="e">
        <f t="shared" si="1"/>
        <v>#DIV/0!</v>
      </c>
    </row>
    <row r="25" spans="1:4" x14ac:dyDescent="0.4">
      <c r="A25">
        <f t="shared" si="0"/>
        <v>0</v>
      </c>
      <c r="D25" t="e">
        <f t="shared" si="1"/>
        <v>#DIV/0!</v>
      </c>
    </row>
    <row r="26" spans="1:4" x14ac:dyDescent="0.4">
      <c r="A26">
        <f t="shared" si="0"/>
        <v>0</v>
      </c>
      <c r="D26" t="e">
        <f t="shared" si="1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BB17-D70C-42A0-B0C3-88AECC352BDF}">
  <dimension ref="A1:K14"/>
  <sheetViews>
    <sheetView zoomScale="115" zoomScaleNormal="115" workbookViewId="0">
      <selection activeCell="B1" sqref="B1"/>
    </sheetView>
  </sheetViews>
  <sheetFormatPr defaultRowHeight="18.75" x14ac:dyDescent="0.4"/>
  <cols>
    <col min="1" max="1" width="11.625" bestFit="1" customWidth="1"/>
    <col min="2" max="2" width="11.125" bestFit="1" customWidth="1"/>
    <col min="3" max="3" width="9.125" bestFit="1" customWidth="1"/>
    <col min="9" max="9" width="9.5" bestFit="1" customWidth="1"/>
  </cols>
  <sheetData>
    <row r="1" spans="1:11" x14ac:dyDescent="0.4">
      <c r="A1" t="s">
        <v>105</v>
      </c>
      <c r="B1" t="s">
        <v>106</v>
      </c>
      <c r="C1" t="s">
        <v>109</v>
      </c>
      <c r="J1" t="s">
        <v>100</v>
      </c>
    </row>
    <row r="2" spans="1:11" x14ac:dyDescent="0.4">
      <c r="A2">
        <v>0.01</v>
      </c>
      <c r="B2">
        <v>10.1</v>
      </c>
      <c r="C2">
        <f>10*LOG10(A2)</f>
        <v>-20</v>
      </c>
      <c r="H2" t="s">
        <v>33</v>
      </c>
      <c r="I2">
        <v>0.20100000000000001</v>
      </c>
      <c r="J2" t="s">
        <v>54</v>
      </c>
    </row>
    <row r="3" spans="1:11" x14ac:dyDescent="0.4">
      <c r="A3">
        <v>0.02</v>
      </c>
      <c r="B3">
        <v>9.67</v>
      </c>
      <c r="C3">
        <f t="shared" ref="C3:C14" si="0">10*LOG10(A3)</f>
        <v>-16.989700043360187</v>
      </c>
      <c r="H3" t="s">
        <v>103</v>
      </c>
      <c r="I3">
        <v>0.05</v>
      </c>
      <c r="J3" t="s">
        <v>54</v>
      </c>
    </row>
    <row r="4" spans="1:11" x14ac:dyDescent="0.4">
      <c r="A4">
        <v>0.05</v>
      </c>
      <c r="B4">
        <v>8.16</v>
      </c>
      <c r="C4">
        <f t="shared" si="0"/>
        <v>-13.010299956639813</v>
      </c>
      <c r="H4" t="s">
        <v>104</v>
      </c>
      <c r="I4" s="5">
        <v>670000000</v>
      </c>
      <c r="J4" t="s">
        <v>12</v>
      </c>
    </row>
    <row r="5" spans="1:11" x14ac:dyDescent="0.4">
      <c r="A5">
        <v>0.1</v>
      </c>
      <c r="B5">
        <v>4.4800000000000004</v>
      </c>
      <c r="C5">
        <f t="shared" si="0"/>
        <v>-10</v>
      </c>
    </row>
    <row r="6" spans="1:11" x14ac:dyDescent="0.4">
      <c r="A6">
        <v>0.2</v>
      </c>
      <c r="B6" s="10">
        <v>-2</v>
      </c>
      <c r="C6">
        <f t="shared" si="0"/>
        <v>-6.9897000433601875</v>
      </c>
      <c r="H6" t="s">
        <v>110</v>
      </c>
      <c r="I6">
        <f>SLOPE(B5:B14, C5:C14)</f>
        <v>-2.1108328507020557</v>
      </c>
      <c r="K6" t="s">
        <v>115</v>
      </c>
    </row>
    <row r="7" spans="1:11" x14ac:dyDescent="0.4">
      <c r="A7">
        <v>0.3</v>
      </c>
      <c r="B7">
        <v>-3.88</v>
      </c>
      <c r="C7">
        <f t="shared" si="0"/>
        <v>-5.2287874528033758</v>
      </c>
      <c r="H7" t="s">
        <v>103</v>
      </c>
      <c r="I7">
        <f>CORREL(B5:B14, C5:C14)</f>
        <v>-0.91352580748272583</v>
      </c>
    </row>
    <row r="8" spans="1:11" x14ac:dyDescent="0.4">
      <c r="A8">
        <v>0.4</v>
      </c>
      <c r="B8">
        <v>-6.28</v>
      </c>
      <c r="C8">
        <f t="shared" si="0"/>
        <v>-3.9794000867203758</v>
      </c>
    </row>
    <row r="9" spans="1:11" x14ac:dyDescent="0.4">
      <c r="A9">
        <v>0.5</v>
      </c>
      <c r="B9" s="10">
        <v>-7</v>
      </c>
      <c r="C9">
        <f t="shared" si="0"/>
        <v>-3.0102999566398121</v>
      </c>
    </row>
    <row r="10" spans="1:11" x14ac:dyDescent="0.4">
      <c r="A10">
        <v>0.6</v>
      </c>
      <c r="B10" s="10">
        <v>-6.8</v>
      </c>
      <c r="C10">
        <f t="shared" si="0"/>
        <v>-2.2184874961635641</v>
      </c>
    </row>
    <row r="11" spans="1:11" x14ac:dyDescent="0.4">
      <c r="A11">
        <v>0.7</v>
      </c>
      <c r="B11" s="10">
        <v>-7.5</v>
      </c>
      <c r="C11">
        <f t="shared" si="0"/>
        <v>-1.5490195998574319</v>
      </c>
    </row>
    <row r="12" spans="1:11" x14ac:dyDescent="0.4">
      <c r="A12">
        <v>0.8</v>
      </c>
      <c r="B12" s="10">
        <v>-13.6</v>
      </c>
      <c r="C12">
        <f t="shared" si="0"/>
        <v>-0.96910013008056395</v>
      </c>
    </row>
    <row r="13" spans="1:11" x14ac:dyDescent="0.4">
      <c r="A13">
        <v>0.9</v>
      </c>
      <c r="B13" s="10">
        <v>-16.5</v>
      </c>
      <c r="C13">
        <f t="shared" si="0"/>
        <v>-0.45757490560675118</v>
      </c>
    </row>
    <row r="14" spans="1:11" x14ac:dyDescent="0.4">
      <c r="A14">
        <v>1</v>
      </c>
      <c r="B14" s="10">
        <v>-21</v>
      </c>
      <c r="C14">
        <f t="shared" si="0"/>
        <v>0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2037-4B4F-44C8-AC3A-4353DD26C43B}">
  <dimension ref="A1:L9"/>
  <sheetViews>
    <sheetView zoomScale="130" zoomScaleNormal="130" workbookViewId="0">
      <selection activeCell="J3" sqref="J3"/>
    </sheetView>
  </sheetViews>
  <sheetFormatPr defaultRowHeight="18.75" x14ac:dyDescent="0.4"/>
  <cols>
    <col min="1" max="1" width="11.125" bestFit="1" customWidth="1"/>
    <col min="3" max="3" width="16.875" bestFit="1" customWidth="1"/>
  </cols>
  <sheetData>
    <row r="1" spans="1:12" x14ac:dyDescent="0.4">
      <c r="A1" t="s">
        <v>111</v>
      </c>
      <c r="B1" t="s">
        <v>112</v>
      </c>
      <c r="C1" t="s">
        <v>114</v>
      </c>
      <c r="D1" t="s">
        <v>2</v>
      </c>
      <c r="L1" t="s">
        <v>101</v>
      </c>
    </row>
    <row r="2" spans="1:12" x14ac:dyDescent="0.4">
      <c r="A2">
        <v>90</v>
      </c>
      <c r="B2">
        <f t="shared" ref="B2:B8" si="0">SIN(RADIANS(A2))</f>
        <v>1</v>
      </c>
      <c r="C2">
        <f>10*LOG10(B2)</f>
        <v>0</v>
      </c>
      <c r="D2">
        <v>-4.5999999999999996</v>
      </c>
      <c r="I2" t="s">
        <v>110</v>
      </c>
      <c r="J2">
        <f>SLOPE(D2:D12, C2:C12)</f>
        <v>1.0290091100731373</v>
      </c>
      <c r="L2" t="s">
        <v>113</v>
      </c>
    </row>
    <row r="3" spans="1:12" x14ac:dyDescent="0.4">
      <c r="A3">
        <v>107</v>
      </c>
      <c r="B3">
        <f t="shared" si="0"/>
        <v>0.95630475596303555</v>
      </c>
      <c r="C3">
        <f t="shared" ref="C3:C8" si="1">10*LOG10(B3)</f>
        <v>-0.19403684354108869</v>
      </c>
      <c r="D3">
        <v>-5.8</v>
      </c>
      <c r="I3" t="s">
        <v>33</v>
      </c>
      <c r="J3">
        <v>0.3</v>
      </c>
      <c r="K3" t="s">
        <v>54</v>
      </c>
    </row>
    <row r="4" spans="1:12" x14ac:dyDescent="0.4">
      <c r="A4">
        <v>115</v>
      </c>
      <c r="B4">
        <f t="shared" si="0"/>
        <v>0.90630778703665005</v>
      </c>
      <c r="C4">
        <f t="shared" si="1"/>
        <v>-0.42724288513601444</v>
      </c>
      <c r="D4">
        <v>-6.3</v>
      </c>
    </row>
    <row r="5" spans="1:12" x14ac:dyDescent="0.4">
      <c r="A5">
        <v>124</v>
      </c>
      <c r="B5">
        <f t="shared" si="0"/>
        <v>0.82903757255504174</v>
      </c>
      <c r="C5">
        <f t="shared" si="1"/>
        <v>-0.81425786478003093</v>
      </c>
      <c r="D5">
        <v>-7.7</v>
      </c>
    </row>
    <row r="6" spans="1:12" x14ac:dyDescent="0.4">
      <c r="A6">
        <v>135</v>
      </c>
      <c r="B6">
        <f t="shared" si="0"/>
        <v>0.70710678118654757</v>
      </c>
      <c r="C6">
        <f t="shared" si="1"/>
        <v>-1.5051499783199058</v>
      </c>
      <c r="D6">
        <v>-7.2</v>
      </c>
    </row>
    <row r="7" spans="1:12" x14ac:dyDescent="0.4">
      <c r="A7">
        <v>150</v>
      </c>
      <c r="B7">
        <f t="shared" si="0"/>
        <v>0.49999999999999994</v>
      </c>
      <c r="C7">
        <f t="shared" si="1"/>
        <v>-3.0102999566398125</v>
      </c>
      <c r="D7">
        <v>-10.3</v>
      </c>
    </row>
    <row r="8" spans="1:12" x14ac:dyDescent="0.4">
      <c r="A8">
        <v>163</v>
      </c>
      <c r="B8">
        <f t="shared" si="0"/>
        <v>0.2923717047227366</v>
      </c>
      <c r="C8">
        <f t="shared" si="1"/>
        <v>-5.3406466002262567</v>
      </c>
      <c r="D8">
        <v>-15</v>
      </c>
    </row>
    <row r="9" spans="1:12" x14ac:dyDescent="0.4">
      <c r="A9">
        <v>175</v>
      </c>
      <c r="B9">
        <f>SIN(RADIANS(A9))</f>
        <v>8.7155742747658194E-2</v>
      </c>
      <c r="C9">
        <f>10*LOG10(B9)</f>
        <v>-10.597039916698796</v>
      </c>
      <c r="D9">
        <v>-15.2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EBD3-8CA2-4025-9C55-AC4B7D0260C6}">
  <dimension ref="A1:D11"/>
  <sheetViews>
    <sheetView workbookViewId="0">
      <selection activeCell="A12" sqref="A12"/>
    </sheetView>
  </sheetViews>
  <sheetFormatPr defaultRowHeight="18.75" x14ac:dyDescent="0.4"/>
  <cols>
    <col min="2" max="2" width="15" bestFit="1" customWidth="1"/>
    <col min="5" max="5" width="14.25" bestFit="1" customWidth="1"/>
  </cols>
  <sheetData>
    <row r="1" spans="1:4" x14ac:dyDescent="0.4">
      <c r="A1" t="s">
        <v>1</v>
      </c>
      <c r="B1" t="s">
        <v>0</v>
      </c>
      <c r="C1" t="s">
        <v>2</v>
      </c>
      <c r="D1" t="s">
        <v>3</v>
      </c>
    </row>
    <row r="2" spans="1:4" x14ac:dyDescent="0.4">
      <c r="A2">
        <v>1</v>
      </c>
      <c r="B2">
        <v>-7.03</v>
      </c>
      <c r="C2">
        <v>0.05</v>
      </c>
      <c r="D2">
        <f>C2/9</f>
        <v>5.5555555555555558E-3</v>
      </c>
    </row>
    <row r="3" spans="1:4" x14ac:dyDescent="0.4">
      <c r="A3">
        <v>2</v>
      </c>
      <c r="B3">
        <v>-7.03</v>
      </c>
      <c r="C3">
        <v>0.21</v>
      </c>
      <c r="D3">
        <f t="shared" ref="D3:D11" si="0">C3/9</f>
        <v>2.3333333333333331E-2</v>
      </c>
    </row>
    <row r="4" spans="1:4" x14ac:dyDescent="0.4">
      <c r="A4">
        <v>5</v>
      </c>
      <c r="B4">
        <v>-6.39</v>
      </c>
      <c r="C4">
        <v>-0.44</v>
      </c>
      <c r="D4">
        <f t="shared" si="0"/>
        <v>-4.8888888888888891E-2</v>
      </c>
    </row>
    <row r="5" spans="1:4" x14ac:dyDescent="0.4">
      <c r="A5">
        <v>10</v>
      </c>
      <c r="B5">
        <v>-6.4</v>
      </c>
      <c r="C5">
        <v>-0.6</v>
      </c>
      <c r="D5">
        <f t="shared" si="0"/>
        <v>-6.6666666666666666E-2</v>
      </c>
    </row>
    <row r="6" spans="1:4" x14ac:dyDescent="0.4">
      <c r="A6">
        <v>20</v>
      </c>
      <c r="B6">
        <v>-6.48</v>
      </c>
      <c r="C6">
        <v>-0.76</v>
      </c>
      <c r="D6">
        <f t="shared" si="0"/>
        <v>-8.4444444444444447E-2</v>
      </c>
    </row>
    <row r="7" spans="1:4" x14ac:dyDescent="0.4">
      <c r="A7">
        <v>50</v>
      </c>
      <c r="B7">
        <v>-6.47</v>
      </c>
      <c r="C7">
        <v>-1.39</v>
      </c>
      <c r="D7">
        <f t="shared" si="0"/>
        <v>-0.15444444444444444</v>
      </c>
    </row>
    <row r="8" spans="1:4" x14ac:dyDescent="0.4">
      <c r="A8">
        <v>100</v>
      </c>
      <c r="B8">
        <v>-6.63</v>
      </c>
      <c r="C8">
        <v>-1.88</v>
      </c>
      <c r="D8">
        <f t="shared" si="0"/>
        <v>-0.20888888888888887</v>
      </c>
    </row>
    <row r="9" spans="1:4" x14ac:dyDescent="0.4">
      <c r="A9">
        <v>200</v>
      </c>
      <c r="B9">
        <v>-6.67</v>
      </c>
      <c r="C9">
        <v>-2.52</v>
      </c>
      <c r="D9">
        <f t="shared" si="0"/>
        <v>-0.28000000000000003</v>
      </c>
    </row>
    <row r="10" spans="1:4" x14ac:dyDescent="0.4">
      <c r="A10">
        <v>500</v>
      </c>
      <c r="B10">
        <v>-6.99</v>
      </c>
      <c r="C10">
        <v>-4.08</v>
      </c>
      <c r="D10">
        <f t="shared" si="0"/>
        <v>-0.45333333333333337</v>
      </c>
    </row>
    <row r="11" spans="1:4" x14ac:dyDescent="0.4">
      <c r="A11">
        <v>1000</v>
      </c>
      <c r="B11">
        <v>-7.46</v>
      </c>
      <c r="C11">
        <v>-5.63</v>
      </c>
      <c r="D11">
        <f t="shared" si="0"/>
        <v>-0.62555555555555553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292B-1318-4AB6-BD6E-4C30026A2D83}">
  <dimension ref="A1:K3"/>
  <sheetViews>
    <sheetView workbookViewId="0">
      <selection activeCell="A4" sqref="A4"/>
    </sheetView>
  </sheetViews>
  <sheetFormatPr defaultRowHeight="18.75" x14ac:dyDescent="0.4"/>
  <cols>
    <col min="1" max="1" width="11.125" bestFit="1" customWidth="1"/>
    <col min="3" max="3" width="16.875" bestFit="1" customWidth="1"/>
  </cols>
  <sheetData>
    <row r="1" spans="1:11" x14ac:dyDescent="0.4">
      <c r="A1" t="s">
        <v>111</v>
      </c>
      <c r="B1" t="s">
        <v>112</v>
      </c>
      <c r="C1" t="s">
        <v>114</v>
      </c>
      <c r="D1" t="s">
        <v>2</v>
      </c>
    </row>
    <row r="2" spans="1:11" x14ac:dyDescent="0.4">
      <c r="A2">
        <v>90</v>
      </c>
      <c r="B2">
        <f>SIN(RADIANS(A2))</f>
        <v>1</v>
      </c>
      <c r="C2">
        <f>10*LOG10(B2)</f>
        <v>0</v>
      </c>
      <c r="D2" s="9">
        <v>0.1</v>
      </c>
      <c r="I2" t="s">
        <v>33</v>
      </c>
      <c r="J2">
        <v>0.3</v>
      </c>
      <c r="K2" t="s">
        <v>54</v>
      </c>
    </row>
    <row r="3" spans="1:11" x14ac:dyDescent="0.4">
      <c r="A3">
        <v>180</v>
      </c>
      <c r="B3">
        <f>SIN(RADIANS(A3))</f>
        <v>1.22514845490862E-16</v>
      </c>
      <c r="C3">
        <f t="shared" ref="C3" si="0">10*LOG10(B3)</f>
        <v>-159.11811283347396</v>
      </c>
      <c r="D3">
        <v>-8.6999999999999993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3702-D8C1-401B-AE11-2D74C550EFDB}">
  <dimension ref="A1:H7"/>
  <sheetViews>
    <sheetView zoomScale="156" workbookViewId="0">
      <selection activeCell="G5" sqref="G5"/>
    </sheetView>
  </sheetViews>
  <sheetFormatPr defaultRowHeight="18.75" x14ac:dyDescent="0.4"/>
  <cols>
    <col min="1" max="1" width="11" bestFit="1" customWidth="1"/>
    <col min="6" max="6" width="10.625" bestFit="1" customWidth="1"/>
    <col min="7" max="7" width="9.5" bestFit="1" customWidth="1"/>
  </cols>
  <sheetData>
    <row r="1" spans="1:8" x14ac:dyDescent="0.4">
      <c r="A1" t="s">
        <v>116</v>
      </c>
      <c r="B1" t="s">
        <v>2</v>
      </c>
      <c r="C1" t="s">
        <v>121</v>
      </c>
    </row>
    <row r="2" spans="1:8" x14ac:dyDescent="0.4">
      <c r="A2" t="s">
        <v>118</v>
      </c>
      <c r="B2">
        <v>8.1999999999999993</v>
      </c>
      <c r="C2">
        <f>$B$2-B2</f>
        <v>0</v>
      </c>
      <c r="F2" t="s">
        <v>122</v>
      </c>
      <c r="G2" s="12">
        <v>2.4999999999999999E-8</v>
      </c>
      <c r="H2" t="s">
        <v>123</v>
      </c>
    </row>
    <row r="3" spans="1:8" x14ac:dyDescent="0.4">
      <c r="A3" t="s">
        <v>117</v>
      </c>
      <c r="B3">
        <v>7.8</v>
      </c>
      <c r="C3">
        <f t="shared" ref="C3:C5" si="0">$B$2-B3</f>
        <v>0.39999999999999947</v>
      </c>
      <c r="F3" t="s">
        <v>49</v>
      </c>
      <c r="G3" s="5">
        <v>670000000</v>
      </c>
      <c r="H3" t="s">
        <v>12</v>
      </c>
    </row>
    <row r="4" spans="1:8" x14ac:dyDescent="0.4">
      <c r="A4" t="s">
        <v>119</v>
      </c>
      <c r="B4">
        <v>7.63</v>
      </c>
      <c r="C4">
        <f t="shared" si="0"/>
        <v>0.5699999999999994</v>
      </c>
      <c r="F4" t="s">
        <v>124</v>
      </c>
      <c r="G4" s="5">
        <f>2*PI()*G3</f>
        <v>4209734155.8103228</v>
      </c>
      <c r="H4" t="s">
        <v>125</v>
      </c>
    </row>
    <row r="5" spans="1:8" x14ac:dyDescent="0.4">
      <c r="A5" t="s">
        <v>120</v>
      </c>
      <c r="B5">
        <v>-21.2</v>
      </c>
      <c r="C5">
        <f t="shared" si="0"/>
        <v>29.4</v>
      </c>
      <c r="F5" t="s">
        <v>126</v>
      </c>
      <c r="G5" s="5">
        <v>1.2566370612700001E-6</v>
      </c>
    </row>
    <row r="6" spans="1:8" x14ac:dyDescent="0.4">
      <c r="F6" t="s">
        <v>127</v>
      </c>
      <c r="G6">
        <f>SQRT(2*G2/(G4*G5))</f>
        <v>3.0743459390508633E-6</v>
      </c>
      <c r="H6" t="s">
        <v>54</v>
      </c>
    </row>
    <row r="7" spans="1:8" x14ac:dyDescent="0.4">
      <c r="F7" t="s">
        <v>127</v>
      </c>
      <c r="G7">
        <f>CONVERT(G6,"m", "um")</f>
        <v>3.0743459390508634</v>
      </c>
      <c r="H7" t="s">
        <v>128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9650-6235-4C2F-8D98-84FDE1DDF452}">
  <dimension ref="A1:J41"/>
  <sheetViews>
    <sheetView zoomScale="85" workbookViewId="0">
      <selection activeCell="E12" sqref="E12"/>
    </sheetView>
  </sheetViews>
  <sheetFormatPr defaultRowHeight="18.75" x14ac:dyDescent="0.4"/>
  <cols>
    <col min="2" max="2" width="15" bestFit="1" customWidth="1"/>
    <col min="4" max="5" width="16" bestFit="1" customWidth="1"/>
    <col min="6" max="6" width="16" customWidth="1"/>
    <col min="7" max="7" width="9.375" customWidth="1"/>
    <col min="9" max="9" width="10.5" bestFit="1" customWidth="1"/>
  </cols>
  <sheetData>
    <row r="1" spans="1:10" x14ac:dyDescent="0.4">
      <c r="A1" t="s">
        <v>1</v>
      </c>
      <c r="B1" t="s">
        <v>0</v>
      </c>
      <c r="C1" t="s">
        <v>2</v>
      </c>
      <c r="D1" t="s">
        <v>5</v>
      </c>
      <c r="E1" t="s">
        <v>8</v>
      </c>
    </row>
    <row r="2" spans="1:10" x14ac:dyDescent="0.4">
      <c r="A2">
        <v>1</v>
      </c>
      <c r="B2">
        <v>-5.43</v>
      </c>
      <c r="C2">
        <v>-5.44</v>
      </c>
      <c r="D2">
        <f>$I$2/(A2*1000000)</f>
        <v>200</v>
      </c>
      <c r="E2">
        <f>2*PI()*9/D2</f>
        <v>0.28274333882308139</v>
      </c>
      <c r="H2" t="s">
        <v>6</v>
      </c>
      <c r="I2">
        <f>200000000</f>
        <v>200000000</v>
      </c>
      <c r="J2" t="s">
        <v>7</v>
      </c>
    </row>
    <row r="3" spans="1:10" x14ac:dyDescent="0.4">
      <c r="A3">
        <v>2</v>
      </c>
      <c r="B3">
        <v>-5.65</v>
      </c>
      <c r="C3">
        <v>-6.11</v>
      </c>
      <c r="D3">
        <f t="shared" ref="D3:D41" si="0">$I$2/(A3*1000000)</f>
        <v>100</v>
      </c>
      <c r="E3">
        <f t="shared" ref="E3:E41" si="1">2*PI()*9/D3</f>
        <v>0.56548667764616278</v>
      </c>
    </row>
    <row r="4" spans="1:10" x14ac:dyDescent="0.4">
      <c r="A4">
        <v>3</v>
      </c>
      <c r="B4">
        <v>-6.03</v>
      </c>
      <c r="C4">
        <v>-6.96</v>
      </c>
      <c r="D4">
        <f t="shared" si="0"/>
        <v>66.666666666666671</v>
      </c>
      <c r="E4">
        <f t="shared" si="1"/>
        <v>0.84823001646924412</v>
      </c>
    </row>
    <row r="5" spans="1:10" x14ac:dyDescent="0.4">
      <c r="A5">
        <v>4</v>
      </c>
      <c r="B5">
        <v>-6.4</v>
      </c>
      <c r="C5">
        <v>-8.0500000000000007</v>
      </c>
      <c r="D5">
        <f t="shared" si="0"/>
        <v>50</v>
      </c>
      <c r="E5">
        <f t="shared" si="1"/>
        <v>1.1309733552923256</v>
      </c>
    </row>
    <row r="6" spans="1:10" x14ac:dyDescent="0.4">
      <c r="A6">
        <v>5</v>
      </c>
      <c r="B6">
        <v>-6.66</v>
      </c>
      <c r="C6">
        <v>-9.4</v>
      </c>
      <c r="D6">
        <f t="shared" si="0"/>
        <v>40</v>
      </c>
      <c r="E6">
        <f t="shared" si="1"/>
        <v>1.4137166941154069</v>
      </c>
    </row>
    <row r="7" spans="1:10" x14ac:dyDescent="0.4">
      <c r="A7">
        <v>6</v>
      </c>
      <c r="B7">
        <v>-6.88</v>
      </c>
      <c r="C7">
        <v>-11.01</v>
      </c>
      <c r="D7">
        <f t="shared" si="0"/>
        <v>33.333333333333336</v>
      </c>
      <c r="E7">
        <f>2*PI()*9/D7</f>
        <v>1.6964600329384882</v>
      </c>
    </row>
    <row r="8" spans="1:10" x14ac:dyDescent="0.4">
      <c r="A8">
        <v>7</v>
      </c>
      <c r="B8">
        <v>-7.03</v>
      </c>
      <c r="C8">
        <v>-13</v>
      </c>
      <c r="D8">
        <f t="shared" si="0"/>
        <v>28.571428571428573</v>
      </c>
      <c r="E8">
        <f t="shared" si="1"/>
        <v>1.9792033717615696</v>
      </c>
    </row>
    <row r="9" spans="1:10" x14ac:dyDescent="0.4">
      <c r="A9">
        <v>8</v>
      </c>
      <c r="B9">
        <v>-7.08</v>
      </c>
      <c r="C9">
        <v>-15.58</v>
      </c>
      <c r="D9">
        <f t="shared" si="0"/>
        <v>25</v>
      </c>
      <c r="E9">
        <f t="shared" si="1"/>
        <v>2.2619467105846511</v>
      </c>
    </row>
    <row r="10" spans="1:10" x14ac:dyDescent="0.4">
      <c r="A10">
        <v>9</v>
      </c>
      <c r="B10">
        <v>-7.08</v>
      </c>
      <c r="C10">
        <v>-19.28</v>
      </c>
      <c r="D10">
        <f t="shared" si="0"/>
        <v>22.222222222222221</v>
      </c>
      <c r="E10">
        <f t="shared" si="1"/>
        <v>2.5446900494077327</v>
      </c>
    </row>
    <row r="11" spans="1:10" x14ac:dyDescent="0.4">
      <c r="A11">
        <v>10</v>
      </c>
      <c r="B11">
        <v>-7</v>
      </c>
      <c r="C11">
        <v>-25.99</v>
      </c>
      <c r="D11">
        <f t="shared" si="0"/>
        <v>20</v>
      </c>
      <c r="E11">
        <f t="shared" si="1"/>
        <v>2.8274333882308138</v>
      </c>
    </row>
    <row r="12" spans="1:10" x14ac:dyDescent="0.4">
      <c r="A12" s="1">
        <v>11</v>
      </c>
      <c r="B12" s="1">
        <v>-6.86</v>
      </c>
      <c r="C12" s="1">
        <v>-36.619999999999997</v>
      </c>
      <c r="D12">
        <f t="shared" si="0"/>
        <v>18.181818181818183</v>
      </c>
      <c r="E12">
        <f>2*PI()*9/D12</f>
        <v>3.1101767270538949</v>
      </c>
    </row>
    <row r="13" spans="1:10" x14ac:dyDescent="0.4">
      <c r="A13">
        <v>12</v>
      </c>
      <c r="B13">
        <v>-6.64</v>
      </c>
      <c r="C13">
        <v>-22.49</v>
      </c>
      <c r="D13">
        <f t="shared" si="0"/>
        <v>16.666666666666668</v>
      </c>
      <c r="E13">
        <f t="shared" si="1"/>
        <v>3.3929200658769765</v>
      </c>
    </row>
    <row r="14" spans="1:10" x14ac:dyDescent="0.4">
      <c r="A14">
        <v>13</v>
      </c>
      <c r="B14">
        <v>-6.33</v>
      </c>
      <c r="C14">
        <v>-17.03</v>
      </c>
      <c r="D14">
        <f t="shared" si="0"/>
        <v>15.384615384615385</v>
      </c>
      <c r="E14">
        <f t="shared" si="1"/>
        <v>3.675663404700058</v>
      </c>
    </row>
    <row r="15" spans="1:10" x14ac:dyDescent="0.4">
      <c r="A15">
        <v>14</v>
      </c>
      <c r="B15">
        <v>-5.98</v>
      </c>
      <c r="C15">
        <v>-13.59</v>
      </c>
      <c r="D15">
        <f t="shared" si="0"/>
        <v>14.285714285714286</v>
      </c>
      <c r="E15">
        <f t="shared" si="1"/>
        <v>3.9584067435231391</v>
      </c>
    </row>
    <row r="16" spans="1:10" x14ac:dyDescent="0.4">
      <c r="A16">
        <v>15</v>
      </c>
      <c r="B16">
        <v>-5.59</v>
      </c>
      <c r="C16">
        <v>-11.11</v>
      </c>
      <c r="D16">
        <f t="shared" si="0"/>
        <v>13.333333333333334</v>
      </c>
      <c r="E16">
        <f t="shared" si="1"/>
        <v>4.2411500823462207</v>
      </c>
    </row>
    <row r="17" spans="1:5" x14ac:dyDescent="0.4">
      <c r="A17">
        <v>16</v>
      </c>
      <c r="B17">
        <v>-5.21</v>
      </c>
      <c r="C17">
        <v>-9.27</v>
      </c>
      <c r="D17">
        <f t="shared" si="0"/>
        <v>12.5</v>
      </c>
      <c r="E17">
        <f t="shared" si="1"/>
        <v>4.5238934211693023</v>
      </c>
    </row>
    <row r="18" spans="1:5" x14ac:dyDescent="0.4">
      <c r="A18" s="2">
        <v>17</v>
      </c>
      <c r="B18" s="2">
        <v>-4.9800000000000004</v>
      </c>
      <c r="C18" s="2">
        <v>-7.93</v>
      </c>
      <c r="D18">
        <f t="shared" si="0"/>
        <v>11.764705882352942</v>
      </c>
      <c r="E18">
        <f t="shared" si="1"/>
        <v>4.8066367599923829</v>
      </c>
    </row>
    <row r="19" spans="1:5" x14ac:dyDescent="0.4">
      <c r="A19">
        <v>18</v>
      </c>
      <c r="B19">
        <v>-5</v>
      </c>
      <c r="C19">
        <v>-7.04</v>
      </c>
      <c r="D19">
        <f t="shared" si="0"/>
        <v>11.111111111111111</v>
      </c>
      <c r="E19">
        <f t="shared" si="1"/>
        <v>5.0893800988154654</v>
      </c>
    </row>
    <row r="20" spans="1:5" x14ac:dyDescent="0.4">
      <c r="A20">
        <v>19</v>
      </c>
      <c r="B20">
        <v>-5.27</v>
      </c>
      <c r="C20">
        <v>-6.53</v>
      </c>
      <c r="D20">
        <f t="shared" si="0"/>
        <v>10.526315789473685</v>
      </c>
      <c r="E20">
        <f t="shared" si="1"/>
        <v>5.3721234376385461</v>
      </c>
    </row>
    <row r="21" spans="1:5" x14ac:dyDescent="0.4">
      <c r="A21">
        <v>20</v>
      </c>
      <c r="B21">
        <v>-5.66</v>
      </c>
      <c r="C21">
        <v>-6.36</v>
      </c>
      <c r="D21">
        <f t="shared" si="0"/>
        <v>10</v>
      </c>
      <c r="E21">
        <f t="shared" si="1"/>
        <v>5.6548667764616276</v>
      </c>
    </row>
    <row r="22" spans="1:5" x14ac:dyDescent="0.4">
      <c r="A22">
        <v>21</v>
      </c>
      <c r="B22">
        <v>-6.07</v>
      </c>
      <c r="C22">
        <v>-6.47</v>
      </c>
      <c r="D22">
        <f t="shared" si="0"/>
        <v>9.5238095238095237</v>
      </c>
      <c r="E22">
        <f t="shared" si="1"/>
        <v>5.9376101152847092</v>
      </c>
    </row>
    <row r="23" spans="1:5" x14ac:dyDescent="0.4">
      <c r="A23">
        <v>22</v>
      </c>
      <c r="B23">
        <v>-6.43</v>
      </c>
      <c r="C23">
        <v>-6.79</v>
      </c>
      <c r="D23">
        <f t="shared" si="0"/>
        <v>9.0909090909090917</v>
      </c>
      <c r="E23">
        <f t="shared" si="1"/>
        <v>6.2203534541077898</v>
      </c>
    </row>
    <row r="24" spans="1:5" x14ac:dyDescent="0.4">
      <c r="A24">
        <v>23</v>
      </c>
      <c r="B24">
        <v>-6.7</v>
      </c>
      <c r="C24">
        <v>-7.26</v>
      </c>
      <c r="D24">
        <f t="shared" si="0"/>
        <v>8.695652173913043</v>
      </c>
      <c r="E24">
        <f t="shared" si="1"/>
        <v>6.5030967929308723</v>
      </c>
    </row>
    <row r="25" spans="1:5" x14ac:dyDescent="0.4">
      <c r="A25">
        <v>24</v>
      </c>
      <c r="B25">
        <v>-6.9</v>
      </c>
      <c r="C25">
        <v>-7.87</v>
      </c>
      <c r="D25">
        <f t="shared" si="0"/>
        <v>8.3333333333333339</v>
      </c>
      <c r="E25">
        <f>2*PI()*9/D25</f>
        <v>6.785840131753953</v>
      </c>
    </row>
    <row r="26" spans="1:5" x14ac:dyDescent="0.4">
      <c r="A26">
        <v>25</v>
      </c>
      <c r="B26">
        <v>-7.01</v>
      </c>
      <c r="C26">
        <v>-8.61</v>
      </c>
      <c r="D26">
        <f t="shared" si="0"/>
        <v>8</v>
      </c>
      <c r="E26">
        <f t="shared" si="1"/>
        <v>7.0685834705770345</v>
      </c>
    </row>
    <row r="27" spans="1:5" x14ac:dyDescent="0.4">
      <c r="A27">
        <v>26</v>
      </c>
      <c r="B27">
        <v>-7.04</v>
      </c>
      <c r="C27">
        <v>-9.49</v>
      </c>
      <c r="D27">
        <f t="shared" si="0"/>
        <v>7.6923076923076925</v>
      </c>
      <c r="E27">
        <f t="shared" si="1"/>
        <v>7.3513268094001161</v>
      </c>
    </row>
    <row r="28" spans="1:5" x14ac:dyDescent="0.4">
      <c r="A28">
        <v>27</v>
      </c>
      <c r="B28">
        <v>-7.02</v>
      </c>
      <c r="C28">
        <v>-10.54</v>
      </c>
      <c r="D28">
        <f t="shared" si="0"/>
        <v>7.4074074074074074</v>
      </c>
      <c r="E28">
        <f t="shared" si="1"/>
        <v>7.6340701482231976</v>
      </c>
    </row>
    <row r="29" spans="1:5" x14ac:dyDescent="0.4">
      <c r="A29">
        <v>28</v>
      </c>
      <c r="B29">
        <v>-6.93</v>
      </c>
      <c r="C29">
        <v>-11.83</v>
      </c>
      <c r="D29">
        <f t="shared" si="0"/>
        <v>7.1428571428571432</v>
      </c>
      <c r="E29">
        <f t="shared" si="1"/>
        <v>7.9168134870462783</v>
      </c>
    </row>
    <row r="30" spans="1:5" x14ac:dyDescent="0.4">
      <c r="A30">
        <v>29</v>
      </c>
      <c r="B30">
        <v>-6.78</v>
      </c>
      <c r="C30">
        <v>-13.49</v>
      </c>
      <c r="D30">
        <f t="shared" si="0"/>
        <v>6.8965517241379306</v>
      </c>
      <c r="E30">
        <f t="shared" si="1"/>
        <v>8.1995568258693599</v>
      </c>
    </row>
    <row r="31" spans="1:5" x14ac:dyDescent="0.4">
      <c r="A31">
        <v>30</v>
      </c>
      <c r="B31">
        <v>-6.56</v>
      </c>
      <c r="C31">
        <v>-15.77</v>
      </c>
      <c r="D31">
        <f t="shared" si="0"/>
        <v>6.666666666666667</v>
      </c>
      <c r="E31">
        <f t="shared" si="1"/>
        <v>8.4823001646924414</v>
      </c>
    </row>
    <row r="32" spans="1:5" x14ac:dyDescent="0.4">
      <c r="A32">
        <v>31</v>
      </c>
      <c r="B32">
        <v>-6.29</v>
      </c>
      <c r="C32">
        <v>-19.260000000000002</v>
      </c>
      <c r="D32">
        <f t="shared" si="0"/>
        <v>6.4516129032258061</v>
      </c>
      <c r="E32">
        <f t="shared" si="1"/>
        <v>8.765043503515523</v>
      </c>
    </row>
    <row r="33" spans="1:5" x14ac:dyDescent="0.4">
      <c r="A33">
        <v>32</v>
      </c>
      <c r="B33">
        <v>-5.96</v>
      </c>
      <c r="C33">
        <v>-25.79</v>
      </c>
      <c r="D33">
        <f t="shared" si="0"/>
        <v>6.25</v>
      </c>
      <c r="E33">
        <f t="shared" si="1"/>
        <v>9.0477868423386045</v>
      </c>
    </row>
    <row r="34" spans="1:5" x14ac:dyDescent="0.4">
      <c r="A34" s="1">
        <v>33</v>
      </c>
      <c r="B34" s="1">
        <v>-5.62</v>
      </c>
      <c r="C34" s="1">
        <v>-29.95</v>
      </c>
      <c r="D34">
        <f t="shared" si="0"/>
        <v>6.0606060606060606</v>
      </c>
      <c r="E34">
        <f t="shared" si="1"/>
        <v>9.3305301811616861</v>
      </c>
    </row>
    <row r="35" spans="1:5" x14ac:dyDescent="0.4">
      <c r="A35">
        <v>34</v>
      </c>
      <c r="B35">
        <v>-5.32</v>
      </c>
      <c r="C35">
        <v>-20.47</v>
      </c>
      <c r="D35">
        <f t="shared" si="0"/>
        <v>5.882352941176471</v>
      </c>
      <c r="E35">
        <f t="shared" si="1"/>
        <v>9.6132735199847659</v>
      </c>
    </row>
    <row r="36" spans="1:5" x14ac:dyDescent="0.4">
      <c r="A36" s="2">
        <v>35</v>
      </c>
      <c r="B36" s="2">
        <v>-5.16</v>
      </c>
      <c r="C36" s="2">
        <v>-15.7</v>
      </c>
      <c r="D36">
        <f t="shared" si="0"/>
        <v>5.7142857142857144</v>
      </c>
      <c r="E36">
        <f t="shared" si="1"/>
        <v>9.8960168588078474</v>
      </c>
    </row>
    <row r="37" spans="1:5" x14ac:dyDescent="0.4">
      <c r="A37">
        <v>36</v>
      </c>
      <c r="B37">
        <v>-5.21</v>
      </c>
      <c r="C37">
        <v>-12.76</v>
      </c>
      <c r="D37">
        <f t="shared" si="0"/>
        <v>5.5555555555555554</v>
      </c>
      <c r="E37">
        <f t="shared" si="1"/>
        <v>10.178760197630931</v>
      </c>
    </row>
    <row r="38" spans="1:5" x14ac:dyDescent="0.4">
      <c r="A38">
        <v>37</v>
      </c>
      <c r="B38">
        <v>-5.46</v>
      </c>
      <c r="C38">
        <v>-10.85</v>
      </c>
      <c r="D38">
        <f t="shared" si="0"/>
        <v>5.4054054054054053</v>
      </c>
      <c r="E38">
        <f t="shared" si="1"/>
        <v>10.461503536454011</v>
      </c>
    </row>
    <row r="39" spans="1:5" x14ac:dyDescent="0.4">
      <c r="A39">
        <v>38</v>
      </c>
      <c r="B39">
        <v>-5.81</v>
      </c>
      <c r="C39">
        <v>-9.58</v>
      </c>
      <c r="D39">
        <f t="shared" si="0"/>
        <v>5.2631578947368425</v>
      </c>
      <c r="E39">
        <f t="shared" si="1"/>
        <v>10.744246875277092</v>
      </c>
    </row>
    <row r="40" spans="1:5" x14ac:dyDescent="0.4">
      <c r="A40">
        <v>39</v>
      </c>
      <c r="B40">
        <v>-6.18</v>
      </c>
      <c r="C40">
        <v>-8.76</v>
      </c>
      <c r="D40">
        <f t="shared" si="0"/>
        <v>5.1282051282051286</v>
      </c>
      <c r="E40">
        <f t="shared" si="1"/>
        <v>11.026990214100174</v>
      </c>
    </row>
    <row r="41" spans="1:5" x14ac:dyDescent="0.4">
      <c r="A41">
        <v>40</v>
      </c>
      <c r="B41">
        <v>-6.49</v>
      </c>
      <c r="C41">
        <v>-8.27</v>
      </c>
      <c r="D41">
        <f t="shared" si="0"/>
        <v>5</v>
      </c>
      <c r="E41">
        <f t="shared" si="1"/>
        <v>11.309733552923255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0BF9-FA07-414D-8A21-B8EECD053AE0}">
  <dimension ref="A1:J59"/>
  <sheetViews>
    <sheetView workbookViewId="0">
      <selection activeCell="G11" sqref="G11"/>
    </sheetView>
  </sheetViews>
  <sheetFormatPr defaultRowHeight="18.75" x14ac:dyDescent="0.4"/>
  <cols>
    <col min="2" max="2" width="15" bestFit="1" customWidth="1"/>
    <col min="4" max="5" width="16" bestFit="1" customWidth="1"/>
    <col min="6" max="6" width="16" customWidth="1"/>
    <col min="7" max="7" width="9.375" customWidth="1"/>
    <col min="9" max="9" width="10.5" bestFit="1" customWidth="1"/>
  </cols>
  <sheetData>
    <row r="1" spans="1:10" x14ac:dyDescent="0.4">
      <c r="A1" t="s">
        <v>1</v>
      </c>
      <c r="B1" t="s">
        <v>0</v>
      </c>
      <c r="C1" t="s">
        <v>2</v>
      </c>
      <c r="D1" t="s">
        <v>5</v>
      </c>
      <c r="E1" t="s">
        <v>8</v>
      </c>
      <c r="F1" t="s">
        <v>10</v>
      </c>
    </row>
    <row r="2" spans="1:10" x14ac:dyDescent="0.4">
      <c r="A2">
        <v>1</v>
      </c>
      <c r="B2">
        <v>-5.43</v>
      </c>
      <c r="C2">
        <v>-5.44</v>
      </c>
      <c r="D2">
        <f>$I$2/(A2*1000000)</f>
        <v>200</v>
      </c>
      <c r="E2">
        <f>2*PI()*9/D2</f>
        <v>0.28274333882308139</v>
      </c>
      <c r="H2" t="s">
        <v>6</v>
      </c>
      <c r="I2">
        <f>200000000</f>
        <v>200000000</v>
      </c>
      <c r="J2" t="s">
        <v>7</v>
      </c>
    </row>
    <row r="3" spans="1:10" x14ac:dyDescent="0.4">
      <c r="A3">
        <v>2</v>
      </c>
      <c r="B3">
        <v>-5.65</v>
      </c>
      <c r="C3">
        <v>-6.11</v>
      </c>
      <c r="D3">
        <f t="shared" ref="D3:D59" si="0">$I$2/(A3*1000000)</f>
        <v>100</v>
      </c>
      <c r="E3">
        <f t="shared" ref="E3:E59" si="1">2*PI()*9/D3</f>
        <v>0.56548667764616278</v>
      </c>
    </row>
    <row r="4" spans="1:10" x14ac:dyDescent="0.4">
      <c r="A4">
        <v>3</v>
      </c>
      <c r="B4">
        <v>-6.03</v>
      </c>
      <c r="C4">
        <v>-6.96</v>
      </c>
      <c r="D4">
        <f>$I$2/(A4*1000000)</f>
        <v>66.666666666666671</v>
      </c>
      <c r="E4">
        <f t="shared" si="1"/>
        <v>0.84823001646924412</v>
      </c>
    </row>
    <row r="5" spans="1:10" x14ac:dyDescent="0.4">
      <c r="A5">
        <v>4</v>
      </c>
      <c r="B5">
        <v>-6.4</v>
      </c>
      <c r="C5">
        <v>-8.0500000000000007</v>
      </c>
      <c r="D5">
        <f>$I$2/(A5*1000000)</f>
        <v>50</v>
      </c>
      <c r="E5">
        <f t="shared" si="1"/>
        <v>1.1309733552923256</v>
      </c>
    </row>
    <row r="6" spans="1:10" x14ac:dyDescent="0.4">
      <c r="A6">
        <v>5</v>
      </c>
      <c r="B6">
        <v>-6.66</v>
      </c>
      <c r="C6">
        <v>-9.4</v>
      </c>
      <c r="D6">
        <f t="shared" si="0"/>
        <v>40</v>
      </c>
      <c r="E6">
        <f t="shared" si="1"/>
        <v>1.4137166941154069</v>
      </c>
    </row>
    <row r="7" spans="1:10" x14ac:dyDescent="0.4">
      <c r="A7">
        <v>6</v>
      </c>
      <c r="B7">
        <v>-6.88</v>
      </c>
      <c r="C7">
        <v>-11.01</v>
      </c>
      <c r="D7">
        <f t="shared" si="0"/>
        <v>33.333333333333336</v>
      </c>
      <c r="E7">
        <f>2*PI()*9/D7</f>
        <v>1.6964600329384882</v>
      </c>
    </row>
    <row r="8" spans="1:10" x14ac:dyDescent="0.4">
      <c r="A8">
        <v>7</v>
      </c>
      <c r="B8">
        <v>-7.03</v>
      </c>
      <c r="C8">
        <v>-13</v>
      </c>
      <c r="D8">
        <f t="shared" si="0"/>
        <v>28.571428571428573</v>
      </c>
      <c r="E8">
        <f t="shared" si="1"/>
        <v>1.9792033717615696</v>
      </c>
    </row>
    <row r="9" spans="1:10" x14ac:dyDescent="0.4">
      <c r="A9">
        <v>8</v>
      </c>
      <c r="B9">
        <v>-7.08</v>
      </c>
      <c r="C9">
        <v>-15.58</v>
      </c>
      <c r="D9">
        <f t="shared" si="0"/>
        <v>25</v>
      </c>
      <c r="E9">
        <f t="shared" si="1"/>
        <v>2.2619467105846511</v>
      </c>
    </row>
    <row r="10" spans="1:10" x14ac:dyDescent="0.4">
      <c r="A10">
        <v>9</v>
      </c>
      <c r="B10">
        <v>-7.08</v>
      </c>
      <c r="C10">
        <v>-19.28</v>
      </c>
      <c r="D10">
        <f t="shared" si="0"/>
        <v>22.222222222222221</v>
      </c>
      <c r="E10">
        <f t="shared" si="1"/>
        <v>2.5446900494077327</v>
      </c>
    </row>
    <row r="11" spans="1:10" x14ac:dyDescent="0.4">
      <c r="A11">
        <v>10</v>
      </c>
      <c r="B11">
        <v>-7</v>
      </c>
      <c r="C11">
        <v>-25.99</v>
      </c>
      <c r="D11">
        <f t="shared" si="0"/>
        <v>20</v>
      </c>
      <c r="E11">
        <f t="shared" si="1"/>
        <v>2.8274333882308138</v>
      </c>
    </row>
    <row r="12" spans="1:10" x14ac:dyDescent="0.4">
      <c r="A12" s="1">
        <v>11</v>
      </c>
      <c r="B12" s="1">
        <v>-6.86</v>
      </c>
      <c r="C12" s="1">
        <v>-36.619999999999997</v>
      </c>
      <c r="D12">
        <f>$I$2/(A12*1000000)</f>
        <v>18.181818181818183</v>
      </c>
      <c r="E12">
        <f>2*PI()*9/D12</f>
        <v>3.1101767270538949</v>
      </c>
    </row>
    <row r="13" spans="1:10" x14ac:dyDescent="0.4">
      <c r="A13">
        <v>12</v>
      </c>
      <c r="B13">
        <v>-6.64</v>
      </c>
      <c r="C13">
        <v>-22.49</v>
      </c>
      <c r="D13">
        <f t="shared" si="0"/>
        <v>16.666666666666668</v>
      </c>
      <c r="E13">
        <f t="shared" si="1"/>
        <v>3.3929200658769765</v>
      </c>
    </row>
    <row r="14" spans="1:10" x14ac:dyDescent="0.4">
      <c r="A14">
        <v>13</v>
      </c>
      <c r="B14">
        <v>-6.33</v>
      </c>
      <c r="C14">
        <v>-17.03</v>
      </c>
      <c r="D14">
        <f t="shared" si="0"/>
        <v>15.384615384615385</v>
      </c>
      <c r="E14">
        <f t="shared" si="1"/>
        <v>3.675663404700058</v>
      </c>
    </row>
    <row r="15" spans="1:10" x14ac:dyDescent="0.4">
      <c r="A15">
        <v>14</v>
      </c>
      <c r="B15">
        <v>-5.98</v>
      </c>
      <c r="C15">
        <v>-13.59</v>
      </c>
      <c r="D15">
        <f t="shared" si="0"/>
        <v>14.285714285714286</v>
      </c>
      <c r="E15">
        <f t="shared" si="1"/>
        <v>3.9584067435231391</v>
      </c>
    </row>
    <row r="16" spans="1:10" x14ac:dyDescent="0.4">
      <c r="A16">
        <v>15</v>
      </c>
      <c r="B16">
        <v>-5.59</v>
      </c>
      <c r="C16">
        <v>-11.11</v>
      </c>
      <c r="D16">
        <f t="shared" si="0"/>
        <v>13.333333333333334</v>
      </c>
      <c r="E16">
        <f t="shared" si="1"/>
        <v>4.2411500823462207</v>
      </c>
    </row>
    <row r="17" spans="1:6" x14ac:dyDescent="0.4">
      <c r="A17">
        <v>16</v>
      </c>
      <c r="B17">
        <v>-5.3</v>
      </c>
      <c r="C17">
        <v>-9.2799999999999994</v>
      </c>
      <c r="D17">
        <f t="shared" si="0"/>
        <v>12.5</v>
      </c>
      <c r="E17">
        <f t="shared" si="1"/>
        <v>4.5238934211693023</v>
      </c>
    </row>
    <row r="18" spans="1:6" x14ac:dyDescent="0.4">
      <c r="A18">
        <v>16.100000000000001</v>
      </c>
      <c r="B18">
        <v>-5.25</v>
      </c>
      <c r="C18">
        <v>-9.1</v>
      </c>
      <c r="D18">
        <f t="shared" si="0"/>
        <v>12.422360248447204</v>
      </c>
      <c r="E18">
        <f t="shared" si="1"/>
        <v>4.5521677550516104</v>
      </c>
    </row>
    <row r="19" spans="1:6" x14ac:dyDescent="0.4">
      <c r="A19">
        <v>16.2</v>
      </c>
      <c r="B19">
        <v>-5.21</v>
      </c>
      <c r="C19">
        <v>-8.9700000000000006</v>
      </c>
      <c r="D19">
        <f t="shared" si="0"/>
        <v>12.345679012345679</v>
      </c>
      <c r="E19">
        <f t="shared" si="1"/>
        <v>4.5804420889339186</v>
      </c>
    </row>
    <row r="20" spans="1:6" x14ac:dyDescent="0.4">
      <c r="A20">
        <v>16.3</v>
      </c>
      <c r="B20">
        <v>-5.18</v>
      </c>
      <c r="C20">
        <v>-8.82</v>
      </c>
      <c r="D20">
        <f t="shared" ref="D20:D36" si="2">$I$2/(A20*1000000)</f>
        <v>12.269938650306749</v>
      </c>
      <c r="E20">
        <f t="shared" si="1"/>
        <v>4.6087164228162267</v>
      </c>
    </row>
    <row r="21" spans="1:6" x14ac:dyDescent="0.4">
      <c r="A21">
        <v>16.399999999999999</v>
      </c>
      <c r="B21">
        <v>-5.14</v>
      </c>
      <c r="C21">
        <v>-8.68</v>
      </c>
      <c r="D21">
        <f t="shared" si="2"/>
        <v>12.195121951219514</v>
      </c>
      <c r="E21">
        <f t="shared" si="1"/>
        <v>4.636990756698534</v>
      </c>
    </row>
    <row r="22" spans="1:6" x14ac:dyDescent="0.4">
      <c r="A22">
        <v>16.5</v>
      </c>
      <c r="B22">
        <v>-5.12</v>
      </c>
      <c r="C22">
        <v>-8.5500000000000007</v>
      </c>
      <c r="D22">
        <f t="shared" si="2"/>
        <v>12.121212121212121</v>
      </c>
      <c r="E22">
        <f t="shared" si="1"/>
        <v>4.665265090580843</v>
      </c>
    </row>
    <row r="23" spans="1:6" x14ac:dyDescent="0.4">
      <c r="A23">
        <v>16.600000000000001</v>
      </c>
      <c r="B23">
        <v>-5.09</v>
      </c>
      <c r="C23">
        <v>-8.42</v>
      </c>
      <c r="D23">
        <f t="shared" si="2"/>
        <v>12.048192771084336</v>
      </c>
      <c r="E23">
        <f t="shared" si="1"/>
        <v>4.6935394244631512</v>
      </c>
    </row>
    <row r="24" spans="1:6" x14ac:dyDescent="0.4">
      <c r="A24">
        <v>16.7</v>
      </c>
      <c r="B24">
        <v>-5.07</v>
      </c>
      <c r="C24">
        <v>-8.2899999999999991</v>
      </c>
      <c r="D24">
        <f t="shared" si="2"/>
        <v>11.976047904191617</v>
      </c>
      <c r="E24">
        <f t="shared" si="1"/>
        <v>4.7218137583454594</v>
      </c>
    </row>
    <row r="25" spans="1:6" x14ac:dyDescent="0.4">
      <c r="A25">
        <v>16.8</v>
      </c>
      <c r="B25">
        <v>-5.05</v>
      </c>
      <c r="C25">
        <v>-8.16</v>
      </c>
      <c r="D25">
        <f t="shared" si="2"/>
        <v>11.904761904761905</v>
      </c>
      <c r="E25">
        <f t="shared" si="1"/>
        <v>4.7500880922277666</v>
      </c>
    </row>
    <row r="26" spans="1:6" x14ac:dyDescent="0.4">
      <c r="A26">
        <v>16.899999999999999</v>
      </c>
      <c r="B26">
        <v>-5.04</v>
      </c>
      <c r="C26">
        <v>-8.0399999999999991</v>
      </c>
      <c r="D26">
        <f t="shared" si="2"/>
        <v>11.834319526627219</v>
      </c>
      <c r="E26">
        <f t="shared" si="1"/>
        <v>4.7783624261100757</v>
      </c>
    </row>
    <row r="27" spans="1:6" s="4" customFormat="1" x14ac:dyDescent="0.4">
      <c r="A27" s="4">
        <v>17</v>
      </c>
      <c r="B27" s="4">
        <v>-5.0199999999999996</v>
      </c>
      <c r="C27" s="4">
        <v>-7.93</v>
      </c>
      <c r="D27">
        <f t="shared" si="2"/>
        <v>11.764705882352942</v>
      </c>
      <c r="E27">
        <f t="shared" si="1"/>
        <v>4.8066367599923829</v>
      </c>
    </row>
    <row r="28" spans="1:6" s="4" customFormat="1" x14ac:dyDescent="0.4">
      <c r="A28">
        <v>17.100000000000001</v>
      </c>
      <c r="B28" s="4">
        <v>-5.01</v>
      </c>
      <c r="C28" s="4">
        <v>-7.83</v>
      </c>
      <c r="D28">
        <f t="shared" si="2"/>
        <v>11.695906432748538</v>
      </c>
      <c r="E28">
        <f t="shared" si="1"/>
        <v>4.8349110938746911</v>
      </c>
    </row>
    <row r="29" spans="1:6" s="4" customFormat="1" x14ac:dyDescent="0.4">
      <c r="A29">
        <v>17.2</v>
      </c>
      <c r="B29" s="4">
        <v>-5</v>
      </c>
      <c r="C29" s="4">
        <v>-7.72</v>
      </c>
      <c r="D29">
        <f t="shared" si="2"/>
        <v>11.627906976744185</v>
      </c>
      <c r="E29">
        <f t="shared" si="1"/>
        <v>4.8631854277570001</v>
      </c>
    </row>
    <row r="30" spans="1:6" s="4" customFormat="1" x14ac:dyDescent="0.4">
      <c r="A30" s="4">
        <v>17.3</v>
      </c>
      <c r="B30" s="4">
        <v>-4.99</v>
      </c>
      <c r="C30" s="4">
        <v>-7.62</v>
      </c>
      <c r="D30">
        <f t="shared" si="2"/>
        <v>11.560693641618498</v>
      </c>
      <c r="E30">
        <f t="shared" si="1"/>
        <v>4.8914597616393074</v>
      </c>
    </row>
    <row r="31" spans="1:6" s="3" customFormat="1" x14ac:dyDescent="0.4">
      <c r="A31" s="2">
        <v>17.399999999999999</v>
      </c>
      <c r="B31" s="3">
        <v>-4.99</v>
      </c>
      <c r="C31" s="3">
        <v>-7.53</v>
      </c>
      <c r="D31" s="2">
        <f>$I$2/(A31*1000000)</f>
        <v>11.494252873563218</v>
      </c>
      <c r="E31" s="2">
        <f t="shared" si="1"/>
        <v>4.9197340955216164</v>
      </c>
      <c r="F31" s="3" t="s">
        <v>9</v>
      </c>
    </row>
    <row r="32" spans="1:6" s="4" customFormat="1" x14ac:dyDescent="0.4">
      <c r="A32">
        <v>17.5</v>
      </c>
      <c r="B32" s="4">
        <v>-4.99</v>
      </c>
      <c r="C32" s="4">
        <v>-7.43</v>
      </c>
      <c r="D32">
        <f t="shared" si="2"/>
        <v>11.428571428571429</v>
      </c>
      <c r="E32">
        <f t="shared" si="1"/>
        <v>4.9480084294039237</v>
      </c>
    </row>
    <row r="33" spans="1:5" s="4" customFormat="1" x14ac:dyDescent="0.4">
      <c r="A33" s="4">
        <v>17.600000000000001</v>
      </c>
      <c r="B33" s="4">
        <v>-5</v>
      </c>
      <c r="C33" s="4">
        <v>-7.35</v>
      </c>
      <c r="D33">
        <f t="shared" si="2"/>
        <v>11.363636363636363</v>
      </c>
      <c r="E33">
        <f t="shared" si="1"/>
        <v>4.9762827632862328</v>
      </c>
    </row>
    <row r="34" spans="1:5" s="4" customFormat="1" x14ac:dyDescent="0.4">
      <c r="A34">
        <v>17.7</v>
      </c>
      <c r="B34" s="4">
        <v>-5</v>
      </c>
      <c r="C34" s="4">
        <v>-7.27</v>
      </c>
      <c r="D34">
        <f t="shared" si="2"/>
        <v>11.299435028248588</v>
      </c>
      <c r="E34">
        <f t="shared" si="1"/>
        <v>5.00455709716854</v>
      </c>
    </row>
    <row r="35" spans="1:5" s="4" customFormat="1" x14ac:dyDescent="0.4">
      <c r="A35">
        <v>17.8</v>
      </c>
      <c r="B35" s="4">
        <v>-5.01</v>
      </c>
      <c r="C35" s="4">
        <v>-7.1</v>
      </c>
      <c r="D35">
        <f t="shared" si="2"/>
        <v>11.235955056179776</v>
      </c>
      <c r="E35">
        <f t="shared" si="1"/>
        <v>5.0328314310508482</v>
      </c>
    </row>
    <row r="36" spans="1:5" s="4" customFormat="1" x14ac:dyDescent="0.4">
      <c r="A36" s="4">
        <v>17.899999999999999</v>
      </c>
      <c r="B36" s="4">
        <v>-5.0199999999999996</v>
      </c>
      <c r="C36" s="4">
        <v>-7.11</v>
      </c>
      <c r="D36">
        <f t="shared" si="2"/>
        <v>11.173184357541899</v>
      </c>
      <c r="E36">
        <f t="shared" si="1"/>
        <v>5.0611057649331572</v>
      </c>
    </row>
    <row r="37" spans="1:5" x14ac:dyDescent="0.4">
      <c r="A37">
        <v>18</v>
      </c>
      <c r="B37">
        <v>-5.03</v>
      </c>
      <c r="C37">
        <v>-7.04</v>
      </c>
      <c r="D37">
        <f t="shared" si="0"/>
        <v>11.111111111111111</v>
      </c>
      <c r="E37">
        <f t="shared" si="1"/>
        <v>5.0893800988154654</v>
      </c>
    </row>
    <row r="38" spans="1:5" x14ac:dyDescent="0.4">
      <c r="A38">
        <v>19</v>
      </c>
      <c r="B38">
        <v>-5.27</v>
      </c>
      <c r="C38">
        <v>-6.53</v>
      </c>
      <c r="D38">
        <f t="shared" si="0"/>
        <v>10.526315789473685</v>
      </c>
      <c r="E38">
        <f t="shared" si="1"/>
        <v>5.3721234376385461</v>
      </c>
    </row>
    <row r="39" spans="1:5" x14ac:dyDescent="0.4">
      <c r="A39">
        <v>20</v>
      </c>
      <c r="B39">
        <v>-5.66</v>
      </c>
      <c r="C39">
        <v>-6.36</v>
      </c>
      <c r="D39">
        <f t="shared" si="0"/>
        <v>10</v>
      </c>
      <c r="E39">
        <f t="shared" si="1"/>
        <v>5.6548667764616276</v>
      </c>
    </row>
    <row r="40" spans="1:5" x14ac:dyDescent="0.4">
      <c r="A40">
        <v>21</v>
      </c>
      <c r="B40">
        <v>-6.07</v>
      </c>
      <c r="C40">
        <v>-6.47</v>
      </c>
      <c r="D40">
        <f t="shared" si="0"/>
        <v>9.5238095238095237</v>
      </c>
      <c r="E40">
        <f t="shared" si="1"/>
        <v>5.9376101152847092</v>
      </c>
    </row>
    <row r="41" spans="1:5" x14ac:dyDescent="0.4">
      <c r="A41">
        <v>22</v>
      </c>
      <c r="B41">
        <v>-6.43</v>
      </c>
      <c r="C41">
        <v>-6.79</v>
      </c>
      <c r="D41">
        <f t="shared" si="0"/>
        <v>9.0909090909090917</v>
      </c>
      <c r="E41">
        <f t="shared" si="1"/>
        <v>6.2203534541077898</v>
      </c>
    </row>
    <row r="42" spans="1:5" x14ac:dyDescent="0.4">
      <c r="A42">
        <v>23</v>
      </c>
      <c r="B42">
        <v>-6.7</v>
      </c>
      <c r="C42">
        <v>-7.26</v>
      </c>
      <c r="D42">
        <f t="shared" si="0"/>
        <v>8.695652173913043</v>
      </c>
      <c r="E42">
        <f t="shared" si="1"/>
        <v>6.5030967929308723</v>
      </c>
    </row>
    <row r="43" spans="1:5" x14ac:dyDescent="0.4">
      <c r="A43">
        <v>24</v>
      </c>
      <c r="B43">
        <v>-6.9</v>
      </c>
      <c r="C43">
        <v>-7.87</v>
      </c>
      <c r="D43">
        <f t="shared" si="0"/>
        <v>8.3333333333333339</v>
      </c>
      <c r="E43">
        <f>2*PI()*9/D43</f>
        <v>6.785840131753953</v>
      </c>
    </row>
    <row r="44" spans="1:5" x14ac:dyDescent="0.4">
      <c r="A44">
        <v>25</v>
      </c>
      <c r="B44">
        <v>-7.01</v>
      </c>
      <c r="C44">
        <v>-8.61</v>
      </c>
      <c r="D44">
        <f t="shared" si="0"/>
        <v>8</v>
      </c>
      <c r="E44">
        <f t="shared" si="1"/>
        <v>7.0685834705770345</v>
      </c>
    </row>
    <row r="45" spans="1:5" x14ac:dyDescent="0.4">
      <c r="A45">
        <v>26</v>
      </c>
      <c r="B45">
        <v>-7.04</v>
      </c>
      <c r="C45">
        <v>-9.49</v>
      </c>
      <c r="D45">
        <f t="shared" si="0"/>
        <v>7.6923076923076925</v>
      </c>
      <c r="E45">
        <f t="shared" si="1"/>
        <v>7.3513268094001161</v>
      </c>
    </row>
    <row r="46" spans="1:5" x14ac:dyDescent="0.4">
      <c r="A46">
        <v>27</v>
      </c>
      <c r="B46">
        <v>-7.02</v>
      </c>
      <c r="C46">
        <v>-10.54</v>
      </c>
      <c r="D46">
        <f t="shared" si="0"/>
        <v>7.4074074074074074</v>
      </c>
      <c r="E46">
        <f t="shared" si="1"/>
        <v>7.6340701482231976</v>
      </c>
    </row>
    <row r="47" spans="1:5" x14ac:dyDescent="0.4">
      <c r="A47">
        <v>28</v>
      </c>
      <c r="B47">
        <v>-6.93</v>
      </c>
      <c r="C47">
        <v>-11.83</v>
      </c>
      <c r="D47">
        <f t="shared" si="0"/>
        <v>7.1428571428571432</v>
      </c>
      <c r="E47">
        <f t="shared" si="1"/>
        <v>7.9168134870462783</v>
      </c>
    </row>
    <row r="48" spans="1:5" x14ac:dyDescent="0.4">
      <c r="A48">
        <v>29</v>
      </c>
      <c r="B48">
        <v>-6.78</v>
      </c>
      <c r="C48">
        <v>-13.49</v>
      </c>
      <c r="D48">
        <f t="shared" si="0"/>
        <v>6.8965517241379306</v>
      </c>
      <c r="E48">
        <f t="shared" si="1"/>
        <v>8.1995568258693599</v>
      </c>
    </row>
    <row r="49" spans="1:5" x14ac:dyDescent="0.4">
      <c r="A49">
        <v>30</v>
      </c>
      <c r="B49">
        <v>-6.56</v>
      </c>
      <c r="C49">
        <v>-15.77</v>
      </c>
      <c r="D49">
        <f t="shared" si="0"/>
        <v>6.666666666666667</v>
      </c>
      <c r="E49">
        <f t="shared" si="1"/>
        <v>8.4823001646924414</v>
      </c>
    </row>
    <row r="50" spans="1:5" x14ac:dyDescent="0.4">
      <c r="A50">
        <v>31</v>
      </c>
      <c r="B50">
        <v>-6.29</v>
      </c>
      <c r="C50">
        <v>-19.260000000000002</v>
      </c>
      <c r="D50">
        <f t="shared" si="0"/>
        <v>6.4516129032258061</v>
      </c>
      <c r="E50">
        <f t="shared" si="1"/>
        <v>8.765043503515523</v>
      </c>
    </row>
    <row r="51" spans="1:5" x14ac:dyDescent="0.4">
      <c r="A51">
        <v>32</v>
      </c>
      <c r="B51">
        <v>-5.96</v>
      </c>
      <c r="C51">
        <v>-25.79</v>
      </c>
      <c r="D51">
        <f t="shared" si="0"/>
        <v>6.25</v>
      </c>
      <c r="E51">
        <f t="shared" si="1"/>
        <v>9.0477868423386045</v>
      </c>
    </row>
    <row r="52" spans="1:5" x14ac:dyDescent="0.4">
      <c r="A52" s="1">
        <v>33</v>
      </c>
      <c r="B52" s="1">
        <v>-5.62</v>
      </c>
      <c r="C52" s="1">
        <v>-29.95</v>
      </c>
      <c r="D52">
        <f t="shared" si="0"/>
        <v>6.0606060606060606</v>
      </c>
      <c r="E52">
        <f t="shared" si="1"/>
        <v>9.3305301811616861</v>
      </c>
    </row>
    <row r="53" spans="1:5" x14ac:dyDescent="0.4">
      <c r="A53">
        <v>34</v>
      </c>
      <c r="B53">
        <v>-5.32</v>
      </c>
      <c r="C53">
        <v>-20.47</v>
      </c>
      <c r="D53">
        <f t="shared" si="0"/>
        <v>5.882352941176471</v>
      </c>
      <c r="E53">
        <f t="shared" si="1"/>
        <v>9.6132735199847659</v>
      </c>
    </row>
    <row r="54" spans="1:5" x14ac:dyDescent="0.4">
      <c r="A54" s="2">
        <v>35</v>
      </c>
      <c r="B54" s="2">
        <v>-5.16</v>
      </c>
      <c r="C54" s="2">
        <v>-15.7</v>
      </c>
      <c r="D54">
        <f t="shared" si="0"/>
        <v>5.7142857142857144</v>
      </c>
      <c r="E54">
        <f t="shared" si="1"/>
        <v>9.8960168588078474</v>
      </c>
    </row>
    <row r="55" spans="1:5" x14ac:dyDescent="0.4">
      <c r="A55">
        <v>36</v>
      </c>
      <c r="B55">
        <v>-5.21</v>
      </c>
      <c r="C55">
        <v>-12.76</v>
      </c>
      <c r="D55">
        <f t="shared" si="0"/>
        <v>5.5555555555555554</v>
      </c>
      <c r="E55">
        <f t="shared" si="1"/>
        <v>10.178760197630931</v>
      </c>
    </row>
    <row r="56" spans="1:5" x14ac:dyDescent="0.4">
      <c r="A56">
        <v>37</v>
      </c>
      <c r="B56">
        <v>-5.46</v>
      </c>
      <c r="C56">
        <v>-10.85</v>
      </c>
      <c r="D56">
        <f t="shared" si="0"/>
        <v>5.4054054054054053</v>
      </c>
      <c r="E56">
        <f t="shared" si="1"/>
        <v>10.461503536454011</v>
      </c>
    </row>
    <row r="57" spans="1:5" x14ac:dyDescent="0.4">
      <c r="A57">
        <v>38</v>
      </c>
      <c r="B57">
        <v>-5.81</v>
      </c>
      <c r="C57">
        <v>-9.58</v>
      </c>
      <c r="D57">
        <f t="shared" si="0"/>
        <v>5.2631578947368425</v>
      </c>
      <c r="E57">
        <f t="shared" si="1"/>
        <v>10.744246875277092</v>
      </c>
    </row>
    <row r="58" spans="1:5" x14ac:dyDescent="0.4">
      <c r="A58">
        <v>39</v>
      </c>
      <c r="B58">
        <v>-6.18</v>
      </c>
      <c r="C58">
        <v>-8.76</v>
      </c>
      <c r="D58">
        <f t="shared" si="0"/>
        <v>5.1282051282051286</v>
      </c>
      <c r="E58">
        <f t="shared" si="1"/>
        <v>11.026990214100174</v>
      </c>
    </row>
    <row r="59" spans="1:5" x14ac:dyDescent="0.4">
      <c r="A59">
        <v>40</v>
      </c>
      <c r="B59">
        <v>-6.49</v>
      </c>
      <c r="C59">
        <v>-8.27</v>
      </c>
      <c r="D59">
        <f t="shared" si="0"/>
        <v>5</v>
      </c>
      <c r="E59">
        <f t="shared" si="1"/>
        <v>11.309733552923255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AED1-FAD5-477D-8771-0D4B7E645132}">
  <dimension ref="A1:L5"/>
  <sheetViews>
    <sheetView zoomScale="116" workbookViewId="0">
      <selection activeCell="K4" sqref="K4"/>
    </sheetView>
  </sheetViews>
  <sheetFormatPr defaultRowHeight="18.75" x14ac:dyDescent="0.4"/>
  <cols>
    <col min="1" max="1" width="11" bestFit="1" customWidth="1"/>
    <col min="7" max="7" width="20.125" bestFit="1" customWidth="1"/>
    <col min="8" max="8" width="15.375" bestFit="1" customWidth="1"/>
    <col min="10" max="10" width="14.375" bestFit="1" customWidth="1"/>
    <col min="11" max="11" width="9.5" bestFit="1" customWidth="1"/>
  </cols>
  <sheetData>
    <row r="1" spans="1:12" x14ac:dyDescent="0.4">
      <c r="A1" t="s">
        <v>14</v>
      </c>
      <c r="B1" t="s">
        <v>16</v>
      </c>
      <c r="C1" t="s">
        <v>15</v>
      </c>
      <c r="D1" t="s">
        <v>17</v>
      </c>
      <c r="E1" t="s">
        <v>18</v>
      </c>
      <c r="F1" t="s">
        <v>24</v>
      </c>
      <c r="G1" t="s">
        <v>25</v>
      </c>
      <c r="H1" t="s">
        <v>31</v>
      </c>
    </row>
    <row r="2" spans="1:12" x14ac:dyDescent="0.4">
      <c r="A2" t="s">
        <v>19</v>
      </c>
      <c r="B2">
        <v>931</v>
      </c>
      <c r="C2">
        <v>90.6</v>
      </c>
      <c r="D2">
        <f>C2/B2</f>
        <v>9.7314715359828136E-2</v>
      </c>
      <c r="E2">
        <f>D2/$K$4</f>
        <v>0.87961165048543677</v>
      </c>
      <c r="F2">
        <v>50.4</v>
      </c>
      <c r="G2">
        <f>F2-$K$5</f>
        <v>0.39999999999999858</v>
      </c>
      <c r="H2">
        <f>G2/$K$3*2*PI()</f>
        <v>2.513274122871826E-2</v>
      </c>
      <c r="J2" t="s">
        <v>11</v>
      </c>
      <c r="K2" s="5">
        <v>10000000</v>
      </c>
      <c r="L2" t="s">
        <v>12</v>
      </c>
    </row>
    <row r="3" spans="1:12" x14ac:dyDescent="0.4">
      <c r="A3" t="s">
        <v>20</v>
      </c>
      <c r="B3">
        <v>931</v>
      </c>
      <c r="C3">
        <v>54.3</v>
      </c>
      <c r="D3">
        <f t="shared" ref="D3:D5" si="0">C3/B3</f>
        <v>5.8324382384532761E-2</v>
      </c>
      <c r="E3">
        <f>D3/$K$4</f>
        <v>0.52718446601941749</v>
      </c>
      <c r="F3">
        <v>48.8</v>
      </c>
      <c r="G3">
        <f>F3-$K$5</f>
        <v>-1.2000000000000028</v>
      </c>
      <c r="H3">
        <f>G3/$K$3*2*PI()</f>
        <v>-7.5398223686155216E-2</v>
      </c>
      <c r="J3" t="s">
        <v>13</v>
      </c>
      <c r="K3" s="5">
        <f>CONVERT(1/K2, "s", "ns")</f>
        <v>100</v>
      </c>
      <c r="L3" t="s">
        <v>27</v>
      </c>
    </row>
    <row r="4" spans="1:12" x14ac:dyDescent="0.4">
      <c r="A4" t="s">
        <v>22</v>
      </c>
      <c r="B4">
        <v>625</v>
      </c>
      <c r="C4">
        <v>0.875</v>
      </c>
      <c r="D4">
        <f t="shared" si="0"/>
        <v>1.4E-3</v>
      </c>
      <c r="E4">
        <f t="shared" ref="E4:E5" si="1">D4/$K$4</f>
        <v>1.2654368932038834E-2</v>
      </c>
      <c r="F4">
        <v>0</v>
      </c>
      <c r="G4">
        <f t="shared" ref="G4:G5" si="2">F4-$K$5</f>
        <v>-50</v>
      </c>
      <c r="H4" s="5">
        <f>G4/$K$3*2*PI()</f>
        <v>-3.1415926535897931</v>
      </c>
      <c r="J4" t="s">
        <v>23</v>
      </c>
      <c r="K4">
        <f>103/931</f>
        <v>0.11063372717508056</v>
      </c>
      <c r="L4" t="s">
        <v>28</v>
      </c>
    </row>
    <row r="5" spans="1:12" x14ac:dyDescent="0.4">
      <c r="A5" t="s">
        <v>21</v>
      </c>
      <c r="B5">
        <v>941</v>
      </c>
      <c r="C5">
        <v>17.899999999999999</v>
      </c>
      <c r="D5">
        <f t="shared" si="0"/>
        <v>1.9022316684378319E-2</v>
      </c>
      <c r="E5">
        <f t="shared" si="1"/>
        <v>0.17193958090442926</v>
      </c>
      <c r="F5">
        <v>50</v>
      </c>
      <c r="G5">
        <f t="shared" si="2"/>
        <v>0</v>
      </c>
      <c r="H5">
        <f t="shared" ref="H5" si="3">G5/$K$3*2*PI()</f>
        <v>0</v>
      </c>
      <c r="J5" t="s">
        <v>26</v>
      </c>
      <c r="K5">
        <v>50</v>
      </c>
      <c r="L5" t="s">
        <v>27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2F09-9D91-4EDE-97FD-BBEF3582046D}">
  <dimension ref="A1:L5"/>
  <sheetViews>
    <sheetView zoomScale="145" zoomScaleNormal="145" workbookViewId="0">
      <selection activeCell="G3" sqref="G3"/>
    </sheetView>
  </sheetViews>
  <sheetFormatPr defaultRowHeight="18.75" x14ac:dyDescent="0.4"/>
  <cols>
    <col min="1" max="1" width="11" bestFit="1" customWidth="1"/>
    <col min="2" max="3" width="13.625" bestFit="1" customWidth="1"/>
    <col min="7" max="7" width="20.125" bestFit="1" customWidth="1"/>
    <col min="8" max="8" width="15.375" bestFit="1" customWidth="1"/>
    <col min="10" max="10" width="14.375" bestFit="1" customWidth="1"/>
    <col min="11" max="11" width="9.5" bestFit="1" customWidth="1"/>
  </cols>
  <sheetData>
    <row r="1" spans="1:12" x14ac:dyDescent="0.4">
      <c r="A1" t="s">
        <v>14</v>
      </c>
      <c r="B1" t="s">
        <v>86</v>
      </c>
      <c r="C1" t="s">
        <v>88</v>
      </c>
      <c r="D1" t="s">
        <v>17</v>
      </c>
      <c r="E1" t="s">
        <v>18</v>
      </c>
      <c r="F1" t="s">
        <v>24</v>
      </c>
      <c r="G1" t="s">
        <v>25</v>
      </c>
      <c r="H1" t="s">
        <v>31</v>
      </c>
    </row>
    <row r="2" spans="1:12" x14ac:dyDescent="0.4">
      <c r="A2" t="s">
        <v>19</v>
      </c>
      <c r="B2">
        <v>995</v>
      </c>
      <c r="C2">
        <v>87.9</v>
      </c>
      <c r="D2">
        <f>C2/B2</f>
        <v>8.8341708542713573E-2</v>
      </c>
      <c r="E2">
        <f>D2/$K$4</f>
        <v>0.79850612284724598</v>
      </c>
      <c r="F2">
        <v>49.6</v>
      </c>
      <c r="G2">
        <f>F2-$K$5</f>
        <v>-0.39999999999999858</v>
      </c>
      <c r="H2">
        <f>-G2/$K$3*2*PI()</f>
        <v>2.513274122871826E-2</v>
      </c>
      <c r="J2" t="s">
        <v>11</v>
      </c>
      <c r="K2" s="5">
        <v>10000000</v>
      </c>
      <c r="L2" t="s">
        <v>12</v>
      </c>
    </row>
    <row r="3" spans="1:12" x14ac:dyDescent="0.4">
      <c r="A3" t="s">
        <v>20</v>
      </c>
      <c r="B3">
        <v>979</v>
      </c>
      <c r="C3" s="10">
        <v>82</v>
      </c>
      <c r="D3">
        <f t="shared" ref="D3:D5" si="0">C3/B3</f>
        <v>8.3758937691521956E-2</v>
      </c>
      <c r="E3">
        <f>D3/$K$4</f>
        <v>0.75708321350298002</v>
      </c>
      <c r="F3">
        <v>1.2</v>
      </c>
      <c r="G3">
        <f>F3-$K$5</f>
        <v>-48.8</v>
      </c>
      <c r="H3" s="5">
        <f>-G3/$K$3*2*PI()</f>
        <v>3.0661944299036379</v>
      </c>
      <c r="J3" t="s">
        <v>13</v>
      </c>
      <c r="K3" s="5">
        <f>CONVERT(1/K2, "s", "ns")</f>
        <v>100</v>
      </c>
      <c r="L3" t="s">
        <v>27</v>
      </c>
    </row>
    <row r="4" spans="1:12" x14ac:dyDescent="0.4">
      <c r="A4" t="s">
        <v>22</v>
      </c>
      <c r="B4">
        <v>991</v>
      </c>
      <c r="C4">
        <v>1.37</v>
      </c>
      <c r="D4">
        <f t="shared" si="0"/>
        <v>1.382441977800202E-3</v>
      </c>
      <c r="E4">
        <f t="shared" ref="E4:E5" si="1">D4/$K$4</f>
        <v>1.2495664867300854E-2</v>
      </c>
      <c r="F4">
        <v>0</v>
      </c>
      <c r="G4">
        <f t="shared" ref="G4:G5" si="2">F4-$K$5</f>
        <v>-50</v>
      </c>
      <c r="H4" s="5">
        <f>-G4/$K$3*2*PI()</f>
        <v>3.1415926535897931</v>
      </c>
      <c r="J4" t="s">
        <v>23</v>
      </c>
      <c r="K4">
        <f>103/931</f>
        <v>0.11063372717508056</v>
      </c>
      <c r="L4" t="s">
        <v>28</v>
      </c>
    </row>
    <row r="5" spans="1:12" x14ac:dyDescent="0.4">
      <c r="A5" t="s">
        <v>21</v>
      </c>
      <c r="B5">
        <v>979</v>
      </c>
      <c r="C5">
        <v>17.5</v>
      </c>
      <c r="D5">
        <f t="shared" si="0"/>
        <v>1.7875383043922371E-2</v>
      </c>
      <c r="E5">
        <f t="shared" si="1"/>
        <v>0.16157263702807501</v>
      </c>
      <c r="F5">
        <v>50</v>
      </c>
      <c r="G5">
        <f t="shared" si="2"/>
        <v>0</v>
      </c>
      <c r="H5">
        <f t="shared" ref="H5" si="3">-G5/$K$3*2*PI()</f>
        <v>0</v>
      </c>
      <c r="J5" t="s">
        <v>26</v>
      </c>
      <c r="K5">
        <v>50</v>
      </c>
      <c r="L5" t="s">
        <v>27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4122-9AB4-4230-B791-CEEAFA44BDED}">
  <dimension ref="A1:F6"/>
  <sheetViews>
    <sheetView workbookViewId="0">
      <selection activeCell="F2" sqref="F2:F5"/>
    </sheetView>
  </sheetViews>
  <sheetFormatPr defaultRowHeight="18.75" x14ac:dyDescent="0.4"/>
  <cols>
    <col min="1" max="1" width="11" bestFit="1" customWidth="1"/>
    <col min="2" max="2" width="11" customWidth="1"/>
  </cols>
  <sheetData>
    <row r="1" spans="1:6" x14ac:dyDescent="0.4">
      <c r="A1" t="s">
        <v>42</v>
      </c>
      <c r="B1" t="s">
        <v>42</v>
      </c>
      <c r="C1" t="s">
        <v>80</v>
      </c>
      <c r="D1" t="s">
        <v>81</v>
      </c>
      <c r="E1" t="s">
        <v>45</v>
      </c>
      <c r="F1" t="s">
        <v>24</v>
      </c>
    </row>
    <row r="2" spans="1:6" x14ac:dyDescent="0.4">
      <c r="A2" s="6">
        <v>10</v>
      </c>
      <c r="B2" s="5">
        <f>CONVERT(A2, "Mm", "m")</f>
        <v>10000000</v>
      </c>
      <c r="C2">
        <v>979</v>
      </c>
      <c r="D2">
        <v>100</v>
      </c>
      <c r="E2">
        <f>D2/C2</f>
        <v>0.10214504596527069</v>
      </c>
      <c r="F2" s="10">
        <v>50</v>
      </c>
    </row>
    <row r="3" spans="1:6" x14ac:dyDescent="0.4">
      <c r="A3" s="6">
        <v>20</v>
      </c>
      <c r="B3" s="5">
        <f t="shared" ref="B3:B6" si="0">CONVERT(A3, "Mm", "m")</f>
        <v>20000000</v>
      </c>
      <c r="C3">
        <v>979</v>
      </c>
      <c r="D3">
        <v>100</v>
      </c>
      <c r="E3">
        <f t="shared" ref="E3:E6" si="1">D3/C3</f>
        <v>0.10214504596527069</v>
      </c>
      <c r="F3" s="10">
        <v>25.4</v>
      </c>
    </row>
    <row r="4" spans="1:6" x14ac:dyDescent="0.4">
      <c r="A4" s="6">
        <v>50</v>
      </c>
      <c r="B4" s="5">
        <f t="shared" si="0"/>
        <v>50000000</v>
      </c>
      <c r="C4">
        <v>904</v>
      </c>
      <c r="D4">
        <v>94.1</v>
      </c>
      <c r="E4">
        <f t="shared" si="1"/>
        <v>0.10409292035398229</v>
      </c>
      <c r="F4" s="10">
        <v>10.5</v>
      </c>
    </row>
    <row r="5" spans="1:6" x14ac:dyDescent="0.4">
      <c r="A5" s="6">
        <v>70</v>
      </c>
      <c r="B5" s="5">
        <f t="shared" si="0"/>
        <v>70000000</v>
      </c>
      <c r="C5">
        <v>845</v>
      </c>
      <c r="D5">
        <v>86.2</v>
      </c>
      <c r="E5">
        <f t="shared" si="1"/>
        <v>0.10201183431952664</v>
      </c>
      <c r="F5" s="9">
        <v>7.6</v>
      </c>
    </row>
    <row r="6" spans="1:6" x14ac:dyDescent="0.4">
      <c r="A6" s="6">
        <v>100</v>
      </c>
      <c r="B6" s="5">
        <f t="shared" si="0"/>
        <v>100000000</v>
      </c>
      <c r="C6">
        <v>754</v>
      </c>
      <c r="D6">
        <v>78.7</v>
      </c>
      <c r="E6">
        <f t="shared" si="1"/>
        <v>0.10437665782493369</v>
      </c>
      <c r="F6" s="9">
        <v>5.48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5A76-BFE9-4987-8716-FB65B3FB70BF}">
  <dimension ref="A1:R26"/>
  <sheetViews>
    <sheetView zoomScale="89" workbookViewId="0">
      <selection activeCell="J3" sqref="J3"/>
    </sheetView>
  </sheetViews>
  <sheetFormatPr defaultRowHeight="18.75" x14ac:dyDescent="0.4"/>
  <cols>
    <col min="1" max="1" width="9.5" bestFit="1" customWidth="1"/>
    <col min="8" max="8" width="17.875" customWidth="1"/>
    <col min="9" max="9" width="19.125" customWidth="1"/>
    <col min="10" max="10" width="22.25" bestFit="1" customWidth="1"/>
    <col min="12" max="12" width="14.375" bestFit="1" customWidth="1"/>
    <col min="13" max="13" width="11.625" bestFit="1" customWidth="1"/>
  </cols>
  <sheetData>
    <row r="1" spans="1:14" x14ac:dyDescent="0.4">
      <c r="A1" t="s">
        <v>29</v>
      </c>
    </row>
    <row r="2" spans="1:14" x14ac:dyDescent="0.4">
      <c r="A2" t="s">
        <v>30</v>
      </c>
      <c r="B2" t="s">
        <v>16</v>
      </c>
      <c r="C2" t="s">
        <v>15</v>
      </c>
      <c r="D2" t="s">
        <v>17</v>
      </c>
      <c r="E2" t="s">
        <v>18</v>
      </c>
      <c r="F2" t="s">
        <v>24</v>
      </c>
      <c r="G2" t="s">
        <v>41</v>
      </c>
      <c r="H2" t="s">
        <v>25</v>
      </c>
      <c r="I2" t="s">
        <v>31</v>
      </c>
      <c r="J2" t="s">
        <v>39</v>
      </c>
      <c r="L2" t="s">
        <v>11</v>
      </c>
      <c r="M2" s="5">
        <v>10000000</v>
      </c>
      <c r="N2" t="s">
        <v>12</v>
      </c>
    </row>
    <row r="3" spans="1:14" x14ac:dyDescent="0.4">
      <c r="A3" s="5">
        <v>10000000</v>
      </c>
      <c r="B3">
        <v>893</v>
      </c>
      <c r="C3">
        <v>93</v>
      </c>
      <c r="D3">
        <f>C3/B3</f>
        <v>0.10414333706606943</v>
      </c>
      <c r="E3">
        <f>D3/$M$4</f>
        <v>0.94133443503408387</v>
      </c>
      <c r="F3">
        <v>-7.6</v>
      </c>
      <c r="G3">
        <f>CONVERT(1/A3, "s","ns")</f>
        <v>100</v>
      </c>
      <c r="H3" s="7">
        <f>F3+G3/2</f>
        <v>42.4</v>
      </c>
      <c r="I3" s="5">
        <f>H3/G3*2*PI()</f>
        <v>2.6640705702441445</v>
      </c>
      <c r="J3" s="5">
        <f>2*ATAN($M$8/(2*A3*PI()*$M$6))</f>
        <v>2.6021462603983401</v>
      </c>
      <c r="L3" t="s">
        <v>13</v>
      </c>
      <c r="M3" s="5">
        <f>CONVERT(1/M2, "s", "ns")</f>
        <v>100</v>
      </c>
      <c r="N3" t="s">
        <v>27</v>
      </c>
    </row>
    <row r="4" spans="1:14" x14ac:dyDescent="0.4">
      <c r="A4" s="5">
        <v>20000000</v>
      </c>
      <c r="B4">
        <v>187</v>
      </c>
      <c r="C4">
        <v>1.25</v>
      </c>
      <c r="D4">
        <f t="shared" ref="D4:D6" si="0">C4/B4</f>
        <v>6.6844919786096255E-3</v>
      </c>
      <c r="E4">
        <f>D4/$M$4</f>
        <v>6.042001972898603E-2</v>
      </c>
      <c r="F4">
        <v>-7.4</v>
      </c>
      <c r="G4">
        <f t="shared" ref="G4:G6" si="1">CONVERT(1/A4, "s","ns")</f>
        <v>50</v>
      </c>
      <c r="H4" s="7">
        <f t="shared" ref="H4:H6" si="2">F4+G4/2</f>
        <v>17.600000000000001</v>
      </c>
      <c r="I4" s="5">
        <f t="shared" ref="I4:I6" si="3">H4/G4*2*PI()</f>
        <v>2.2116812281272145</v>
      </c>
      <c r="J4" s="5">
        <f>2*ATAN($M$8/(2*A4*PI()*$M$6))</f>
        <v>2.1314276053458201</v>
      </c>
      <c r="L4" t="s">
        <v>23</v>
      </c>
      <c r="M4">
        <f>103/931</f>
        <v>0.11063372717508056</v>
      </c>
      <c r="N4" t="s">
        <v>28</v>
      </c>
    </row>
    <row r="5" spans="1:14" x14ac:dyDescent="0.4">
      <c r="A5" s="5">
        <v>50000000</v>
      </c>
      <c r="B5">
        <v>418</v>
      </c>
      <c r="C5">
        <v>8.1199999999999992</v>
      </c>
      <c r="D5">
        <f t="shared" si="0"/>
        <v>1.9425837320574162E-2</v>
      </c>
      <c r="E5">
        <f>D5/$M$4</f>
        <v>0.17558693733451014</v>
      </c>
      <c r="F5">
        <v>-6.5</v>
      </c>
      <c r="G5">
        <f t="shared" si="1"/>
        <v>20</v>
      </c>
      <c r="H5" s="7">
        <f t="shared" si="2"/>
        <v>3.5</v>
      </c>
      <c r="I5" s="5">
        <f t="shared" si="3"/>
        <v>1.0995574287564276</v>
      </c>
      <c r="J5" s="5">
        <f>2*ATAN($M$8/(2*A5*PI()*$M$6))</f>
        <v>1.2525587231454822</v>
      </c>
      <c r="L5" t="s">
        <v>26</v>
      </c>
      <c r="M5">
        <v>50</v>
      </c>
      <c r="N5" t="s">
        <v>27</v>
      </c>
    </row>
    <row r="6" spans="1:14" x14ac:dyDescent="0.4">
      <c r="A6" s="5">
        <v>100000000</v>
      </c>
      <c r="B6">
        <v>756</v>
      </c>
      <c r="C6">
        <v>65</v>
      </c>
      <c r="D6">
        <f t="shared" si="0"/>
        <v>8.5978835978835974E-2</v>
      </c>
      <c r="E6">
        <f>D6/$M$4</f>
        <v>0.77714850773103195</v>
      </c>
      <c r="F6">
        <v>-4.8</v>
      </c>
      <c r="G6">
        <f t="shared" si="1"/>
        <v>10</v>
      </c>
      <c r="H6" s="7">
        <f t="shared" si="2"/>
        <v>0.20000000000000018</v>
      </c>
      <c r="I6" s="5">
        <f t="shared" si="3"/>
        <v>0.12566370614359185</v>
      </c>
      <c r="J6" s="5">
        <f>2*ATAN($M$8/(2*A6*PI()*$M$6))</f>
        <v>0.69414735227159585</v>
      </c>
      <c r="L6" t="s">
        <v>33</v>
      </c>
      <c r="M6">
        <f>CONVERT(0.22,"um", "m")</f>
        <v>2.1999999999999998E-7</v>
      </c>
      <c r="N6" t="s">
        <v>34</v>
      </c>
    </row>
    <row r="7" spans="1:14" x14ac:dyDescent="0.4">
      <c r="L7" t="s">
        <v>35</v>
      </c>
      <c r="M7">
        <f>CONVERT(100, "pm", "m")</f>
        <v>1E-10</v>
      </c>
      <c r="N7" t="s">
        <v>36</v>
      </c>
    </row>
    <row r="8" spans="1:14" x14ac:dyDescent="0.4">
      <c r="L8" t="s">
        <v>37</v>
      </c>
      <c r="M8">
        <v>50</v>
      </c>
      <c r="N8" t="s">
        <v>38</v>
      </c>
    </row>
    <row r="10" spans="1:14" x14ac:dyDescent="0.4">
      <c r="A10" s="5"/>
      <c r="I10" s="5"/>
      <c r="J10" s="5"/>
    </row>
    <row r="11" spans="1:14" x14ac:dyDescent="0.4">
      <c r="A11" s="5"/>
      <c r="I11" s="5"/>
      <c r="J11" s="5"/>
    </row>
    <row r="12" spans="1:14" x14ac:dyDescent="0.4">
      <c r="A12" s="5"/>
      <c r="I12" s="5"/>
      <c r="J12" s="5"/>
    </row>
    <row r="13" spans="1:14" x14ac:dyDescent="0.4">
      <c r="A13" s="5"/>
      <c r="I13" s="5"/>
      <c r="J13" s="5"/>
    </row>
    <row r="23" spans="9:18" x14ac:dyDescent="0.4">
      <c r="I23" s="5"/>
      <c r="R23" s="5"/>
    </row>
    <row r="24" spans="9:18" x14ac:dyDescent="0.4">
      <c r="I24" s="5"/>
      <c r="R24" s="5"/>
    </row>
    <row r="25" spans="9:18" x14ac:dyDescent="0.4">
      <c r="I25" s="5"/>
      <c r="R25" s="5"/>
    </row>
    <row r="26" spans="9:18" x14ac:dyDescent="0.4">
      <c r="I26" s="5"/>
      <c r="R26" s="5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8918-7AD9-4E97-B3F3-48D28D2B2145}">
  <dimension ref="A1:N13"/>
  <sheetViews>
    <sheetView topLeftCell="A4" zoomScaleNormal="100" workbookViewId="0">
      <selection activeCell="H7" sqref="H7"/>
    </sheetView>
  </sheetViews>
  <sheetFormatPr defaultRowHeight="18.75" x14ac:dyDescent="0.4"/>
  <cols>
    <col min="1" max="1" width="9.5" bestFit="1" customWidth="1"/>
    <col min="8" max="8" width="17.875" customWidth="1"/>
    <col min="9" max="9" width="19.125" customWidth="1"/>
    <col min="10" max="10" width="22.25" bestFit="1" customWidth="1"/>
    <col min="12" max="12" width="14.375" bestFit="1" customWidth="1"/>
    <col min="13" max="13" width="11.625" bestFit="1" customWidth="1"/>
  </cols>
  <sheetData>
    <row r="1" spans="1:14" x14ac:dyDescent="0.4">
      <c r="A1" t="s">
        <v>29</v>
      </c>
    </row>
    <row r="2" spans="1:14" x14ac:dyDescent="0.4">
      <c r="A2" t="s">
        <v>30</v>
      </c>
      <c r="B2" t="s">
        <v>16</v>
      </c>
      <c r="C2" t="s">
        <v>15</v>
      </c>
      <c r="D2" t="s">
        <v>17</v>
      </c>
      <c r="E2" t="s">
        <v>18</v>
      </c>
      <c r="F2" t="s">
        <v>24</v>
      </c>
      <c r="G2" t="s">
        <v>40</v>
      </c>
      <c r="H2" t="s">
        <v>25</v>
      </c>
      <c r="I2" t="s">
        <v>31</v>
      </c>
      <c r="J2" t="s">
        <v>39</v>
      </c>
      <c r="L2" t="s">
        <v>11</v>
      </c>
      <c r="M2" s="5">
        <v>10000000</v>
      </c>
      <c r="N2" t="s">
        <v>12</v>
      </c>
    </row>
    <row r="3" spans="1:14" x14ac:dyDescent="0.4">
      <c r="A3" s="5">
        <v>10000000</v>
      </c>
      <c r="B3">
        <v>924</v>
      </c>
      <c r="C3">
        <v>84.5</v>
      </c>
      <c r="D3">
        <f>C3/B3</f>
        <v>9.1450216450216448E-2</v>
      </c>
      <c r="E3">
        <f>D3/exp2_3_IN_FWD!E2</f>
        <v>0.89529761904761906</v>
      </c>
      <c r="F3">
        <v>8</v>
      </c>
      <c r="G3">
        <f>CONVERT(1/A3, "s","ns")</f>
        <v>100</v>
      </c>
      <c r="H3">
        <f>F3-exp2_3_IN_FWD!F2</f>
        <v>-42</v>
      </c>
      <c r="I3">
        <f>-H3/G3*2*PI()</f>
        <v>2.638937829015426</v>
      </c>
      <c r="J3">
        <f>2*ATAN($M$8/(2*A3*PI()*$M$6))</f>
        <v>2.6021462603983401</v>
      </c>
      <c r="L3" t="s">
        <v>13</v>
      </c>
      <c r="M3" s="5">
        <f>CONVERT(1/M2, "s", "ns")</f>
        <v>100</v>
      </c>
      <c r="N3" t="s">
        <v>27</v>
      </c>
    </row>
    <row r="4" spans="1:14" x14ac:dyDescent="0.4">
      <c r="A4" s="5">
        <v>20000000</v>
      </c>
      <c r="B4">
        <v>237</v>
      </c>
      <c r="C4">
        <v>14.3</v>
      </c>
      <c r="D4">
        <f t="shared" ref="D4:D6" si="0">C4/B4</f>
        <v>6.0337552742616034E-2</v>
      </c>
      <c r="E4">
        <f>D4/exp2_3_IN_FWD!E3</f>
        <v>0.59070464135021095</v>
      </c>
      <c r="F4">
        <v>7.8</v>
      </c>
      <c r="G4">
        <f t="shared" ref="G4:G6" si="1">CONVERT(1/A4, "s","ns")</f>
        <v>50</v>
      </c>
      <c r="H4">
        <f>F4-exp2_3_IN_FWD!F3</f>
        <v>-17.599999999999998</v>
      </c>
      <c r="I4">
        <f t="shared" ref="I4:I5" si="2">-H4/G4*2*PI()</f>
        <v>2.211681228127214</v>
      </c>
      <c r="J4">
        <f t="shared" ref="J4:J5" si="3">2*ATAN($M$8/(2*A4*PI()*$M$6))</f>
        <v>2.1314276053458201</v>
      </c>
      <c r="L4" t="s">
        <v>23</v>
      </c>
      <c r="M4">
        <f>103/931</f>
        <v>0.11063372717508056</v>
      </c>
      <c r="N4" t="s">
        <v>28</v>
      </c>
    </row>
    <row r="5" spans="1:14" x14ac:dyDescent="0.4">
      <c r="A5" s="5">
        <v>50000000</v>
      </c>
      <c r="B5">
        <v>368</v>
      </c>
      <c r="C5">
        <v>17.5</v>
      </c>
      <c r="D5">
        <f t="shared" si="0"/>
        <v>4.755434782608696E-2</v>
      </c>
      <c r="E5">
        <f>D5/exp2_3_IN_FWD!E4</f>
        <v>0.4568451693388163</v>
      </c>
      <c r="F5">
        <v>6.2</v>
      </c>
      <c r="G5">
        <f t="shared" si="1"/>
        <v>20</v>
      </c>
      <c r="H5">
        <f>F5-exp2_3_IN_FWD!F4</f>
        <v>-4.3</v>
      </c>
      <c r="I5">
        <f t="shared" si="2"/>
        <v>1.350884841043611</v>
      </c>
      <c r="J5">
        <f t="shared" si="3"/>
        <v>1.2525587231454822</v>
      </c>
      <c r="L5" t="s">
        <v>26</v>
      </c>
      <c r="M5">
        <v>50</v>
      </c>
      <c r="N5" t="s">
        <v>27</v>
      </c>
    </row>
    <row r="6" spans="1:14" x14ac:dyDescent="0.4">
      <c r="A6" s="5">
        <v>100000000</v>
      </c>
      <c r="B6">
        <v>668</v>
      </c>
      <c r="C6">
        <v>58.1</v>
      </c>
      <c r="D6">
        <f t="shared" si="0"/>
        <v>8.6976047904191625E-2</v>
      </c>
      <c r="E6">
        <f>D6/exp2_3_IN_FWD!E5</f>
        <v>0.85260743015129836</v>
      </c>
      <c r="F6">
        <v>4.92</v>
      </c>
      <c r="G6">
        <f t="shared" si="1"/>
        <v>10</v>
      </c>
      <c r="H6" s="11">
        <f>F6-exp2_3_IN_FWD!F6</f>
        <v>-0.5600000000000005</v>
      </c>
      <c r="I6">
        <f>-H6/G6*2*PI()</f>
        <v>0.35185837720205715</v>
      </c>
      <c r="J6" s="5">
        <f>2*ATAN($M$8/(2*A6*PI()*$M$6))</f>
        <v>0.69414735227159585</v>
      </c>
      <c r="L6" t="s">
        <v>33</v>
      </c>
      <c r="M6">
        <f>CONVERT(0.22,"um", "m")</f>
        <v>2.1999999999999998E-7</v>
      </c>
      <c r="N6" t="s">
        <v>34</v>
      </c>
    </row>
    <row r="7" spans="1:14" x14ac:dyDescent="0.4">
      <c r="H7" s="6"/>
      <c r="L7" t="s">
        <v>35</v>
      </c>
      <c r="M7">
        <f>CONVERT(100, "pm", "m")</f>
        <v>1E-10</v>
      </c>
      <c r="N7" t="s">
        <v>36</v>
      </c>
    </row>
    <row r="8" spans="1:14" x14ac:dyDescent="0.4">
      <c r="L8" t="s">
        <v>37</v>
      </c>
      <c r="M8">
        <v>50</v>
      </c>
      <c r="N8" t="s">
        <v>38</v>
      </c>
    </row>
    <row r="10" spans="1:14" x14ac:dyDescent="0.4">
      <c r="A10" s="5"/>
      <c r="I10" s="5"/>
      <c r="J10" s="5"/>
    </row>
    <row r="11" spans="1:14" x14ac:dyDescent="0.4">
      <c r="A11" s="5"/>
      <c r="I11" s="5"/>
      <c r="J11" s="5"/>
    </row>
    <row r="12" spans="1:14" x14ac:dyDescent="0.4">
      <c r="A12" s="5"/>
      <c r="I12" s="5"/>
      <c r="J12" s="5"/>
    </row>
    <row r="13" spans="1:14" x14ac:dyDescent="0.4">
      <c r="A13" s="5"/>
      <c r="I13" s="5"/>
      <c r="J13" s="5"/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8eb1637-7feb-461b-b321-b5055bfca98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A27991D6BC9846861143813B06BD0E" ma:contentTypeVersion="13" ma:contentTypeDescription="新しいドキュメントを作成します。" ma:contentTypeScope="" ma:versionID="ee85dfa53edb1a0b9532d3b3243e38f9">
  <xsd:schema xmlns:xsd="http://www.w3.org/2001/XMLSchema" xmlns:xs="http://www.w3.org/2001/XMLSchema" xmlns:p="http://schemas.microsoft.com/office/2006/metadata/properties" xmlns:ns3="38eb1637-7feb-461b-b321-b5055bfca986" xmlns:ns4="3bfbbb28-e1ac-425b-829e-0af756d708af" targetNamespace="http://schemas.microsoft.com/office/2006/metadata/properties" ma:root="true" ma:fieldsID="b8a9e9bfbaa310bbc5631820db757520" ns3:_="" ns4:_="">
    <xsd:import namespace="38eb1637-7feb-461b-b321-b5055bfca986"/>
    <xsd:import namespace="3bfbbb28-e1ac-425b-829e-0af756d708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b1637-7feb-461b-b321-b5055bfca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bbb28-e1ac-425b-829e-0af756d708a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2AB4BB-FCC7-4935-A55F-E1D114740462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3bfbbb28-e1ac-425b-829e-0af756d708af"/>
    <ds:schemaRef ds:uri="38eb1637-7feb-461b-b321-b5055bfca986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A634E79-5047-4F9F-8D97-3FAF62B657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eb1637-7feb-461b-b321-b5055bfca986"/>
    <ds:schemaRef ds:uri="3bfbbb28-e1ac-425b-829e-0af756d708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2E9C8A-A0B6-4413-83DB-B5DA8578E6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没</vt:lpstr>
      <vt:lpstr>power cable1</vt:lpstr>
      <vt:lpstr>power_cable2</vt:lpstr>
      <vt:lpstr>power_cable2 (2)</vt:lpstr>
      <vt:lpstr>exp2_2</vt:lpstr>
      <vt:lpstr>exp2_2_retry</vt:lpstr>
      <vt:lpstr>exp2_3_IN_FWD</vt:lpstr>
      <vt:lpstr>exp2_3_coil</vt:lpstr>
      <vt:lpstr>exp2_3_coil_retry</vt:lpstr>
      <vt:lpstr>exp2_3_coil_retry2</vt:lpstr>
      <vt:lpstr>exp2_3_condenser</vt:lpstr>
      <vt:lpstr>exp2_3_condenser_retry</vt:lpstr>
      <vt:lpstr>exp2_3_condenser_retry2</vt:lpstr>
      <vt:lpstr>exp3_1</vt:lpstr>
      <vt:lpstr>exp3_2</vt:lpstr>
      <vt:lpstr>exp4_2</vt:lpstr>
      <vt:lpstr>exp5_1</vt:lpstr>
      <vt:lpstr>exp5_2</vt:lpstr>
      <vt:lpstr>exp5_3</vt:lpstr>
      <vt:lpstr>exp5_4</vt:lpstr>
      <vt:lpstr>exp5_5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　空馬</dc:creator>
  <cp:lastModifiedBy>佐藤　空馬</cp:lastModifiedBy>
  <dcterms:created xsi:type="dcterms:W3CDTF">2025-04-10T05:04:54Z</dcterms:created>
  <dcterms:modified xsi:type="dcterms:W3CDTF">2025-05-07T07:36:59Z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0x0101009CA27991D6BC9846861143813B06BD0E</vt:lpwstr>
  </property>
</Properties>
</file>