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2.xml" ContentType="application/vnd.openxmlformats-officedocument.spreadsheetml.table+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0.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1.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drawings/drawing12.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drawings/drawing13.xml" ContentType="application/vnd.openxmlformats-officedocument.drawing+xml"/>
  <Override PartName="/xl/tables/table36.xml" ContentType="application/vnd.openxmlformats-officedocument.spreadsheetml.tab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4.xml" ContentType="application/vnd.openxmlformats-officedocument.drawing+xml"/>
  <Override PartName="/xl/tables/table3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Users\Amar Kumar\Desktop\My Previous work\"/>
    </mc:Choice>
  </mc:AlternateContent>
  <xr:revisionPtr revIDLastSave="0" documentId="13_ncr:1_{2DBBE068-3AEF-4E9A-9A33-DE60E9B6FDA1}" xr6:coauthVersionLast="47" xr6:coauthVersionMax="47" xr10:uidLastSave="{00000000-0000-0000-0000-000000000000}"/>
  <bookViews>
    <workbookView xWindow="-110" yWindow="-110" windowWidth="19420" windowHeight="11500" tabRatio="876" firstSheet="3" activeTab="13" xr2:uid="{F07BF656-8D83-422F-A602-9376AE5980BF}"/>
  </bookViews>
  <sheets>
    <sheet name="ReportingDashboard" sheetId="10" r:id="rId1"/>
    <sheet name="Project Plan" sheetId="5" r:id="rId2"/>
    <sheet name="StatusReport" sheetId="7" r:id="rId3"/>
    <sheet name="Timeline" sheetId="2" r:id="rId4"/>
    <sheet name="IT1-Onboarding" sheetId="8" state="hidden" r:id="rId5"/>
    <sheet name="AC1-Policies" sheetId="11" state="hidden" r:id="rId6"/>
    <sheet name="NU2-Performance" sheetId="12" r:id="rId7"/>
    <sheet name="Strategic Plan" sheetId="18" r:id="rId8"/>
    <sheet name="HR1- Digitization Company" sheetId="13" state="hidden" r:id="rId9"/>
    <sheet name="References" sheetId="4" state="hidden" r:id="rId10"/>
    <sheet name="ClientTrend" sheetId="21" r:id="rId11"/>
    <sheet name="Nurse Hours" sheetId="17" r:id="rId12"/>
    <sheet name="Governance" sheetId="1" state="hidden" r:id="rId13"/>
    <sheet name="Nurse Cases" sheetId="16" r:id="rId14"/>
    <sheet name="Hours Per Case" sheetId="19" r:id="rId15"/>
    <sheet name="Task List" sheetId="9" r:id="rId16"/>
  </sheets>
  <definedNames>
    <definedName name="_xlnm._FilterDatabase" localSheetId="14" hidden="1">'Hours Per Case'!#REF!</definedName>
    <definedName name="_xlnm._FilterDatabase" localSheetId="13" hidden="1">'Nurse Cases'!#REF!</definedName>
    <definedName name="_xlnm._FilterDatabase" localSheetId="11" hidden="1">'Nurse Hours'!$B$37:$BT$37</definedName>
    <definedName name="_xlchart.v1.0" hidden="1">ClientTrend!$I$17:$BX$17</definedName>
    <definedName name="_xlchart.v1.1" hidden="1">ClientTrend!$I$18:$BX$18</definedName>
    <definedName name="_xlchart.v1.2" hidden="1">'Nurse Hours'!$T$21:$BH$21</definedName>
    <definedName name="_xlchart.v1.3" hidden="1">'Nurse Hours'!$T$22:$BH$22</definedName>
    <definedName name="_xlchart.v1.4" hidden="1">'Nurse Cases'!$O$18:$BE$18</definedName>
    <definedName name="_xlchart.v1.5" hidden="1">'Nurse Cases'!$O$19:$BE$19</definedName>
    <definedName name="_xlnm.Print_Area" localSheetId="0">ReportingDashboard!$1:$99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9" i="10" l="1"/>
  <c r="O18" i="10"/>
  <c r="O16" i="10"/>
  <c r="B51" i="19"/>
  <c r="C51" i="19" s="1"/>
  <c r="L51" i="19"/>
  <c r="M51" i="19"/>
  <c r="N51" i="19"/>
  <c r="CR51" i="16"/>
  <c r="CT51" i="16"/>
  <c r="CN51" i="16"/>
  <c r="CP51" i="16"/>
  <c r="CJ51" i="16"/>
  <c r="CL51" i="16"/>
  <c r="CF51" i="16"/>
  <c r="CH51" i="16"/>
  <c r="CB51" i="16"/>
  <c r="CD51" i="16" s="1"/>
  <c r="BX51" i="16"/>
  <c r="BZ51" i="16"/>
  <c r="BT51" i="16"/>
  <c r="BV51" i="16" s="1"/>
  <c r="BP51" i="16"/>
  <c r="BR51" i="16" s="1"/>
  <c r="BL51" i="16"/>
  <c r="BN51" i="16" s="1"/>
  <c r="BH51" i="16"/>
  <c r="BJ51" i="16" s="1"/>
  <c r="BD51" i="16"/>
  <c r="BF51" i="16" s="1"/>
  <c r="BB51" i="16"/>
  <c r="AU51" i="16"/>
  <c r="AW51" i="16" s="1"/>
  <c r="AQ51" i="16"/>
  <c r="AS51" i="16"/>
  <c r="AM51" i="16"/>
  <c r="AO51" i="16" s="1"/>
  <c r="AI51" i="16"/>
  <c r="AK51" i="16" s="1"/>
  <c r="AE51" i="16"/>
  <c r="AG51" i="16" s="1"/>
  <c r="AA51" i="16"/>
  <c r="AC51" i="16" s="1"/>
  <c r="W51" i="16"/>
  <c r="Y51" i="16" s="1"/>
  <c r="S51" i="16"/>
  <c r="U51" i="16" s="1"/>
  <c r="O51" i="16"/>
  <c r="Q51" i="16"/>
  <c r="K51" i="16"/>
  <c r="M51" i="16" s="1"/>
  <c r="G51" i="16"/>
  <c r="I51" i="16" s="1"/>
  <c r="B51" i="16"/>
  <c r="E51" i="16"/>
  <c r="BT52" i="17"/>
  <c r="BG52" i="17"/>
  <c r="AT52" i="17"/>
  <c r="R52" i="17"/>
  <c r="AF52" i="17" s="1"/>
  <c r="B78" i="19"/>
  <c r="B70" i="19"/>
  <c r="B65" i="19"/>
  <c r="CR78" i="16"/>
  <c r="CT78" i="16" s="1"/>
  <c r="CN78" i="16"/>
  <c r="CP78" i="16" s="1"/>
  <c r="CJ78" i="16"/>
  <c r="CL78" i="16" s="1"/>
  <c r="CF78" i="16"/>
  <c r="CH78" i="16" s="1"/>
  <c r="CB78" i="16"/>
  <c r="CD78" i="16" s="1"/>
  <c r="BX78" i="16"/>
  <c r="BZ78" i="16" s="1"/>
  <c r="BT78" i="16"/>
  <c r="BV78" i="16" s="1"/>
  <c r="BP78" i="16"/>
  <c r="BR78" i="16" s="1"/>
  <c r="BL78" i="16"/>
  <c r="BN78" i="16" s="1"/>
  <c r="BH78" i="16"/>
  <c r="BJ78" i="16" s="1"/>
  <c r="BD78" i="16"/>
  <c r="BF78" i="16" s="1"/>
  <c r="BB78" i="16"/>
  <c r="AU78" i="16"/>
  <c r="AW78" i="16" s="1"/>
  <c r="AQ78" i="16"/>
  <c r="AS78" i="16" s="1"/>
  <c r="AM78" i="16"/>
  <c r="AO78" i="16" s="1"/>
  <c r="AI78" i="16"/>
  <c r="AK78" i="16" s="1"/>
  <c r="AE78" i="16"/>
  <c r="AG78" i="16" s="1"/>
  <c r="AA78" i="16"/>
  <c r="AC78" i="16" s="1"/>
  <c r="W78" i="16"/>
  <c r="Y78" i="16" s="1"/>
  <c r="S78" i="16"/>
  <c r="U78" i="16" s="1"/>
  <c r="O78" i="16"/>
  <c r="Q78" i="16" s="1"/>
  <c r="K78" i="16"/>
  <c r="M78" i="16" s="1"/>
  <c r="G78" i="16"/>
  <c r="I78" i="16" s="1"/>
  <c r="CR70" i="16"/>
  <c r="CT70" i="16" s="1"/>
  <c r="CN70" i="16"/>
  <c r="CP70" i="16" s="1"/>
  <c r="CJ70" i="16"/>
  <c r="CL70" i="16" s="1"/>
  <c r="CF70" i="16"/>
  <c r="CH70" i="16" s="1"/>
  <c r="CB70" i="16"/>
  <c r="CD70" i="16" s="1"/>
  <c r="BX70" i="16"/>
  <c r="BZ70" i="16" s="1"/>
  <c r="BT70" i="16"/>
  <c r="BV70" i="16" s="1"/>
  <c r="BP70" i="16"/>
  <c r="BR70" i="16" s="1"/>
  <c r="BL70" i="16"/>
  <c r="BN70" i="16" s="1"/>
  <c r="BH70" i="16"/>
  <c r="BJ70" i="16" s="1"/>
  <c r="BD70" i="16"/>
  <c r="BF70" i="16" s="1"/>
  <c r="BB70" i="16"/>
  <c r="AU70" i="16"/>
  <c r="AW70" i="16" s="1"/>
  <c r="AQ70" i="16"/>
  <c r="AS70" i="16" s="1"/>
  <c r="AM70" i="16"/>
  <c r="AO70" i="16" s="1"/>
  <c r="AI70" i="16"/>
  <c r="AK70" i="16" s="1"/>
  <c r="AE70" i="16"/>
  <c r="AG70" i="16" s="1"/>
  <c r="AA70" i="16"/>
  <c r="AC70" i="16" s="1"/>
  <c r="W70" i="16"/>
  <c r="Y70" i="16" s="1"/>
  <c r="S70" i="16"/>
  <c r="U70" i="16" s="1"/>
  <c r="O70" i="16"/>
  <c r="Q70" i="16" s="1"/>
  <c r="K70" i="16"/>
  <c r="M70" i="16" s="1"/>
  <c r="G70" i="16"/>
  <c r="I70" i="16" s="1"/>
  <c r="CR65" i="16"/>
  <c r="CT65" i="16" s="1"/>
  <c r="CN65" i="16"/>
  <c r="CP65" i="16" s="1"/>
  <c r="CJ65" i="16"/>
  <c r="CL65" i="16" s="1"/>
  <c r="CF65" i="16"/>
  <c r="CH65" i="16" s="1"/>
  <c r="CB65" i="16"/>
  <c r="CD65" i="16" s="1"/>
  <c r="BX65" i="16"/>
  <c r="BZ65" i="16" s="1"/>
  <c r="BT65" i="16"/>
  <c r="BV65" i="16" s="1"/>
  <c r="BP65" i="16"/>
  <c r="BR65" i="16" s="1"/>
  <c r="BL65" i="16"/>
  <c r="BN65" i="16" s="1"/>
  <c r="BH65" i="16"/>
  <c r="BJ65" i="16" s="1"/>
  <c r="BD65" i="16"/>
  <c r="BF65" i="16" s="1"/>
  <c r="BB65" i="16"/>
  <c r="AU65" i="16"/>
  <c r="AW65" i="16" s="1"/>
  <c r="AQ65" i="16"/>
  <c r="AS65" i="16" s="1"/>
  <c r="AM65" i="16"/>
  <c r="AO65" i="16" s="1"/>
  <c r="AI65" i="16"/>
  <c r="AK65" i="16" s="1"/>
  <c r="AE65" i="16"/>
  <c r="AG65" i="16" s="1"/>
  <c r="AA65" i="16"/>
  <c r="AC65" i="16" s="1"/>
  <c r="W65" i="16"/>
  <c r="Y65" i="16" s="1"/>
  <c r="S65" i="16"/>
  <c r="U65" i="16" s="1"/>
  <c r="O65" i="16"/>
  <c r="Q65" i="16" s="1"/>
  <c r="K65" i="16"/>
  <c r="M65" i="16" s="1"/>
  <c r="G65" i="16"/>
  <c r="I65" i="16" s="1"/>
  <c r="B79" i="16"/>
  <c r="B80" i="16"/>
  <c r="B81" i="16"/>
  <c r="B82" i="16"/>
  <c r="B83" i="16"/>
  <c r="B84" i="16"/>
  <c r="B85" i="16"/>
  <c r="B71" i="16"/>
  <c r="B72" i="16"/>
  <c r="B73" i="16"/>
  <c r="B74" i="16"/>
  <c r="B75" i="16"/>
  <c r="B76" i="16"/>
  <c r="B77" i="16"/>
  <c r="B78" i="16"/>
  <c r="B66" i="16"/>
  <c r="B67" i="16"/>
  <c r="B68" i="16"/>
  <c r="B69" i="16"/>
  <c r="B70" i="16"/>
  <c r="B65" i="16"/>
  <c r="B38" i="16"/>
  <c r="B39" i="16"/>
  <c r="B40" i="16"/>
  <c r="B41" i="16"/>
  <c r="B42" i="16"/>
  <c r="B43" i="16"/>
  <c r="B44" i="16"/>
  <c r="B45" i="16"/>
  <c r="B46" i="16"/>
  <c r="B47" i="16"/>
  <c r="B48" i="16"/>
  <c r="B49" i="16"/>
  <c r="B50" i="16"/>
  <c r="B52" i="16"/>
  <c r="B53" i="16"/>
  <c r="B54" i="16"/>
  <c r="B55" i="16"/>
  <c r="B56" i="16"/>
  <c r="B57" i="16"/>
  <c r="B58" i="16"/>
  <c r="B59" i="16"/>
  <c r="B60" i="16"/>
  <c r="B61" i="16"/>
  <c r="B62" i="16"/>
  <c r="B63" i="16"/>
  <c r="B64" i="16"/>
  <c r="E78" i="16"/>
  <c r="E70" i="16"/>
  <c r="E65" i="16"/>
  <c r="B37" i="16"/>
  <c r="T99" i="17"/>
  <c r="T101" i="17"/>
  <c r="T103" i="17"/>
  <c r="T104" i="17"/>
  <c r="T105" i="17"/>
  <c r="T106" i="17"/>
  <c r="AT100" i="17"/>
  <c r="BG66" i="17"/>
  <c r="R99" i="17"/>
  <c r="R100" i="17"/>
  <c r="O15" i="17"/>
  <c r="BT79" i="17"/>
  <c r="BG79" i="17"/>
  <c r="AT79" i="17"/>
  <c r="R79" i="17"/>
  <c r="AF79" i="17" s="1"/>
  <c r="BT71" i="17"/>
  <c r="BG71" i="17"/>
  <c r="AT71" i="17"/>
  <c r="R71" i="17"/>
  <c r="AF71" i="17" s="1"/>
  <c r="AT66" i="17"/>
  <c r="BT66" i="17"/>
  <c r="R66" i="17"/>
  <c r="AF66" i="17" s="1"/>
  <c r="L8" i="10"/>
  <c r="B83" i="19"/>
  <c r="B39" i="19"/>
  <c r="BT84" i="17"/>
  <c r="BT40" i="17"/>
  <c r="BG84" i="17"/>
  <c r="BG40" i="17"/>
  <c r="AT84" i="17"/>
  <c r="AT40" i="17"/>
  <c r="T84" i="17"/>
  <c r="V84" i="17"/>
  <c r="W84" i="17"/>
  <c r="X84" i="17"/>
  <c r="Y84" i="17"/>
  <c r="Z84" i="17"/>
  <c r="AA84" i="17"/>
  <c r="AB84" i="17"/>
  <c r="AC84" i="17"/>
  <c r="AD84" i="17"/>
  <c r="AE84" i="17"/>
  <c r="U84" i="17"/>
  <c r="V40" i="17"/>
  <c r="W40" i="17"/>
  <c r="X40" i="17"/>
  <c r="Y40" i="17"/>
  <c r="Z40" i="17"/>
  <c r="AA40" i="17"/>
  <c r="AB40" i="17"/>
  <c r="AC40" i="17"/>
  <c r="AD40" i="17"/>
  <c r="AE40" i="17"/>
  <c r="U40" i="17"/>
  <c r="T40" i="17"/>
  <c r="R84" i="17"/>
  <c r="AF84" i="17" s="1"/>
  <c r="R40" i="17"/>
  <c r="AF40" i="17" s="1"/>
  <c r="CR83" i="16"/>
  <c r="CT83" i="16" s="1"/>
  <c r="CN83" i="16"/>
  <c r="CP83" i="16" s="1"/>
  <c r="CJ83" i="16"/>
  <c r="CL83" i="16" s="1"/>
  <c r="CF83" i="16"/>
  <c r="CH83" i="16" s="1"/>
  <c r="CB83" i="16"/>
  <c r="CD83" i="16" s="1"/>
  <c r="BX83" i="16"/>
  <c r="BZ83" i="16" s="1"/>
  <c r="BT83" i="16"/>
  <c r="BV83" i="16" s="1"/>
  <c r="BP83" i="16"/>
  <c r="BR83" i="16" s="1"/>
  <c r="BL83" i="16"/>
  <c r="BN83" i="16" s="1"/>
  <c r="BH83" i="16"/>
  <c r="BJ83" i="16" s="1"/>
  <c r="BD83" i="16"/>
  <c r="BF83" i="16" s="1"/>
  <c r="BB83" i="16"/>
  <c r="CR39" i="16"/>
  <c r="CT39" i="16" s="1"/>
  <c r="CN39" i="16"/>
  <c r="CP39" i="16" s="1"/>
  <c r="CJ39" i="16"/>
  <c r="CL39" i="16" s="1"/>
  <c r="CF39" i="16"/>
  <c r="CH39" i="16" s="1"/>
  <c r="CB39" i="16"/>
  <c r="CD39" i="16" s="1"/>
  <c r="BX39" i="16"/>
  <c r="BZ39" i="16" s="1"/>
  <c r="BT39" i="16"/>
  <c r="BV39" i="16" s="1"/>
  <c r="BP39" i="16"/>
  <c r="BR39" i="16" s="1"/>
  <c r="BL39" i="16"/>
  <c r="BN39" i="16" s="1"/>
  <c r="BH39" i="16"/>
  <c r="BJ39" i="16" s="1"/>
  <c r="BD39" i="16"/>
  <c r="BF39" i="16" s="1"/>
  <c r="BB39" i="16"/>
  <c r="AU83" i="16"/>
  <c r="AW83" i="16" s="1"/>
  <c r="AQ83" i="16"/>
  <c r="AS83" i="16" s="1"/>
  <c r="AM83" i="16"/>
  <c r="AO83" i="16" s="1"/>
  <c r="AI83" i="16"/>
  <c r="AK83" i="16" s="1"/>
  <c r="AE83" i="16"/>
  <c r="AG83" i="16" s="1"/>
  <c r="AA83" i="16"/>
  <c r="AC83" i="16" s="1"/>
  <c r="W83" i="16"/>
  <c r="Y83" i="16" s="1"/>
  <c r="S83" i="16"/>
  <c r="U83" i="16" s="1"/>
  <c r="O83" i="16"/>
  <c r="Q83" i="16" s="1"/>
  <c r="K83" i="16"/>
  <c r="M83" i="16" s="1"/>
  <c r="G83" i="16"/>
  <c r="I83" i="16" s="1"/>
  <c r="E83" i="16"/>
  <c r="AU39" i="16"/>
  <c r="AW39" i="16" s="1"/>
  <c r="AQ39" i="16"/>
  <c r="AS39" i="16" s="1"/>
  <c r="AM39" i="16"/>
  <c r="AO39" i="16" s="1"/>
  <c r="AI39" i="16"/>
  <c r="AK39" i="16" s="1"/>
  <c r="AE39" i="16"/>
  <c r="AG39" i="16" s="1"/>
  <c r="AA39" i="16"/>
  <c r="AC39" i="16" s="1"/>
  <c r="W39" i="16"/>
  <c r="Y39" i="16" s="1"/>
  <c r="S39" i="16"/>
  <c r="U39" i="16" s="1"/>
  <c r="O39" i="16"/>
  <c r="Q39" i="16" s="1"/>
  <c r="K39" i="16"/>
  <c r="M39" i="16" s="1"/>
  <c r="G39" i="16"/>
  <c r="I39" i="16" s="1"/>
  <c r="E39" i="16"/>
  <c r="M16" i="10"/>
  <c r="N34" i="10"/>
  <c r="N32" i="10"/>
  <c r="L34" i="10"/>
  <c r="M34" i="10"/>
  <c r="M35" i="10"/>
  <c r="N35" i="10"/>
  <c r="M32" i="10"/>
  <c r="M31" i="10"/>
  <c r="N31" i="10"/>
  <c r="O31" i="10"/>
  <c r="P31" i="10"/>
  <c r="Q31" i="10"/>
  <c r="M19" i="10"/>
  <c r="L18" i="10"/>
  <c r="M18" i="10"/>
  <c r="N15" i="10"/>
  <c r="N18" i="10" s="1"/>
  <c r="N19" i="10" s="1"/>
  <c r="O15" i="10"/>
  <c r="P15" i="10"/>
  <c r="Q15" i="10"/>
  <c r="M15" i="10"/>
  <c r="AA20" i="21"/>
  <c r="AA21" i="21"/>
  <c r="R37" i="21"/>
  <c r="S37" i="21" s="1"/>
  <c r="R38" i="21"/>
  <c r="S38" i="21" s="1"/>
  <c r="R39" i="21"/>
  <c r="S39" i="21" s="1"/>
  <c r="R40" i="21"/>
  <c r="S40" i="21" s="1"/>
  <c r="R41" i="21"/>
  <c r="S41" i="21" s="1"/>
  <c r="R42" i="21"/>
  <c r="S42" i="21" s="1"/>
  <c r="R43" i="21"/>
  <c r="S43" i="21" s="1"/>
  <c r="R44" i="21"/>
  <c r="S44" i="21" s="1"/>
  <c r="R45" i="21"/>
  <c r="S45" i="21" s="1"/>
  <c r="R46" i="21"/>
  <c r="S46" i="21" s="1"/>
  <c r="R47" i="21"/>
  <c r="S47" i="21" s="1"/>
  <c r="R48" i="21"/>
  <c r="S48" i="21" s="1"/>
  <c r="R49" i="21"/>
  <c r="S49" i="21" s="1"/>
  <c r="R50" i="21"/>
  <c r="S50" i="21" s="1"/>
  <c r="R51" i="21"/>
  <c r="S51" i="21" s="1"/>
  <c r="R52" i="21"/>
  <c r="S52" i="21" s="1"/>
  <c r="R53" i="21"/>
  <c r="S53" i="21" s="1"/>
  <c r="R54" i="21"/>
  <c r="S54" i="21" s="1"/>
  <c r="R55" i="21"/>
  <c r="S55" i="21" s="1"/>
  <c r="R56" i="21"/>
  <c r="S56" i="21" s="1"/>
  <c r="R57" i="21"/>
  <c r="S57" i="21" s="1"/>
  <c r="R58" i="21"/>
  <c r="S58" i="21" s="1"/>
  <c r="R59" i="21"/>
  <c r="S59" i="21" s="1"/>
  <c r="R60" i="21"/>
  <c r="S60" i="21" s="1"/>
  <c r="R61" i="21"/>
  <c r="S61" i="21" s="1"/>
  <c r="R62" i="21"/>
  <c r="S62" i="21" s="1"/>
  <c r="R63" i="21"/>
  <c r="S63" i="21" s="1"/>
  <c r="R64" i="21"/>
  <c r="S64" i="21" s="1"/>
  <c r="R65" i="21"/>
  <c r="S65" i="21" s="1"/>
  <c r="R66" i="21"/>
  <c r="S66" i="21" s="1"/>
  <c r="R67" i="21"/>
  <c r="S67" i="21" s="1"/>
  <c r="R68" i="21"/>
  <c r="S68" i="21" s="1"/>
  <c r="R69" i="21"/>
  <c r="S69" i="21" s="1"/>
  <c r="R70" i="21"/>
  <c r="S70" i="21" s="1"/>
  <c r="R71" i="21"/>
  <c r="S71" i="21" s="1"/>
  <c r="R72" i="21"/>
  <c r="S72" i="21" s="1"/>
  <c r="R73" i="21"/>
  <c r="S73" i="21" s="1"/>
  <c r="R74" i="21"/>
  <c r="S74" i="21" s="1"/>
  <c r="R75" i="21"/>
  <c r="S75" i="21" s="1"/>
  <c r="R76" i="21"/>
  <c r="S76" i="21" s="1"/>
  <c r="R77" i="21"/>
  <c r="S77" i="21" s="1"/>
  <c r="R78" i="21"/>
  <c r="S78" i="21" s="1"/>
  <c r="R79" i="21"/>
  <c r="S79" i="21" s="1"/>
  <c r="R80" i="21"/>
  <c r="S80" i="21" s="1"/>
  <c r="R81" i="21"/>
  <c r="S81" i="21" s="1"/>
  <c r="R82" i="21"/>
  <c r="S82" i="21" s="1"/>
  <c r="R83" i="21"/>
  <c r="S83" i="21" s="1"/>
  <c r="R84" i="21"/>
  <c r="S84" i="21" s="1"/>
  <c r="R85" i="21"/>
  <c r="S85" i="21" s="1"/>
  <c r="R86" i="21"/>
  <c r="S86" i="21" s="1"/>
  <c r="R87" i="21"/>
  <c r="S87" i="21" s="1"/>
  <c r="R88" i="21"/>
  <c r="S88" i="21" s="1"/>
  <c r="R89" i="21"/>
  <c r="S89" i="21" s="1"/>
  <c r="R90" i="21"/>
  <c r="S90" i="21" s="1"/>
  <c r="R91" i="21"/>
  <c r="S91" i="21" s="1"/>
  <c r="R92" i="21"/>
  <c r="S92" i="21" s="1"/>
  <c r="R93" i="21"/>
  <c r="S93" i="21" s="1"/>
  <c r="R94" i="21"/>
  <c r="S94" i="21" s="1"/>
  <c r="R95" i="21"/>
  <c r="S95" i="21" s="1"/>
  <c r="R96" i="21"/>
  <c r="S96" i="21" s="1"/>
  <c r="R97" i="21"/>
  <c r="S97" i="21" s="1"/>
  <c r="R98" i="21"/>
  <c r="S98" i="21" s="1"/>
  <c r="R99" i="21"/>
  <c r="S99" i="21" s="1"/>
  <c r="R100" i="21"/>
  <c r="S100" i="21" s="1"/>
  <c r="R101" i="21"/>
  <c r="S101" i="21" s="1"/>
  <c r="R102" i="21"/>
  <c r="S102" i="21" s="1"/>
  <c r="R103" i="21"/>
  <c r="S103" i="21" s="1"/>
  <c r="R36" i="21"/>
  <c r="S36" i="21" s="1"/>
  <c r="F16" i="21"/>
  <c r="E16" i="21"/>
  <c r="D16" i="21"/>
  <c r="C16" i="21"/>
  <c r="F15" i="21"/>
  <c r="E15" i="21"/>
  <c r="D15" i="21"/>
  <c r="C15" i="21"/>
  <c r="F14" i="21"/>
  <c r="E14" i="21"/>
  <c r="D14" i="21"/>
  <c r="C14" i="21"/>
  <c r="Q18" i="21"/>
  <c r="R18" i="21"/>
  <c r="S18" i="21"/>
  <c r="T18" i="21"/>
  <c r="K18" i="21"/>
  <c r="L18" i="21"/>
  <c r="M18" i="21"/>
  <c r="N18" i="21"/>
  <c r="O18" i="21"/>
  <c r="P18" i="21"/>
  <c r="U18" i="21"/>
  <c r="AB18" i="21"/>
  <c r="AC18" i="21"/>
  <c r="AD18" i="21"/>
  <c r="AE18" i="21"/>
  <c r="AF18" i="21"/>
  <c r="AG18" i="21"/>
  <c r="AH18" i="21"/>
  <c r="AI18" i="21"/>
  <c r="AJ18" i="21"/>
  <c r="AK18" i="21"/>
  <c r="AL18" i="21"/>
  <c r="AM18" i="21"/>
  <c r="AN18" i="21"/>
  <c r="AO18" i="21"/>
  <c r="AP18" i="21"/>
  <c r="AQ18" i="21"/>
  <c r="AR18" i="21"/>
  <c r="AS18" i="21"/>
  <c r="AT18" i="21"/>
  <c r="AU18" i="21"/>
  <c r="AV18" i="21"/>
  <c r="AW18" i="21"/>
  <c r="AX18" i="21"/>
  <c r="AY18" i="21"/>
  <c r="AZ18" i="21"/>
  <c r="BA18" i="21"/>
  <c r="BB18" i="21"/>
  <c r="BC18" i="21"/>
  <c r="BD18" i="21"/>
  <c r="BE18" i="21"/>
  <c r="BF18" i="21"/>
  <c r="BG18" i="21"/>
  <c r="BH18" i="21"/>
  <c r="BI18" i="21"/>
  <c r="BJ18" i="21"/>
  <c r="BK18" i="21"/>
  <c r="BL18" i="21"/>
  <c r="BM18" i="21"/>
  <c r="BN18" i="21"/>
  <c r="BO18" i="21"/>
  <c r="BP18" i="21"/>
  <c r="BQ18" i="21"/>
  <c r="BR18" i="21"/>
  <c r="BS18" i="21"/>
  <c r="BT18" i="21"/>
  <c r="BU18" i="21"/>
  <c r="BV18" i="21"/>
  <c r="BW18" i="21"/>
  <c r="BX18" i="21"/>
  <c r="J18" i="21"/>
  <c r="I18" i="21"/>
  <c r="L104" i="21"/>
  <c r="L35" i="10"/>
  <c r="L32" i="10"/>
  <c r="L31" i="10"/>
  <c r="L19" i="10"/>
  <c r="L15" i="10"/>
  <c r="L16" i="10" s="1"/>
  <c r="O38" i="16"/>
  <c r="O40" i="16"/>
  <c r="O41" i="16"/>
  <c r="O42" i="16"/>
  <c r="O43" i="16"/>
  <c r="O44" i="16"/>
  <c r="O45" i="16"/>
  <c r="O46" i="16"/>
  <c r="O47" i="16"/>
  <c r="O48" i="16"/>
  <c r="O49" i="16"/>
  <c r="O50" i="16"/>
  <c r="O52" i="16"/>
  <c r="O53" i="16"/>
  <c r="O54" i="16"/>
  <c r="O55" i="16"/>
  <c r="O56" i="16"/>
  <c r="O57" i="16"/>
  <c r="O58" i="16"/>
  <c r="O59" i="16"/>
  <c r="O60" i="16"/>
  <c r="O61" i="16"/>
  <c r="O62" i="16"/>
  <c r="O63" i="16"/>
  <c r="O64" i="16"/>
  <c r="Q64" i="16" s="1"/>
  <c r="O66" i="16"/>
  <c r="O67" i="16"/>
  <c r="O68" i="16"/>
  <c r="O69" i="16"/>
  <c r="O71" i="16"/>
  <c r="O72" i="16"/>
  <c r="O73" i="16"/>
  <c r="O74" i="16"/>
  <c r="O75" i="16"/>
  <c r="O76" i="16"/>
  <c r="O77" i="16"/>
  <c r="O79" i="16"/>
  <c r="O80" i="16"/>
  <c r="O81" i="16"/>
  <c r="O82" i="16"/>
  <c r="O84" i="16"/>
  <c r="O85" i="16"/>
  <c r="O37" i="16"/>
  <c r="K38" i="16"/>
  <c r="K40" i="16"/>
  <c r="K41" i="16"/>
  <c r="K42" i="16"/>
  <c r="K43" i="16"/>
  <c r="K44" i="16"/>
  <c r="K45" i="16"/>
  <c r="K46" i="16"/>
  <c r="K47" i="16"/>
  <c r="K48" i="16"/>
  <c r="K49" i="16"/>
  <c r="K50" i="16"/>
  <c r="K52" i="16"/>
  <c r="K53" i="16"/>
  <c r="K54" i="16"/>
  <c r="K55" i="16"/>
  <c r="K56" i="16"/>
  <c r="K57" i="16"/>
  <c r="K58" i="16"/>
  <c r="K59" i="16"/>
  <c r="K60" i="16"/>
  <c r="K61" i="16"/>
  <c r="K62" i="16"/>
  <c r="K63" i="16"/>
  <c r="K64" i="16"/>
  <c r="M64" i="16" s="1"/>
  <c r="K66" i="16"/>
  <c r="K67" i="16"/>
  <c r="K68" i="16"/>
  <c r="K69" i="16"/>
  <c r="K71" i="16"/>
  <c r="K72" i="16"/>
  <c r="K73" i="16"/>
  <c r="K74" i="16"/>
  <c r="K75" i="16"/>
  <c r="K76" i="16"/>
  <c r="K77" i="16"/>
  <c r="K79" i="16"/>
  <c r="K80" i="16"/>
  <c r="K81" i="16"/>
  <c r="K82" i="16"/>
  <c r="K84" i="16"/>
  <c r="K85" i="16"/>
  <c r="K37" i="16"/>
  <c r="G38" i="16"/>
  <c r="G40" i="16"/>
  <c r="G41" i="16"/>
  <c r="G42" i="16"/>
  <c r="G43" i="16"/>
  <c r="G44" i="16"/>
  <c r="G45" i="16"/>
  <c r="G46" i="16"/>
  <c r="G47" i="16"/>
  <c r="G48" i="16"/>
  <c r="G49" i="16"/>
  <c r="G50" i="16"/>
  <c r="G52" i="16"/>
  <c r="G53" i="16"/>
  <c r="G54" i="16"/>
  <c r="G55" i="16"/>
  <c r="G56" i="16"/>
  <c r="G57" i="16"/>
  <c r="G58" i="16"/>
  <c r="G59" i="16"/>
  <c r="G60" i="16"/>
  <c r="G61" i="16"/>
  <c r="G62" i="16"/>
  <c r="G63" i="16"/>
  <c r="G64" i="16"/>
  <c r="I64" i="16" s="1"/>
  <c r="G66" i="16"/>
  <c r="G67" i="16"/>
  <c r="G68" i="16"/>
  <c r="G69" i="16"/>
  <c r="G71" i="16"/>
  <c r="G72" i="16"/>
  <c r="G73" i="16"/>
  <c r="G74" i="16"/>
  <c r="G75" i="16"/>
  <c r="G76" i="16"/>
  <c r="G77" i="16"/>
  <c r="G79" i="16"/>
  <c r="G80" i="16"/>
  <c r="G81" i="16"/>
  <c r="G82" i="16"/>
  <c r="G84" i="16"/>
  <c r="G85" i="16"/>
  <c r="G37" i="16"/>
  <c r="B64" i="19"/>
  <c r="B48" i="19"/>
  <c r="CR64" i="16"/>
  <c r="CT64" i="16" s="1"/>
  <c r="CN64" i="16"/>
  <c r="CP64" i="16" s="1"/>
  <c r="CJ64" i="16"/>
  <c r="CL64" i="16" s="1"/>
  <c r="CF64" i="16"/>
  <c r="CH64" i="16" s="1"/>
  <c r="CB64" i="16"/>
  <c r="CD64" i="16" s="1"/>
  <c r="BX64" i="16"/>
  <c r="BZ64" i="16" s="1"/>
  <c r="BT64" i="16"/>
  <c r="BV64" i="16" s="1"/>
  <c r="BP64" i="16"/>
  <c r="BR64" i="16" s="1"/>
  <c r="BL64" i="16"/>
  <c r="BN64" i="16" s="1"/>
  <c r="BH64" i="16"/>
  <c r="BJ64" i="16" s="1"/>
  <c r="BD64" i="16"/>
  <c r="BF64" i="16" s="1"/>
  <c r="BB64" i="16"/>
  <c r="CR48" i="16"/>
  <c r="CT48" i="16" s="1"/>
  <c r="CN48" i="16"/>
  <c r="CP48" i="16" s="1"/>
  <c r="CJ48" i="16"/>
  <c r="CL48" i="16" s="1"/>
  <c r="CF48" i="16"/>
  <c r="CH48" i="16" s="1"/>
  <c r="CB48" i="16"/>
  <c r="CD48" i="16" s="1"/>
  <c r="BX48" i="16"/>
  <c r="BZ48" i="16" s="1"/>
  <c r="BT48" i="16"/>
  <c r="BV48" i="16" s="1"/>
  <c r="BP48" i="16"/>
  <c r="BR48" i="16" s="1"/>
  <c r="BL48" i="16"/>
  <c r="BN48" i="16" s="1"/>
  <c r="BH48" i="16"/>
  <c r="BJ48" i="16" s="1"/>
  <c r="BD48" i="16"/>
  <c r="BF48" i="16" s="1"/>
  <c r="BB48" i="16"/>
  <c r="AU64" i="16"/>
  <c r="AW64" i="16" s="1"/>
  <c r="AQ64" i="16"/>
  <c r="AS64" i="16" s="1"/>
  <c r="AM64" i="16"/>
  <c r="AO64" i="16" s="1"/>
  <c r="AI64" i="16"/>
  <c r="AK64" i="16" s="1"/>
  <c r="AE64" i="16"/>
  <c r="AG64" i="16" s="1"/>
  <c r="AA64" i="16"/>
  <c r="AC64" i="16" s="1"/>
  <c r="W64" i="16"/>
  <c r="Y64" i="16" s="1"/>
  <c r="S64" i="16"/>
  <c r="U64" i="16" s="1"/>
  <c r="E64" i="16"/>
  <c r="J51" i="19" l="1"/>
  <c r="I51" i="19"/>
  <c r="K51" i="19"/>
  <c r="H51" i="19"/>
  <c r="G51" i="19"/>
  <c r="F51" i="19"/>
  <c r="C78" i="19"/>
  <c r="C65" i="19"/>
  <c r="C70" i="19"/>
  <c r="N78" i="19"/>
  <c r="M78" i="19"/>
  <c r="L78" i="19"/>
  <c r="K78" i="19"/>
  <c r="J78" i="19"/>
  <c r="I78" i="19"/>
  <c r="G78" i="19"/>
  <c r="F78" i="19"/>
  <c r="H78" i="19"/>
  <c r="N70" i="19"/>
  <c r="M70" i="19"/>
  <c r="L70" i="19"/>
  <c r="K70" i="19"/>
  <c r="J70" i="19"/>
  <c r="I70" i="19"/>
  <c r="G70" i="19"/>
  <c r="F70" i="19"/>
  <c r="H70" i="19"/>
  <c r="H65" i="19"/>
  <c r="G65" i="19"/>
  <c r="N65" i="19"/>
  <c r="M65" i="19"/>
  <c r="L65" i="19"/>
  <c r="K65" i="19"/>
  <c r="J65" i="19"/>
  <c r="I65" i="19"/>
  <c r="F65" i="19"/>
  <c r="T19" i="16" a="1"/>
  <c r="T19" i="16" s="1"/>
  <c r="U19" i="16" a="1"/>
  <c r="U19" i="16" s="1"/>
  <c r="AJ19" i="16" a="1"/>
  <c r="AJ19" i="16" s="1"/>
  <c r="V19" i="16" a="1"/>
  <c r="V19" i="16" s="1"/>
  <c r="AH19" i="16" a="1"/>
  <c r="AH19" i="16" s="1"/>
  <c r="R19" i="16" a="1"/>
  <c r="R19" i="16" s="1"/>
  <c r="AF19" i="16" a="1"/>
  <c r="AF19" i="16" s="1"/>
  <c r="Q19" i="16" a="1"/>
  <c r="Q19" i="16" s="1"/>
  <c r="P19" i="16" a="1"/>
  <c r="P19" i="16" s="1"/>
  <c r="AD19" i="16" a="1"/>
  <c r="AD19" i="16" s="1"/>
  <c r="AC19" i="16" a="1"/>
  <c r="AC19" i="16" s="1"/>
  <c r="W19" i="16" a="1"/>
  <c r="W19" i="16" s="1"/>
  <c r="S19" i="16" a="1"/>
  <c r="S19" i="16" s="1"/>
  <c r="AG19" i="16" a="1"/>
  <c r="AG19" i="16" s="1"/>
  <c r="AE19" i="16" a="1"/>
  <c r="AE19" i="16" s="1"/>
  <c r="O19" i="16" a="1"/>
  <c r="O19" i="16" s="1"/>
  <c r="AM19" i="16" a="1"/>
  <c r="AM19" i="16" s="1"/>
  <c r="AA19" i="16" a="1"/>
  <c r="AA19" i="16" s="1"/>
  <c r="H39" i="19"/>
  <c r="G64" i="19"/>
  <c r="AB19" i="16" a="1"/>
  <c r="AB19" i="16" s="1"/>
  <c r="AL19" i="16" a="1"/>
  <c r="AL19" i="16" s="1"/>
  <c r="Z19" i="16" a="1"/>
  <c r="Z19" i="16" s="1"/>
  <c r="AN19" i="16" a="1"/>
  <c r="AN19" i="16" s="1"/>
  <c r="AK19" i="16" a="1"/>
  <c r="AK19" i="16" s="1"/>
  <c r="Y19" i="16" a="1"/>
  <c r="Y19" i="16" s="1"/>
  <c r="X19" i="16" a="1"/>
  <c r="X19" i="16" s="1"/>
  <c r="AO19" i="16" a="1"/>
  <c r="AO19" i="16" s="1"/>
  <c r="H48" i="19"/>
  <c r="AI19" i="16" a="1"/>
  <c r="AI19" i="16" s="1"/>
  <c r="AW19" i="16" a="1"/>
  <c r="AW19" i="16" s="1"/>
  <c r="AV19" i="16" a="1"/>
  <c r="AV19" i="16" s="1"/>
  <c r="AT19" i="16" a="1"/>
  <c r="AT19" i="16" s="1"/>
  <c r="AU19" i="16" a="1"/>
  <c r="AU19" i="16" s="1"/>
  <c r="AS19" i="16" a="1"/>
  <c r="AS19" i="16" s="1"/>
  <c r="BE19" i="16" a="1"/>
  <c r="BE19" i="16" s="1"/>
  <c r="AR19" i="16" a="1"/>
  <c r="AR19" i="16" s="1"/>
  <c r="BD19" i="16" a="1"/>
  <c r="BD19" i="16" s="1"/>
  <c r="AQ19" i="16" a="1"/>
  <c r="AQ19" i="16" s="1"/>
  <c r="BC19" i="16" a="1"/>
  <c r="BC19" i="16" s="1"/>
  <c r="AP19" i="16" a="1"/>
  <c r="AP19" i="16" s="1"/>
  <c r="BB19" i="16" a="1"/>
  <c r="BB19" i="16" s="1"/>
  <c r="AZ19" i="16" a="1"/>
  <c r="AZ19" i="16" s="1"/>
  <c r="AY19" i="16" a="1"/>
  <c r="AY19" i="16" s="1"/>
  <c r="AX19" i="16" a="1"/>
  <c r="AX19" i="16" s="1"/>
  <c r="C83" i="19"/>
  <c r="BA19" i="16" a="1"/>
  <c r="BA19" i="16" s="1"/>
  <c r="G83" i="19"/>
  <c r="N83" i="19"/>
  <c r="N16" i="10"/>
  <c r="M83" i="19"/>
  <c r="N39" i="19"/>
  <c r="L83" i="19"/>
  <c r="M39" i="19"/>
  <c r="K83" i="19"/>
  <c r="J83" i="19"/>
  <c r="L39" i="19"/>
  <c r="K39" i="19"/>
  <c r="I83" i="19"/>
  <c r="J39" i="19"/>
  <c r="H83" i="19"/>
  <c r="I39" i="19"/>
  <c r="G39" i="19"/>
  <c r="F83" i="19"/>
  <c r="F39" i="19"/>
  <c r="C39" i="19"/>
  <c r="F64" i="19"/>
  <c r="C64" i="19"/>
  <c r="C48" i="19"/>
  <c r="D48" i="19"/>
  <c r="E48" i="19"/>
  <c r="D64" i="19"/>
  <c r="E64" i="19"/>
  <c r="G48" i="19"/>
  <c r="F48" i="19"/>
  <c r="Q34" i="10"/>
  <c r="Q35" i="10" s="1"/>
  <c r="Q32" i="10"/>
  <c r="P34" i="10"/>
  <c r="P35" i="10" s="1"/>
  <c r="P32" i="10"/>
  <c r="O34" i="10"/>
  <c r="O35" i="10" s="1"/>
  <c r="O32" i="10"/>
  <c r="M64" i="19"/>
  <c r="L64" i="19"/>
  <c r="L48" i="19"/>
  <c r="J64" i="19"/>
  <c r="I64" i="19"/>
  <c r="I48" i="19"/>
  <c r="H64" i="19"/>
  <c r="N64" i="19"/>
  <c r="N48" i="19"/>
  <c r="M48" i="19"/>
  <c r="K64" i="19"/>
  <c r="K48" i="19"/>
  <c r="J48" i="19"/>
  <c r="AU48" i="16"/>
  <c r="AW48" i="16" s="1"/>
  <c r="AQ48" i="16"/>
  <c r="AS48" i="16" s="1"/>
  <c r="AM48" i="16"/>
  <c r="AO48" i="16" s="1"/>
  <c r="AI48" i="16"/>
  <c r="AK48" i="16" s="1"/>
  <c r="AE48" i="16"/>
  <c r="AA48" i="16"/>
  <c r="AC48" i="16" s="1"/>
  <c r="W48" i="16"/>
  <c r="Y48" i="16" s="1"/>
  <c r="S48" i="16"/>
  <c r="U48" i="16" s="1"/>
  <c r="Q48" i="16"/>
  <c r="M48" i="16"/>
  <c r="I48" i="16"/>
  <c r="E48" i="16"/>
  <c r="BT65" i="17"/>
  <c r="BG65" i="17"/>
  <c r="BT49" i="17"/>
  <c r="BG49" i="17"/>
  <c r="AT65" i="17"/>
  <c r="V65" i="17"/>
  <c r="W65" i="17"/>
  <c r="X65" i="17"/>
  <c r="Y65" i="17"/>
  <c r="Z65" i="17"/>
  <c r="AA65" i="17"/>
  <c r="AB65" i="17"/>
  <c r="AC65" i="17"/>
  <c r="AD65" i="17"/>
  <c r="AE65" i="17"/>
  <c r="U65" i="17"/>
  <c r="T65" i="17"/>
  <c r="R65" i="17"/>
  <c r="AF65" i="17" s="1"/>
  <c r="AT49" i="17"/>
  <c r="R49" i="17"/>
  <c r="AF49" i="17" s="1"/>
  <c r="V49" i="17"/>
  <c r="W49" i="17"/>
  <c r="X49" i="17"/>
  <c r="Y49" i="17"/>
  <c r="Z49" i="17"/>
  <c r="AA49" i="17"/>
  <c r="AB49" i="17"/>
  <c r="AC49" i="17"/>
  <c r="AD49" i="17"/>
  <c r="AE49" i="17"/>
  <c r="U49" i="17"/>
  <c r="T49" i="17"/>
  <c r="K31" i="10"/>
  <c r="K34" i="10" s="1"/>
  <c r="K35" i="10" s="1"/>
  <c r="K16" i="10"/>
  <c r="K18" i="10"/>
  <c r="K19" i="10" s="1"/>
  <c r="AG48" i="16" l="1"/>
  <c r="K32" i="10"/>
  <c r="Z21" i="21"/>
  <c r="AA23" i="21" s="1"/>
  <c r="Y21" i="21"/>
  <c r="X21" i="21"/>
  <c r="W21" i="21"/>
  <c r="X20" i="21"/>
  <c r="Y20" i="21"/>
  <c r="Y22" i="21" s="1"/>
  <c r="Z20" i="21"/>
  <c r="AA22" i="21" s="1"/>
  <c r="W20" i="21"/>
  <c r="R21" i="21"/>
  <c r="Q21" i="21"/>
  <c r="D104" i="21"/>
  <c r="E104" i="21"/>
  <c r="F104" i="21"/>
  <c r="G104" i="21"/>
  <c r="H104" i="21"/>
  <c r="I104" i="21"/>
  <c r="J104" i="21"/>
  <c r="K104" i="21"/>
  <c r="Q107" i="17"/>
  <c r="M20" i="17" s="1"/>
  <c r="P107" i="17"/>
  <c r="L20" i="17" s="1"/>
  <c r="O107" i="17"/>
  <c r="K20" i="17" s="1"/>
  <c r="N107" i="17"/>
  <c r="J20" i="17" s="1"/>
  <c r="M107" i="17"/>
  <c r="I20" i="17" s="1"/>
  <c r="L107" i="17"/>
  <c r="H20" i="17" s="1"/>
  <c r="K107" i="17"/>
  <c r="G20" i="17" s="1"/>
  <c r="I107" i="17"/>
  <c r="E20" i="17" s="1"/>
  <c r="H107" i="17"/>
  <c r="D20" i="17" s="1"/>
  <c r="G107" i="17"/>
  <c r="C20" i="17" s="1"/>
  <c r="F107" i="17"/>
  <c r="B20" i="17" s="1"/>
  <c r="J107" i="17"/>
  <c r="F20" i="17" s="1"/>
  <c r="I38" i="16"/>
  <c r="I37" i="16"/>
  <c r="S38" i="16"/>
  <c r="S40" i="16"/>
  <c r="S41" i="16"/>
  <c r="S42" i="16"/>
  <c r="S43" i="16"/>
  <c r="S44" i="16"/>
  <c r="S45" i="16"/>
  <c r="S46" i="16"/>
  <c r="S47" i="16"/>
  <c r="S49" i="16"/>
  <c r="S50" i="16"/>
  <c r="S52" i="16"/>
  <c r="S53" i="16"/>
  <c r="S54" i="16"/>
  <c r="S55" i="16"/>
  <c r="S56" i="16"/>
  <c r="S57" i="16"/>
  <c r="S58" i="16"/>
  <c r="S59" i="16"/>
  <c r="S60" i="16"/>
  <c r="S61" i="16"/>
  <c r="S62" i="16"/>
  <c r="S63" i="16"/>
  <c r="S66" i="16"/>
  <c r="S67" i="16"/>
  <c r="S68" i="16"/>
  <c r="S69" i="16"/>
  <c r="S71" i="16"/>
  <c r="S72" i="16"/>
  <c r="S73" i="16"/>
  <c r="S74" i="16"/>
  <c r="S75" i="16"/>
  <c r="S76" i="16"/>
  <c r="S77" i="16"/>
  <c r="S79" i="16"/>
  <c r="S80" i="16"/>
  <c r="S81" i="16"/>
  <c r="S82" i="16"/>
  <c r="S84" i="16"/>
  <c r="S85" i="16"/>
  <c r="S37" i="16"/>
  <c r="AB107" i="17" l="1"/>
  <c r="AC107" i="17"/>
  <c r="AD107" i="17"/>
  <c r="X107" i="17"/>
  <c r="T107" i="17"/>
  <c r="Z107" i="17"/>
  <c r="AE107" i="17"/>
  <c r="U107" i="17"/>
  <c r="V107" i="17"/>
  <c r="W107" i="17"/>
  <c r="Y107" i="17"/>
  <c r="AA107" i="17"/>
  <c r="Z22" i="21"/>
  <c r="S104" i="21"/>
  <c r="R104" i="21"/>
  <c r="U104" i="21"/>
  <c r="T104" i="21"/>
  <c r="Z23" i="21"/>
  <c r="Y23" i="21"/>
  <c r="X22" i="21"/>
  <c r="X23" i="21"/>
  <c r="R22" i="21"/>
  <c r="Q22" i="21"/>
  <c r="J31" i="10"/>
  <c r="J34" i="10" s="1"/>
  <c r="J35" i="10" s="1"/>
  <c r="J15" i="10"/>
  <c r="J16" i="10" s="1"/>
  <c r="O16" i="17"/>
  <c r="J18" i="10" l="1"/>
  <c r="J19" i="10" s="1"/>
  <c r="J32" i="10"/>
  <c r="E25" i="2"/>
  <c r="E33" i="2"/>
  <c r="E34" i="2"/>
  <c r="E35" i="2"/>
  <c r="E36" i="2"/>
  <c r="E37" i="2"/>
  <c r="E38" i="2"/>
  <c r="C34" i="2"/>
  <c r="C35" i="2"/>
  <c r="C36" i="2"/>
  <c r="C37" i="2"/>
  <c r="C38" i="2"/>
  <c r="C33" i="2"/>
  <c r="B33" i="2"/>
  <c r="G119" i="17" l="1"/>
  <c r="U122" i="17" s="1"/>
  <c r="H119" i="17"/>
  <c r="V121" i="17" s="1"/>
  <c r="I119" i="17"/>
  <c r="W122" i="17" s="1"/>
  <c r="J119" i="17"/>
  <c r="X124" i="17" s="1"/>
  <c r="K119" i="17"/>
  <c r="Y122" i="17" s="1"/>
  <c r="L119" i="17"/>
  <c r="Z123" i="17" s="1"/>
  <c r="M119" i="17"/>
  <c r="AA123" i="17" s="1"/>
  <c r="N119" i="17"/>
  <c r="AB122" i="17" s="1"/>
  <c r="O119" i="17"/>
  <c r="AC122" i="17" s="1"/>
  <c r="P119" i="17"/>
  <c r="AD121" i="17" s="1"/>
  <c r="Q119" i="17"/>
  <c r="AE121" i="17" s="1"/>
  <c r="F119" i="17"/>
  <c r="V105" i="17"/>
  <c r="W105" i="17"/>
  <c r="X105" i="17"/>
  <c r="Y105" i="17"/>
  <c r="Z105" i="17"/>
  <c r="AA105" i="17"/>
  <c r="AB105" i="17"/>
  <c r="AC105" i="17"/>
  <c r="AD105" i="17"/>
  <c r="AE105" i="17"/>
  <c r="V104" i="17"/>
  <c r="W104" i="17"/>
  <c r="X104" i="17"/>
  <c r="Y104" i="17"/>
  <c r="Z104" i="17"/>
  <c r="AA104" i="17"/>
  <c r="AB104" i="17"/>
  <c r="AC104" i="17"/>
  <c r="AD104" i="17"/>
  <c r="AE104" i="17"/>
  <c r="V101" i="17"/>
  <c r="W101" i="17"/>
  <c r="X101" i="17"/>
  <c r="Y101" i="17"/>
  <c r="Z101" i="17"/>
  <c r="AA101" i="17"/>
  <c r="AB101" i="17"/>
  <c r="AC101" i="17"/>
  <c r="AD101" i="17"/>
  <c r="AE101" i="17"/>
  <c r="U105" i="17"/>
  <c r="U104" i="17"/>
  <c r="U101" i="17"/>
  <c r="R105" i="17"/>
  <c r="AF105" i="17" s="1"/>
  <c r="R104" i="17"/>
  <c r="AF104" i="17" s="1"/>
  <c r="R102" i="17"/>
  <c r="V106" i="17"/>
  <c r="D21" i="17" s="1"/>
  <c r="W106" i="17"/>
  <c r="X106" i="17"/>
  <c r="Y106" i="17"/>
  <c r="G21" i="17" s="1"/>
  <c r="Z106" i="17"/>
  <c r="H21" i="17" s="1"/>
  <c r="AA106" i="17"/>
  <c r="I21" i="17" s="1"/>
  <c r="AB106" i="17"/>
  <c r="J21" i="17" s="1"/>
  <c r="AC106" i="17"/>
  <c r="K21" i="17" s="1"/>
  <c r="AD106" i="17"/>
  <c r="L21" i="17" s="1"/>
  <c r="AE106" i="17"/>
  <c r="U106" i="17"/>
  <c r="V103" i="17"/>
  <c r="W103" i="17"/>
  <c r="X103" i="17"/>
  <c r="Y103" i="17"/>
  <c r="Z103" i="17"/>
  <c r="AA103" i="17"/>
  <c r="AB103" i="17"/>
  <c r="AC103" i="17"/>
  <c r="AD103" i="17"/>
  <c r="AE103" i="17"/>
  <c r="U103" i="17"/>
  <c r="V99" i="17"/>
  <c r="W99" i="17"/>
  <c r="X99" i="17"/>
  <c r="Y99" i="17"/>
  <c r="Z99" i="17"/>
  <c r="AA99" i="17"/>
  <c r="AB99" i="17"/>
  <c r="AC99" i="17"/>
  <c r="AD99" i="17"/>
  <c r="AE99" i="17"/>
  <c r="U99" i="17"/>
  <c r="T120" i="17"/>
  <c r="U120" i="17"/>
  <c r="AI120" i="17" s="1"/>
  <c r="V120" i="17"/>
  <c r="AJ120" i="17" s="1"/>
  <c r="W120" i="17"/>
  <c r="AK120" i="17" s="1"/>
  <c r="X120" i="17"/>
  <c r="AL120" i="17" s="1"/>
  <c r="Y120" i="17"/>
  <c r="AM120" i="17" s="1"/>
  <c r="Z120" i="17"/>
  <c r="AN120" i="17" s="1"/>
  <c r="AA120" i="17"/>
  <c r="AO120" i="17" s="1"/>
  <c r="AB120" i="17"/>
  <c r="AP120" i="17" s="1"/>
  <c r="AC120" i="17"/>
  <c r="AQ120" i="17" s="1"/>
  <c r="AD120" i="17"/>
  <c r="AR120" i="17" s="1"/>
  <c r="AE120" i="17"/>
  <c r="AS120" i="17" s="1"/>
  <c r="AF120" i="17"/>
  <c r="AT120" i="17" s="1"/>
  <c r="R121" i="17"/>
  <c r="AT121" i="17"/>
  <c r="R122" i="17"/>
  <c r="AT122" i="17"/>
  <c r="R123" i="17"/>
  <c r="AT123" i="17"/>
  <c r="R124" i="17"/>
  <c r="AT124" i="17"/>
  <c r="AH125" i="17"/>
  <c r="AI125" i="17"/>
  <c r="AI28" i="17" s="1"/>
  <c r="AJ125" i="17"/>
  <c r="AK28" i="17" s="1"/>
  <c r="AK125" i="17"/>
  <c r="AL28" i="17" s="1"/>
  <c r="AL125" i="17"/>
  <c r="AM28" i="17" s="1"/>
  <c r="AM125" i="17"/>
  <c r="AN28" i="17" s="1"/>
  <c r="AN125" i="17"/>
  <c r="AO28" i="17" s="1"/>
  <c r="AO125" i="17"/>
  <c r="AP28" i="17" s="1"/>
  <c r="AP125" i="17"/>
  <c r="AQ28" i="17" s="1"/>
  <c r="AQ125" i="17"/>
  <c r="AR28" i="17" s="1"/>
  <c r="AR125" i="17"/>
  <c r="AS28" i="17" s="1"/>
  <c r="AS125" i="17"/>
  <c r="Q125" i="17"/>
  <c r="M25" i="17" s="1"/>
  <c r="P125" i="17"/>
  <c r="L25" i="17" s="1"/>
  <c r="O125" i="17"/>
  <c r="N125" i="17"/>
  <c r="M125" i="17"/>
  <c r="L125" i="17"/>
  <c r="K125" i="17"/>
  <c r="J125" i="17"/>
  <c r="I125" i="17"/>
  <c r="E25" i="17" s="1"/>
  <c r="H125" i="17"/>
  <c r="D25" i="17" s="1"/>
  <c r="G125" i="17"/>
  <c r="C25" i="17" s="1"/>
  <c r="F125" i="17"/>
  <c r="B25" i="17" s="1"/>
  <c r="T38" i="17"/>
  <c r="R106" i="17"/>
  <c r="AF106" i="17" s="1"/>
  <c r="AT106" i="17"/>
  <c r="M41" i="12"/>
  <c r="E85" i="16"/>
  <c r="R86" i="17"/>
  <c r="AF86" i="17" s="1"/>
  <c r="R38" i="17"/>
  <c r="AF38" i="17" s="1"/>
  <c r="D86" i="16"/>
  <c r="CR84" i="16"/>
  <c r="CT84" i="16" s="1"/>
  <c r="CR85" i="16"/>
  <c r="CT85" i="16" s="1"/>
  <c r="CN82" i="16"/>
  <c r="CP82" i="16" s="1"/>
  <c r="CN84" i="16"/>
  <c r="CP84" i="16" s="1"/>
  <c r="CJ84" i="16"/>
  <c r="CL84" i="16" s="1"/>
  <c r="CJ85" i="16"/>
  <c r="CL85" i="16" s="1"/>
  <c r="CF84" i="16"/>
  <c r="CH84" i="16" s="1"/>
  <c r="CF85" i="16"/>
  <c r="CH85" i="16" s="1"/>
  <c r="CB84" i="16"/>
  <c r="CB85" i="16"/>
  <c r="BX84" i="16"/>
  <c r="BZ84" i="16" s="1"/>
  <c r="BX85" i="16"/>
  <c r="BZ85" i="16" s="1"/>
  <c r="BT84" i="16"/>
  <c r="BV84" i="16" s="1"/>
  <c r="BT85" i="16"/>
  <c r="BV85" i="16" s="1"/>
  <c r="BP84" i="16"/>
  <c r="BR84" i="16" s="1"/>
  <c r="BP85" i="16"/>
  <c r="BR85" i="16" s="1"/>
  <c r="BL84" i="16"/>
  <c r="BN84" i="16" s="1"/>
  <c r="BL85" i="16"/>
  <c r="BN85" i="16" s="1"/>
  <c r="BH84" i="16"/>
  <c r="BJ84" i="16" s="1"/>
  <c r="BH85" i="16"/>
  <c r="BJ85" i="16" s="1"/>
  <c r="BD85" i="16"/>
  <c r="BF85" i="16" s="1"/>
  <c r="BD84" i="16"/>
  <c r="BF84" i="16" s="1"/>
  <c r="BB84" i="16"/>
  <c r="AU84" i="16"/>
  <c r="AW84" i="16" s="1"/>
  <c r="AQ84" i="16"/>
  <c r="AS84" i="16" s="1"/>
  <c r="AM84" i="16"/>
  <c r="AO84" i="16" s="1"/>
  <c r="AI84" i="16"/>
  <c r="AK84" i="16" s="1"/>
  <c r="AE84" i="16"/>
  <c r="AG84" i="16" s="1"/>
  <c r="AA84" i="16"/>
  <c r="AC84" i="16" s="1"/>
  <c r="W84" i="16"/>
  <c r="Y84" i="16" s="1"/>
  <c r="U85" i="16"/>
  <c r="V86" i="16"/>
  <c r="T86" i="16"/>
  <c r="S86" i="16"/>
  <c r="Q85" i="16"/>
  <c r="R86" i="16"/>
  <c r="P86" i="16"/>
  <c r="O86" i="16"/>
  <c r="M85" i="16"/>
  <c r="N86" i="16"/>
  <c r="L86" i="16"/>
  <c r="K86" i="16"/>
  <c r="I85" i="16"/>
  <c r="J86" i="16"/>
  <c r="H86" i="16"/>
  <c r="G86" i="16"/>
  <c r="C86" i="16"/>
  <c r="R101" i="17"/>
  <c r="R103" i="17"/>
  <c r="AF103" i="17" s="1"/>
  <c r="I33" i="10"/>
  <c r="T76" i="17"/>
  <c r="T77" i="17"/>
  <c r="T78" i="17"/>
  <c r="T86" i="17"/>
  <c r="AE77" i="17"/>
  <c r="AE78" i="17"/>
  <c r="AE80" i="17"/>
  <c r="AE81" i="17"/>
  <c r="AE82" i="17"/>
  <c r="AE83" i="17"/>
  <c r="AE85" i="17"/>
  <c r="AE86" i="17"/>
  <c r="AD77" i="17"/>
  <c r="AD78" i="17"/>
  <c r="AD80" i="17"/>
  <c r="AD81" i="17"/>
  <c r="AD82" i="17"/>
  <c r="AD83" i="17"/>
  <c r="AD85" i="17"/>
  <c r="AD86" i="17"/>
  <c r="AC77" i="17"/>
  <c r="AC78" i="17"/>
  <c r="AC80" i="17"/>
  <c r="AC81" i="17"/>
  <c r="AC82" i="17"/>
  <c r="AC83" i="17"/>
  <c r="AC85" i="17"/>
  <c r="AC86" i="17"/>
  <c r="AB77" i="17"/>
  <c r="AB78" i="17"/>
  <c r="AB80" i="17"/>
  <c r="AB81" i="17"/>
  <c r="AB82" i="17"/>
  <c r="AB83" i="17"/>
  <c r="AB85" i="17"/>
  <c r="AB86" i="17"/>
  <c r="AA77" i="17"/>
  <c r="AA78" i="17"/>
  <c r="AA80" i="17"/>
  <c r="AA81" i="17"/>
  <c r="AA82" i="17"/>
  <c r="AA83" i="17"/>
  <c r="AA85" i="17"/>
  <c r="AA86" i="17"/>
  <c r="Z77" i="17"/>
  <c r="Z78" i="17"/>
  <c r="Z80" i="17"/>
  <c r="Z81" i="17"/>
  <c r="Z82" i="17"/>
  <c r="Z83" i="17"/>
  <c r="Z85" i="17"/>
  <c r="Z86" i="17"/>
  <c r="Y77" i="17"/>
  <c r="Y78" i="17"/>
  <c r="Y80" i="17"/>
  <c r="Y81" i="17"/>
  <c r="Y82" i="17"/>
  <c r="Y83" i="17"/>
  <c r="Y85" i="17"/>
  <c r="Y86" i="17"/>
  <c r="X77" i="17"/>
  <c r="X78" i="17"/>
  <c r="X80" i="17"/>
  <c r="X81" i="17"/>
  <c r="X82" i="17"/>
  <c r="X83" i="17"/>
  <c r="X85" i="17"/>
  <c r="X86" i="17"/>
  <c r="W77" i="17"/>
  <c r="W78" i="17"/>
  <c r="W80" i="17"/>
  <c r="W81" i="17"/>
  <c r="W82" i="17"/>
  <c r="W83" i="17"/>
  <c r="W85" i="17"/>
  <c r="W86" i="17"/>
  <c r="V77" i="17"/>
  <c r="V78" i="17"/>
  <c r="V80" i="17"/>
  <c r="V81" i="17"/>
  <c r="V82" i="17"/>
  <c r="V83" i="17"/>
  <c r="V85" i="17"/>
  <c r="V86" i="17"/>
  <c r="U77" i="17"/>
  <c r="U78" i="17"/>
  <c r="U80" i="17"/>
  <c r="U81" i="17"/>
  <c r="U82" i="17"/>
  <c r="U83" i="17"/>
  <c r="U85" i="17"/>
  <c r="U86" i="17"/>
  <c r="T80" i="17"/>
  <c r="T81" i="17"/>
  <c r="T82" i="17"/>
  <c r="T83" i="17"/>
  <c r="T85" i="17"/>
  <c r="R36" i="17"/>
  <c r="T37" i="17"/>
  <c r="AH37" i="17" s="1"/>
  <c r="AU37" i="17" s="1"/>
  <c r="BH37" i="17" s="1"/>
  <c r="U37" i="17"/>
  <c r="AI37" i="17" s="1"/>
  <c r="AV37" i="17" s="1"/>
  <c r="BI37" i="17" s="1"/>
  <c r="V37" i="17"/>
  <c r="AJ37" i="17" s="1"/>
  <c r="AW37" i="17" s="1"/>
  <c r="BJ37" i="17" s="1"/>
  <c r="W37" i="17"/>
  <c r="AK37" i="17" s="1"/>
  <c r="AX37" i="17" s="1"/>
  <c r="BK37" i="17" s="1"/>
  <c r="X37" i="17"/>
  <c r="AL37" i="17" s="1"/>
  <c r="AY37" i="17" s="1"/>
  <c r="BL37" i="17" s="1"/>
  <c r="Y37" i="17"/>
  <c r="AM37" i="17" s="1"/>
  <c r="AZ37" i="17" s="1"/>
  <c r="BM37" i="17" s="1"/>
  <c r="Z37" i="17"/>
  <c r="AN37" i="17" s="1"/>
  <c r="BA37" i="17" s="1"/>
  <c r="BN37" i="17" s="1"/>
  <c r="AA37" i="17"/>
  <c r="AO37" i="17" s="1"/>
  <c r="BB37" i="17" s="1"/>
  <c r="BO37" i="17" s="1"/>
  <c r="AB37" i="17"/>
  <c r="AP37" i="17" s="1"/>
  <c r="BC37" i="17" s="1"/>
  <c r="BP37" i="17" s="1"/>
  <c r="AC37" i="17"/>
  <c r="AQ37" i="17" s="1"/>
  <c r="BD37" i="17" s="1"/>
  <c r="BQ37" i="17" s="1"/>
  <c r="AD37" i="17"/>
  <c r="AR37" i="17" s="1"/>
  <c r="BE37" i="17" s="1"/>
  <c r="BR37" i="17" s="1"/>
  <c r="AE37" i="17"/>
  <c r="AS37" i="17" s="1"/>
  <c r="BF37" i="17" s="1"/>
  <c r="BS37" i="17" s="1"/>
  <c r="AF37" i="17"/>
  <c r="AT37" i="17" s="1"/>
  <c r="BG37" i="17" s="1"/>
  <c r="BT37" i="17" s="1"/>
  <c r="U38" i="17"/>
  <c r="V38" i="17"/>
  <c r="W38" i="17"/>
  <c r="X38" i="17"/>
  <c r="Y38" i="17"/>
  <c r="Z38" i="17"/>
  <c r="AA38" i="17"/>
  <c r="AB38" i="17"/>
  <c r="AC38" i="17"/>
  <c r="AD38" i="17"/>
  <c r="AE38" i="17"/>
  <c r="AT38" i="17"/>
  <c r="R39" i="17"/>
  <c r="T39" i="17"/>
  <c r="U39" i="17"/>
  <c r="V39" i="17"/>
  <c r="W39" i="17"/>
  <c r="X39" i="17"/>
  <c r="Y39" i="17"/>
  <c r="Z39" i="17"/>
  <c r="AA39" i="17"/>
  <c r="AB39" i="17"/>
  <c r="AC39" i="17"/>
  <c r="AD39" i="17"/>
  <c r="AE39" i="17"/>
  <c r="AT39" i="17"/>
  <c r="R41" i="17"/>
  <c r="AF41" i="17" s="1"/>
  <c r="T41" i="17"/>
  <c r="U41" i="17"/>
  <c r="V41" i="17"/>
  <c r="W41" i="17"/>
  <c r="X41" i="17"/>
  <c r="Y41" i="17"/>
  <c r="Z41" i="17"/>
  <c r="AA41" i="17"/>
  <c r="AB41" i="17"/>
  <c r="AC41" i="17"/>
  <c r="AD41" i="17"/>
  <c r="AE41" i="17"/>
  <c r="AT41" i="17"/>
  <c r="R42" i="17"/>
  <c r="AF42" i="17" s="1"/>
  <c r="T42" i="17"/>
  <c r="U42" i="17"/>
  <c r="V42" i="17"/>
  <c r="W42" i="17"/>
  <c r="X42" i="17"/>
  <c r="Y42" i="17"/>
  <c r="Z42" i="17"/>
  <c r="AA42" i="17"/>
  <c r="AB42" i="17"/>
  <c r="AC42" i="17"/>
  <c r="AD42" i="17"/>
  <c r="AE42" i="17"/>
  <c r="AT42" i="17"/>
  <c r="R43" i="17"/>
  <c r="AF43" i="17" s="1"/>
  <c r="T43" i="17"/>
  <c r="U43" i="17"/>
  <c r="V43" i="17"/>
  <c r="W43" i="17"/>
  <c r="X43" i="17"/>
  <c r="Y43" i="17"/>
  <c r="Z43" i="17"/>
  <c r="AA43" i="17"/>
  <c r="AB43" i="17"/>
  <c r="AC43" i="17"/>
  <c r="AD43" i="17"/>
  <c r="AE43" i="17"/>
  <c r="AT43" i="17"/>
  <c r="R44" i="17"/>
  <c r="AF44" i="17" s="1"/>
  <c r="T44" i="17"/>
  <c r="U44" i="17"/>
  <c r="V44" i="17"/>
  <c r="W44" i="17"/>
  <c r="X44" i="17"/>
  <c r="Y44" i="17"/>
  <c r="Z44" i="17"/>
  <c r="AA44" i="17"/>
  <c r="AB44" i="17"/>
  <c r="AC44" i="17"/>
  <c r="AD44" i="17"/>
  <c r="AE44" i="17"/>
  <c r="AT44" i="17"/>
  <c r="R45" i="17"/>
  <c r="AF45" i="17" s="1"/>
  <c r="T45" i="17"/>
  <c r="U45" i="17"/>
  <c r="V45" i="17"/>
  <c r="W45" i="17"/>
  <c r="X45" i="17"/>
  <c r="Y45" i="17"/>
  <c r="Z45" i="17"/>
  <c r="AA45" i="17"/>
  <c r="AB45" i="17"/>
  <c r="AC45" i="17"/>
  <c r="AD45" i="17"/>
  <c r="AE45" i="17"/>
  <c r="AT45" i="17"/>
  <c r="R46" i="17"/>
  <c r="AF46" i="17" s="1"/>
  <c r="T46" i="17"/>
  <c r="U46" i="17"/>
  <c r="V46" i="17"/>
  <c r="W46" i="17"/>
  <c r="X46" i="17"/>
  <c r="Y46" i="17"/>
  <c r="Z46" i="17"/>
  <c r="AA46" i="17"/>
  <c r="AB46" i="17"/>
  <c r="AC46" i="17"/>
  <c r="AD46" i="17"/>
  <c r="AE46" i="17"/>
  <c r="AT46" i="17"/>
  <c r="R47" i="17"/>
  <c r="AF47" i="17" s="1"/>
  <c r="T47" i="17"/>
  <c r="U47" i="17"/>
  <c r="V47" i="17"/>
  <c r="W47" i="17"/>
  <c r="X47" i="17"/>
  <c r="Y47" i="17"/>
  <c r="Z47" i="17"/>
  <c r="AA47" i="17"/>
  <c r="AB47" i="17"/>
  <c r="AC47" i="17"/>
  <c r="AD47" i="17"/>
  <c r="AE47" i="17"/>
  <c r="AT47" i="17"/>
  <c r="R48" i="17"/>
  <c r="AF48" i="17" s="1"/>
  <c r="T48" i="17"/>
  <c r="U48" i="17"/>
  <c r="V48" i="17"/>
  <c r="W48" i="17"/>
  <c r="X48" i="17"/>
  <c r="Y48" i="17"/>
  <c r="Z48" i="17"/>
  <c r="AA48" i="17"/>
  <c r="AB48" i="17"/>
  <c r="AC48" i="17"/>
  <c r="AD48" i="17"/>
  <c r="AE48" i="17"/>
  <c r="AT48" i="17"/>
  <c r="R50" i="17"/>
  <c r="AF50" i="17" s="1"/>
  <c r="T50" i="17"/>
  <c r="U50" i="17"/>
  <c r="V50" i="17"/>
  <c r="W50" i="17"/>
  <c r="X50" i="17"/>
  <c r="Y50" i="17"/>
  <c r="Z50" i="17"/>
  <c r="AA50" i="17"/>
  <c r="AB50" i="17"/>
  <c r="AC50" i="17"/>
  <c r="AD50" i="17"/>
  <c r="AE50" i="17"/>
  <c r="AT50" i="17"/>
  <c r="R51" i="17"/>
  <c r="AF51" i="17" s="1"/>
  <c r="T51" i="17"/>
  <c r="U51" i="17"/>
  <c r="V51" i="17"/>
  <c r="W51" i="17"/>
  <c r="X51" i="17"/>
  <c r="Y51" i="17"/>
  <c r="Z51" i="17"/>
  <c r="AA51" i="17"/>
  <c r="AB51" i="17"/>
  <c r="AC51" i="17"/>
  <c r="AD51" i="17"/>
  <c r="AE51" i="17"/>
  <c r="AT51" i="17"/>
  <c r="B38" i="19"/>
  <c r="B40" i="19"/>
  <c r="B41" i="19"/>
  <c r="B42" i="19"/>
  <c r="B43" i="19"/>
  <c r="B44" i="19"/>
  <c r="B45" i="19"/>
  <c r="B46" i="19"/>
  <c r="N46" i="19" s="1"/>
  <c r="B47" i="19"/>
  <c r="B49" i="19"/>
  <c r="B50" i="19"/>
  <c r="B52" i="19"/>
  <c r="B53" i="19"/>
  <c r="B54" i="19"/>
  <c r="B55" i="19"/>
  <c r="B56" i="19"/>
  <c r="B57" i="19"/>
  <c r="B58" i="19"/>
  <c r="B59" i="19"/>
  <c r="B60" i="19"/>
  <c r="B61" i="19"/>
  <c r="B62" i="19"/>
  <c r="B63" i="19"/>
  <c r="B66" i="19"/>
  <c r="B67" i="19"/>
  <c r="B68" i="19"/>
  <c r="B69" i="19"/>
  <c r="B71" i="19"/>
  <c r="B72" i="19"/>
  <c r="B73" i="19"/>
  <c r="B74" i="19"/>
  <c r="B75" i="19"/>
  <c r="B76" i="19"/>
  <c r="B77" i="19"/>
  <c r="B79" i="19"/>
  <c r="B80" i="19"/>
  <c r="B81" i="19"/>
  <c r="B82" i="19"/>
  <c r="B84" i="19"/>
  <c r="B85" i="19"/>
  <c r="B37" i="19"/>
  <c r="G37" i="19" s="1"/>
  <c r="BG48" i="17"/>
  <c r="BT48" i="17"/>
  <c r="BI87" i="17"/>
  <c r="BI31" i="17" s="1"/>
  <c r="BJ87" i="17"/>
  <c r="BJ31" i="17" s="1"/>
  <c r="BK87" i="17"/>
  <c r="BK31" i="17" s="1"/>
  <c r="BL87" i="17"/>
  <c r="BM87" i="17"/>
  <c r="BN87" i="17"/>
  <c r="BN31" i="17" s="1"/>
  <c r="BO87" i="17"/>
  <c r="BP87" i="17"/>
  <c r="BQ87" i="17"/>
  <c r="BR87" i="17"/>
  <c r="BR31" i="17" s="1"/>
  <c r="BS87" i="17"/>
  <c r="BS31" i="17" s="1"/>
  <c r="BH87" i="17"/>
  <c r="BT77" i="17"/>
  <c r="BT78" i="17"/>
  <c r="BT80" i="17"/>
  <c r="BT81" i="17"/>
  <c r="BT82" i="17"/>
  <c r="BT83" i="17"/>
  <c r="BT85" i="17"/>
  <c r="BT86" i="17"/>
  <c r="AV87" i="17"/>
  <c r="AV31" i="17" s="1"/>
  <c r="AW87" i="17"/>
  <c r="AW31" i="17" s="1"/>
  <c r="AX87" i="17"/>
  <c r="AX31" i="17" s="1"/>
  <c r="AY87" i="17"/>
  <c r="AY31" i="17" s="1"/>
  <c r="AZ87" i="17"/>
  <c r="AZ31" i="17" s="1"/>
  <c r="BA87" i="17"/>
  <c r="BA31" i="17" s="1"/>
  <c r="BB87" i="17"/>
  <c r="BB31" i="17" s="1"/>
  <c r="BC87" i="17"/>
  <c r="BC31" i="17" s="1"/>
  <c r="BD87" i="17"/>
  <c r="BD31" i="17" s="1"/>
  <c r="BE87" i="17"/>
  <c r="BE31" i="17" s="1"/>
  <c r="BF87" i="17"/>
  <c r="BF31" i="17" s="1"/>
  <c r="AU87" i="17"/>
  <c r="AU31" i="17" s="1"/>
  <c r="BG77" i="17"/>
  <c r="BG78" i="17"/>
  <c r="BG80" i="17"/>
  <c r="BG81" i="17"/>
  <c r="BG82" i="17"/>
  <c r="BG83" i="17"/>
  <c r="BG85" i="17"/>
  <c r="BG86" i="17"/>
  <c r="AM87" i="17"/>
  <c r="AN87" i="17"/>
  <c r="AO87" i="17"/>
  <c r="AP87" i="17"/>
  <c r="AQ87" i="17"/>
  <c r="AR87" i="17"/>
  <c r="AS87" i="17"/>
  <c r="AL87" i="17"/>
  <c r="AL31" i="17" s="1"/>
  <c r="AK87" i="17"/>
  <c r="AK31" i="17" s="1"/>
  <c r="AJ87" i="17"/>
  <c r="AJ31" i="17" s="1"/>
  <c r="AH87" i="17"/>
  <c r="AH31" i="17" s="1"/>
  <c r="AI87" i="17"/>
  <c r="AI31" i="17" s="1"/>
  <c r="AT77" i="17"/>
  <c r="AT78" i="17"/>
  <c r="AT80" i="17"/>
  <c r="AT81" i="17"/>
  <c r="AT82" i="17"/>
  <c r="AT83" i="17"/>
  <c r="AT85" i="17"/>
  <c r="AT86" i="17"/>
  <c r="R77" i="17"/>
  <c r="AF77" i="17" s="1"/>
  <c r="R78" i="17"/>
  <c r="AF78" i="17" s="1"/>
  <c r="R80" i="17"/>
  <c r="AF80" i="17" s="1"/>
  <c r="R81" i="17"/>
  <c r="AF81" i="17" s="1"/>
  <c r="R82" i="17"/>
  <c r="AF82" i="17" s="1"/>
  <c r="R83" i="17"/>
  <c r="AF83" i="17" s="1"/>
  <c r="R85" i="17"/>
  <c r="AF85" i="17" s="1"/>
  <c r="M63" i="12"/>
  <c r="CR80" i="16"/>
  <c r="CT80" i="16" s="1"/>
  <c r="CR81" i="16"/>
  <c r="CT81" i="16" s="1"/>
  <c r="CR82" i="16"/>
  <c r="CT82" i="16" s="1"/>
  <c r="CS86" i="16"/>
  <c r="CU86" i="16"/>
  <c r="CN80" i="16"/>
  <c r="CP80" i="16" s="1"/>
  <c r="CN81" i="16"/>
  <c r="CP81" i="16" s="1"/>
  <c r="CN85" i="16"/>
  <c r="CP85" i="16" s="1"/>
  <c r="CO86" i="16"/>
  <c r="CQ86" i="16"/>
  <c r="CJ80" i="16"/>
  <c r="CL80" i="16" s="1"/>
  <c r="CJ81" i="16"/>
  <c r="CL81" i="16" s="1"/>
  <c r="CJ82" i="16"/>
  <c r="CL82" i="16" s="1"/>
  <c r="CK86" i="16"/>
  <c r="CM86" i="16"/>
  <c r="CF80" i="16"/>
  <c r="CH80" i="16" s="1"/>
  <c r="CF81" i="16"/>
  <c r="CH81" i="16" s="1"/>
  <c r="CF82" i="16"/>
  <c r="CH82" i="16" s="1"/>
  <c r="CG86" i="16"/>
  <c r="CI86" i="16"/>
  <c r="CB80" i="16"/>
  <c r="CB81" i="16"/>
  <c r="CB82" i="16"/>
  <c r="CC86" i="16"/>
  <c r="CE86" i="16"/>
  <c r="BX80" i="16"/>
  <c r="BZ80" i="16" s="1"/>
  <c r="BX81" i="16"/>
  <c r="BZ81" i="16" s="1"/>
  <c r="BX82" i="16"/>
  <c r="BZ82" i="16" s="1"/>
  <c r="BY86" i="16"/>
  <c r="CA86" i="16"/>
  <c r="BT80" i="16"/>
  <c r="BV80" i="16" s="1"/>
  <c r="BT81" i="16"/>
  <c r="BV81" i="16" s="1"/>
  <c r="BT82" i="16"/>
  <c r="BV82" i="16" s="1"/>
  <c r="BU86" i="16"/>
  <c r="BW86" i="16"/>
  <c r="BP80" i="16"/>
  <c r="BR80" i="16" s="1"/>
  <c r="BP81" i="16"/>
  <c r="BR81" i="16" s="1"/>
  <c r="BP82" i="16"/>
  <c r="BR82" i="16" s="1"/>
  <c r="BQ86" i="16"/>
  <c r="BS86" i="16"/>
  <c r="AU80" i="16"/>
  <c r="AW80" i="16" s="1"/>
  <c r="AU81" i="16"/>
  <c r="AW81" i="16" s="1"/>
  <c r="AU82" i="16"/>
  <c r="AW82" i="16" s="1"/>
  <c r="AU85" i="16"/>
  <c r="AW85" i="16" s="1"/>
  <c r="AV86" i="16"/>
  <c r="AX86" i="16"/>
  <c r="AQ85" i="16"/>
  <c r="AS85" i="16" s="1"/>
  <c r="AR86" i="16"/>
  <c r="AT86" i="16"/>
  <c r="AQ80" i="16"/>
  <c r="AS80" i="16" s="1"/>
  <c r="AQ81" i="16"/>
  <c r="AS81" i="16" s="1"/>
  <c r="AQ82" i="16"/>
  <c r="AS82" i="16" s="1"/>
  <c r="AM80" i="16"/>
  <c r="AO80" i="16" s="1"/>
  <c r="AM81" i="16"/>
  <c r="AO81" i="16" s="1"/>
  <c r="AM82" i="16"/>
  <c r="AO82" i="16" s="1"/>
  <c r="AM85" i="16"/>
  <c r="AO85" i="16" s="1"/>
  <c r="AN86" i="16"/>
  <c r="AP86" i="16"/>
  <c r="AI80" i="16"/>
  <c r="AK80" i="16" s="1"/>
  <c r="AI81" i="16"/>
  <c r="AK81" i="16" s="1"/>
  <c r="AI82" i="16"/>
  <c r="AK82" i="16" s="1"/>
  <c r="AI85" i="16"/>
  <c r="AK85" i="16" s="1"/>
  <c r="AJ86" i="16"/>
  <c r="AL86" i="16"/>
  <c r="AE80" i="16"/>
  <c r="AG80" i="16" s="1"/>
  <c r="AE81" i="16"/>
  <c r="AG81" i="16" s="1"/>
  <c r="AE82" i="16"/>
  <c r="AG82" i="16" s="1"/>
  <c r="AE85" i="16"/>
  <c r="AG85" i="16" s="1"/>
  <c r="AF86" i="16"/>
  <c r="AH86" i="16"/>
  <c r="AA80" i="16"/>
  <c r="AC80" i="16" s="1"/>
  <c r="AA81" i="16"/>
  <c r="AC81" i="16" s="1"/>
  <c r="AA82" i="16"/>
  <c r="AC82" i="16" s="1"/>
  <c r="AA85" i="16"/>
  <c r="AC85" i="16" s="1"/>
  <c r="AB86" i="16"/>
  <c r="AD86" i="16"/>
  <c r="W80" i="16"/>
  <c r="Y80" i="16" s="1"/>
  <c r="W81" i="16"/>
  <c r="Y81" i="16" s="1"/>
  <c r="W82" i="16"/>
  <c r="Y82" i="16" s="1"/>
  <c r="W85" i="16"/>
  <c r="Y85" i="16" s="1"/>
  <c r="X86" i="16"/>
  <c r="Z86" i="16"/>
  <c r="U80" i="16"/>
  <c r="U81" i="16"/>
  <c r="U82" i="16"/>
  <c r="U84" i="16"/>
  <c r="Q82" i="16"/>
  <c r="Q84" i="16"/>
  <c r="Q80" i="16"/>
  <c r="M80" i="16"/>
  <c r="I80" i="16"/>
  <c r="I81" i="16"/>
  <c r="I82" i="16"/>
  <c r="I84" i="16"/>
  <c r="M81" i="16"/>
  <c r="M82" i="16"/>
  <c r="M84" i="16"/>
  <c r="I49" i="16"/>
  <c r="I62" i="16"/>
  <c r="I77" i="16"/>
  <c r="BD80" i="16"/>
  <c r="BF80" i="16" s="1"/>
  <c r="BD81" i="16"/>
  <c r="BF81" i="16" s="1"/>
  <c r="BD82" i="16"/>
  <c r="BF82" i="16" s="1"/>
  <c r="BH80" i="16"/>
  <c r="BJ80" i="16" s="1"/>
  <c r="BH81" i="16"/>
  <c r="BJ81" i="16" s="1"/>
  <c r="BH82" i="16"/>
  <c r="BJ82" i="16" s="1"/>
  <c r="BL80" i="16"/>
  <c r="BN80" i="16" s="1"/>
  <c r="BL81" i="16"/>
  <c r="BN81" i="16" s="1"/>
  <c r="BL82" i="16"/>
  <c r="BN82" i="16" s="1"/>
  <c r="BM86" i="16"/>
  <c r="BO86" i="16"/>
  <c r="BI86" i="16"/>
  <c r="BK86" i="16"/>
  <c r="BE86" i="16"/>
  <c r="BG86" i="16"/>
  <c r="BB82" i="16"/>
  <c r="BB85" i="16"/>
  <c r="AZ86" i="16"/>
  <c r="BA86" i="16"/>
  <c r="BB81" i="16"/>
  <c r="BB80" i="16"/>
  <c r="E80" i="16"/>
  <c r="Q81" i="16"/>
  <c r="E84" i="16"/>
  <c r="E82" i="16"/>
  <c r="E81" i="16"/>
  <c r="G20" i="10"/>
  <c r="H20" i="10"/>
  <c r="I20" i="10"/>
  <c r="F20" i="10"/>
  <c r="H17" i="10"/>
  <c r="I31" i="10"/>
  <c r="I34" i="10" s="1"/>
  <c r="I15" i="10"/>
  <c r="BL38" i="16"/>
  <c r="BN38" i="16" s="1"/>
  <c r="BL40" i="16"/>
  <c r="BN40" i="16" s="1"/>
  <c r="BL41" i="16"/>
  <c r="BN41" i="16" s="1"/>
  <c r="BL42" i="16"/>
  <c r="BN42" i="16" s="1"/>
  <c r="BL43" i="16"/>
  <c r="BN43" i="16" s="1"/>
  <c r="BL44" i="16"/>
  <c r="BN44" i="16" s="1"/>
  <c r="BL45" i="16"/>
  <c r="BN45" i="16" s="1"/>
  <c r="BL46" i="16"/>
  <c r="BL47" i="16"/>
  <c r="BN47" i="16" s="1"/>
  <c r="BL49" i="16"/>
  <c r="BN49" i="16" s="1"/>
  <c r="BL50" i="16"/>
  <c r="BN50" i="16" s="1"/>
  <c r="BL52" i="16"/>
  <c r="BN52" i="16" s="1"/>
  <c r="BL53" i="16"/>
  <c r="BN53" i="16" s="1"/>
  <c r="BL54" i="16"/>
  <c r="BN54" i="16" s="1"/>
  <c r="BL55" i="16"/>
  <c r="BN55" i="16" s="1"/>
  <c r="BL56" i="16"/>
  <c r="BN56" i="16" s="1"/>
  <c r="BL57" i="16"/>
  <c r="BN57" i="16" s="1"/>
  <c r="BL58" i="16"/>
  <c r="BN58" i="16" s="1"/>
  <c r="BL59" i="16"/>
  <c r="BN59" i="16" s="1"/>
  <c r="BL60" i="16"/>
  <c r="BN60" i="16" s="1"/>
  <c r="BL61" i="16"/>
  <c r="BN61" i="16" s="1"/>
  <c r="BL62" i="16"/>
  <c r="BN62" i="16" s="1"/>
  <c r="BL63" i="16"/>
  <c r="BN63" i="16" s="1"/>
  <c r="BL66" i="16"/>
  <c r="BN66" i="16" s="1"/>
  <c r="BL67" i="16"/>
  <c r="BN67" i="16" s="1"/>
  <c r="BL68" i="16"/>
  <c r="BN68" i="16" s="1"/>
  <c r="BL69" i="16"/>
  <c r="BN69" i="16" s="1"/>
  <c r="BL71" i="16"/>
  <c r="BN71" i="16" s="1"/>
  <c r="BL72" i="16"/>
  <c r="BN72" i="16" s="1"/>
  <c r="BL73" i="16"/>
  <c r="BN73" i="16" s="1"/>
  <c r="BL74" i="16"/>
  <c r="BN74" i="16" s="1"/>
  <c r="BL75" i="16"/>
  <c r="BN75" i="16" s="1"/>
  <c r="BL76" i="16"/>
  <c r="BN76" i="16" s="1"/>
  <c r="BL77" i="16"/>
  <c r="BN77" i="16" s="1"/>
  <c r="BL79" i="16"/>
  <c r="BN79" i="16" s="1"/>
  <c r="BL37" i="16"/>
  <c r="BN37" i="16" s="1"/>
  <c r="CR38" i="16"/>
  <c r="CT38" i="16" s="1"/>
  <c r="CR40" i="16"/>
  <c r="CT40" i="16" s="1"/>
  <c r="CR41" i="16"/>
  <c r="CT41" i="16" s="1"/>
  <c r="CR42" i="16"/>
  <c r="CT42" i="16" s="1"/>
  <c r="CR43" i="16"/>
  <c r="CT43" i="16" s="1"/>
  <c r="CR44" i="16"/>
  <c r="CT44" i="16" s="1"/>
  <c r="CR45" i="16"/>
  <c r="CT45" i="16" s="1"/>
  <c r="CR46" i="16"/>
  <c r="CR47" i="16"/>
  <c r="CT47" i="16" s="1"/>
  <c r="CR49" i="16"/>
  <c r="CT49" i="16" s="1"/>
  <c r="CR50" i="16"/>
  <c r="CT50" i="16" s="1"/>
  <c r="CR52" i="16"/>
  <c r="CT52" i="16" s="1"/>
  <c r="CR53" i="16"/>
  <c r="CT53" i="16" s="1"/>
  <c r="CR54" i="16"/>
  <c r="CT54" i="16" s="1"/>
  <c r="CR55" i="16"/>
  <c r="CT55" i="16" s="1"/>
  <c r="CR56" i="16"/>
  <c r="CT56" i="16" s="1"/>
  <c r="CR57" i="16"/>
  <c r="CT57" i="16" s="1"/>
  <c r="CR58" i="16"/>
  <c r="CT58" i="16" s="1"/>
  <c r="CR59" i="16"/>
  <c r="CT59" i="16" s="1"/>
  <c r="CR60" i="16"/>
  <c r="CT60" i="16" s="1"/>
  <c r="CR61" i="16"/>
  <c r="CT61" i="16" s="1"/>
  <c r="CR62" i="16"/>
  <c r="CT62" i="16" s="1"/>
  <c r="CR63" i="16"/>
  <c r="CT63" i="16" s="1"/>
  <c r="CR66" i="16"/>
  <c r="CT66" i="16" s="1"/>
  <c r="CR67" i="16"/>
  <c r="CT67" i="16" s="1"/>
  <c r="CR68" i="16"/>
  <c r="CT68" i="16" s="1"/>
  <c r="CR69" i="16"/>
  <c r="CT69" i="16" s="1"/>
  <c r="CR71" i="16"/>
  <c r="CT71" i="16" s="1"/>
  <c r="CR72" i="16"/>
  <c r="CT72" i="16" s="1"/>
  <c r="CR73" i="16"/>
  <c r="CT73" i="16" s="1"/>
  <c r="CR74" i="16"/>
  <c r="CT74" i="16" s="1"/>
  <c r="CR75" i="16"/>
  <c r="CT75" i="16" s="1"/>
  <c r="CR76" i="16"/>
  <c r="CT76" i="16" s="1"/>
  <c r="CR77" i="16"/>
  <c r="CT77" i="16" s="1"/>
  <c r="CR79" i="16"/>
  <c r="CT79" i="16" s="1"/>
  <c r="CR37" i="16"/>
  <c r="CT37" i="16" s="1"/>
  <c r="CN38" i="16"/>
  <c r="CP38" i="16" s="1"/>
  <c r="CN40" i="16"/>
  <c r="CP40" i="16" s="1"/>
  <c r="CN41" i="16"/>
  <c r="CP41" i="16" s="1"/>
  <c r="CN42" i="16"/>
  <c r="CP42" i="16" s="1"/>
  <c r="CN43" i="16"/>
  <c r="CP43" i="16" s="1"/>
  <c r="CN44" i="16"/>
  <c r="CP44" i="16" s="1"/>
  <c r="CN45" i="16"/>
  <c r="CP45" i="16" s="1"/>
  <c r="CN46" i="16"/>
  <c r="CP46" i="16" s="1"/>
  <c r="CN47" i="16"/>
  <c r="CP47" i="16" s="1"/>
  <c r="CN49" i="16"/>
  <c r="CP49" i="16" s="1"/>
  <c r="CN50" i="16"/>
  <c r="CP50" i="16" s="1"/>
  <c r="CN52" i="16"/>
  <c r="CP52" i="16" s="1"/>
  <c r="CN53" i="16"/>
  <c r="CP53" i="16" s="1"/>
  <c r="CN54" i="16"/>
  <c r="CP54" i="16" s="1"/>
  <c r="CN55" i="16"/>
  <c r="CP55" i="16" s="1"/>
  <c r="CN56" i="16"/>
  <c r="CP56" i="16" s="1"/>
  <c r="CN57" i="16"/>
  <c r="CP57" i="16" s="1"/>
  <c r="CN58" i="16"/>
  <c r="CP58" i="16" s="1"/>
  <c r="CN59" i="16"/>
  <c r="CP59" i="16" s="1"/>
  <c r="CN60" i="16"/>
  <c r="CP60" i="16" s="1"/>
  <c r="CN61" i="16"/>
  <c r="CP61" i="16" s="1"/>
  <c r="CN62" i="16"/>
  <c r="CP62" i="16" s="1"/>
  <c r="CN63" i="16"/>
  <c r="CP63" i="16" s="1"/>
  <c r="CN66" i="16"/>
  <c r="CP66" i="16" s="1"/>
  <c r="CN67" i="16"/>
  <c r="CP67" i="16" s="1"/>
  <c r="CN68" i="16"/>
  <c r="CP68" i="16" s="1"/>
  <c r="CN69" i="16"/>
  <c r="CP69" i="16" s="1"/>
  <c r="CN71" i="16"/>
  <c r="CP71" i="16" s="1"/>
  <c r="CN72" i="16"/>
  <c r="CP72" i="16" s="1"/>
  <c r="CN73" i="16"/>
  <c r="CP73" i="16" s="1"/>
  <c r="CN74" i="16"/>
  <c r="CP74" i="16" s="1"/>
  <c r="CN75" i="16"/>
  <c r="CP75" i="16" s="1"/>
  <c r="CN76" i="16"/>
  <c r="CP76" i="16" s="1"/>
  <c r="CN77" i="16"/>
  <c r="CP77" i="16" s="1"/>
  <c r="CN79" i="16"/>
  <c r="CP79" i="16" s="1"/>
  <c r="CN37" i="16"/>
  <c r="CP37" i="16" s="1"/>
  <c r="CJ38" i="16"/>
  <c r="CL38" i="16" s="1"/>
  <c r="CJ40" i="16"/>
  <c r="CL40" i="16" s="1"/>
  <c r="CJ41" i="16"/>
  <c r="CL41" i="16" s="1"/>
  <c r="CJ42" i="16"/>
  <c r="CL42" i="16" s="1"/>
  <c r="CJ43" i="16"/>
  <c r="CL43" i="16" s="1"/>
  <c r="CJ44" i="16"/>
  <c r="CL44" i="16" s="1"/>
  <c r="CJ45" i="16"/>
  <c r="CL45" i="16" s="1"/>
  <c r="CJ46" i="16"/>
  <c r="CL46" i="16" s="1"/>
  <c r="CJ47" i="16"/>
  <c r="CL47" i="16" s="1"/>
  <c r="CJ49" i="16"/>
  <c r="CL49" i="16" s="1"/>
  <c r="CJ50" i="16"/>
  <c r="CL50" i="16" s="1"/>
  <c r="CJ52" i="16"/>
  <c r="CL52" i="16" s="1"/>
  <c r="CJ53" i="16"/>
  <c r="CL53" i="16" s="1"/>
  <c r="CJ54" i="16"/>
  <c r="CL54" i="16" s="1"/>
  <c r="CJ55" i="16"/>
  <c r="CL55" i="16" s="1"/>
  <c r="CJ56" i="16"/>
  <c r="CL56" i="16" s="1"/>
  <c r="CJ57" i="16"/>
  <c r="CL57" i="16" s="1"/>
  <c r="CJ58" i="16"/>
  <c r="CL58" i="16" s="1"/>
  <c r="CJ59" i="16"/>
  <c r="CL59" i="16" s="1"/>
  <c r="CJ60" i="16"/>
  <c r="CL60" i="16" s="1"/>
  <c r="CJ61" i="16"/>
  <c r="CL61" i="16" s="1"/>
  <c r="CJ62" i="16"/>
  <c r="CL62" i="16" s="1"/>
  <c r="CJ63" i="16"/>
  <c r="CL63" i="16" s="1"/>
  <c r="CJ66" i="16"/>
  <c r="CL66" i="16" s="1"/>
  <c r="CJ67" i="16"/>
  <c r="CL67" i="16" s="1"/>
  <c r="CJ68" i="16"/>
  <c r="CL68" i="16" s="1"/>
  <c r="CJ69" i="16"/>
  <c r="CL69" i="16" s="1"/>
  <c r="CJ71" i="16"/>
  <c r="CL71" i="16" s="1"/>
  <c r="CJ72" i="16"/>
  <c r="CL72" i="16" s="1"/>
  <c r="CJ73" i="16"/>
  <c r="CL73" i="16" s="1"/>
  <c r="CJ74" i="16"/>
  <c r="CL74" i="16" s="1"/>
  <c r="CJ75" i="16"/>
  <c r="CL75" i="16" s="1"/>
  <c r="CJ76" i="16"/>
  <c r="CL76" i="16" s="1"/>
  <c r="CJ77" i="16"/>
  <c r="CL77" i="16" s="1"/>
  <c r="CJ79" i="16"/>
  <c r="CL79" i="16" s="1"/>
  <c r="CJ37" i="16"/>
  <c r="CL37" i="16" s="1"/>
  <c r="CF38" i="16"/>
  <c r="CH38" i="16" s="1"/>
  <c r="CF40" i="16"/>
  <c r="CH40" i="16" s="1"/>
  <c r="CF41" i="16"/>
  <c r="CH41" i="16" s="1"/>
  <c r="CF42" i="16"/>
  <c r="CH42" i="16" s="1"/>
  <c r="CF43" i="16"/>
  <c r="CH43" i="16" s="1"/>
  <c r="CF44" i="16"/>
  <c r="CH44" i="16" s="1"/>
  <c r="CF45" i="16"/>
  <c r="CH45" i="16" s="1"/>
  <c r="CF46" i="16"/>
  <c r="CF47" i="16"/>
  <c r="CH47" i="16" s="1"/>
  <c r="CF49" i="16"/>
  <c r="CH49" i="16" s="1"/>
  <c r="CF50" i="16"/>
  <c r="CH50" i="16" s="1"/>
  <c r="CF52" i="16"/>
  <c r="CH52" i="16" s="1"/>
  <c r="CF53" i="16"/>
  <c r="CH53" i="16" s="1"/>
  <c r="CF54" i="16"/>
  <c r="CH54" i="16" s="1"/>
  <c r="CF55" i="16"/>
  <c r="CH55" i="16" s="1"/>
  <c r="CF56" i="16"/>
  <c r="CH56" i="16" s="1"/>
  <c r="CF57" i="16"/>
  <c r="CH57" i="16" s="1"/>
  <c r="CF58" i="16"/>
  <c r="CH58" i="16" s="1"/>
  <c r="CF59" i="16"/>
  <c r="CH59" i="16" s="1"/>
  <c r="CF60" i="16"/>
  <c r="CH60" i="16" s="1"/>
  <c r="CF61" i="16"/>
  <c r="CH61" i="16" s="1"/>
  <c r="CF62" i="16"/>
  <c r="CH62" i="16" s="1"/>
  <c r="CF63" i="16"/>
  <c r="CH63" i="16" s="1"/>
  <c r="CF66" i="16"/>
  <c r="CH66" i="16" s="1"/>
  <c r="CF67" i="16"/>
  <c r="CH67" i="16" s="1"/>
  <c r="CF68" i="16"/>
  <c r="CH68" i="16" s="1"/>
  <c r="CF69" i="16"/>
  <c r="CH69" i="16" s="1"/>
  <c r="CF71" i="16"/>
  <c r="CH71" i="16" s="1"/>
  <c r="CF72" i="16"/>
  <c r="CH72" i="16" s="1"/>
  <c r="CF73" i="16"/>
  <c r="CH73" i="16" s="1"/>
  <c r="CF74" i="16"/>
  <c r="CH74" i="16" s="1"/>
  <c r="CF75" i="16"/>
  <c r="CH75" i="16" s="1"/>
  <c r="CF76" i="16"/>
  <c r="CH76" i="16" s="1"/>
  <c r="CF77" i="16"/>
  <c r="CH77" i="16" s="1"/>
  <c r="CF79" i="16"/>
  <c r="CH79" i="16" s="1"/>
  <c r="CF37" i="16"/>
  <c r="CH37" i="16" s="1"/>
  <c r="CB38" i="16"/>
  <c r="CB40" i="16"/>
  <c r="CB41" i="16"/>
  <c r="CB42" i="16"/>
  <c r="CB43" i="16"/>
  <c r="CB44" i="16"/>
  <c r="CB45" i="16"/>
  <c r="CB46" i="16"/>
  <c r="CB47" i="16"/>
  <c r="CB49" i="16"/>
  <c r="CB50" i="16"/>
  <c r="CB52" i="16"/>
  <c r="CB53" i="16"/>
  <c r="CB54" i="16"/>
  <c r="CB55" i="16"/>
  <c r="CB56" i="16"/>
  <c r="CB57" i="16"/>
  <c r="CB58" i="16"/>
  <c r="CB59" i="16"/>
  <c r="CB60" i="16"/>
  <c r="CB61" i="16"/>
  <c r="CB62" i="16"/>
  <c r="CB63" i="16"/>
  <c r="CB66" i="16"/>
  <c r="CB67" i="16"/>
  <c r="CB68" i="16"/>
  <c r="CB69" i="16"/>
  <c r="CB71" i="16"/>
  <c r="CB72" i="16"/>
  <c r="CB73" i="16"/>
  <c r="CB74" i="16"/>
  <c r="CB75" i="16"/>
  <c r="CB76" i="16"/>
  <c r="CB77" i="16"/>
  <c r="CB79" i="16"/>
  <c r="CB37" i="16"/>
  <c r="BX38" i="16"/>
  <c r="BZ38" i="16" s="1"/>
  <c r="BX40" i="16"/>
  <c r="BZ40" i="16" s="1"/>
  <c r="BX41" i="16"/>
  <c r="BZ41" i="16" s="1"/>
  <c r="BX42" i="16"/>
  <c r="BZ42" i="16" s="1"/>
  <c r="BX43" i="16"/>
  <c r="BZ43" i="16" s="1"/>
  <c r="BX44" i="16"/>
  <c r="BZ44" i="16" s="1"/>
  <c r="BX45" i="16"/>
  <c r="BZ45" i="16" s="1"/>
  <c r="BX46" i="16"/>
  <c r="BZ46" i="16" s="1"/>
  <c r="BX47" i="16"/>
  <c r="BZ47" i="16" s="1"/>
  <c r="BX49" i="16"/>
  <c r="BZ49" i="16" s="1"/>
  <c r="BX50" i="16"/>
  <c r="BZ50" i="16" s="1"/>
  <c r="BX52" i="16"/>
  <c r="BZ52" i="16" s="1"/>
  <c r="BX53" i="16"/>
  <c r="BZ53" i="16" s="1"/>
  <c r="BX54" i="16"/>
  <c r="BZ54" i="16" s="1"/>
  <c r="BX55" i="16"/>
  <c r="BZ55" i="16" s="1"/>
  <c r="BX56" i="16"/>
  <c r="BZ56" i="16" s="1"/>
  <c r="BX57" i="16"/>
  <c r="BZ57" i="16" s="1"/>
  <c r="BX58" i="16"/>
  <c r="BZ58" i="16" s="1"/>
  <c r="BX59" i="16"/>
  <c r="BZ59" i="16" s="1"/>
  <c r="BX60" i="16"/>
  <c r="BZ60" i="16" s="1"/>
  <c r="BX61" i="16"/>
  <c r="BZ61" i="16" s="1"/>
  <c r="BX62" i="16"/>
  <c r="BZ62" i="16" s="1"/>
  <c r="BX63" i="16"/>
  <c r="BZ63" i="16" s="1"/>
  <c r="BX66" i="16"/>
  <c r="BZ66" i="16" s="1"/>
  <c r="BX67" i="16"/>
  <c r="BZ67" i="16" s="1"/>
  <c r="BX68" i="16"/>
  <c r="BZ68" i="16" s="1"/>
  <c r="BX69" i="16"/>
  <c r="BZ69" i="16" s="1"/>
  <c r="BX71" i="16"/>
  <c r="BZ71" i="16" s="1"/>
  <c r="BX72" i="16"/>
  <c r="BZ72" i="16" s="1"/>
  <c r="BX73" i="16"/>
  <c r="BZ73" i="16" s="1"/>
  <c r="BX74" i="16"/>
  <c r="BZ74" i="16" s="1"/>
  <c r="BX75" i="16"/>
  <c r="BZ75" i="16" s="1"/>
  <c r="BX76" i="16"/>
  <c r="BZ76" i="16" s="1"/>
  <c r="BX77" i="16"/>
  <c r="BZ77" i="16" s="1"/>
  <c r="BX79" i="16"/>
  <c r="BZ79" i="16" s="1"/>
  <c r="BX37" i="16"/>
  <c r="BZ37" i="16" s="1"/>
  <c r="BT38" i="16"/>
  <c r="BV38" i="16" s="1"/>
  <c r="BT40" i="16"/>
  <c r="BV40" i="16" s="1"/>
  <c r="BT41" i="16"/>
  <c r="BV41" i="16" s="1"/>
  <c r="BT42" i="16"/>
  <c r="BV42" i="16" s="1"/>
  <c r="BT43" i="16"/>
  <c r="BV43" i="16" s="1"/>
  <c r="BT44" i="16"/>
  <c r="BV44" i="16" s="1"/>
  <c r="BT45" i="16"/>
  <c r="BV45" i="16" s="1"/>
  <c r="BT46" i="16"/>
  <c r="BV46" i="16" s="1"/>
  <c r="BT47" i="16"/>
  <c r="BV47" i="16" s="1"/>
  <c r="BT49" i="16"/>
  <c r="BV49" i="16" s="1"/>
  <c r="BT50" i="16"/>
  <c r="BV50" i="16" s="1"/>
  <c r="BT52" i="16"/>
  <c r="BV52" i="16" s="1"/>
  <c r="BT53" i="16"/>
  <c r="BV53" i="16" s="1"/>
  <c r="BT54" i="16"/>
  <c r="BV54" i="16" s="1"/>
  <c r="BT55" i="16"/>
  <c r="BV55" i="16" s="1"/>
  <c r="BT56" i="16"/>
  <c r="BV56" i="16" s="1"/>
  <c r="BT57" i="16"/>
  <c r="BV57" i="16" s="1"/>
  <c r="BT58" i="16"/>
  <c r="BV58" i="16" s="1"/>
  <c r="BT59" i="16"/>
  <c r="BV59" i="16" s="1"/>
  <c r="BT60" i="16"/>
  <c r="BV60" i="16" s="1"/>
  <c r="BT61" i="16"/>
  <c r="BV61" i="16" s="1"/>
  <c r="BT62" i="16"/>
  <c r="BV62" i="16" s="1"/>
  <c r="BT63" i="16"/>
  <c r="BV63" i="16" s="1"/>
  <c r="BT66" i="16"/>
  <c r="BV66" i="16" s="1"/>
  <c r="BT67" i="16"/>
  <c r="BV67" i="16" s="1"/>
  <c r="BT68" i="16"/>
  <c r="BV68" i="16" s="1"/>
  <c r="BT69" i="16"/>
  <c r="BV69" i="16" s="1"/>
  <c r="BT71" i="16"/>
  <c r="BV71" i="16" s="1"/>
  <c r="BT72" i="16"/>
  <c r="BV72" i="16" s="1"/>
  <c r="BT73" i="16"/>
  <c r="BV73" i="16" s="1"/>
  <c r="BT74" i="16"/>
  <c r="BV74" i="16" s="1"/>
  <c r="BT75" i="16"/>
  <c r="BV75" i="16" s="1"/>
  <c r="BT76" i="16"/>
  <c r="BV76" i="16" s="1"/>
  <c r="BT77" i="16"/>
  <c r="BV77" i="16" s="1"/>
  <c r="BT79" i="16"/>
  <c r="BV79" i="16" s="1"/>
  <c r="BT37" i="16"/>
  <c r="BV37" i="16" s="1"/>
  <c r="BP38" i="16"/>
  <c r="BR38" i="16" s="1"/>
  <c r="BP40" i="16"/>
  <c r="BR40" i="16" s="1"/>
  <c r="BP41" i="16"/>
  <c r="BR41" i="16" s="1"/>
  <c r="BP42" i="16"/>
  <c r="BR42" i="16" s="1"/>
  <c r="BP43" i="16"/>
  <c r="BR43" i="16" s="1"/>
  <c r="BP44" i="16"/>
  <c r="BR44" i="16" s="1"/>
  <c r="BP45" i="16"/>
  <c r="BR45" i="16" s="1"/>
  <c r="BP46" i="16"/>
  <c r="BP47" i="16"/>
  <c r="BR47" i="16" s="1"/>
  <c r="BP49" i="16"/>
  <c r="BR49" i="16" s="1"/>
  <c r="BP50" i="16"/>
  <c r="BR50" i="16" s="1"/>
  <c r="BP52" i="16"/>
  <c r="BR52" i="16" s="1"/>
  <c r="BP53" i="16"/>
  <c r="BR53" i="16" s="1"/>
  <c r="BP54" i="16"/>
  <c r="BR54" i="16" s="1"/>
  <c r="BP55" i="16"/>
  <c r="BR55" i="16" s="1"/>
  <c r="BP56" i="16"/>
  <c r="BR56" i="16" s="1"/>
  <c r="BP57" i="16"/>
  <c r="BR57" i="16" s="1"/>
  <c r="BP58" i="16"/>
  <c r="BR58" i="16" s="1"/>
  <c r="BP59" i="16"/>
  <c r="BR59" i="16" s="1"/>
  <c r="BP60" i="16"/>
  <c r="BR60" i="16" s="1"/>
  <c r="BP61" i="16"/>
  <c r="BR61" i="16" s="1"/>
  <c r="BP62" i="16"/>
  <c r="BR62" i="16" s="1"/>
  <c r="BP63" i="16"/>
  <c r="BR63" i="16" s="1"/>
  <c r="BP66" i="16"/>
  <c r="BR66" i="16" s="1"/>
  <c r="BP67" i="16"/>
  <c r="BR67" i="16" s="1"/>
  <c r="BP68" i="16"/>
  <c r="BR68" i="16" s="1"/>
  <c r="BP69" i="16"/>
  <c r="BR69" i="16" s="1"/>
  <c r="BP71" i="16"/>
  <c r="BR71" i="16" s="1"/>
  <c r="BP72" i="16"/>
  <c r="BR72" i="16" s="1"/>
  <c r="BP73" i="16"/>
  <c r="BR73" i="16" s="1"/>
  <c r="BP74" i="16"/>
  <c r="BR74" i="16" s="1"/>
  <c r="BP75" i="16"/>
  <c r="BR75" i="16" s="1"/>
  <c r="BP76" i="16"/>
  <c r="BR76" i="16" s="1"/>
  <c r="BP77" i="16"/>
  <c r="BR77" i="16" s="1"/>
  <c r="BP79" i="16"/>
  <c r="BR79" i="16" s="1"/>
  <c r="BP37" i="16"/>
  <c r="BR37" i="16" s="1"/>
  <c r="BH38" i="16"/>
  <c r="BJ38" i="16" s="1"/>
  <c r="BH40" i="16"/>
  <c r="BJ40" i="16" s="1"/>
  <c r="BH41" i="16"/>
  <c r="BJ41" i="16" s="1"/>
  <c r="BH42" i="16"/>
  <c r="BJ42" i="16" s="1"/>
  <c r="BD38" i="16"/>
  <c r="BF38" i="16" s="1"/>
  <c r="BD40" i="16"/>
  <c r="BF40" i="16" s="1"/>
  <c r="BD41" i="16"/>
  <c r="BF41" i="16" s="1"/>
  <c r="BD42" i="16"/>
  <c r="BF42" i="16" s="1"/>
  <c r="BD43" i="16"/>
  <c r="BF43" i="16" s="1"/>
  <c r="BD44" i="16"/>
  <c r="BF44" i="16" s="1"/>
  <c r="BD45" i="16"/>
  <c r="BF45" i="16" s="1"/>
  <c r="BD46" i="16"/>
  <c r="BF46" i="16" s="1"/>
  <c r="BD47" i="16"/>
  <c r="BF47" i="16" s="1"/>
  <c r="BD49" i="16"/>
  <c r="BF49" i="16" s="1"/>
  <c r="BD50" i="16"/>
  <c r="BF50" i="16" s="1"/>
  <c r="BD52" i="16"/>
  <c r="BF52" i="16" s="1"/>
  <c r="BD53" i="16"/>
  <c r="BF53" i="16" s="1"/>
  <c r="BD54" i="16"/>
  <c r="BF54" i="16" s="1"/>
  <c r="BD55" i="16"/>
  <c r="BF55" i="16" s="1"/>
  <c r="BD56" i="16"/>
  <c r="BF56" i="16" s="1"/>
  <c r="BD57" i="16"/>
  <c r="BF57" i="16" s="1"/>
  <c r="BD58" i="16"/>
  <c r="BF58" i="16" s="1"/>
  <c r="BD59" i="16"/>
  <c r="BF59" i="16" s="1"/>
  <c r="BD60" i="16"/>
  <c r="BF60" i="16" s="1"/>
  <c r="BD61" i="16"/>
  <c r="BF61" i="16" s="1"/>
  <c r="BD62" i="16"/>
  <c r="BF62" i="16" s="1"/>
  <c r="BD63" i="16"/>
  <c r="BF63" i="16" s="1"/>
  <c r="BD66" i="16"/>
  <c r="BF66" i="16" s="1"/>
  <c r="BD67" i="16"/>
  <c r="BF67" i="16" s="1"/>
  <c r="BD68" i="16"/>
  <c r="BF68" i="16" s="1"/>
  <c r="BD69" i="16"/>
  <c r="BF69" i="16" s="1"/>
  <c r="BD71" i="16"/>
  <c r="BF71" i="16" s="1"/>
  <c r="BD72" i="16"/>
  <c r="BF72" i="16" s="1"/>
  <c r="BD73" i="16"/>
  <c r="BF73" i="16" s="1"/>
  <c r="BD74" i="16"/>
  <c r="BF74" i="16" s="1"/>
  <c r="BD75" i="16"/>
  <c r="BF75" i="16" s="1"/>
  <c r="BD76" i="16"/>
  <c r="BF76" i="16" s="1"/>
  <c r="BD77" i="16"/>
  <c r="BF77" i="16" s="1"/>
  <c r="BD79" i="16"/>
  <c r="BF79" i="16" s="1"/>
  <c r="BD37" i="16"/>
  <c r="BF37" i="16" s="1"/>
  <c r="H22" i="7"/>
  <c r="AU38" i="16"/>
  <c r="AW38" i="16" s="1"/>
  <c r="AU40" i="16"/>
  <c r="AW40" i="16" s="1"/>
  <c r="AU41" i="16"/>
  <c r="AU42" i="16"/>
  <c r="AW42" i="16" s="1"/>
  <c r="AU43" i="16"/>
  <c r="AW43" i="16" s="1"/>
  <c r="AU44" i="16"/>
  <c r="AW44" i="16" s="1"/>
  <c r="AU45" i="16"/>
  <c r="AW45" i="16" s="1"/>
  <c r="AU46" i="16"/>
  <c r="AW46" i="16" s="1"/>
  <c r="AU47" i="16"/>
  <c r="AW47" i="16" s="1"/>
  <c r="AU49" i="16"/>
  <c r="AW49" i="16" s="1"/>
  <c r="AU50" i="16"/>
  <c r="AW50" i="16" s="1"/>
  <c r="AU52" i="16"/>
  <c r="AW52" i="16" s="1"/>
  <c r="AU53" i="16"/>
  <c r="AW53" i="16" s="1"/>
  <c r="AU54" i="16"/>
  <c r="AW54" i="16" s="1"/>
  <c r="AU55" i="16"/>
  <c r="AW55" i="16" s="1"/>
  <c r="AU56" i="16"/>
  <c r="AW56" i="16" s="1"/>
  <c r="AU57" i="16"/>
  <c r="AW57" i="16" s="1"/>
  <c r="AU58" i="16"/>
  <c r="AW58" i="16" s="1"/>
  <c r="AU59" i="16"/>
  <c r="AW59" i="16" s="1"/>
  <c r="AU60" i="16"/>
  <c r="AW60" i="16" s="1"/>
  <c r="AU61" i="16"/>
  <c r="AW61" i="16" s="1"/>
  <c r="AU62" i="16"/>
  <c r="AW62" i="16" s="1"/>
  <c r="AU63" i="16"/>
  <c r="AW63" i="16" s="1"/>
  <c r="AU66" i="16"/>
  <c r="AW66" i="16" s="1"/>
  <c r="AU67" i="16"/>
  <c r="AW67" i="16" s="1"/>
  <c r="AU68" i="16"/>
  <c r="AW68" i="16" s="1"/>
  <c r="AU69" i="16"/>
  <c r="AW69" i="16" s="1"/>
  <c r="AU71" i="16"/>
  <c r="AW71" i="16" s="1"/>
  <c r="AU72" i="16"/>
  <c r="AW72" i="16" s="1"/>
  <c r="AU73" i="16"/>
  <c r="AW73" i="16" s="1"/>
  <c r="AU74" i="16"/>
  <c r="AW74" i="16" s="1"/>
  <c r="AU75" i="16"/>
  <c r="AW75" i="16" s="1"/>
  <c r="AU76" i="16"/>
  <c r="AW76" i="16" s="1"/>
  <c r="AU77" i="16"/>
  <c r="AW77" i="16" s="1"/>
  <c r="AU79" i="16"/>
  <c r="AW79" i="16" s="1"/>
  <c r="AU37" i="16"/>
  <c r="AW37" i="16" s="1"/>
  <c r="AQ38" i="16"/>
  <c r="AS38" i="16" s="1"/>
  <c r="AQ40" i="16"/>
  <c r="AS40" i="16" s="1"/>
  <c r="AQ41" i="16"/>
  <c r="AS41" i="16" s="1"/>
  <c r="AQ42" i="16"/>
  <c r="AS42" i="16" s="1"/>
  <c r="AQ43" i="16"/>
  <c r="AS43" i="16" s="1"/>
  <c r="AQ44" i="16"/>
  <c r="AS44" i="16" s="1"/>
  <c r="AQ45" i="16"/>
  <c r="AS45" i="16" s="1"/>
  <c r="AQ46" i="16"/>
  <c r="AS46" i="16" s="1"/>
  <c r="AQ47" i="16"/>
  <c r="AS47" i="16" s="1"/>
  <c r="AQ49" i="16"/>
  <c r="AS49" i="16" s="1"/>
  <c r="AQ50" i="16"/>
  <c r="AS50" i="16" s="1"/>
  <c r="AQ52" i="16"/>
  <c r="AS52" i="16" s="1"/>
  <c r="AQ53" i="16"/>
  <c r="AS53" i="16" s="1"/>
  <c r="AQ54" i="16"/>
  <c r="AS54" i="16" s="1"/>
  <c r="AQ55" i="16"/>
  <c r="AS55" i="16" s="1"/>
  <c r="AQ56" i="16"/>
  <c r="AS56" i="16" s="1"/>
  <c r="AQ57" i="16"/>
  <c r="AS57" i="16" s="1"/>
  <c r="AQ58" i="16"/>
  <c r="AS58" i="16" s="1"/>
  <c r="AQ59" i="16"/>
  <c r="AS59" i="16" s="1"/>
  <c r="AQ60" i="16"/>
  <c r="AS60" i="16" s="1"/>
  <c r="AQ61" i="16"/>
  <c r="AS61" i="16" s="1"/>
  <c r="AQ62" i="16"/>
  <c r="AS62" i="16" s="1"/>
  <c r="AQ63" i="16"/>
  <c r="AS63" i="16" s="1"/>
  <c r="AQ66" i="16"/>
  <c r="AS66" i="16" s="1"/>
  <c r="AQ67" i="16"/>
  <c r="AS67" i="16" s="1"/>
  <c r="AQ68" i="16"/>
  <c r="AS68" i="16" s="1"/>
  <c r="AQ69" i="16"/>
  <c r="AS69" i="16" s="1"/>
  <c r="AQ71" i="16"/>
  <c r="AS71" i="16" s="1"/>
  <c r="AQ72" i="16"/>
  <c r="AS72" i="16" s="1"/>
  <c r="AQ73" i="16"/>
  <c r="AS73" i="16" s="1"/>
  <c r="AQ74" i="16"/>
  <c r="AS74" i="16" s="1"/>
  <c r="AQ75" i="16"/>
  <c r="AS75" i="16" s="1"/>
  <c r="AQ76" i="16"/>
  <c r="AS76" i="16" s="1"/>
  <c r="AQ77" i="16"/>
  <c r="AS77" i="16" s="1"/>
  <c r="AQ79" i="16"/>
  <c r="AS79" i="16" s="1"/>
  <c r="AQ37" i="16"/>
  <c r="AS37" i="16" s="1"/>
  <c r="AM38" i="16"/>
  <c r="AO38" i="16" s="1"/>
  <c r="AM40" i="16"/>
  <c r="AO40" i="16" s="1"/>
  <c r="AM41" i="16"/>
  <c r="AO41" i="16" s="1"/>
  <c r="AM42" i="16"/>
  <c r="AO42" i="16" s="1"/>
  <c r="AM43" i="16"/>
  <c r="AO43" i="16" s="1"/>
  <c r="AM44" i="16"/>
  <c r="AO44" i="16" s="1"/>
  <c r="AM45" i="16"/>
  <c r="AO45" i="16" s="1"/>
  <c r="AM46" i="16"/>
  <c r="AO46" i="16" s="1"/>
  <c r="AM47" i="16"/>
  <c r="AO47" i="16" s="1"/>
  <c r="AM49" i="16"/>
  <c r="AO49" i="16" s="1"/>
  <c r="AM50" i="16"/>
  <c r="AO50" i="16" s="1"/>
  <c r="AM52" i="16"/>
  <c r="AO52" i="16" s="1"/>
  <c r="AM53" i="16"/>
  <c r="AO53" i="16" s="1"/>
  <c r="AM54" i="16"/>
  <c r="AO54" i="16" s="1"/>
  <c r="AM55" i="16"/>
  <c r="AO55" i="16" s="1"/>
  <c r="AM56" i="16"/>
  <c r="AO56" i="16" s="1"/>
  <c r="AM57" i="16"/>
  <c r="AO57" i="16" s="1"/>
  <c r="AM58" i="16"/>
  <c r="AO58" i="16" s="1"/>
  <c r="AM59" i="16"/>
  <c r="AO59" i="16" s="1"/>
  <c r="AM60" i="16"/>
  <c r="AO60" i="16" s="1"/>
  <c r="AM61" i="16"/>
  <c r="AO61" i="16" s="1"/>
  <c r="AM62" i="16"/>
  <c r="AO62" i="16" s="1"/>
  <c r="AM63" i="16"/>
  <c r="AO63" i="16" s="1"/>
  <c r="AM66" i="16"/>
  <c r="AO66" i="16" s="1"/>
  <c r="AM67" i="16"/>
  <c r="AO67" i="16" s="1"/>
  <c r="AM68" i="16"/>
  <c r="AO68" i="16" s="1"/>
  <c r="AM69" i="16"/>
  <c r="AO69" i="16" s="1"/>
  <c r="AM71" i="16"/>
  <c r="AO71" i="16" s="1"/>
  <c r="AM72" i="16"/>
  <c r="AO72" i="16" s="1"/>
  <c r="AM73" i="16"/>
  <c r="AO73" i="16" s="1"/>
  <c r="AM74" i="16"/>
  <c r="AO74" i="16" s="1"/>
  <c r="AM75" i="16"/>
  <c r="AO75" i="16" s="1"/>
  <c r="AM76" i="16"/>
  <c r="AO76" i="16" s="1"/>
  <c r="AM77" i="16"/>
  <c r="AO77" i="16" s="1"/>
  <c r="AM79" i="16"/>
  <c r="AO79" i="16" s="1"/>
  <c r="AM37" i="16"/>
  <c r="AO37" i="16" s="1"/>
  <c r="AI38" i="16"/>
  <c r="AK38" i="16" s="1"/>
  <c r="AI40" i="16"/>
  <c r="AK40" i="16" s="1"/>
  <c r="AI41" i="16"/>
  <c r="AI42" i="16"/>
  <c r="AK42" i="16" s="1"/>
  <c r="AI43" i="16"/>
  <c r="AK43" i="16" s="1"/>
  <c r="AI44" i="16"/>
  <c r="AK44" i="16" s="1"/>
  <c r="AI45" i="16"/>
  <c r="AK45" i="16" s="1"/>
  <c r="AI46" i="16"/>
  <c r="AK46" i="16" s="1"/>
  <c r="AI47" i="16"/>
  <c r="AK47" i="16" s="1"/>
  <c r="AI49" i="16"/>
  <c r="AK49" i="16" s="1"/>
  <c r="AI50" i="16"/>
  <c r="AK50" i="16" s="1"/>
  <c r="AI52" i="16"/>
  <c r="AK52" i="16" s="1"/>
  <c r="AI53" i="16"/>
  <c r="AK53" i="16" s="1"/>
  <c r="AI54" i="16"/>
  <c r="AK54" i="16" s="1"/>
  <c r="AI55" i="16"/>
  <c r="AK55" i="16" s="1"/>
  <c r="AI56" i="16"/>
  <c r="AK56" i="16" s="1"/>
  <c r="AI57" i="16"/>
  <c r="AK57" i="16" s="1"/>
  <c r="AI58" i="16"/>
  <c r="AK58" i="16" s="1"/>
  <c r="AI59" i="16"/>
  <c r="AK59" i="16" s="1"/>
  <c r="AI60" i="16"/>
  <c r="AK60" i="16" s="1"/>
  <c r="AI61" i="16"/>
  <c r="AK61" i="16" s="1"/>
  <c r="AI62" i="16"/>
  <c r="AK62" i="16" s="1"/>
  <c r="AI63" i="16"/>
  <c r="AK63" i="16" s="1"/>
  <c r="AI66" i="16"/>
  <c r="AK66" i="16" s="1"/>
  <c r="AI67" i="16"/>
  <c r="AK67" i="16" s="1"/>
  <c r="AI68" i="16"/>
  <c r="AK68" i="16" s="1"/>
  <c r="AI69" i="16"/>
  <c r="AK69" i="16" s="1"/>
  <c r="AI71" i="16"/>
  <c r="AK71" i="16" s="1"/>
  <c r="AI72" i="16"/>
  <c r="AK72" i="16" s="1"/>
  <c r="AI73" i="16"/>
  <c r="AK73" i="16" s="1"/>
  <c r="AI74" i="16"/>
  <c r="AK74" i="16" s="1"/>
  <c r="AI75" i="16"/>
  <c r="AK75" i="16" s="1"/>
  <c r="AI76" i="16"/>
  <c r="AK76" i="16" s="1"/>
  <c r="AI77" i="16"/>
  <c r="AK77" i="16" s="1"/>
  <c r="AI79" i="16"/>
  <c r="AK79" i="16" s="1"/>
  <c r="AI37" i="16"/>
  <c r="AK37" i="16" s="1"/>
  <c r="AE38" i="16"/>
  <c r="AG38" i="16" s="1"/>
  <c r="AE40" i="16"/>
  <c r="AG40" i="16" s="1"/>
  <c r="AE41" i="16"/>
  <c r="AE42" i="16"/>
  <c r="AG42" i="16" s="1"/>
  <c r="AE43" i="16"/>
  <c r="AG43" i="16" s="1"/>
  <c r="AE44" i="16"/>
  <c r="AG44" i="16" s="1"/>
  <c r="AE45" i="16"/>
  <c r="AG45" i="16" s="1"/>
  <c r="AE46" i="16"/>
  <c r="AG46" i="16" s="1"/>
  <c r="AE47" i="16"/>
  <c r="AG47" i="16" s="1"/>
  <c r="AE49" i="16"/>
  <c r="AG49" i="16" s="1"/>
  <c r="AE50" i="16"/>
  <c r="AG50" i="16" s="1"/>
  <c r="AE52" i="16"/>
  <c r="AG52" i="16" s="1"/>
  <c r="AE53" i="16"/>
  <c r="AG53" i="16" s="1"/>
  <c r="AE54" i="16"/>
  <c r="AG54" i="16" s="1"/>
  <c r="AE55" i="16"/>
  <c r="AG55" i="16" s="1"/>
  <c r="AE56" i="16"/>
  <c r="AG56" i="16" s="1"/>
  <c r="AE57" i="16"/>
  <c r="AG57" i="16" s="1"/>
  <c r="AE58" i="16"/>
  <c r="AG58" i="16" s="1"/>
  <c r="AE59" i="16"/>
  <c r="AG59" i="16" s="1"/>
  <c r="AE60" i="16"/>
  <c r="AG60" i="16" s="1"/>
  <c r="AE61" i="16"/>
  <c r="AG61" i="16" s="1"/>
  <c r="AE62" i="16"/>
  <c r="AG62" i="16" s="1"/>
  <c r="AE63" i="16"/>
  <c r="AG63" i="16" s="1"/>
  <c r="AE66" i="16"/>
  <c r="AG66" i="16" s="1"/>
  <c r="AE67" i="16"/>
  <c r="AG67" i="16" s="1"/>
  <c r="AE68" i="16"/>
  <c r="AG68" i="16" s="1"/>
  <c r="AE69" i="16"/>
  <c r="AG69" i="16" s="1"/>
  <c r="AE71" i="16"/>
  <c r="AG71" i="16" s="1"/>
  <c r="AE72" i="16"/>
  <c r="AG72" i="16" s="1"/>
  <c r="AE73" i="16"/>
  <c r="AG73" i="16" s="1"/>
  <c r="AE74" i="16"/>
  <c r="AG74" i="16" s="1"/>
  <c r="AE75" i="16"/>
  <c r="AG75" i="16" s="1"/>
  <c r="AE76" i="16"/>
  <c r="AG76" i="16" s="1"/>
  <c r="AE77" i="16"/>
  <c r="AG77" i="16" s="1"/>
  <c r="AE79" i="16"/>
  <c r="AG79" i="16" s="1"/>
  <c r="AE37" i="16"/>
  <c r="AG37" i="16" s="1"/>
  <c r="AA38" i="16"/>
  <c r="AC38" i="16" s="1"/>
  <c r="AA40" i="16"/>
  <c r="AC40" i="16" s="1"/>
  <c r="AA41" i="16"/>
  <c r="AC41" i="16" s="1"/>
  <c r="AA42" i="16"/>
  <c r="AC42" i="16" s="1"/>
  <c r="AA43" i="16"/>
  <c r="AC43" i="16" s="1"/>
  <c r="AA44" i="16"/>
  <c r="AC44" i="16" s="1"/>
  <c r="AA45" i="16"/>
  <c r="AC45" i="16" s="1"/>
  <c r="AA46" i="16"/>
  <c r="AC46" i="16" s="1"/>
  <c r="AA47" i="16"/>
  <c r="AC47" i="16" s="1"/>
  <c r="AA49" i="16"/>
  <c r="AC49" i="16" s="1"/>
  <c r="AA50" i="16"/>
  <c r="AC50" i="16" s="1"/>
  <c r="AA52" i="16"/>
  <c r="AC52" i="16" s="1"/>
  <c r="AA53" i="16"/>
  <c r="AC53" i="16" s="1"/>
  <c r="AA54" i="16"/>
  <c r="AC54" i="16" s="1"/>
  <c r="AA55" i="16"/>
  <c r="AC55" i="16" s="1"/>
  <c r="AA56" i="16"/>
  <c r="AC56" i="16" s="1"/>
  <c r="AA57" i="16"/>
  <c r="AC57" i="16" s="1"/>
  <c r="AA58" i="16"/>
  <c r="AC58" i="16" s="1"/>
  <c r="AA59" i="16"/>
  <c r="AC59" i="16" s="1"/>
  <c r="AA60" i="16"/>
  <c r="AC60" i="16" s="1"/>
  <c r="AA61" i="16"/>
  <c r="AC61" i="16" s="1"/>
  <c r="AA62" i="16"/>
  <c r="AC62" i="16" s="1"/>
  <c r="AA63" i="16"/>
  <c r="AC63" i="16" s="1"/>
  <c r="AA66" i="16"/>
  <c r="AC66" i="16" s="1"/>
  <c r="AA67" i="16"/>
  <c r="AC67" i="16" s="1"/>
  <c r="AA68" i="16"/>
  <c r="AC68" i="16" s="1"/>
  <c r="AA69" i="16"/>
  <c r="AC69" i="16" s="1"/>
  <c r="AA71" i="16"/>
  <c r="AC71" i="16" s="1"/>
  <c r="AA72" i="16"/>
  <c r="AC72" i="16" s="1"/>
  <c r="AA73" i="16"/>
  <c r="AC73" i="16" s="1"/>
  <c r="AA74" i="16"/>
  <c r="AC74" i="16" s="1"/>
  <c r="AA75" i="16"/>
  <c r="AC75" i="16" s="1"/>
  <c r="AA76" i="16"/>
  <c r="AC76" i="16" s="1"/>
  <c r="AA77" i="16"/>
  <c r="AC77" i="16" s="1"/>
  <c r="AA79" i="16"/>
  <c r="AC79" i="16" s="1"/>
  <c r="AA37" i="16"/>
  <c r="AC37" i="16" s="1"/>
  <c r="W38" i="16"/>
  <c r="Y38" i="16" s="1"/>
  <c r="W40" i="16"/>
  <c r="Y40" i="16" s="1"/>
  <c r="W41" i="16"/>
  <c r="Y41" i="16" s="1"/>
  <c r="W42" i="16"/>
  <c r="Y42" i="16" s="1"/>
  <c r="W43" i="16"/>
  <c r="Y43" i="16" s="1"/>
  <c r="W44" i="16"/>
  <c r="Y44" i="16" s="1"/>
  <c r="W45" i="16"/>
  <c r="Y45" i="16" s="1"/>
  <c r="W46" i="16"/>
  <c r="Y46" i="16" s="1"/>
  <c r="W47" i="16"/>
  <c r="Y47" i="16" s="1"/>
  <c r="W49" i="16"/>
  <c r="Y49" i="16" s="1"/>
  <c r="W50" i="16"/>
  <c r="Y50" i="16" s="1"/>
  <c r="W52" i="16"/>
  <c r="Y52" i="16" s="1"/>
  <c r="W53" i="16"/>
  <c r="Y53" i="16" s="1"/>
  <c r="W54" i="16"/>
  <c r="Y54" i="16" s="1"/>
  <c r="W55" i="16"/>
  <c r="Y55" i="16" s="1"/>
  <c r="W56" i="16"/>
  <c r="Y56" i="16" s="1"/>
  <c r="W57" i="16"/>
  <c r="Y57" i="16" s="1"/>
  <c r="W58" i="16"/>
  <c r="Y58" i="16" s="1"/>
  <c r="W59" i="16"/>
  <c r="Y59" i="16" s="1"/>
  <c r="W60" i="16"/>
  <c r="Y60" i="16" s="1"/>
  <c r="W61" i="16"/>
  <c r="Y61" i="16" s="1"/>
  <c r="W62" i="16"/>
  <c r="Y62" i="16" s="1"/>
  <c r="W63" i="16"/>
  <c r="Y63" i="16" s="1"/>
  <c r="W66" i="16"/>
  <c r="Y66" i="16" s="1"/>
  <c r="W67" i="16"/>
  <c r="Y67" i="16" s="1"/>
  <c r="W68" i="16"/>
  <c r="Y68" i="16" s="1"/>
  <c r="W69" i="16"/>
  <c r="Y69" i="16" s="1"/>
  <c r="W71" i="16"/>
  <c r="Y71" i="16" s="1"/>
  <c r="W72" i="16"/>
  <c r="Y72" i="16" s="1"/>
  <c r="W73" i="16"/>
  <c r="Y73" i="16" s="1"/>
  <c r="W74" i="16"/>
  <c r="Y74" i="16" s="1"/>
  <c r="W75" i="16"/>
  <c r="Y75" i="16" s="1"/>
  <c r="W76" i="16"/>
  <c r="Y76" i="16" s="1"/>
  <c r="W77" i="16"/>
  <c r="Y77" i="16" s="1"/>
  <c r="W79" i="16"/>
  <c r="Y79" i="16" s="1"/>
  <c r="W37" i="16"/>
  <c r="Y37" i="16" s="1"/>
  <c r="U38" i="16"/>
  <c r="U43" i="16"/>
  <c r="U53" i="16"/>
  <c r="U55" i="16"/>
  <c r="U56" i="16"/>
  <c r="U57" i="16"/>
  <c r="U69" i="16"/>
  <c r="U71" i="16"/>
  <c r="U72" i="16"/>
  <c r="Q43" i="16"/>
  <c r="Q49" i="16"/>
  <c r="Q55" i="16"/>
  <c r="Q57" i="16"/>
  <c r="Q62" i="16"/>
  <c r="Q69" i="16"/>
  <c r="Q72" i="16"/>
  <c r="E25" i="12"/>
  <c r="E36" i="12"/>
  <c r="I36" i="12" s="1"/>
  <c r="I35" i="12"/>
  <c r="BH43" i="16"/>
  <c r="BJ43" i="16" s="1"/>
  <c r="BH44" i="16"/>
  <c r="BJ44" i="16" s="1"/>
  <c r="BH45" i="16"/>
  <c r="BJ45" i="16" s="1"/>
  <c r="BH46" i="16"/>
  <c r="BJ46" i="16" s="1"/>
  <c r="BH47" i="16"/>
  <c r="BJ47" i="16" s="1"/>
  <c r="BH49" i="16"/>
  <c r="BJ49" i="16" s="1"/>
  <c r="BH50" i="16"/>
  <c r="BJ50" i="16" s="1"/>
  <c r="BH52" i="16"/>
  <c r="BJ52" i="16" s="1"/>
  <c r="BH53" i="16"/>
  <c r="BJ53" i="16" s="1"/>
  <c r="BH54" i="16"/>
  <c r="BJ54" i="16" s="1"/>
  <c r="BH55" i="16"/>
  <c r="BJ55" i="16" s="1"/>
  <c r="BH56" i="16"/>
  <c r="BJ56" i="16" s="1"/>
  <c r="BH57" i="16"/>
  <c r="BJ57" i="16" s="1"/>
  <c r="BH58" i="16"/>
  <c r="BJ58" i="16" s="1"/>
  <c r="BH59" i="16"/>
  <c r="BJ59" i="16" s="1"/>
  <c r="BH60" i="16"/>
  <c r="BJ60" i="16" s="1"/>
  <c r="BH61" i="16"/>
  <c r="BJ61" i="16" s="1"/>
  <c r="BH62" i="16"/>
  <c r="BJ62" i="16" s="1"/>
  <c r="BH63" i="16"/>
  <c r="BJ63" i="16" s="1"/>
  <c r="BH66" i="16"/>
  <c r="BJ66" i="16" s="1"/>
  <c r="BH67" i="16"/>
  <c r="BJ67" i="16" s="1"/>
  <c r="BH68" i="16"/>
  <c r="BJ68" i="16" s="1"/>
  <c r="BH69" i="16"/>
  <c r="BJ69" i="16" s="1"/>
  <c r="BH71" i="16"/>
  <c r="BJ71" i="16" s="1"/>
  <c r="BH72" i="16"/>
  <c r="BJ72" i="16" s="1"/>
  <c r="BH73" i="16"/>
  <c r="BJ73" i="16" s="1"/>
  <c r="BH74" i="16"/>
  <c r="BJ74" i="16" s="1"/>
  <c r="BH75" i="16"/>
  <c r="BJ75" i="16" s="1"/>
  <c r="BH76" i="16"/>
  <c r="BJ76" i="16" s="1"/>
  <c r="BH77" i="16"/>
  <c r="BJ77" i="16" s="1"/>
  <c r="BH79" i="16"/>
  <c r="BJ79" i="16" s="1"/>
  <c r="BH37" i="16"/>
  <c r="BJ37" i="16" s="1"/>
  <c r="M41" i="16"/>
  <c r="M45" i="16"/>
  <c r="M52" i="16"/>
  <c r="M54" i="16"/>
  <c r="M55" i="16"/>
  <c r="M57" i="16"/>
  <c r="M58" i="16"/>
  <c r="M68" i="16"/>
  <c r="M69" i="16"/>
  <c r="M72" i="16"/>
  <c r="M73" i="16"/>
  <c r="P41" i="12"/>
  <c r="F38" i="12" s="1"/>
  <c r="I38" i="12" s="1"/>
  <c r="E24" i="12"/>
  <c r="E14" i="12"/>
  <c r="P51" i="12"/>
  <c r="F46" i="12" s="1"/>
  <c r="P30" i="12"/>
  <c r="F26" i="12" s="1"/>
  <c r="N25" i="12"/>
  <c r="P23" i="12"/>
  <c r="O23" i="12"/>
  <c r="N23" i="12"/>
  <c r="P20" i="12"/>
  <c r="F17" i="12" s="1"/>
  <c r="R63" i="12"/>
  <c r="R51" i="12"/>
  <c r="R30" i="12"/>
  <c r="R23" i="12"/>
  <c r="R44" i="12" s="1"/>
  <c r="R55" i="12" s="1"/>
  <c r="R20" i="12"/>
  <c r="AS107" i="17"/>
  <c r="AS25" i="17" s="1"/>
  <c r="AR107" i="17"/>
  <c r="AR25" i="17" s="1"/>
  <c r="AQ107" i="17"/>
  <c r="AQ25" i="17" s="1"/>
  <c r="AP107" i="17"/>
  <c r="AP25" i="17" s="1"/>
  <c r="AO107" i="17"/>
  <c r="AO25" i="17" s="1"/>
  <c r="AN107" i="17"/>
  <c r="AN25" i="17" s="1"/>
  <c r="AM107" i="17"/>
  <c r="AM25" i="17" s="1"/>
  <c r="AL107" i="17"/>
  <c r="AL25" i="17" s="1"/>
  <c r="AK107" i="17"/>
  <c r="AK25" i="17" s="1"/>
  <c r="AJ107" i="17"/>
  <c r="AJ25" i="17" s="1"/>
  <c r="AI107" i="17"/>
  <c r="AI25" i="17" s="1"/>
  <c r="AH107" i="17"/>
  <c r="AH25" i="17" s="1"/>
  <c r="AT103" i="17"/>
  <c r="AT99" i="17"/>
  <c r="AF98" i="17"/>
  <c r="AT98" i="17" s="1"/>
  <c r="AE98" i="17"/>
  <c r="AS98" i="17" s="1"/>
  <c r="AD98" i="17"/>
  <c r="AR98" i="17" s="1"/>
  <c r="AC98" i="17"/>
  <c r="AQ98" i="17" s="1"/>
  <c r="AB98" i="17"/>
  <c r="AP98" i="17" s="1"/>
  <c r="AA98" i="17"/>
  <c r="AO98" i="17" s="1"/>
  <c r="Z98" i="17"/>
  <c r="AN98" i="17" s="1"/>
  <c r="Y98" i="17"/>
  <c r="AM98" i="17" s="1"/>
  <c r="X98" i="17"/>
  <c r="AL98" i="17" s="1"/>
  <c r="W98" i="17"/>
  <c r="AK98" i="17" s="1"/>
  <c r="V98" i="17"/>
  <c r="AJ98" i="17" s="1"/>
  <c r="U98" i="17"/>
  <c r="AI98" i="17" s="1"/>
  <c r="T98" i="17"/>
  <c r="R97" i="17"/>
  <c r="Q87" i="17"/>
  <c r="M31" i="17" s="1"/>
  <c r="P87" i="17"/>
  <c r="L31" i="17" s="1"/>
  <c r="O87" i="17"/>
  <c r="K31" i="17" s="1"/>
  <c r="N87" i="17"/>
  <c r="J31" i="17" s="1"/>
  <c r="M87" i="17"/>
  <c r="L87" i="17"/>
  <c r="H31" i="17" s="1"/>
  <c r="K87" i="17"/>
  <c r="G31" i="17" s="1"/>
  <c r="J87" i="17"/>
  <c r="I87" i="17"/>
  <c r="E31" i="17" s="1"/>
  <c r="H87" i="17"/>
  <c r="G87" i="17"/>
  <c r="F87" i="17"/>
  <c r="BT76" i="17"/>
  <c r="BG76" i="17"/>
  <c r="AT76" i="17"/>
  <c r="AE76" i="17"/>
  <c r="AD76" i="17"/>
  <c r="AC76" i="17"/>
  <c r="AB76" i="17"/>
  <c r="AA76" i="17"/>
  <c r="Z76" i="17"/>
  <c r="Y76" i="17"/>
  <c r="X76" i="17"/>
  <c r="W76" i="17"/>
  <c r="V76" i="17"/>
  <c r="U76" i="17"/>
  <c r="R76" i="17"/>
  <c r="AF76" i="17" s="1"/>
  <c r="BT74" i="17"/>
  <c r="BG74" i="17"/>
  <c r="AT74" i="17"/>
  <c r="AE74" i="17"/>
  <c r="AD74" i="17"/>
  <c r="AC74" i="17"/>
  <c r="AB74" i="17"/>
  <c r="AA74" i="17"/>
  <c r="Z74" i="17"/>
  <c r="Y74" i="17"/>
  <c r="X74" i="17"/>
  <c r="W74" i="17"/>
  <c r="V74" i="17"/>
  <c r="U74" i="17"/>
  <c r="T74" i="17"/>
  <c r="R74" i="17"/>
  <c r="AF74" i="17" s="1"/>
  <c r="BT73" i="17"/>
  <c r="BG73" i="17"/>
  <c r="AT73" i="17"/>
  <c r="AE73" i="17"/>
  <c r="AD73" i="17"/>
  <c r="AC73" i="17"/>
  <c r="AB73" i="17"/>
  <c r="AA73" i="17"/>
  <c r="Z73" i="17"/>
  <c r="Y73" i="17"/>
  <c r="X73" i="17"/>
  <c r="W73" i="17"/>
  <c r="V73" i="17"/>
  <c r="U73" i="17"/>
  <c r="T73" i="17"/>
  <c r="R73" i="17"/>
  <c r="AF73" i="17" s="1"/>
  <c r="BT72" i="17"/>
  <c r="BG72" i="17"/>
  <c r="AT72" i="17"/>
  <c r="AE72" i="17"/>
  <c r="AD72" i="17"/>
  <c r="AC72" i="17"/>
  <c r="AB72" i="17"/>
  <c r="AA72" i="17"/>
  <c r="Z72" i="17"/>
  <c r="Y72" i="17"/>
  <c r="X72" i="17"/>
  <c r="W72" i="17"/>
  <c r="V72" i="17"/>
  <c r="U72" i="17"/>
  <c r="T72" i="17"/>
  <c r="R72" i="17"/>
  <c r="AF72" i="17" s="1"/>
  <c r="BT70" i="17"/>
  <c r="BG70" i="17"/>
  <c r="AT70" i="17"/>
  <c r="AE70" i="17"/>
  <c r="AD70" i="17"/>
  <c r="AC70" i="17"/>
  <c r="AB70" i="17"/>
  <c r="AA70" i="17"/>
  <c r="Z70" i="17"/>
  <c r="Y70" i="17"/>
  <c r="X70" i="17"/>
  <c r="W70" i="17"/>
  <c r="V70" i="17"/>
  <c r="U70" i="17"/>
  <c r="T70" i="17"/>
  <c r="R70" i="17"/>
  <c r="AF70" i="17" s="1"/>
  <c r="BT69" i="17"/>
  <c r="BG69" i="17"/>
  <c r="AT69" i="17"/>
  <c r="AE69" i="17"/>
  <c r="AD69" i="17"/>
  <c r="AC69" i="17"/>
  <c r="AB69" i="17"/>
  <c r="AA69" i="17"/>
  <c r="Z69" i="17"/>
  <c r="Y69" i="17"/>
  <c r="X69" i="17"/>
  <c r="W69" i="17"/>
  <c r="V69" i="17"/>
  <c r="U69" i="17"/>
  <c r="T69" i="17"/>
  <c r="R69" i="17"/>
  <c r="AF69" i="17" s="1"/>
  <c r="BT68" i="17"/>
  <c r="BG68" i="17"/>
  <c r="AT68" i="17"/>
  <c r="AE68" i="17"/>
  <c r="AD68" i="17"/>
  <c r="AC68" i="17"/>
  <c r="AB68" i="17"/>
  <c r="AA68" i="17"/>
  <c r="Z68" i="17"/>
  <c r="Y68" i="17"/>
  <c r="X68" i="17"/>
  <c r="W68" i="17"/>
  <c r="V68" i="17"/>
  <c r="U68" i="17"/>
  <c r="T68" i="17"/>
  <c r="R68" i="17"/>
  <c r="AF68" i="17" s="1"/>
  <c r="BT67" i="17"/>
  <c r="BG67" i="17"/>
  <c r="AT67" i="17"/>
  <c r="AE67" i="17"/>
  <c r="AD67" i="17"/>
  <c r="AC67" i="17"/>
  <c r="AB67" i="17"/>
  <c r="AA67" i="17"/>
  <c r="Z67" i="17"/>
  <c r="Y67" i="17"/>
  <c r="X67" i="17"/>
  <c r="W67" i="17"/>
  <c r="V67" i="17"/>
  <c r="U67" i="17"/>
  <c r="T67" i="17"/>
  <c r="R67" i="17"/>
  <c r="AF67" i="17" s="1"/>
  <c r="BT64" i="17"/>
  <c r="BG64" i="17"/>
  <c r="AT64" i="17"/>
  <c r="AE64" i="17"/>
  <c r="AD64" i="17"/>
  <c r="AC64" i="17"/>
  <c r="AB64" i="17"/>
  <c r="AA64" i="17"/>
  <c r="Z64" i="17"/>
  <c r="Y64" i="17"/>
  <c r="X64" i="17"/>
  <c r="W64" i="17"/>
  <c r="V64" i="17"/>
  <c r="U64" i="17"/>
  <c r="T64" i="17"/>
  <c r="R64" i="17"/>
  <c r="AF64" i="17" s="1"/>
  <c r="BT63" i="17"/>
  <c r="BG63" i="17"/>
  <c r="AT63" i="17"/>
  <c r="AE63" i="17"/>
  <c r="AD63" i="17"/>
  <c r="AC63" i="17"/>
  <c r="AB63" i="17"/>
  <c r="AA63" i="17"/>
  <c r="Z63" i="17"/>
  <c r="Y63" i="17"/>
  <c r="X63" i="17"/>
  <c r="W63" i="17"/>
  <c r="V63" i="17"/>
  <c r="U63" i="17"/>
  <c r="T63" i="17"/>
  <c r="R63" i="17"/>
  <c r="AF63" i="17" s="1"/>
  <c r="BT62" i="17"/>
  <c r="BG62" i="17"/>
  <c r="AT62" i="17"/>
  <c r="AE62" i="17"/>
  <c r="AD62" i="17"/>
  <c r="AC62" i="17"/>
  <c r="AB62" i="17"/>
  <c r="AA62" i="17"/>
  <c r="Z62" i="17"/>
  <c r="Y62" i="17"/>
  <c r="X62" i="17"/>
  <c r="W62" i="17"/>
  <c r="V62" i="17"/>
  <c r="U62" i="17"/>
  <c r="T62" i="17"/>
  <c r="R62" i="17"/>
  <c r="AF62" i="17" s="1"/>
  <c r="BT61" i="17"/>
  <c r="BG61" i="17"/>
  <c r="AT61" i="17"/>
  <c r="AE61" i="17"/>
  <c r="AD61" i="17"/>
  <c r="AC61" i="17"/>
  <c r="AB61" i="17"/>
  <c r="AA61" i="17"/>
  <c r="Z61" i="17"/>
  <c r="Y61" i="17"/>
  <c r="X61" i="17"/>
  <c r="W61" i="17"/>
  <c r="V61" i="17"/>
  <c r="U61" i="17"/>
  <c r="T61" i="17"/>
  <c r="R61" i="17"/>
  <c r="AF61" i="17" s="1"/>
  <c r="BT60" i="17"/>
  <c r="BG60" i="17"/>
  <c r="AT60" i="17"/>
  <c r="AE60" i="17"/>
  <c r="AD60" i="17"/>
  <c r="AC60" i="17"/>
  <c r="AB60" i="17"/>
  <c r="AA60" i="17"/>
  <c r="Z60" i="17"/>
  <c r="Y60" i="17"/>
  <c r="X60" i="17"/>
  <c r="W60" i="17"/>
  <c r="V60" i="17"/>
  <c r="U60" i="17"/>
  <c r="T60" i="17"/>
  <c r="R60" i="17"/>
  <c r="AF60" i="17" s="1"/>
  <c r="BT59" i="17"/>
  <c r="BG59" i="17"/>
  <c r="AT59" i="17"/>
  <c r="AE59" i="17"/>
  <c r="AD59" i="17"/>
  <c r="AC59" i="17"/>
  <c r="AB59" i="17"/>
  <c r="AA59" i="17"/>
  <c r="Z59" i="17"/>
  <c r="Y59" i="17"/>
  <c r="X59" i="17"/>
  <c r="W59" i="17"/>
  <c r="V59" i="17"/>
  <c r="U59" i="17"/>
  <c r="T59" i="17"/>
  <c r="R59" i="17"/>
  <c r="AF59" i="17" s="1"/>
  <c r="BT58" i="17"/>
  <c r="BG58" i="17"/>
  <c r="AT58" i="17"/>
  <c r="AE58" i="17"/>
  <c r="AD58" i="17"/>
  <c r="AC58" i="17"/>
  <c r="AB58" i="17"/>
  <c r="AA58" i="17"/>
  <c r="Z58" i="17"/>
  <c r="Y58" i="17"/>
  <c r="X58" i="17"/>
  <c r="W58" i="17"/>
  <c r="V58" i="17"/>
  <c r="U58" i="17"/>
  <c r="T58" i="17"/>
  <c r="R58" i="17"/>
  <c r="AF58" i="17" s="1"/>
  <c r="BT57" i="17"/>
  <c r="BG57" i="17"/>
  <c r="AT57" i="17"/>
  <c r="AE57" i="17"/>
  <c r="AD57" i="17"/>
  <c r="AC57" i="17"/>
  <c r="AB57" i="17"/>
  <c r="AA57" i="17"/>
  <c r="Z57" i="17"/>
  <c r="Y57" i="17"/>
  <c r="X57" i="17"/>
  <c r="W57" i="17"/>
  <c r="V57" i="17"/>
  <c r="U57" i="17"/>
  <c r="T57" i="17"/>
  <c r="R57" i="17"/>
  <c r="AF57" i="17" s="1"/>
  <c r="BT56" i="17"/>
  <c r="BG56" i="17"/>
  <c r="AT56" i="17"/>
  <c r="AE56" i="17"/>
  <c r="AD56" i="17"/>
  <c r="AC56" i="17"/>
  <c r="AB56" i="17"/>
  <c r="AA56" i="17"/>
  <c r="Z56" i="17"/>
  <c r="Y56" i="17"/>
  <c r="X56" i="17"/>
  <c r="W56" i="17"/>
  <c r="V56" i="17"/>
  <c r="U56" i="17"/>
  <c r="T56" i="17"/>
  <c r="R56" i="17"/>
  <c r="AF56" i="17" s="1"/>
  <c r="BT55" i="17"/>
  <c r="BG55" i="17"/>
  <c r="AT55" i="17"/>
  <c r="AE55" i="17"/>
  <c r="AD55" i="17"/>
  <c r="AC55" i="17"/>
  <c r="AB55" i="17"/>
  <c r="AA55" i="17"/>
  <c r="Z55" i="17"/>
  <c r="Y55" i="17"/>
  <c r="X55" i="17"/>
  <c r="W55" i="17"/>
  <c r="V55" i="17"/>
  <c r="U55" i="17"/>
  <c r="T55" i="17"/>
  <c r="R55" i="17"/>
  <c r="AF55" i="17" s="1"/>
  <c r="BT54" i="17"/>
  <c r="BG54" i="17"/>
  <c r="AT54" i="17"/>
  <c r="AE54" i="17"/>
  <c r="AD54" i="17"/>
  <c r="AC54" i="17"/>
  <c r="AB54" i="17"/>
  <c r="AA54" i="17"/>
  <c r="Z54" i="17"/>
  <c r="Y54" i="17"/>
  <c r="X54" i="17"/>
  <c r="W54" i="17"/>
  <c r="V54" i="17"/>
  <c r="U54" i="17"/>
  <c r="T54" i="17"/>
  <c r="R54" i="17"/>
  <c r="AF54" i="17" s="1"/>
  <c r="BT53" i="17"/>
  <c r="BG53" i="17"/>
  <c r="AT53" i="17"/>
  <c r="AE53" i="17"/>
  <c r="AD53" i="17"/>
  <c r="AC53" i="17"/>
  <c r="AB53" i="17"/>
  <c r="AA53" i="17"/>
  <c r="Z53" i="17"/>
  <c r="Y53" i="17"/>
  <c r="X53" i="17"/>
  <c r="W53" i="17"/>
  <c r="V53" i="17"/>
  <c r="U53" i="17"/>
  <c r="T53" i="17"/>
  <c r="R53" i="17"/>
  <c r="AF53" i="17" s="1"/>
  <c r="BT51" i="17"/>
  <c r="BG51" i="17"/>
  <c r="BT50" i="17"/>
  <c r="BG50" i="17"/>
  <c r="BT75" i="17"/>
  <c r="BG75" i="17"/>
  <c r="AT75" i="17"/>
  <c r="AE75" i="17"/>
  <c r="AD75" i="17"/>
  <c r="AC75" i="17"/>
  <c r="AB75" i="17"/>
  <c r="AA75" i="17"/>
  <c r="Z75" i="17"/>
  <c r="Y75" i="17"/>
  <c r="X75" i="17"/>
  <c r="W75" i="17"/>
  <c r="V75" i="17"/>
  <c r="U75" i="17"/>
  <c r="T75" i="17"/>
  <c r="R75" i="17"/>
  <c r="AF75" i="17" s="1"/>
  <c r="BT47" i="17"/>
  <c r="BG47" i="17"/>
  <c r="BT46" i="17"/>
  <c r="BG46" i="17"/>
  <c r="BT45" i="17"/>
  <c r="BG45" i="17"/>
  <c r="BT44" i="17"/>
  <c r="BG44" i="17"/>
  <c r="BT43" i="17"/>
  <c r="BG43" i="17"/>
  <c r="BT42" i="17"/>
  <c r="BG42" i="17"/>
  <c r="BT41" i="17"/>
  <c r="BG41" i="17"/>
  <c r="BT39" i="17"/>
  <c r="BG39" i="17"/>
  <c r="BT38" i="17"/>
  <c r="BG38" i="17"/>
  <c r="BB38" i="16"/>
  <c r="BB40" i="16"/>
  <c r="BB41" i="16"/>
  <c r="BB42" i="16"/>
  <c r="BB43" i="16"/>
  <c r="BB44" i="16"/>
  <c r="BB45" i="16"/>
  <c r="BB46" i="16"/>
  <c r="BB47" i="16"/>
  <c r="BB49" i="16"/>
  <c r="BB50" i="16"/>
  <c r="BB52" i="16"/>
  <c r="BB53" i="16"/>
  <c r="BB54" i="16"/>
  <c r="BB55" i="16"/>
  <c r="BB56" i="16"/>
  <c r="BB57" i="16"/>
  <c r="BB58" i="16"/>
  <c r="BB59" i="16"/>
  <c r="BB60" i="16"/>
  <c r="BB61" i="16"/>
  <c r="BB62" i="16"/>
  <c r="BB63" i="16"/>
  <c r="BB66" i="16"/>
  <c r="BB67" i="16"/>
  <c r="BB68" i="16"/>
  <c r="BB69" i="16"/>
  <c r="BB71" i="16"/>
  <c r="BB72" i="16"/>
  <c r="BB73" i="16"/>
  <c r="BB74" i="16"/>
  <c r="BB75" i="16"/>
  <c r="BB76" i="16"/>
  <c r="BB77" i="16"/>
  <c r="BB79" i="16"/>
  <c r="BB37" i="16"/>
  <c r="U79" i="16"/>
  <c r="U77" i="16"/>
  <c r="U76" i="16"/>
  <c r="U75" i="16"/>
  <c r="U74" i="16"/>
  <c r="U73" i="16"/>
  <c r="U68" i="16"/>
  <c r="U67" i="16"/>
  <c r="U66" i="16"/>
  <c r="U63" i="16"/>
  <c r="U62" i="16"/>
  <c r="U61" i="16"/>
  <c r="U60" i="16"/>
  <c r="U59" i="16"/>
  <c r="U58" i="16"/>
  <c r="U54" i="16"/>
  <c r="U52" i="16"/>
  <c r="U50" i="16"/>
  <c r="U49" i="16"/>
  <c r="U47" i="16"/>
  <c r="U46" i="16"/>
  <c r="U45" i="16"/>
  <c r="U44" i="16"/>
  <c r="U42" i="16"/>
  <c r="U40" i="16"/>
  <c r="U37" i="16"/>
  <c r="Q79" i="16"/>
  <c r="Q77" i="16"/>
  <c r="Q76" i="16"/>
  <c r="Q75" i="16"/>
  <c r="Q74" i="16"/>
  <c r="Q73" i="16"/>
  <c r="Q71" i="16"/>
  <c r="Q68" i="16"/>
  <c r="Q67" i="16"/>
  <c r="Q66" i="16"/>
  <c r="Q63" i="16"/>
  <c r="Q61" i="16"/>
  <c r="Q60" i="16"/>
  <c r="Q59" i="16"/>
  <c r="Q58" i="16"/>
  <c r="Q56" i="16"/>
  <c r="Q54" i="16"/>
  <c r="Q53" i="16"/>
  <c r="Q52" i="16"/>
  <c r="Q50" i="16"/>
  <c r="Q47" i="16"/>
  <c r="Q46" i="16"/>
  <c r="Q45" i="16"/>
  <c r="Q44" i="16"/>
  <c r="Q42" i="16"/>
  <c r="Q40" i="16"/>
  <c r="Q38" i="16"/>
  <c r="Q37" i="16"/>
  <c r="M79" i="16"/>
  <c r="M77" i="16"/>
  <c r="M76" i="16"/>
  <c r="M75" i="16"/>
  <c r="M74" i="16"/>
  <c r="M71" i="16"/>
  <c r="M67" i="16"/>
  <c r="M66" i="16"/>
  <c r="M63" i="16"/>
  <c r="M62" i="16"/>
  <c r="M61" i="16"/>
  <c r="M60" i="16"/>
  <c r="M59" i="16"/>
  <c r="M56" i="16"/>
  <c r="M53" i="16"/>
  <c r="M50" i="16"/>
  <c r="M49" i="16"/>
  <c r="M47" i="16"/>
  <c r="M46" i="16"/>
  <c r="M44" i="16"/>
  <c r="M42" i="16"/>
  <c r="M40" i="16"/>
  <c r="M38" i="16"/>
  <c r="M37" i="16"/>
  <c r="I79" i="16"/>
  <c r="I76" i="16"/>
  <c r="I75" i="16"/>
  <c r="I74" i="16"/>
  <c r="I73" i="16"/>
  <c r="I72" i="16"/>
  <c r="I71" i="16"/>
  <c r="I69" i="16"/>
  <c r="I68" i="16"/>
  <c r="I67" i="16"/>
  <c r="I66" i="16"/>
  <c r="I63" i="16"/>
  <c r="I61" i="16"/>
  <c r="I60" i="16"/>
  <c r="I59" i="16"/>
  <c r="I58" i="16"/>
  <c r="I57" i="16"/>
  <c r="I56" i="16"/>
  <c r="I55" i="16"/>
  <c r="I54" i="16"/>
  <c r="I53" i="16"/>
  <c r="I52" i="16"/>
  <c r="I50" i="16"/>
  <c r="I47" i="16"/>
  <c r="I46" i="16"/>
  <c r="I45" i="16"/>
  <c r="I44" i="16"/>
  <c r="I43" i="16"/>
  <c r="I42" i="16"/>
  <c r="I41" i="16"/>
  <c r="I40" i="16"/>
  <c r="BC86" i="16"/>
  <c r="F86" i="16"/>
  <c r="E79" i="16"/>
  <c r="E77" i="16"/>
  <c r="E76" i="16"/>
  <c r="E75" i="16"/>
  <c r="E74" i="16"/>
  <c r="E73" i="16"/>
  <c r="E72" i="16"/>
  <c r="E71" i="16"/>
  <c r="E69" i="16"/>
  <c r="E68" i="16"/>
  <c r="E67" i="16"/>
  <c r="E66" i="16"/>
  <c r="E63" i="16"/>
  <c r="E62" i="16"/>
  <c r="E61" i="16"/>
  <c r="E60" i="16"/>
  <c r="E59" i="16"/>
  <c r="E58" i="16"/>
  <c r="E57" i="16"/>
  <c r="E56" i="16"/>
  <c r="E55" i="16"/>
  <c r="E54" i="16"/>
  <c r="E53" i="16"/>
  <c r="E52" i="16"/>
  <c r="E50" i="16"/>
  <c r="E49" i="16"/>
  <c r="E47" i="16"/>
  <c r="E46" i="16"/>
  <c r="E45" i="16"/>
  <c r="E44" i="16"/>
  <c r="E43" i="16"/>
  <c r="E42" i="16"/>
  <c r="E41" i="16"/>
  <c r="E40" i="16"/>
  <c r="E38" i="16"/>
  <c r="E37" i="16"/>
  <c r="H31" i="10"/>
  <c r="H32" i="10" s="1"/>
  <c r="H21" i="7"/>
  <c r="H18" i="7"/>
  <c r="H15" i="10"/>
  <c r="H16" i="10" s="1"/>
  <c r="H19" i="7" s="1"/>
  <c r="AQ31" i="17" l="1"/>
  <c r="O83" i="10"/>
  <c r="O20" i="10" s="1"/>
  <c r="AF101" i="17"/>
  <c r="AF100" i="17"/>
  <c r="F21" i="17"/>
  <c r="E21" i="17"/>
  <c r="B21" i="17"/>
  <c r="C21" i="17"/>
  <c r="M21" i="17"/>
  <c r="W26" i="17"/>
  <c r="Y26" i="17"/>
  <c r="X26" i="17"/>
  <c r="V26" i="17"/>
  <c r="U26" i="17"/>
  <c r="T26" i="17"/>
  <c r="AP31" i="17"/>
  <c r="N83" i="10"/>
  <c r="N20" i="10" s="1"/>
  <c r="CD81" i="16"/>
  <c r="CD75" i="16"/>
  <c r="CD60" i="16"/>
  <c r="CD80" i="16"/>
  <c r="CD59" i="16"/>
  <c r="CD72" i="16"/>
  <c r="CD56" i="16"/>
  <c r="CD55" i="16"/>
  <c r="CD68" i="16"/>
  <c r="CD40" i="16"/>
  <c r="CD67" i="16"/>
  <c r="CD53" i="16"/>
  <c r="CD38" i="16"/>
  <c r="CD66" i="16"/>
  <c r="CD79" i="16"/>
  <c r="CD63" i="16"/>
  <c r="CD50" i="16"/>
  <c r="CD76" i="16"/>
  <c r="CD61" i="16"/>
  <c r="CD47" i="16"/>
  <c r="CD74" i="16"/>
  <c r="CD45" i="16"/>
  <c r="CD73" i="16"/>
  <c r="CD58" i="16"/>
  <c r="CD44" i="16"/>
  <c r="CD57" i="16"/>
  <c r="CD43" i="16"/>
  <c r="CD71" i="16"/>
  <c r="CD42" i="16"/>
  <c r="CD69" i="16"/>
  <c r="CD41" i="16"/>
  <c r="CD85" i="16"/>
  <c r="CD54" i="16"/>
  <c r="CD84" i="16"/>
  <c r="CD37" i="16"/>
  <c r="CD52" i="16"/>
  <c r="CD77" i="16"/>
  <c r="CD62" i="16"/>
  <c r="CD49" i="16"/>
  <c r="CD82" i="16"/>
  <c r="AO31" i="17"/>
  <c r="M83" i="10"/>
  <c r="M20" i="10" s="1"/>
  <c r="G25" i="17"/>
  <c r="K83" i="10"/>
  <c r="K20" i="10" s="1"/>
  <c r="AN31" i="17"/>
  <c r="L83" i="10"/>
  <c r="L20" i="10" s="1"/>
  <c r="B18" i="19"/>
  <c r="F25" i="17"/>
  <c r="J83" i="10"/>
  <c r="J20" i="10" s="1"/>
  <c r="H25" i="17"/>
  <c r="I25" i="17"/>
  <c r="J25" i="17"/>
  <c r="K25" i="17"/>
  <c r="AM31" i="17"/>
  <c r="AS31" i="17"/>
  <c r="Q83" i="10"/>
  <c r="AR31" i="17"/>
  <c r="P83" i="10"/>
  <c r="AF39" i="17"/>
  <c r="AJ28" i="17"/>
  <c r="AH28" i="17"/>
  <c r="AH120" i="17"/>
  <c r="I18" i="19"/>
  <c r="I31" i="17"/>
  <c r="T87" i="17"/>
  <c r="B32" i="17" s="1"/>
  <c r="B31" i="17"/>
  <c r="C18" i="19"/>
  <c r="C31" i="17"/>
  <c r="AH98" i="17"/>
  <c r="D18" i="19"/>
  <c r="D31" i="17"/>
  <c r="BH31" i="17"/>
  <c r="F18" i="19"/>
  <c r="F31" i="17"/>
  <c r="Y123" i="17"/>
  <c r="U124" i="17"/>
  <c r="V122" i="17"/>
  <c r="Y124" i="17"/>
  <c r="X123" i="17"/>
  <c r="X125" i="17"/>
  <c r="F26" i="17" s="1"/>
  <c r="W123" i="17"/>
  <c r="V124" i="17"/>
  <c r="AF121" i="17"/>
  <c r="V123" i="17"/>
  <c r="U125" i="17"/>
  <c r="C26" i="17" s="1"/>
  <c r="U121" i="17"/>
  <c r="U123" i="17"/>
  <c r="W124" i="17"/>
  <c r="V125" i="17"/>
  <c r="D26" i="17" s="1"/>
  <c r="W125" i="17"/>
  <c r="E26" i="17" s="1"/>
  <c r="AF123" i="17"/>
  <c r="R119" i="17"/>
  <c r="AA121" i="17"/>
  <c r="Z121" i="17"/>
  <c r="Y121" i="17"/>
  <c r="X121" i="17"/>
  <c r="W121" i="17"/>
  <c r="AF122" i="17"/>
  <c r="U30" i="17" s="1"/>
  <c r="Z125" i="17"/>
  <c r="H26" i="17" s="1"/>
  <c r="AC121" i="17"/>
  <c r="AA122" i="17"/>
  <c r="Z122" i="17"/>
  <c r="Y125" i="17"/>
  <c r="G26" i="17" s="1"/>
  <c r="X122" i="17"/>
  <c r="AA125" i="17"/>
  <c r="I26" i="17" s="1"/>
  <c r="AB121" i="17"/>
  <c r="AC125" i="17"/>
  <c r="K26" i="17" s="1"/>
  <c r="AD123" i="17"/>
  <c r="AB124" i="17"/>
  <c r="T121" i="17"/>
  <c r="AF124" i="17"/>
  <c r="AD124" i="17"/>
  <c r="AB125" i="17"/>
  <c r="J26" i="17" s="1"/>
  <c r="AC124" i="17"/>
  <c r="AD125" i="17"/>
  <c r="L26" i="17" s="1"/>
  <c r="AE122" i="17"/>
  <c r="AC123" i="17"/>
  <c r="AA124" i="17"/>
  <c r="T122" i="17"/>
  <c r="T123" i="17"/>
  <c r="AE124" i="17"/>
  <c r="T124" i="17"/>
  <c r="AE123" i="17"/>
  <c r="AE125" i="17"/>
  <c r="M26" i="17" s="1"/>
  <c r="AD122" i="17"/>
  <c r="AB123" i="17"/>
  <c r="Z124" i="17"/>
  <c r="T125" i="17"/>
  <c r="B26" i="17" s="1"/>
  <c r="M18" i="19"/>
  <c r="E86" i="16"/>
  <c r="E18" i="19"/>
  <c r="AT125" i="17"/>
  <c r="BH15" i="19"/>
  <c r="R125" i="17"/>
  <c r="AF125" i="17" s="1"/>
  <c r="H18" i="19"/>
  <c r="BC16" i="17"/>
  <c r="BG16" i="17"/>
  <c r="BH16" i="17"/>
  <c r="AZ16" i="17"/>
  <c r="L18" i="19"/>
  <c r="AZ15" i="19"/>
  <c r="BE15" i="19"/>
  <c r="BF15" i="19"/>
  <c r="BG15" i="19"/>
  <c r="I86" i="16"/>
  <c r="BE16" i="17"/>
  <c r="BF16" i="17"/>
  <c r="AX16" i="17"/>
  <c r="AW16" i="17"/>
  <c r="AV16" i="17"/>
  <c r="AU16" i="17"/>
  <c r="AT16" i="17"/>
  <c r="AS16" i="17"/>
  <c r="AR16" i="17"/>
  <c r="AQ16" i="17"/>
  <c r="AP16" i="17"/>
  <c r="AO16" i="17"/>
  <c r="AN16" i="17"/>
  <c r="AM16" i="17"/>
  <c r="AL16" i="17"/>
  <c r="AK16" i="17"/>
  <c r="AJ16" i="17"/>
  <c r="AI16" i="17"/>
  <c r="AH16" i="17"/>
  <c r="AG16" i="17"/>
  <c r="AF16" i="17"/>
  <c r="AE16" i="17"/>
  <c r="AD16" i="17"/>
  <c r="AC16" i="17"/>
  <c r="AB16" i="17"/>
  <c r="AA16" i="17"/>
  <c r="Z16" i="17"/>
  <c r="Y16" i="17"/>
  <c r="X16" i="17"/>
  <c r="W16" i="17"/>
  <c r="V16" i="17"/>
  <c r="U16" i="17"/>
  <c r="T16" i="17"/>
  <c r="AY16" i="17"/>
  <c r="BA16" i="17"/>
  <c r="BB16" i="17"/>
  <c r="BD16" i="17"/>
  <c r="E71" i="19"/>
  <c r="C37" i="19"/>
  <c r="BD15" i="19"/>
  <c r="AZ15" i="16"/>
  <c r="BI15" i="19"/>
  <c r="BJ15" i="19"/>
  <c r="BK15" i="19"/>
  <c r="BA15" i="19"/>
  <c r="BB15" i="19"/>
  <c r="BC15" i="19"/>
  <c r="J18" i="19"/>
  <c r="D71" i="19"/>
  <c r="E54" i="19"/>
  <c r="E81" i="19"/>
  <c r="C41" i="19"/>
  <c r="F54" i="19"/>
  <c r="G71" i="19"/>
  <c r="H81" i="19"/>
  <c r="I85" i="19"/>
  <c r="I38" i="19"/>
  <c r="J41" i="19"/>
  <c r="K52" i="19"/>
  <c r="L54" i="19"/>
  <c r="M71" i="19"/>
  <c r="N81" i="19"/>
  <c r="K18" i="19"/>
  <c r="D69" i="19"/>
  <c r="E53" i="19"/>
  <c r="C40" i="19"/>
  <c r="F53" i="19"/>
  <c r="G69" i="19"/>
  <c r="H72" i="19"/>
  <c r="I82" i="19"/>
  <c r="J37" i="19"/>
  <c r="J40" i="19"/>
  <c r="K50" i="19"/>
  <c r="L53" i="19"/>
  <c r="M69" i="19"/>
  <c r="N72" i="19"/>
  <c r="B15" i="16"/>
  <c r="D54" i="19"/>
  <c r="E52" i="19"/>
  <c r="C85" i="19"/>
  <c r="C38" i="19"/>
  <c r="F52" i="19"/>
  <c r="G54" i="19"/>
  <c r="H71" i="19"/>
  <c r="I81" i="19"/>
  <c r="J85" i="19"/>
  <c r="J38" i="19"/>
  <c r="K41" i="19"/>
  <c r="L52" i="19"/>
  <c r="M54" i="19"/>
  <c r="N71" i="19"/>
  <c r="D53" i="19"/>
  <c r="E50" i="19"/>
  <c r="C82" i="19"/>
  <c r="D37" i="19"/>
  <c r="F50" i="19"/>
  <c r="G53" i="19"/>
  <c r="H69" i="19"/>
  <c r="I72" i="19"/>
  <c r="J82" i="19"/>
  <c r="K37" i="19"/>
  <c r="K40" i="19"/>
  <c r="L50" i="19"/>
  <c r="M53" i="19"/>
  <c r="N69" i="19"/>
  <c r="D52" i="19"/>
  <c r="E41" i="19"/>
  <c r="C81" i="19"/>
  <c r="E37" i="19"/>
  <c r="F41" i="19"/>
  <c r="G52" i="19"/>
  <c r="H54" i="19"/>
  <c r="I71" i="19"/>
  <c r="J81" i="19"/>
  <c r="K85" i="19"/>
  <c r="K38" i="19"/>
  <c r="L41" i="19"/>
  <c r="M52" i="19"/>
  <c r="N54" i="19"/>
  <c r="D50" i="19"/>
  <c r="E40" i="19"/>
  <c r="C72" i="19"/>
  <c r="F37" i="19"/>
  <c r="F40" i="19"/>
  <c r="G50" i="19"/>
  <c r="H53" i="19"/>
  <c r="I69" i="19"/>
  <c r="J72" i="19"/>
  <c r="K82" i="19"/>
  <c r="L37" i="19"/>
  <c r="L40" i="19"/>
  <c r="M50" i="19"/>
  <c r="N52" i="19"/>
  <c r="D41" i="19"/>
  <c r="E38" i="19"/>
  <c r="C71" i="19"/>
  <c r="F85" i="19"/>
  <c r="F38" i="19"/>
  <c r="G41" i="19"/>
  <c r="H52" i="19"/>
  <c r="I54" i="19"/>
  <c r="J71" i="19"/>
  <c r="K81" i="19"/>
  <c r="L85" i="19"/>
  <c r="L38" i="19"/>
  <c r="M41" i="19"/>
  <c r="N50" i="19"/>
  <c r="D40" i="19"/>
  <c r="D85" i="19"/>
  <c r="C69" i="19"/>
  <c r="F82" i="19"/>
  <c r="G40" i="19"/>
  <c r="H50" i="19"/>
  <c r="I53" i="19"/>
  <c r="J69" i="19"/>
  <c r="K72" i="19"/>
  <c r="L82" i="19"/>
  <c r="M37" i="19"/>
  <c r="M40" i="19"/>
  <c r="N41" i="19"/>
  <c r="D38" i="19"/>
  <c r="D82" i="19"/>
  <c r="C54" i="19"/>
  <c r="F81" i="19"/>
  <c r="G85" i="19"/>
  <c r="G38" i="19"/>
  <c r="H41" i="19"/>
  <c r="I52" i="19"/>
  <c r="J54" i="19"/>
  <c r="K71" i="19"/>
  <c r="L81" i="19"/>
  <c r="M85" i="19"/>
  <c r="M38" i="19"/>
  <c r="N40" i="19"/>
  <c r="G18" i="19"/>
  <c r="E72" i="19"/>
  <c r="D81" i="19"/>
  <c r="C53" i="19"/>
  <c r="F72" i="19"/>
  <c r="G82" i="19"/>
  <c r="H37" i="19"/>
  <c r="H40" i="19"/>
  <c r="I50" i="19"/>
  <c r="J53" i="19"/>
  <c r="K69" i="19"/>
  <c r="L72" i="19"/>
  <c r="M82" i="19"/>
  <c r="N37" i="19"/>
  <c r="N38" i="19"/>
  <c r="E85" i="19"/>
  <c r="C52" i="19"/>
  <c r="F71" i="19"/>
  <c r="G81" i="19"/>
  <c r="H85" i="19"/>
  <c r="H38" i="19"/>
  <c r="I41" i="19"/>
  <c r="J52" i="19"/>
  <c r="K54" i="19"/>
  <c r="L71" i="19"/>
  <c r="M81" i="19"/>
  <c r="N85" i="19"/>
  <c r="N53" i="19"/>
  <c r="D72" i="19"/>
  <c r="E69" i="19"/>
  <c r="E82" i="19"/>
  <c r="C50" i="19"/>
  <c r="F69" i="19"/>
  <c r="G72" i="19"/>
  <c r="H82" i="19"/>
  <c r="I37" i="19"/>
  <c r="I40" i="19"/>
  <c r="J50" i="19"/>
  <c r="K53" i="19"/>
  <c r="L69" i="19"/>
  <c r="M72" i="19"/>
  <c r="N82" i="19"/>
  <c r="C47" i="19"/>
  <c r="D47" i="19"/>
  <c r="E47" i="19"/>
  <c r="F47" i="19"/>
  <c r="G47" i="19"/>
  <c r="H47" i="19"/>
  <c r="I47" i="19"/>
  <c r="J47" i="19"/>
  <c r="K47" i="19"/>
  <c r="L47" i="19"/>
  <c r="M47" i="19"/>
  <c r="N47" i="19"/>
  <c r="AA87" i="17"/>
  <c r="I32" i="17" s="1"/>
  <c r="AB87" i="17"/>
  <c r="J32" i="17" s="1"/>
  <c r="AC87" i="17"/>
  <c r="AD87" i="17"/>
  <c r="L32" i="17" s="1"/>
  <c r="AE87" i="17"/>
  <c r="M32" i="17" s="1"/>
  <c r="V87" i="17"/>
  <c r="D32" i="17" s="1"/>
  <c r="W87" i="17"/>
  <c r="E32" i="17" s="1"/>
  <c r="X87" i="17"/>
  <c r="F32" i="17" s="1"/>
  <c r="Y87" i="17"/>
  <c r="G32" i="17" s="1"/>
  <c r="Z87" i="17"/>
  <c r="H32" i="17" s="1"/>
  <c r="U87" i="17"/>
  <c r="C32" i="17" s="1"/>
  <c r="N42" i="19"/>
  <c r="N43" i="19"/>
  <c r="N44" i="19"/>
  <c r="N45" i="19"/>
  <c r="N49" i="19"/>
  <c r="N55" i="19"/>
  <c r="N56" i="19"/>
  <c r="N57" i="19"/>
  <c r="N58" i="19"/>
  <c r="N59" i="19"/>
  <c r="N60" i="19"/>
  <c r="N61" i="19"/>
  <c r="N62" i="19"/>
  <c r="N63" i="19"/>
  <c r="N66" i="19"/>
  <c r="N67" i="19"/>
  <c r="N68" i="19"/>
  <c r="N73" i="19"/>
  <c r="N74" i="19"/>
  <c r="N75" i="19"/>
  <c r="N76" i="19"/>
  <c r="N77" i="19"/>
  <c r="N79" i="19"/>
  <c r="N80" i="19"/>
  <c r="N84" i="19"/>
  <c r="M42" i="19"/>
  <c r="M43" i="19"/>
  <c r="M44" i="19"/>
  <c r="M45" i="19"/>
  <c r="M46" i="19"/>
  <c r="M49" i="19"/>
  <c r="M55" i="19"/>
  <c r="M56" i="19"/>
  <c r="M57" i="19"/>
  <c r="M58" i="19"/>
  <c r="M59" i="19"/>
  <c r="M60" i="19"/>
  <c r="M61" i="19"/>
  <c r="M62" i="19"/>
  <c r="M63" i="19"/>
  <c r="M66" i="19"/>
  <c r="M67" i="19"/>
  <c r="M68" i="19"/>
  <c r="M73" i="19"/>
  <c r="M74" i="19"/>
  <c r="M75" i="19"/>
  <c r="M76" i="19"/>
  <c r="M77" i="19"/>
  <c r="M79" i="19"/>
  <c r="M80" i="19"/>
  <c r="M84" i="19"/>
  <c r="L42" i="19"/>
  <c r="L43" i="19"/>
  <c r="L44" i="19"/>
  <c r="L45" i="19"/>
  <c r="L46" i="19"/>
  <c r="L49" i="19"/>
  <c r="L55" i="19"/>
  <c r="L56" i="19"/>
  <c r="L57" i="19"/>
  <c r="L58" i="19"/>
  <c r="L59" i="19"/>
  <c r="L60" i="19"/>
  <c r="L61" i="19"/>
  <c r="L62" i="19"/>
  <c r="L63" i="19"/>
  <c r="L66" i="19"/>
  <c r="L67" i="19"/>
  <c r="L68" i="19"/>
  <c r="L73" i="19"/>
  <c r="L74" i="19"/>
  <c r="L75" i="19"/>
  <c r="L76" i="19"/>
  <c r="L77" i="19"/>
  <c r="L79" i="19"/>
  <c r="L80" i="19"/>
  <c r="L84" i="19"/>
  <c r="K42" i="19"/>
  <c r="K43" i="19"/>
  <c r="K44" i="19"/>
  <c r="K45" i="19"/>
  <c r="K46" i="19"/>
  <c r="K49" i="19"/>
  <c r="K55" i="19"/>
  <c r="K56" i="19"/>
  <c r="K57" i="19"/>
  <c r="K58" i="19"/>
  <c r="K59" i="19"/>
  <c r="K60" i="19"/>
  <c r="K61" i="19"/>
  <c r="K62" i="19"/>
  <c r="K63" i="19"/>
  <c r="K66" i="19"/>
  <c r="K67" i="19"/>
  <c r="K68" i="19"/>
  <c r="K73" i="19"/>
  <c r="K74" i="19"/>
  <c r="K75" i="19"/>
  <c r="K76" i="19"/>
  <c r="K77" i="19"/>
  <c r="K79" i="19"/>
  <c r="K80" i="19"/>
  <c r="K84" i="19"/>
  <c r="J42" i="19"/>
  <c r="J43" i="19"/>
  <c r="J44" i="19"/>
  <c r="J45" i="19"/>
  <c r="J46" i="19"/>
  <c r="J49" i="19"/>
  <c r="J55" i="19"/>
  <c r="J56" i="19"/>
  <c r="J57" i="19"/>
  <c r="J58" i="19"/>
  <c r="J59" i="19"/>
  <c r="J60" i="19"/>
  <c r="J61" i="19"/>
  <c r="J62" i="19"/>
  <c r="J63" i="19"/>
  <c r="J66" i="19"/>
  <c r="J67" i="19"/>
  <c r="J68" i="19"/>
  <c r="J73" i="19"/>
  <c r="J74" i="19"/>
  <c r="J75" i="19"/>
  <c r="J76" i="19"/>
  <c r="J77" i="19"/>
  <c r="J79" i="19"/>
  <c r="J80" i="19"/>
  <c r="J84" i="19"/>
  <c r="I42" i="19"/>
  <c r="I43" i="19"/>
  <c r="I44" i="19"/>
  <c r="I45" i="19"/>
  <c r="I46" i="19"/>
  <c r="I49" i="19"/>
  <c r="I55" i="19"/>
  <c r="I56" i="19"/>
  <c r="I57" i="19"/>
  <c r="I58" i="19"/>
  <c r="I59" i="19"/>
  <c r="I60" i="19"/>
  <c r="I61" i="19"/>
  <c r="I62" i="19"/>
  <c r="I63" i="19"/>
  <c r="I66" i="19"/>
  <c r="I67" i="19"/>
  <c r="I68" i="19"/>
  <c r="I73" i="19"/>
  <c r="I74" i="19"/>
  <c r="I75" i="19"/>
  <c r="I76" i="19"/>
  <c r="I77" i="19"/>
  <c r="I79" i="19"/>
  <c r="I80" i="19"/>
  <c r="I84" i="19"/>
  <c r="H42" i="19"/>
  <c r="H43" i="19"/>
  <c r="H44" i="19"/>
  <c r="H45" i="19"/>
  <c r="H46" i="19"/>
  <c r="H49" i="19"/>
  <c r="H55" i="19"/>
  <c r="H56" i="19"/>
  <c r="H57" i="19"/>
  <c r="H58" i="19"/>
  <c r="H59" i="19"/>
  <c r="H60" i="19"/>
  <c r="H61" i="19"/>
  <c r="H62" i="19"/>
  <c r="H63" i="19"/>
  <c r="H66" i="19"/>
  <c r="H67" i="19"/>
  <c r="H68" i="19"/>
  <c r="H73" i="19"/>
  <c r="H74" i="19"/>
  <c r="H75" i="19"/>
  <c r="H76" i="19"/>
  <c r="H77" i="19"/>
  <c r="H79" i="19"/>
  <c r="H80" i="19"/>
  <c r="H84" i="19"/>
  <c r="G42" i="19"/>
  <c r="G43" i="19"/>
  <c r="G44" i="19"/>
  <c r="G45" i="19"/>
  <c r="G46" i="19"/>
  <c r="G49" i="19"/>
  <c r="G55" i="19"/>
  <c r="G56" i="19"/>
  <c r="G57" i="19"/>
  <c r="G58" i="19"/>
  <c r="G59" i="19"/>
  <c r="G60" i="19"/>
  <c r="G61" i="19"/>
  <c r="G62" i="19"/>
  <c r="G63" i="19"/>
  <c r="G66" i="19"/>
  <c r="G67" i="19"/>
  <c r="G68" i="19"/>
  <c r="G73" i="19"/>
  <c r="G74" i="19"/>
  <c r="G75" i="19"/>
  <c r="G76" i="19"/>
  <c r="G77" i="19"/>
  <c r="G79" i="19"/>
  <c r="G80" i="19"/>
  <c r="G84" i="19"/>
  <c r="F42" i="19"/>
  <c r="F43" i="19"/>
  <c r="F44" i="19"/>
  <c r="F45" i="19"/>
  <c r="F46" i="19"/>
  <c r="F49" i="19"/>
  <c r="F55" i="19"/>
  <c r="F56" i="19"/>
  <c r="F57" i="19"/>
  <c r="F58" i="19"/>
  <c r="F59" i="19"/>
  <c r="F60" i="19"/>
  <c r="F61" i="19"/>
  <c r="F62" i="19"/>
  <c r="F63" i="19"/>
  <c r="F66" i="19"/>
  <c r="F67" i="19"/>
  <c r="F68" i="19"/>
  <c r="F73" i="19"/>
  <c r="F74" i="19"/>
  <c r="F75" i="19"/>
  <c r="F76" i="19"/>
  <c r="F77" i="19"/>
  <c r="F79" i="19"/>
  <c r="F80" i="19"/>
  <c r="F84" i="19"/>
  <c r="C42" i="19"/>
  <c r="C43" i="19"/>
  <c r="C44" i="19"/>
  <c r="C45" i="19"/>
  <c r="C46" i="19"/>
  <c r="C49" i="19"/>
  <c r="C55" i="19"/>
  <c r="C56" i="19"/>
  <c r="C57" i="19"/>
  <c r="C58" i="19"/>
  <c r="C59" i="19"/>
  <c r="C60" i="19"/>
  <c r="C61" i="19"/>
  <c r="C62" i="19"/>
  <c r="C63" i="19"/>
  <c r="C66" i="19"/>
  <c r="C67" i="19"/>
  <c r="C68" i="19"/>
  <c r="C73" i="19"/>
  <c r="C74" i="19"/>
  <c r="C75" i="19"/>
  <c r="C76" i="19"/>
  <c r="C77" i="19"/>
  <c r="C79" i="19"/>
  <c r="C80" i="19"/>
  <c r="C84" i="19"/>
  <c r="E80" i="19"/>
  <c r="E84" i="19"/>
  <c r="D80" i="19"/>
  <c r="D84" i="19"/>
  <c r="E42" i="19"/>
  <c r="E43" i="19"/>
  <c r="E44" i="19"/>
  <c r="E45" i="19"/>
  <c r="E46" i="19"/>
  <c r="E49" i="19"/>
  <c r="E55" i="19"/>
  <c r="E56" i="19"/>
  <c r="E57" i="19"/>
  <c r="E58" i="19"/>
  <c r="E59" i="19"/>
  <c r="E60" i="19"/>
  <c r="E61" i="19"/>
  <c r="E62" i="19"/>
  <c r="E63" i="19"/>
  <c r="E66" i="19"/>
  <c r="E67" i="19"/>
  <c r="E68" i="19"/>
  <c r="E73" i="19"/>
  <c r="E74" i="19"/>
  <c r="E75" i="19"/>
  <c r="E76" i="19"/>
  <c r="E77" i="19"/>
  <c r="E79" i="19"/>
  <c r="D42" i="19"/>
  <c r="D43" i="19"/>
  <c r="D44" i="19"/>
  <c r="D45" i="19"/>
  <c r="D46" i="19"/>
  <c r="D49" i="19"/>
  <c r="D55" i="19"/>
  <c r="D56" i="19"/>
  <c r="D57" i="19"/>
  <c r="D58" i="19"/>
  <c r="D59" i="19"/>
  <c r="D60" i="19"/>
  <c r="D61" i="19"/>
  <c r="D62" i="19"/>
  <c r="D63" i="19"/>
  <c r="D66" i="19"/>
  <c r="D67" i="19"/>
  <c r="D68" i="19"/>
  <c r="D73" i="19"/>
  <c r="D74" i="19"/>
  <c r="D75" i="19"/>
  <c r="D76" i="19"/>
  <c r="D77" i="19"/>
  <c r="D79" i="19"/>
  <c r="BD86" i="16"/>
  <c r="BT87" i="17"/>
  <c r="BG87" i="17"/>
  <c r="AT87" i="17"/>
  <c r="K32" i="17"/>
  <c r="C15" i="16"/>
  <c r="Y86" i="16"/>
  <c r="AS86" i="16"/>
  <c r="BJ86" i="16"/>
  <c r="BV86" i="16"/>
  <c r="CL86" i="16"/>
  <c r="D15" i="16"/>
  <c r="BH86" i="16"/>
  <c r="BB15" i="16" s="1"/>
  <c r="E15" i="16"/>
  <c r="W86" i="16"/>
  <c r="AA86" i="16"/>
  <c r="AE86" i="16"/>
  <c r="AI86" i="16"/>
  <c r="AM86" i="16"/>
  <c r="AQ86" i="16"/>
  <c r="AU86" i="16"/>
  <c r="AC86" i="16"/>
  <c r="AO86" i="16"/>
  <c r="BB86" i="16"/>
  <c r="BF86" i="16"/>
  <c r="BZ86" i="16"/>
  <c r="CP86" i="16"/>
  <c r="BP86" i="16"/>
  <c r="BT86" i="16"/>
  <c r="BE15" i="16" s="1"/>
  <c r="BX86" i="16"/>
  <c r="BF15" i="16" s="1"/>
  <c r="CB86" i="16"/>
  <c r="CF86" i="16"/>
  <c r="CJ86" i="16"/>
  <c r="BI15" i="16" s="1"/>
  <c r="CN86" i="16"/>
  <c r="BJ15" i="16" s="1"/>
  <c r="CR86" i="16"/>
  <c r="BL86" i="16"/>
  <c r="I16" i="10"/>
  <c r="I18" i="10"/>
  <c r="I19" i="10" s="1"/>
  <c r="I35" i="10"/>
  <c r="I32" i="10"/>
  <c r="BL31" i="17"/>
  <c r="BM31" i="17"/>
  <c r="BO31" i="17"/>
  <c r="BP31" i="17"/>
  <c r="BQ31" i="17"/>
  <c r="BN46" i="16"/>
  <c r="BN86" i="16" s="1"/>
  <c r="BR46" i="16"/>
  <c r="BR86" i="16" s="1"/>
  <c r="CD46" i="16"/>
  <c r="CH46" i="16"/>
  <c r="CH86" i="16" s="1"/>
  <c r="CT46" i="16"/>
  <c r="CT86" i="16" s="1"/>
  <c r="AG41" i="16"/>
  <c r="AG86" i="16" s="1"/>
  <c r="AW41" i="16"/>
  <c r="AW86" i="16" s="1"/>
  <c r="AK41" i="16"/>
  <c r="AK86" i="16" s="1"/>
  <c r="Q41" i="16"/>
  <c r="Q86" i="16" s="1"/>
  <c r="U41" i="16"/>
  <c r="U86" i="16" s="1"/>
  <c r="H34" i="10"/>
  <c r="H35" i="10" s="1"/>
  <c r="AT107" i="17"/>
  <c r="H18" i="10"/>
  <c r="H19" i="10" s="1"/>
  <c r="H20" i="7" s="1"/>
  <c r="N44" i="12"/>
  <c r="N34" i="12"/>
  <c r="O44" i="12"/>
  <c r="O34" i="12"/>
  <c r="P44" i="12"/>
  <c r="P34" i="12"/>
  <c r="M43" i="16"/>
  <c r="M86" i="16" s="1"/>
  <c r="R87" i="17"/>
  <c r="AF87" i="17" s="1"/>
  <c r="R107" i="17"/>
  <c r="AF107" i="17" s="1"/>
  <c r="AF99" i="17"/>
  <c r="M51" i="12"/>
  <c r="F48" i="12" s="1"/>
  <c r="M30" i="12"/>
  <c r="F27" i="12" s="1"/>
  <c r="M20" i="12"/>
  <c r="B16" i="17" l="1" a="1"/>
  <c r="B16" i="17" s="1"/>
  <c r="W30" i="17"/>
  <c r="T30" i="17"/>
  <c r="V30" i="17"/>
  <c r="CD86" i="16"/>
  <c r="O14" i="17"/>
  <c r="G11" i="17" s="1"/>
  <c r="T21" i="17" a="1"/>
  <c r="T21" i="17" s="1"/>
  <c r="I11" i="17"/>
  <c r="BC15" i="16"/>
  <c r="BK15" i="16"/>
  <c r="BH15" i="16"/>
  <c r="BG15" i="16"/>
  <c r="BD15" i="16"/>
  <c r="M15" i="16"/>
  <c r="BA15" i="16"/>
  <c r="C17" i="19"/>
  <c r="D17" i="19"/>
  <c r="B17" i="19"/>
  <c r="E17" i="19"/>
  <c r="F17" i="19"/>
  <c r="G17" i="19"/>
  <c r="H17" i="19"/>
  <c r="I17" i="19"/>
  <c r="J17" i="19"/>
  <c r="K17" i="19"/>
  <c r="L17" i="19"/>
  <c r="M17" i="19"/>
  <c r="L15" i="16"/>
  <c r="K15" i="16"/>
  <c r="J15" i="16"/>
  <c r="I15" i="16"/>
  <c r="H15" i="16"/>
  <c r="G15" i="16"/>
  <c r="F15" i="16"/>
  <c r="I17" i="12"/>
  <c r="H62" i="12"/>
  <c r="I62" i="12" s="1"/>
  <c r="H59" i="12"/>
  <c r="B17" i="16" l="1" a="1"/>
  <c r="B17" i="16" s="1"/>
  <c r="H60" i="12"/>
  <c r="I59" i="12" s="1"/>
  <c r="F63" i="12"/>
  <c r="H63" i="12" s="1"/>
  <c r="I63" i="12" s="1"/>
  <c r="G99" i="10"/>
  <c r="H99" i="10"/>
  <c r="I99" i="10"/>
  <c r="J99" i="10"/>
  <c r="K99" i="10"/>
  <c r="L99" i="10"/>
  <c r="M99" i="10"/>
  <c r="N99" i="10"/>
  <c r="O99" i="10"/>
  <c r="P99" i="10"/>
  <c r="Q99" i="10"/>
  <c r="F99" i="10"/>
  <c r="Q85" i="10" l="1"/>
  <c r="P85" i="10"/>
  <c r="O85" i="10"/>
  <c r="N85" i="10"/>
  <c r="M85" i="10"/>
  <c r="L85" i="10"/>
  <c r="K85" i="10"/>
  <c r="J85" i="10"/>
  <c r="I85" i="10"/>
  <c r="H85" i="10"/>
  <c r="G85" i="10"/>
  <c r="F85" i="10"/>
  <c r="G87" i="10"/>
  <c r="H87" i="10" s="1"/>
  <c r="I87" i="10" s="1"/>
  <c r="J87" i="10" s="1"/>
  <c r="K87" i="10" s="1"/>
  <c r="L87" i="10" s="1"/>
  <c r="M87" i="10" s="1"/>
  <c r="N87" i="10" s="1"/>
  <c r="O87" i="10" s="1"/>
  <c r="P87" i="10" s="1"/>
  <c r="Q87" i="10" s="1"/>
  <c r="G79" i="10"/>
  <c r="H79" i="10" s="1"/>
  <c r="I79" i="10" s="1"/>
  <c r="J79" i="10" s="1"/>
  <c r="K79" i="10" s="1"/>
  <c r="L79" i="10" s="1"/>
  <c r="M79" i="10" s="1"/>
  <c r="N79" i="10" s="1"/>
  <c r="O79" i="10" s="1"/>
  <c r="P79" i="10" s="1"/>
  <c r="Q79" i="10" s="1"/>
  <c r="G67" i="10"/>
  <c r="H67" i="10" s="1"/>
  <c r="I67" i="10" s="1"/>
  <c r="J67" i="10" s="1"/>
  <c r="K67" i="10" s="1"/>
  <c r="L67" i="10" s="1"/>
  <c r="M67" i="10" s="1"/>
  <c r="N67" i="10" s="1"/>
  <c r="O67" i="10" s="1"/>
  <c r="P67" i="10" s="1"/>
  <c r="Q67" i="10" s="1"/>
  <c r="G63" i="10"/>
  <c r="H63" i="10"/>
  <c r="I63" i="10"/>
  <c r="J63" i="10"/>
  <c r="K63" i="10"/>
  <c r="L63" i="10"/>
  <c r="M63" i="10"/>
  <c r="N63" i="10"/>
  <c r="O63" i="10"/>
  <c r="P63" i="10"/>
  <c r="Q63" i="10"/>
  <c r="F63" i="10"/>
  <c r="Q59" i="10"/>
  <c r="P59" i="10"/>
  <c r="O59" i="10"/>
  <c r="N59" i="10"/>
  <c r="M59" i="10"/>
  <c r="L59" i="10"/>
  <c r="K59" i="10"/>
  <c r="J59" i="10"/>
  <c r="I59" i="10"/>
  <c r="H59" i="10"/>
  <c r="G59" i="10"/>
  <c r="F59" i="10"/>
  <c r="G55" i="10"/>
  <c r="H55" i="10"/>
  <c r="I55" i="10"/>
  <c r="J55" i="10"/>
  <c r="K55" i="10"/>
  <c r="L55" i="10"/>
  <c r="M55" i="10"/>
  <c r="N55" i="10"/>
  <c r="O55" i="10"/>
  <c r="P55" i="10"/>
  <c r="Q55" i="10"/>
  <c r="F55" i="10"/>
  <c r="E53" i="10"/>
  <c r="G46" i="10"/>
  <c r="H46" i="10" s="1"/>
  <c r="I46" i="10" s="1"/>
  <c r="J46" i="10" s="1"/>
  <c r="K46" i="10" s="1"/>
  <c r="L46" i="10" s="1"/>
  <c r="M46" i="10" s="1"/>
  <c r="N46" i="10" s="1"/>
  <c r="O46" i="10" s="1"/>
  <c r="P46" i="10" s="1"/>
  <c r="Q46" i="10" s="1"/>
  <c r="G39" i="10"/>
  <c r="H39" i="10" s="1"/>
  <c r="I39" i="10" s="1"/>
  <c r="J39" i="10" s="1"/>
  <c r="K39" i="10" s="1"/>
  <c r="L39" i="10" s="1"/>
  <c r="M39" i="10" s="1"/>
  <c r="N39" i="10" s="1"/>
  <c r="O39" i="10" s="1"/>
  <c r="P39" i="10" s="1"/>
  <c r="Q39" i="10" s="1"/>
  <c r="H27" i="10"/>
  <c r="I27" i="10"/>
  <c r="J27" i="10"/>
  <c r="K27" i="10"/>
  <c r="L27" i="10"/>
  <c r="M27" i="10"/>
  <c r="N27" i="10"/>
  <c r="O27" i="10"/>
  <c r="P27" i="10"/>
  <c r="Q27" i="10"/>
  <c r="G21" i="10"/>
  <c r="H21" i="10" s="1"/>
  <c r="I21" i="10" s="1"/>
  <c r="J21" i="10" s="1"/>
  <c r="K21" i="10" s="1"/>
  <c r="L21" i="10" s="1"/>
  <c r="M21" i="10" s="1"/>
  <c r="N21" i="10" s="1"/>
  <c r="O21" i="10" s="1"/>
  <c r="P21" i="10" s="1"/>
  <c r="Q21" i="10" s="1"/>
  <c r="G27" i="10"/>
  <c r="F27" i="10"/>
  <c r="G28" i="10" l="1"/>
  <c r="H28" i="10" s="1"/>
  <c r="I28" i="10" s="1"/>
  <c r="J28" i="10" s="1"/>
  <c r="K28" i="10" s="1"/>
  <c r="L28" i="10" s="1"/>
  <c r="M28" i="10" s="1"/>
  <c r="N28" i="10" s="1"/>
  <c r="F31" i="10"/>
  <c r="F32" i="10" s="1"/>
  <c r="G31" i="10"/>
  <c r="G32" i="10" s="1"/>
  <c r="I48" i="12"/>
  <c r="I27" i="12"/>
  <c r="F16" i="12"/>
  <c r="I16" i="12" s="1"/>
  <c r="F45" i="12"/>
  <c r="M23" i="12"/>
  <c r="M44" i="12" s="1"/>
  <c r="M55" i="12" s="1"/>
  <c r="L23" i="12"/>
  <c r="L44" i="12" s="1"/>
  <c r="K23" i="12"/>
  <c r="K44" i="12" s="1"/>
  <c r="K55" i="12" s="1"/>
  <c r="I23" i="12"/>
  <c r="I44" i="12" s="1"/>
  <c r="H23" i="12"/>
  <c r="H44" i="12" s="1"/>
  <c r="G23" i="12"/>
  <c r="G44" i="12" s="1"/>
  <c r="F23" i="12"/>
  <c r="F44" i="12" s="1"/>
  <c r="E23" i="12"/>
  <c r="E44" i="12" s="1"/>
  <c r="D23" i="12"/>
  <c r="D44" i="12" s="1"/>
  <c r="D56" i="12" s="1"/>
  <c r="C23" i="12"/>
  <c r="C44" i="12" s="1"/>
  <c r="C56" i="12" s="1"/>
  <c r="I25" i="12"/>
  <c r="I24" i="12"/>
  <c r="D9" i="12"/>
  <c r="I14" i="12"/>
  <c r="I46" i="12"/>
  <c r="I26" i="12"/>
  <c r="L55" i="12" l="1"/>
  <c r="H35" i="12"/>
  <c r="H36" i="12"/>
  <c r="H15" i="12"/>
  <c r="H45" i="12"/>
  <c r="H14" i="12"/>
  <c r="H24" i="12"/>
  <c r="H25" i="12"/>
  <c r="G34" i="10"/>
  <c r="G35" i="10" s="1"/>
  <c r="F34" i="10"/>
  <c r="F35" i="10" s="1"/>
  <c r="H29" i="12"/>
  <c r="H31" i="12" s="1"/>
  <c r="I15" i="12"/>
  <c r="I45" i="12"/>
  <c r="C78" i="2"/>
  <c r="E78" i="2"/>
  <c r="C79" i="2"/>
  <c r="E79" i="2"/>
  <c r="D17" i="10"/>
  <c r="D14" i="10"/>
  <c r="D13" i="10"/>
  <c r="O28" i="10"/>
  <c r="P28" i="10" s="1"/>
  <c r="Q28" i="10" s="1"/>
  <c r="G15" i="10"/>
  <c r="G18" i="10" s="1"/>
  <c r="G19" i="10" s="1"/>
  <c r="F15" i="10"/>
  <c r="F16" i="10" s="1"/>
  <c r="E49" i="10"/>
  <c r="E48" i="10"/>
  <c r="E50" i="10"/>
  <c r="E44" i="10"/>
  <c r="G11" i="10"/>
  <c r="H11" i="10" s="1"/>
  <c r="I11" i="10" s="1"/>
  <c r="J11" i="10" s="1"/>
  <c r="K11" i="10" s="1"/>
  <c r="L11" i="10" s="1"/>
  <c r="M11" i="10" s="1"/>
  <c r="N11" i="10" s="1"/>
  <c r="O11" i="10" s="1"/>
  <c r="P11" i="10" s="1"/>
  <c r="Q11" i="10" s="1"/>
  <c r="H18" i="12" l="1"/>
  <c r="H20" i="12" s="1"/>
  <c r="H50" i="12"/>
  <c r="H52" i="12" s="1"/>
  <c r="D15" i="10"/>
  <c r="D16" i="10" s="1"/>
  <c r="E13" i="10"/>
  <c r="E18" i="10" s="1"/>
  <c r="G16" i="10"/>
  <c r="F18" i="10"/>
  <c r="F19" i="10" s="1"/>
  <c r="C59" i="2"/>
  <c r="C60" i="2"/>
  <c r="C61" i="2"/>
  <c r="C62" i="2"/>
  <c r="C63" i="2"/>
  <c r="C64" i="2"/>
  <c r="C65" i="2"/>
  <c r="C66" i="2"/>
  <c r="C67" i="2"/>
  <c r="C68" i="2"/>
  <c r="C69" i="2"/>
  <c r="C70" i="2"/>
  <c r="C81" i="2"/>
  <c r="E81" i="2"/>
  <c r="C82" i="2"/>
  <c r="E82" i="2"/>
  <c r="C83" i="2"/>
  <c r="E83" i="2"/>
  <c r="C84" i="2"/>
  <c r="E84" i="2"/>
  <c r="C85" i="2"/>
  <c r="E85" i="2"/>
  <c r="C86" i="2"/>
  <c r="E86" i="2"/>
  <c r="C87" i="2"/>
  <c r="E87" i="2"/>
  <c r="C88" i="2"/>
  <c r="E88" i="2"/>
  <c r="R52" i="2"/>
  <c r="R53" i="2"/>
  <c r="R54" i="2"/>
  <c r="R55" i="2"/>
  <c r="R56" i="2"/>
  <c r="R57" i="2"/>
  <c r="R51" i="2"/>
  <c r="C41" i="2"/>
  <c r="E41" i="2"/>
  <c r="C42" i="2"/>
  <c r="E42" i="2"/>
  <c r="C43" i="2"/>
  <c r="E43" i="2"/>
  <c r="C44" i="2"/>
  <c r="E44" i="2"/>
  <c r="C45" i="2"/>
  <c r="E45"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80" i="2"/>
  <c r="E89" i="2"/>
  <c r="E90" i="2"/>
  <c r="E91" i="2"/>
  <c r="E92" i="2"/>
  <c r="E93" i="2"/>
  <c r="E94" i="2"/>
  <c r="E95" i="2"/>
  <c r="E96" i="2"/>
  <c r="B89" i="2"/>
  <c r="B80" i="2"/>
  <c r="B71" i="2"/>
  <c r="B58" i="2"/>
  <c r="B51" i="2"/>
  <c r="B39" i="2"/>
  <c r="B23" i="2"/>
  <c r="B14" i="2"/>
  <c r="C50" i="2"/>
  <c r="C51" i="2"/>
  <c r="C52" i="2"/>
  <c r="C53" i="2"/>
  <c r="C54" i="2"/>
  <c r="C55" i="2"/>
  <c r="C56" i="2"/>
  <c r="C57" i="2"/>
  <c r="C58" i="2"/>
  <c r="C71" i="2"/>
  <c r="C72" i="2"/>
  <c r="C73" i="2"/>
  <c r="C74" i="2"/>
  <c r="C75" i="2"/>
  <c r="C76" i="2"/>
  <c r="C77" i="2"/>
  <c r="C80" i="2"/>
  <c r="C89" i="2"/>
  <c r="C90" i="2"/>
  <c r="C91" i="2"/>
  <c r="C92" i="2"/>
  <c r="C93" i="2"/>
  <c r="C94" i="2"/>
  <c r="C95" i="2"/>
  <c r="C96" i="2"/>
  <c r="E15" i="2"/>
  <c r="E16" i="2"/>
  <c r="E17" i="2"/>
  <c r="E18" i="2"/>
  <c r="E19" i="2"/>
  <c r="E20" i="2"/>
  <c r="E21" i="2"/>
  <c r="E22" i="2"/>
  <c r="C15" i="2"/>
  <c r="C16" i="2"/>
  <c r="C17" i="2"/>
  <c r="C18" i="2"/>
  <c r="C19" i="2"/>
  <c r="C20" i="2"/>
  <c r="C21" i="2"/>
  <c r="C22" i="2"/>
  <c r="E40" i="2"/>
  <c r="E46" i="2"/>
  <c r="E47" i="2"/>
  <c r="E48" i="2"/>
  <c r="E49" i="2"/>
  <c r="C40" i="2"/>
  <c r="C46" i="2"/>
  <c r="C47" i="2"/>
  <c r="C48" i="2"/>
  <c r="C49" i="2"/>
  <c r="E24" i="2"/>
  <c r="E26" i="2"/>
  <c r="E27" i="2"/>
  <c r="E28" i="2"/>
  <c r="E29" i="2"/>
  <c r="E30" i="2"/>
  <c r="E31" i="2"/>
  <c r="E32" i="2"/>
  <c r="C32" i="2"/>
  <c r="C24" i="2"/>
  <c r="C25" i="2"/>
  <c r="C26" i="2"/>
  <c r="C27" i="2"/>
  <c r="C28" i="2"/>
  <c r="C29" i="2"/>
  <c r="C30" i="2"/>
  <c r="C31" i="2"/>
  <c r="D18" i="10" l="1"/>
  <c r="D19" i="10" s="1"/>
  <c r="E15" i="10"/>
  <c r="E17" i="10" s="1"/>
  <c r="E23" i="2"/>
  <c r="E39" i="2"/>
  <c r="E14" i="2"/>
  <c r="E14" i="10" l="1"/>
  <c r="F13" i="2"/>
  <c r="F12" i="2" s="1"/>
  <c r="C23" i="2"/>
  <c r="C39" i="2"/>
  <c r="C14" i="2"/>
  <c r="F37" i="2" l="1"/>
  <c r="F38" i="2"/>
  <c r="F33" i="2"/>
  <c r="F36" i="2"/>
  <c r="F34" i="2"/>
  <c r="F35" i="2"/>
  <c r="F14" i="2"/>
  <c r="F90" i="2"/>
  <c r="F51" i="2"/>
  <c r="F91" i="2"/>
  <c r="F40" i="2"/>
  <c r="F52" i="2"/>
  <c r="F92" i="2"/>
  <c r="F41" i="2"/>
  <c r="F53" i="2"/>
  <c r="F93" i="2"/>
  <c r="F94" i="2"/>
  <c r="F46" i="2"/>
  <c r="F95" i="2"/>
  <c r="F47" i="2"/>
  <c r="F96" i="2"/>
  <c r="F48" i="2"/>
  <c r="F49" i="2"/>
  <c r="F50" i="2"/>
  <c r="F54" i="2"/>
  <c r="F39" i="2"/>
  <c r="F55" i="2"/>
  <c r="F56" i="2"/>
  <c r="F42" i="2"/>
  <c r="F57" i="2"/>
  <c r="F89" i="2"/>
  <c r="F43" i="2"/>
  <c r="F44" i="2"/>
  <c r="F45" i="2"/>
  <c r="F71" i="2"/>
  <c r="F72" i="2"/>
  <c r="F73" i="2"/>
  <c r="F74" i="2"/>
  <c r="F75" i="2"/>
  <c r="F76" i="2"/>
  <c r="F77" i="2"/>
  <c r="F78" i="2"/>
  <c r="F79" i="2"/>
  <c r="F59" i="2"/>
  <c r="F62" i="2"/>
  <c r="F66" i="2"/>
  <c r="F70" i="2"/>
  <c r="F61" i="2"/>
  <c r="F67" i="2"/>
  <c r="F63" i="2"/>
  <c r="F69" i="2"/>
  <c r="F60" i="2"/>
  <c r="F64" i="2"/>
  <c r="F65" i="2"/>
  <c r="F68" i="2"/>
  <c r="F58" i="2"/>
  <c r="F80" i="2"/>
  <c r="F81" i="2"/>
  <c r="F82" i="2"/>
  <c r="F83" i="2"/>
  <c r="F84" i="2"/>
  <c r="F85" i="2"/>
  <c r="F86" i="2"/>
  <c r="F87" i="2"/>
  <c r="F88" i="2"/>
  <c r="F15" i="2"/>
  <c r="F16" i="2"/>
  <c r="F17" i="2"/>
  <c r="F18" i="2"/>
  <c r="F19" i="2"/>
  <c r="F20" i="2"/>
  <c r="F21" i="2"/>
  <c r="F22" i="2"/>
  <c r="F23" i="2"/>
  <c r="F24" i="2"/>
  <c r="F25" i="2"/>
  <c r="F26" i="2"/>
  <c r="F27" i="2"/>
  <c r="F28" i="2"/>
  <c r="F29" i="2"/>
  <c r="F30" i="2"/>
  <c r="F31" i="2"/>
  <c r="F32" i="2"/>
  <c r="G13" i="2"/>
  <c r="G12" i="2" l="1"/>
  <c r="H13" i="2"/>
  <c r="G37" i="2" l="1"/>
  <c r="G34" i="2"/>
  <c r="G38" i="2"/>
  <c r="G35" i="2"/>
  <c r="G36" i="2"/>
  <c r="G33" i="2"/>
  <c r="G45" i="2"/>
  <c r="G57" i="2"/>
  <c r="G46" i="2"/>
  <c r="G47" i="2"/>
  <c r="G89" i="2"/>
  <c r="G49" i="2"/>
  <c r="G50" i="2"/>
  <c r="G51" i="2"/>
  <c r="G52" i="2"/>
  <c r="G90" i="2"/>
  <c r="G53" i="2"/>
  <c r="G91" i="2"/>
  <c r="G54" i="2"/>
  <c r="G92" i="2"/>
  <c r="G40" i="2"/>
  <c r="G55" i="2"/>
  <c r="G93" i="2"/>
  <c r="G41" i="2"/>
  <c r="G56" i="2"/>
  <c r="G94" i="2"/>
  <c r="G42" i="2"/>
  <c r="G39" i="2"/>
  <c r="G95" i="2"/>
  <c r="G43" i="2"/>
  <c r="G96" i="2"/>
  <c r="G44" i="2"/>
  <c r="G48" i="2"/>
  <c r="G71" i="2"/>
  <c r="G72" i="2"/>
  <c r="G73" i="2"/>
  <c r="G74" i="2"/>
  <c r="G75" i="2"/>
  <c r="G76" i="2"/>
  <c r="G77" i="2"/>
  <c r="G78" i="2"/>
  <c r="G79" i="2"/>
  <c r="G59" i="2"/>
  <c r="G61" i="2"/>
  <c r="G63" i="2"/>
  <c r="G67" i="2"/>
  <c r="G70" i="2"/>
  <c r="G58" i="2"/>
  <c r="G62" i="2"/>
  <c r="G64" i="2"/>
  <c r="G66" i="2"/>
  <c r="G68" i="2"/>
  <c r="G60" i="2"/>
  <c r="G65" i="2"/>
  <c r="G69" i="2"/>
  <c r="G80" i="2"/>
  <c r="G81" i="2"/>
  <c r="G82" i="2"/>
  <c r="G83" i="2"/>
  <c r="G84" i="2"/>
  <c r="G85" i="2"/>
  <c r="G86" i="2"/>
  <c r="G87" i="2"/>
  <c r="G88" i="2"/>
  <c r="G14" i="2"/>
  <c r="G15" i="2"/>
  <c r="G16" i="2"/>
  <c r="G17" i="2"/>
  <c r="G18" i="2"/>
  <c r="G19" i="2"/>
  <c r="G20" i="2"/>
  <c r="G21" i="2"/>
  <c r="G22" i="2"/>
  <c r="G23" i="2"/>
  <c r="G24" i="2"/>
  <c r="G25" i="2"/>
  <c r="G26" i="2"/>
  <c r="G27" i="2"/>
  <c r="G28" i="2"/>
  <c r="G29" i="2"/>
  <c r="G30" i="2"/>
  <c r="G31" i="2"/>
  <c r="G32" i="2"/>
  <c r="H12" i="2"/>
  <c r="I13" i="2"/>
  <c r="H34" i="2" l="1"/>
  <c r="H35" i="2"/>
  <c r="H36" i="2"/>
  <c r="H37" i="2"/>
  <c r="H38" i="2"/>
  <c r="H33" i="2"/>
  <c r="H94" i="2"/>
  <c r="H51" i="2"/>
  <c r="H95" i="2"/>
  <c r="H40" i="2"/>
  <c r="H52" i="2"/>
  <c r="H96" i="2"/>
  <c r="H41" i="2"/>
  <c r="H53" i="2"/>
  <c r="H90" i="2"/>
  <c r="H49" i="2"/>
  <c r="H91" i="2"/>
  <c r="H50" i="2"/>
  <c r="H92" i="2"/>
  <c r="H54" i="2"/>
  <c r="H93" i="2"/>
  <c r="H55" i="2"/>
  <c r="H56" i="2"/>
  <c r="H42" i="2"/>
  <c r="H57" i="2"/>
  <c r="H43" i="2"/>
  <c r="H44" i="2"/>
  <c r="H45" i="2"/>
  <c r="H39" i="2"/>
  <c r="H46" i="2"/>
  <c r="H47" i="2"/>
  <c r="H48" i="2"/>
  <c r="H71" i="2"/>
  <c r="H72" i="2"/>
  <c r="H73" i="2"/>
  <c r="H74" i="2"/>
  <c r="H75" i="2"/>
  <c r="H76" i="2"/>
  <c r="H78" i="2"/>
  <c r="H79" i="2"/>
  <c r="H77" i="2"/>
  <c r="H59" i="2"/>
  <c r="H60" i="2"/>
  <c r="H63" i="2"/>
  <c r="H65" i="2"/>
  <c r="H67" i="2"/>
  <c r="H68" i="2"/>
  <c r="H70" i="2"/>
  <c r="H58" i="2"/>
  <c r="H61" i="2"/>
  <c r="H62" i="2"/>
  <c r="H64" i="2"/>
  <c r="H66" i="2"/>
  <c r="H69" i="2"/>
  <c r="H80" i="2"/>
  <c r="H81" i="2"/>
  <c r="H82" i="2"/>
  <c r="H83" i="2"/>
  <c r="H84" i="2"/>
  <c r="H85" i="2"/>
  <c r="H86" i="2"/>
  <c r="H87" i="2"/>
  <c r="H88" i="2"/>
  <c r="H14" i="2"/>
  <c r="H15" i="2"/>
  <c r="H16" i="2"/>
  <c r="H17" i="2"/>
  <c r="H18" i="2"/>
  <c r="H19" i="2"/>
  <c r="H20" i="2"/>
  <c r="H21" i="2"/>
  <c r="H22" i="2"/>
  <c r="H23" i="2"/>
  <c r="H24" i="2"/>
  <c r="H25" i="2"/>
  <c r="H26" i="2"/>
  <c r="H27" i="2"/>
  <c r="H28" i="2"/>
  <c r="H29" i="2"/>
  <c r="H30" i="2"/>
  <c r="H31" i="2"/>
  <c r="H32" i="2"/>
  <c r="H89" i="2"/>
  <c r="I12" i="2"/>
  <c r="J13" i="2"/>
  <c r="I33" i="2" l="1"/>
  <c r="I38" i="2"/>
  <c r="I34" i="2"/>
  <c r="I35" i="2"/>
  <c r="I36" i="2"/>
  <c r="I37" i="2"/>
  <c r="I45" i="2"/>
  <c r="I57" i="2"/>
  <c r="I90" i="2"/>
  <c r="I46" i="2"/>
  <c r="I91" i="2"/>
  <c r="I47" i="2"/>
  <c r="I92" i="2"/>
  <c r="I52" i="2"/>
  <c r="I53" i="2"/>
  <c r="I54" i="2"/>
  <c r="I40" i="2"/>
  <c r="I55" i="2"/>
  <c r="I41" i="2"/>
  <c r="I56" i="2"/>
  <c r="I42" i="2"/>
  <c r="I43" i="2"/>
  <c r="I44" i="2"/>
  <c r="I93" i="2"/>
  <c r="I48" i="2"/>
  <c r="I49" i="2"/>
  <c r="I50" i="2"/>
  <c r="I51" i="2"/>
  <c r="I94" i="2"/>
  <c r="I39" i="2"/>
  <c r="I95" i="2"/>
  <c r="I96" i="2"/>
  <c r="I71" i="2"/>
  <c r="I72" i="2"/>
  <c r="I73" i="2"/>
  <c r="I74" i="2"/>
  <c r="I75" i="2"/>
  <c r="I76" i="2"/>
  <c r="I77" i="2"/>
  <c r="I78" i="2"/>
  <c r="I79" i="2"/>
  <c r="I63" i="2"/>
  <c r="I66" i="2"/>
  <c r="I70" i="2"/>
  <c r="I59" i="2"/>
  <c r="I61" i="2"/>
  <c r="I68" i="2"/>
  <c r="I58" i="2"/>
  <c r="I62" i="2"/>
  <c r="I65" i="2"/>
  <c r="I69" i="2"/>
  <c r="I60" i="2"/>
  <c r="I64" i="2"/>
  <c r="I67" i="2"/>
  <c r="I80" i="2"/>
  <c r="I81" i="2"/>
  <c r="I82" i="2"/>
  <c r="I83" i="2"/>
  <c r="I84" i="2"/>
  <c r="I85" i="2"/>
  <c r="I86" i="2"/>
  <c r="I87" i="2"/>
  <c r="I88" i="2"/>
  <c r="I14" i="2"/>
  <c r="I15" i="2"/>
  <c r="I16" i="2"/>
  <c r="I17" i="2"/>
  <c r="I18" i="2"/>
  <c r="I19" i="2"/>
  <c r="I20" i="2"/>
  <c r="I21" i="2"/>
  <c r="I22" i="2"/>
  <c r="I23" i="2"/>
  <c r="I24" i="2"/>
  <c r="I25" i="2"/>
  <c r="I26" i="2"/>
  <c r="I27" i="2"/>
  <c r="I28" i="2"/>
  <c r="I29" i="2"/>
  <c r="I30" i="2"/>
  <c r="I31" i="2"/>
  <c r="I32" i="2"/>
  <c r="I89" i="2"/>
  <c r="J12" i="2"/>
  <c r="K13" i="2"/>
  <c r="J33" i="2" l="1"/>
  <c r="J34" i="2"/>
  <c r="J35" i="2"/>
  <c r="J36" i="2"/>
  <c r="J37" i="2"/>
  <c r="J38" i="2"/>
  <c r="J96" i="2"/>
  <c r="J50" i="2"/>
  <c r="J57" i="2"/>
  <c r="J51" i="2"/>
  <c r="J40" i="2"/>
  <c r="J52" i="2"/>
  <c r="J54" i="2"/>
  <c r="J39" i="2"/>
  <c r="J55" i="2"/>
  <c r="J90" i="2"/>
  <c r="J41" i="2"/>
  <c r="J56" i="2"/>
  <c r="J91" i="2"/>
  <c r="J42" i="2"/>
  <c r="J92" i="2"/>
  <c r="J43" i="2"/>
  <c r="J93" i="2"/>
  <c r="J44" i="2"/>
  <c r="J94" i="2"/>
  <c r="J45" i="2"/>
  <c r="J95" i="2"/>
  <c r="J46" i="2"/>
  <c r="J47" i="2"/>
  <c r="J48" i="2"/>
  <c r="J49" i="2"/>
  <c r="J53" i="2"/>
  <c r="J71" i="2"/>
  <c r="J72" i="2"/>
  <c r="J73" i="2"/>
  <c r="J74" i="2"/>
  <c r="J75" i="2"/>
  <c r="J76" i="2"/>
  <c r="J77" i="2"/>
  <c r="J78" i="2"/>
  <c r="J79" i="2"/>
  <c r="J58" i="2"/>
  <c r="J61" i="2"/>
  <c r="J66" i="2"/>
  <c r="J70" i="2"/>
  <c r="J63" i="2"/>
  <c r="J59" i="2"/>
  <c r="J67" i="2"/>
  <c r="J60" i="2"/>
  <c r="J64" i="2"/>
  <c r="J68" i="2"/>
  <c r="J62" i="2"/>
  <c r="J65" i="2"/>
  <c r="J69" i="2"/>
  <c r="J80" i="2"/>
  <c r="J81" i="2"/>
  <c r="J82" i="2"/>
  <c r="J83" i="2"/>
  <c r="J84" i="2"/>
  <c r="J85" i="2"/>
  <c r="J86" i="2"/>
  <c r="J87" i="2"/>
  <c r="J88" i="2"/>
  <c r="J14" i="2"/>
  <c r="J15" i="2"/>
  <c r="J16" i="2"/>
  <c r="J17" i="2"/>
  <c r="J18" i="2"/>
  <c r="J19" i="2"/>
  <c r="J20" i="2"/>
  <c r="J21" i="2"/>
  <c r="J22" i="2"/>
  <c r="J23" i="2"/>
  <c r="J24" i="2"/>
  <c r="J25" i="2"/>
  <c r="J26" i="2"/>
  <c r="J27" i="2"/>
  <c r="J28" i="2"/>
  <c r="J29" i="2"/>
  <c r="J30" i="2"/>
  <c r="J31" i="2"/>
  <c r="J32" i="2"/>
  <c r="J89" i="2"/>
  <c r="K12" i="2"/>
  <c r="L13" i="2"/>
  <c r="K37" i="2" l="1"/>
  <c r="K38" i="2"/>
  <c r="K34" i="2"/>
  <c r="K33" i="2"/>
  <c r="K35" i="2"/>
  <c r="K36" i="2"/>
  <c r="K91" i="2"/>
  <c r="K45" i="2"/>
  <c r="K57" i="2"/>
  <c r="K92" i="2"/>
  <c r="K46" i="2"/>
  <c r="K93" i="2"/>
  <c r="K47" i="2"/>
  <c r="K94" i="2"/>
  <c r="K95" i="2"/>
  <c r="K40" i="2"/>
  <c r="K55" i="2"/>
  <c r="K96" i="2"/>
  <c r="K41" i="2"/>
  <c r="K56" i="2"/>
  <c r="K39" i="2"/>
  <c r="K42" i="2"/>
  <c r="K43" i="2"/>
  <c r="K44" i="2"/>
  <c r="K48" i="2"/>
  <c r="K49" i="2"/>
  <c r="K50" i="2"/>
  <c r="K51" i="2"/>
  <c r="K90" i="2"/>
  <c r="K52" i="2"/>
  <c r="K53" i="2"/>
  <c r="K54" i="2"/>
  <c r="K71" i="2"/>
  <c r="K72" i="2"/>
  <c r="K73" i="2"/>
  <c r="K74" i="2"/>
  <c r="K75" i="2"/>
  <c r="K76" i="2"/>
  <c r="K77" i="2"/>
  <c r="K78" i="2"/>
  <c r="K79" i="2"/>
  <c r="K63" i="2"/>
  <c r="K70" i="2"/>
  <c r="K66" i="2"/>
  <c r="K59" i="2"/>
  <c r="K61" i="2"/>
  <c r="K64" i="2"/>
  <c r="K69" i="2"/>
  <c r="K62" i="2"/>
  <c r="K67" i="2"/>
  <c r="K58" i="2"/>
  <c r="K60" i="2"/>
  <c r="K65" i="2"/>
  <c r="K68" i="2"/>
  <c r="K80" i="2"/>
  <c r="K81" i="2"/>
  <c r="K82" i="2"/>
  <c r="K83" i="2"/>
  <c r="K84" i="2"/>
  <c r="K85" i="2"/>
  <c r="K86" i="2"/>
  <c r="K87" i="2"/>
  <c r="K88" i="2"/>
  <c r="K14" i="2"/>
  <c r="K15" i="2"/>
  <c r="K16" i="2"/>
  <c r="K17" i="2"/>
  <c r="K18" i="2"/>
  <c r="K19" i="2"/>
  <c r="K20" i="2"/>
  <c r="K21" i="2"/>
  <c r="K22" i="2"/>
  <c r="K23" i="2"/>
  <c r="K24" i="2"/>
  <c r="K25" i="2"/>
  <c r="K26" i="2"/>
  <c r="K27" i="2"/>
  <c r="K28" i="2"/>
  <c r="K29" i="2"/>
  <c r="K30" i="2"/>
  <c r="K31" i="2"/>
  <c r="K32" i="2"/>
  <c r="K89" i="2"/>
  <c r="L12" i="2"/>
  <c r="M13" i="2"/>
  <c r="L36" i="2" l="1"/>
  <c r="L33" i="2"/>
  <c r="L37" i="2"/>
  <c r="L34" i="2"/>
  <c r="L38" i="2"/>
  <c r="L35" i="2"/>
  <c r="L51" i="2"/>
  <c r="L39" i="2"/>
  <c r="L40" i="2"/>
  <c r="L52" i="2"/>
  <c r="L41" i="2"/>
  <c r="L53" i="2"/>
  <c r="L43" i="2"/>
  <c r="L44" i="2"/>
  <c r="L45" i="2"/>
  <c r="L46" i="2"/>
  <c r="L47" i="2"/>
  <c r="L90" i="2"/>
  <c r="L48" i="2"/>
  <c r="L91" i="2"/>
  <c r="L49" i="2"/>
  <c r="L92" i="2"/>
  <c r="L50" i="2"/>
  <c r="L93" i="2"/>
  <c r="L54" i="2"/>
  <c r="L94" i="2"/>
  <c r="L95" i="2"/>
  <c r="L42" i="2"/>
  <c r="L55" i="2"/>
  <c r="L56" i="2"/>
  <c r="L57" i="2"/>
  <c r="L73" i="2"/>
  <c r="L76" i="2"/>
  <c r="L79" i="2"/>
  <c r="L74" i="2"/>
  <c r="L78" i="2"/>
  <c r="L71" i="2"/>
  <c r="L72" i="2"/>
  <c r="L75" i="2"/>
  <c r="L77" i="2"/>
  <c r="L59" i="2"/>
  <c r="L60" i="2"/>
  <c r="L61" i="2"/>
  <c r="L62" i="2"/>
  <c r="L63" i="2"/>
  <c r="L64" i="2"/>
  <c r="L65" i="2"/>
  <c r="L66" i="2"/>
  <c r="L67" i="2"/>
  <c r="L68" i="2"/>
  <c r="L69" i="2"/>
  <c r="L70" i="2"/>
  <c r="L58" i="2"/>
  <c r="L87" i="2"/>
  <c r="L81" i="2"/>
  <c r="L84" i="2"/>
  <c r="L83" i="2"/>
  <c r="L82" i="2"/>
  <c r="L86" i="2"/>
  <c r="L80" i="2"/>
  <c r="L85" i="2"/>
  <c r="L88" i="2"/>
  <c r="L14" i="2"/>
  <c r="L15" i="2"/>
  <c r="L16" i="2"/>
  <c r="L17" i="2"/>
  <c r="L18" i="2"/>
  <c r="L19" i="2"/>
  <c r="L20" i="2"/>
  <c r="L21" i="2"/>
  <c r="L22" i="2"/>
  <c r="L23" i="2"/>
  <c r="L24" i="2"/>
  <c r="L25" i="2"/>
  <c r="L26" i="2"/>
  <c r="L27" i="2"/>
  <c r="L28" i="2"/>
  <c r="L29" i="2"/>
  <c r="L30" i="2"/>
  <c r="L31" i="2"/>
  <c r="L32" i="2"/>
  <c r="L89" i="2"/>
  <c r="L96" i="2"/>
  <c r="M12" i="2"/>
  <c r="N13" i="2"/>
  <c r="M38" i="2" l="1"/>
  <c r="M34" i="2"/>
  <c r="M33" i="2"/>
  <c r="M35" i="2"/>
  <c r="M36" i="2"/>
  <c r="M37" i="2"/>
  <c r="M92" i="2"/>
  <c r="M45" i="2"/>
  <c r="M57" i="2"/>
  <c r="M93" i="2"/>
  <c r="M46" i="2"/>
  <c r="M39" i="2"/>
  <c r="M94" i="2"/>
  <c r="M47" i="2"/>
  <c r="M95" i="2"/>
  <c r="M43" i="2"/>
  <c r="M44" i="2"/>
  <c r="M90" i="2"/>
  <c r="M48" i="2"/>
  <c r="M91" i="2"/>
  <c r="M49" i="2"/>
  <c r="M96" i="2"/>
  <c r="M50" i="2"/>
  <c r="M51" i="2"/>
  <c r="M52" i="2"/>
  <c r="M53" i="2"/>
  <c r="M54" i="2"/>
  <c r="M55" i="2"/>
  <c r="M56" i="2"/>
  <c r="M40" i="2"/>
  <c r="M41" i="2"/>
  <c r="M42" i="2"/>
  <c r="M72" i="2"/>
  <c r="M73" i="2"/>
  <c r="M74" i="2"/>
  <c r="M75" i="2"/>
  <c r="M76" i="2"/>
  <c r="M77" i="2"/>
  <c r="M78" i="2"/>
  <c r="M79" i="2"/>
  <c r="M71" i="2"/>
  <c r="M58" i="2"/>
  <c r="M59" i="2"/>
  <c r="M60" i="2"/>
  <c r="M61" i="2"/>
  <c r="M62" i="2"/>
  <c r="M63" i="2"/>
  <c r="M64" i="2"/>
  <c r="M65" i="2"/>
  <c r="M66" i="2"/>
  <c r="M67" i="2"/>
  <c r="M68" i="2"/>
  <c r="M69" i="2"/>
  <c r="M70" i="2"/>
  <c r="M84" i="2"/>
  <c r="M83" i="2"/>
  <c r="M81" i="2"/>
  <c r="M85" i="2"/>
  <c r="M88" i="2"/>
  <c r="M80" i="2"/>
  <c r="M87" i="2"/>
  <c r="M82" i="2"/>
  <c r="M86" i="2"/>
  <c r="M14" i="2"/>
  <c r="M15" i="2"/>
  <c r="M16" i="2"/>
  <c r="M17" i="2"/>
  <c r="M18" i="2"/>
  <c r="M19" i="2"/>
  <c r="M20" i="2"/>
  <c r="M21" i="2"/>
  <c r="M22" i="2"/>
  <c r="M23" i="2"/>
  <c r="M24" i="2"/>
  <c r="M25" i="2"/>
  <c r="M26" i="2"/>
  <c r="M27" i="2"/>
  <c r="M28" i="2"/>
  <c r="M29" i="2"/>
  <c r="M30" i="2"/>
  <c r="M31" i="2"/>
  <c r="M32" i="2"/>
  <c r="M89" i="2"/>
  <c r="N12" i="2"/>
  <c r="O13" i="2"/>
  <c r="O12" i="2" s="1"/>
  <c r="N35" i="2" l="1"/>
  <c r="N36" i="2"/>
  <c r="N37" i="2"/>
  <c r="N38" i="2"/>
  <c r="N34" i="2"/>
  <c r="N33" i="2"/>
  <c r="O34" i="2"/>
  <c r="O33" i="2"/>
  <c r="O37" i="2"/>
  <c r="O35" i="2"/>
  <c r="O36" i="2"/>
  <c r="O38" i="2"/>
  <c r="O94" i="2"/>
  <c r="O45" i="2"/>
  <c r="O57" i="2"/>
  <c r="O95" i="2"/>
  <c r="O46" i="2"/>
  <c r="O96" i="2"/>
  <c r="O47" i="2"/>
  <c r="O49" i="2"/>
  <c r="O50" i="2"/>
  <c r="O51" i="2"/>
  <c r="O39" i="2"/>
  <c r="O52" i="2"/>
  <c r="O90" i="2"/>
  <c r="O53" i="2"/>
  <c r="O91" i="2"/>
  <c r="O54" i="2"/>
  <c r="O92" i="2"/>
  <c r="O40" i="2"/>
  <c r="O55" i="2"/>
  <c r="O93" i="2"/>
  <c r="O41" i="2"/>
  <c r="O56" i="2"/>
  <c r="O42" i="2"/>
  <c r="O43" i="2"/>
  <c r="O44" i="2"/>
  <c r="O48" i="2"/>
  <c r="N51" i="2"/>
  <c r="N40" i="2"/>
  <c r="N52" i="2"/>
  <c r="N41" i="2"/>
  <c r="N53" i="2"/>
  <c r="N39" i="2"/>
  <c r="N90" i="2"/>
  <c r="N95" i="2"/>
  <c r="N46" i="2"/>
  <c r="N96" i="2"/>
  <c r="N47" i="2"/>
  <c r="N48" i="2"/>
  <c r="N49" i="2"/>
  <c r="N50" i="2"/>
  <c r="N54" i="2"/>
  <c r="N55" i="2"/>
  <c r="N56" i="2"/>
  <c r="N91" i="2"/>
  <c r="N42" i="2"/>
  <c r="N57" i="2"/>
  <c r="N43" i="2"/>
  <c r="N44" i="2"/>
  <c r="N45" i="2"/>
  <c r="N92" i="2"/>
  <c r="N93" i="2"/>
  <c r="N94" i="2"/>
  <c r="N71" i="2"/>
  <c r="N72" i="2"/>
  <c r="N73" i="2"/>
  <c r="N74" i="2"/>
  <c r="N75" i="2"/>
  <c r="N76" i="2"/>
  <c r="N77" i="2"/>
  <c r="N78" i="2"/>
  <c r="N79" i="2"/>
  <c r="O71" i="2"/>
  <c r="O72" i="2"/>
  <c r="O73" i="2"/>
  <c r="O74" i="2"/>
  <c r="O75" i="2"/>
  <c r="O76" i="2"/>
  <c r="O77" i="2"/>
  <c r="O78" i="2"/>
  <c r="O79" i="2"/>
  <c r="N58" i="2"/>
  <c r="N59" i="2"/>
  <c r="N60" i="2"/>
  <c r="N61" i="2"/>
  <c r="N62" i="2"/>
  <c r="N63" i="2"/>
  <c r="N64" i="2"/>
  <c r="N65" i="2"/>
  <c r="N66" i="2"/>
  <c r="N67" i="2"/>
  <c r="N68" i="2"/>
  <c r="N69" i="2"/>
  <c r="N70" i="2"/>
  <c r="O58" i="2"/>
  <c r="O59" i="2"/>
  <c r="O60" i="2"/>
  <c r="O61" i="2"/>
  <c r="O62" i="2"/>
  <c r="O63" i="2"/>
  <c r="O64" i="2"/>
  <c r="O65" i="2"/>
  <c r="O66" i="2"/>
  <c r="O67" i="2"/>
  <c r="O68" i="2"/>
  <c r="O69" i="2"/>
  <c r="O70" i="2"/>
  <c r="N81" i="2"/>
  <c r="N82" i="2"/>
  <c r="N83" i="2"/>
  <c r="N84" i="2"/>
  <c r="N85" i="2"/>
  <c r="N86" i="2"/>
  <c r="N87" i="2"/>
  <c r="N88" i="2"/>
  <c r="N80" i="2"/>
  <c r="O80" i="2"/>
  <c r="O81" i="2"/>
  <c r="O82" i="2"/>
  <c r="O83" i="2"/>
  <c r="O84" i="2"/>
  <c r="O85" i="2"/>
  <c r="O86" i="2"/>
  <c r="O87" i="2"/>
  <c r="O88" i="2"/>
  <c r="O15" i="2"/>
  <c r="O16" i="2"/>
  <c r="O17" i="2"/>
  <c r="O18" i="2"/>
  <c r="O19" i="2"/>
  <c r="O20" i="2"/>
  <c r="O21" i="2"/>
  <c r="O22" i="2"/>
  <c r="O23" i="2"/>
  <c r="O24" i="2"/>
  <c r="O25" i="2"/>
  <c r="O26" i="2"/>
  <c r="O27" i="2"/>
  <c r="O28" i="2"/>
  <c r="O29" i="2"/>
  <c r="O30" i="2"/>
  <c r="O31" i="2"/>
  <c r="O32" i="2"/>
  <c r="O89" i="2"/>
  <c r="O14" i="2"/>
  <c r="N15" i="2"/>
  <c r="N18" i="2"/>
  <c r="N21" i="2"/>
  <c r="N22" i="2"/>
  <c r="N14" i="2"/>
  <c r="N16" i="2"/>
  <c r="N17" i="2"/>
  <c r="N20" i="2"/>
  <c r="N23" i="2"/>
  <c r="N25" i="2"/>
  <c r="N31" i="2"/>
  <c r="N26" i="2"/>
  <c r="N32" i="2"/>
  <c r="N30" i="2"/>
  <c r="N19" i="2"/>
  <c r="N27" i="2"/>
  <c r="N89" i="2"/>
  <c r="N28" i="2"/>
  <c r="N24" i="2"/>
  <c r="N29" i="2"/>
  <c r="P13" i="2"/>
  <c r="P12" i="2" s="1"/>
  <c r="P34" i="2" l="1"/>
  <c r="P35" i="2"/>
  <c r="P36" i="2"/>
  <c r="P37" i="2"/>
  <c r="P38" i="2"/>
  <c r="P33" i="2"/>
  <c r="P51" i="2"/>
  <c r="P90" i="2"/>
  <c r="P40" i="2"/>
  <c r="P52" i="2"/>
  <c r="P91" i="2"/>
  <c r="P41" i="2"/>
  <c r="P53" i="2"/>
  <c r="P92" i="2"/>
  <c r="P93" i="2"/>
  <c r="P49" i="2"/>
  <c r="P94" i="2"/>
  <c r="P50" i="2"/>
  <c r="P95" i="2"/>
  <c r="P54" i="2"/>
  <c r="P96" i="2"/>
  <c r="P55" i="2"/>
  <c r="P39" i="2"/>
  <c r="P56" i="2"/>
  <c r="P42" i="2"/>
  <c r="P57" i="2"/>
  <c r="P43" i="2"/>
  <c r="P44" i="2"/>
  <c r="P45" i="2"/>
  <c r="P46" i="2"/>
  <c r="P47" i="2"/>
  <c r="P48" i="2"/>
  <c r="P71" i="2"/>
  <c r="P72" i="2"/>
  <c r="P73" i="2"/>
  <c r="P74" i="2"/>
  <c r="P75" i="2"/>
  <c r="P76" i="2"/>
  <c r="P77" i="2"/>
  <c r="P78" i="2"/>
  <c r="P79" i="2"/>
  <c r="P58" i="2"/>
  <c r="P59" i="2"/>
  <c r="P60" i="2"/>
  <c r="P61" i="2"/>
  <c r="P62" i="2"/>
  <c r="P63" i="2"/>
  <c r="P64" i="2"/>
  <c r="P65" i="2"/>
  <c r="P66" i="2"/>
  <c r="P67" i="2"/>
  <c r="P68" i="2"/>
  <c r="P69" i="2"/>
  <c r="P70" i="2"/>
  <c r="P80" i="2"/>
  <c r="P81" i="2"/>
  <c r="P82" i="2"/>
  <c r="P83" i="2"/>
  <c r="P84" i="2"/>
  <c r="P85" i="2"/>
  <c r="P86" i="2"/>
  <c r="P87" i="2"/>
  <c r="P88" i="2"/>
  <c r="P14" i="2"/>
  <c r="P15" i="2"/>
  <c r="P89" i="2"/>
  <c r="P16" i="2"/>
  <c r="P25" i="2"/>
  <c r="P31" i="2"/>
  <c r="P29" i="2"/>
  <c r="P24" i="2"/>
  <c r="P17" i="2"/>
  <c r="P27" i="2"/>
  <c r="P20" i="2"/>
  <c r="P18" i="2"/>
  <c r="P26" i="2"/>
  <c r="P32" i="2"/>
  <c r="P19" i="2"/>
  <c r="P23" i="2"/>
  <c r="P21" i="2"/>
  <c r="P28" i="2"/>
  <c r="P22" i="2"/>
  <c r="P30" i="2"/>
  <c r="Q13" i="2"/>
  <c r="Q12" i="2" s="1"/>
  <c r="Q38" i="2" l="1"/>
  <c r="Q35" i="2"/>
  <c r="Q34" i="2"/>
  <c r="Q33" i="2"/>
  <c r="Q36" i="2"/>
  <c r="Q37" i="2"/>
  <c r="Q96" i="2"/>
  <c r="Q45" i="2"/>
  <c r="Q57" i="2"/>
  <c r="Q46" i="2"/>
  <c r="Q47" i="2"/>
  <c r="Q52" i="2"/>
  <c r="Q53" i="2"/>
  <c r="Q54" i="2"/>
  <c r="Q40" i="2"/>
  <c r="Q55" i="2"/>
  <c r="Q41" i="2"/>
  <c r="Q56" i="2"/>
  <c r="Q39" i="2"/>
  <c r="Q42" i="2"/>
  <c r="Q90" i="2"/>
  <c r="Q43" i="2"/>
  <c r="Q91" i="2"/>
  <c r="Q44" i="2"/>
  <c r="Q92" i="2"/>
  <c r="Q48" i="2"/>
  <c r="Q93" i="2"/>
  <c r="Q94" i="2"/>
  <c r="Q95" i="2"/>
  <c r="Q49" i="2"/>
  <c r="Q50" i="2"/>
  <c r="Q51" i="2"/>
  <c r="Q72" i="2"/>
  <c r="Q73" i="2"/>
  <c r="Q74" i="2"/>
  <c r="Q75" i="2"/>
  <c r="Q76" i="2"/>
  <c r="Q77" i="2"/>
  <c r="Q78" i="2"/>
  <c r="Q79" i="2"/>
  <c r="Q71" i="2"/>
  <c r="Q58" i="2"/>
  <c r="Q59" i="2"/>
  <c r="Q60" i="2"/>
  <c r="Q61" i="2"/>
  <c r="Q62" i="2"/>
  <c r="Q63" i="2"/>
  <c r="Q64" i="2"/>
  <c r="Q65" i="2"/>
  <c r="Q66" i="2"/>
  <c r="Q67" i="2"/>
  <c r="Q68" i="2"/>
  <c r="Q69" i="2"/>
  <c r="Q70" i="2"/>
  <c r="Q80" i="2"/>
  <c r="Q81" i="2"/>
  <c r="Q82" i="2"/>
  <c r="Q83" i="2"/>
  <c r="Q84" i="2"/>
  <c r="Q85" i="2"/>
  <c r="Q86" i="2"/>
  <c r="Q87" i="2"/>
  <c r="Q88" i="2"/>
  <c r="Q15" i="2"/>
  <c r="Q16" i="2"/>
  <c r="Q17" i="2"/>
  <c r="Q18" i="2"/>
  <c r="Q19" i="2"/>
  <c r="Q20" i="2"/>
  <c r="Q21" i="2"/>
  <c r="Q22" i="2"/>
  <c r="Q23" i="2"/>
  <c r="Q24" i="2"/>
  <c r="Q25" i="2"/>
  <c r="Q26" i="2"/>
  <c r="Q27" i="2"/>
  <c r="Q28" i="2"/>
  <c r="Q29" i="2"/>
  <c r="Q30" i="2"/>
  <c r="Q31" i="2"/>
  <c r="Q32" i="2"/>
  <c r="Q89" i="2"/>
  <c r="Q14" i="2"/>
  <c r="F37" i="12"/>
  <c r="I37" i="12" s="1"/>
  <c r="H39" i="12" s="1"/>
  <c r="H41"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Saurabh Bansal</author>
    <author>Brian Stanton</author>
    <author>tc={BF55915B-C3AC-448C-A851-4BC75FC50FA2}</author>
  </authors>
  <commentList>
    <comment ref="J42" authorId="0" shapeId="0" xr:uid="{13550A9A-10BD-4F46-9C36-78003F1740E5}">
      <text>
        <r>
          <rPr>
            <b/>
            <sz val="9"/>
            <color indexed="81"/>
            <rFont val="Tahoma"/>
            <family val="2"/>
          </rPr>
          <t>Saurabh Bansal:</t>
        </r>
        <r>
          <rPr>
            <sz val="9"/>
            <color indexed="81"/>
            <rFont val="Tahoma"/>
            <family val="2"/>
          </rPr>
          <t xml:space="preserve">
ICS</t>
        </r>
      </text>
    </comment>
    <comment ref="K42" authorId="1" shapeId="0" xr:uid="{47BFA235-A7A6-4A32-B3F3-1F1D968ACC1A}">
      <text>
        <r>
          <rPr>
            <sz val="10"/>
            <color theme="1"/>
            <rFont val="Arial"/>
            <family val="2"/>
          </rPr>
          <t xml:space="preserve">Brian Stanton:
6/5 - NBSIA Lunch
6/6 - Sierra Wes Stewardship &amp; Lunch
6/6 - Yolo County, Snacks
6/7 - AWCP Golf (McGrath, Beta, SJC)
6/19 - SDRMA &amp; Lenahan
6/21 - Placer County 
Stewardship
6/24 - Meet SDRMA Team / Take lunch to office
6/25 - Crumble Cookies to Pacific Coast
6/26 - Meet Sedgwick/Kaiser Team / Take lunch to office w/ Encompass
6/27 - Sacramento RIMS Pickleball
6/28 - VICA Golf
</t>
        </r>
      </text>
    </comment>
    <comment ref="L42" authorId="1" shapeId="0" xr:uid="{CB175344-18CE-489B-A29E-A93BB908477A}">
      <text>
        <r>
          <rPr>
            <sz val="10"/>
            <color theme="1"/>
            <rFont val="Arial"/>
            <family val="2"/>
          </rPr>
          <t xml:space="preserve">Brian Stanton:
7/11 AWCP Event with SJC and SDRMA
7/15 Lunch to Pacific Coast
7/16 Virtual w/ Placer Co
7/16 Tribal First Office Visit
7/16 CCMSI
7/17 Lunch w/ Sedgwick-Kaiser
7/17 LA RIMS Event
7/18 John Muir Lunch for Francesca
7/18 Dinner w/ SDRMA-Stockton
7/19 DVICA Golf w/ SJC and Contra Costa
7/20 Peach Festival 10k Yuba County
</t>
        </r>
      </text>
    </comment>
    <comment ref="M42" authorId="2" shapeId="0" xr:uid="{BF55915B-C3AC-448C-A851-4BC75FC50FA2}">
      <text>
        <t>[Threaded comment]
Your version of Excel allows you to read this threaded comment; however, any edits to it will get removed if the file is opened in a newer version of Excel. Learn more: https://go.microsoft.com/fwlink/?linkid=870924
Comment:
    8/11 Lori/Sutter, ICS, Steve Smetana
8/12 Sedwick CSU Team Lunch
8/13Luch with COS and SJC.  Stewardship with SJC
8/14 Dinner with Mountain F and Sue
8/15 Golden Gate RIMS w/ Kaiser and Liberty Mutual
8/16 CSO Stewardship
8/16 VICA Bowling with SRMA and Pac Coast
8/19 Sutter Virtual Review
8/21 Interview NCM Candidate
8/21 Meet with Rolling Green
8/21 LA RIMS Event
8/22 PARMA Chapter Meeting
8/22 Happy hour with Intercare &amp; KLH
8/22 Dinner/Snacks with KLH &amp; Non Profits United
8/27 Yuba County EIP Call
8/29 Meet with CFO Now Zoom
8/29 Kids Chance Fundraiser Zoom</t>
      </text>
    </comment>
    <comment ref="N42" authorId="1" shapeId="0" xr:uid="{F02363D1-3C33-47B8-9C23-2A5D439A7B06}">
      <text>
        <r>
          <rPr>
            <sz val="10"/>
            <color theme="1"/>
            <rFont val="Arial"/>
            <family val="2"/>
          </rPr>
          <t>Brian Stanton:
ICS
SDRMA/Chino Valley
SDRMA/Amalia Dinner
SDRMA/Montecito Fire
EMAXX Conference 4 days
Mountain F Dinner
Mountain F and Tubit
RIMS Meeting</t>
        </r>
      </text>
    </comment>
    <comment ref="O42" authorId="1" shapeId="0" xr:uid="{34AA4824-6A17-48FE-A2AD-1D9FEBC676F5}">
      <text>
        <r>
          <rPr>
            <sz val="10"/>
            <color theme="1"/>
            <rFont val="Arial"/>
            <family val="2"/>
          </rPr>
          <t>Brian Stanton:
10/2 Visit Pacific Coast Companies
10/22 Sedgwick/Kaiser Roseville
10/23 Sedgwick/Kaiser Long Beach
10/24 Kids Chance Top Golf Fundraiser (Sedgwick/SDRMA)
10/25 AWCP Conference</t>
        </r>
      </text>
    </comment>
    <comment ref="J43" authorId="1" shapeId="0" xr:uid="{22B69ACC-2E6C-4B82-B37E-0F7AD1E73C6C}">
      <text>
        <r>
          <rPr>
            <sz val="10"/>
            <color theme="1"/>
            <rFont val="Arial"/>
            <family val="2"/>
          </rPr>
          <t>Brian Stanton:
GB Care - Leah Sharp 5/23
Tim Brent - Ergo 5/23
Monica Mohring - Bardavon 5/16 and 5/120
Sutter Webinar 5/16</t>
        </r>
      </text>
    </comment>
    <comment ref="K43" authorId="1" shapeId="0" xr:uid="{160AAAE7-21B4-4E3D-BFE3-9E78CDAB20A0}">
      <text>
        <r>
          <rPr>
            <sz val="10"/>
            <color theme="1"/>
            <rFont val="Arial"/>
            <family val="2"/>
          </rPr>
          <t xml:space="preserve">Brian Stanton:
6/13 Sutter
6/24 Ergo w/ Tim Brent
</t>
        </r>
      </text>
    </comment>
    <comment ref="N43" authorId="1" shapeId="0" xr:uid="{819DE9A5-A333-4EEE-BAB6-96DAB09BFF88}">
      <text>
        <r>
          <rPr>
            <sz val="10"/>
            <color theme="1"/>
            <rFont val="Arial"/>
            <family val="2"/>
          </rPr>
          <t xml:space="preserve">Brian Stanton:
City of Stockton
CIRA Stewardship
Berkley Stewardship
GBCare
</t>
        </r>
      </text>
    </comment>
    <comment ref="O43" authorId="1" shapeId="0" xr:uid="{7E4ADADC-9202-4734-B633-94E5C2BE2CB5}">
      <text>
        <r>
          <rPr>
            <sz val="10"/>
            <color theme="1"/>
            <rFont val="Arial"/>
            <family val="2"/>
          </rPr>
          <t xml:space="preserve">Brian Stanton:
10/16 Sutter Claim Review
10/18 Kids Chance Planning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<sst xmlns="http://schemas.openxmlformats.org/spreadsheetml/2006/main" count="2722" uniqueCount="1031">
  <si>
    <t>Reporting Dashboard</t>
  </si>
  <si>
    <t>FINANCIAL SCORECARD</t>
  </si>
  <si>
    <t>Baseline</t>
  </si>
  <si>
    <t>Target</t>
  </si>
  <si>
    <t>Financials (CFO Metrics) - 2024</t>
  </si>
  <si>
    <t>Owner</t>
  </si>
  <si>
    <t>Monthly Revenue</t>
  </si>
  <si>
    <t>Bansal</t>
  </si>
  <si>
    <t>COGS</t>
  </si>
  <si>
    <t>Gross Profit ($)</t>
  </si>
  <si>
    <t>Gross Profit (%)</t>
  </si>
  <si>
    <t>Other Expenses ($)</t>
  </si>
  <si>
    <t>Net Profit ($)</t>
  </si>
  <si>
    <t>Net Profit (%)</t>
  </si>
  <si>
    <t>$ per Hour Billed (Blended)</t>
  </si>
  <si>
    <t>NA</t>
  </si>
  <si>
    <t xml:space="preserve">AR Aging </t>
  </si>
  <si>
    <t>Current</t>
  </si>
  <si>
    <t>Watkins</t>
  </si>
  <si>
    <t> </t>
  </si>
  <si>
    <t>1-30</t>
  </si>
  <si>
    <t>31-60</t>
  </si>
  <si>
    <t>61-90</t>
  </si>
  <si>
    <t>&gt;90</t>
  </si>
  <si>
    <t>Total</t>
  </si>
  <si>
    <t>Financials (CFO Metrics) - 2023</t>
  </si>
  <si>
    <t>MARKETING and SALES SCORECARD</t>
  </si>
  <si>
    <t>CD1: Client Engagement and Retention</t>
  </si>
  <si>
    <t># of Linked Posts</t>
  </si>
  <si>
    <t>Stanton</t>
  </si>
  <si>
    <t># of Email Outreaches</t>
  </si>
  <si>
    <t># of Meetings (in Person)</t>
  </si>
  <si>
    <t># of Meetings (Virtual)</t>
  </si>
  <si>
    <t>Average # of Referrals</t>
  </si>
  <si>
    <t>CD2: Expand EIP</t>
  </si>
  <si>
    <t>EIP Referrals</t>
  </si>
  <si>
    <t>Average # of Clients with New EIP Referrals</t>
  </si>
  <si>
    <t>Average# of Clients with Open EIP Referrals</t>
  </si>
  <si>
    <t>Average # of Referrals on EIP</t>
  </si>
  <si>
    <t>EIP Hours</t>
  </si>
  <si>
    <t>Avg Month Case Hr: &lt;=90 Days EIP (Lower Bill Rate)</t>
  </si>
  <si>
    <t>Total Hours Billed</t>
  </si>
  <si>
    <t>Miller, C</t>
  </si>
  <si>
    <t>Total Cases Billed</t>
  </si>
  <si>
    <t>AVG Hours Per Case</t>
  </si>
  <si>
    <t>Avg Month Case Hrs: &gt;90 Days (Higher Billl Rate)</t>
  </si>
  <si>
    <t>Open Case Types: IMPACT EIP</t>
  </si>
  <si>
    <t>EIP</t>
  </si>
  <si>
    <t>EIP Telephonic</t>
  </si>
  <si>
    <t>Total IMPACT EIP #</t>
  </si>
  <si>
    <t>OPERATIONAL SCORECARD</t>
  </si>
  <si>
    <t>NU1: Reduce TTT and Missed Appointments</t>
  </si>
  <si>
    <t>Report Obtained</t>
  </si>
  <si>
    <t>Grant</t>
  </si>
  <si>
    <t>RFA Obtained</t>
  </si>
  <si>
    <t>Determination Date Documented</t>
  </si>
  <si>
    <t>no data</t>
  </si>
  <si>
    <t>Days to Service (Days)</t>
  </si>
  <si>
    <t>Date of Service Documented</t>
  </si>
  <si>
    <t>Atttended in Person- Field</t>
  </si>
  <si>
    <t>Attended Telephonically- Field</t>
  </si>
  <si>
    <t>Covered by Paper- Field</t>
  </si>
  <si>
    <t>Missed Appointments- Field</t>
  </si>
  <si>
    <t xml:space="preserve"> </t>
  </si>
  <si>
    <t>Billable Hours</t>
  </si>
  <si>
    <t>Non-Billable RN Hrs</t>
  </si>
  <si>
    <t>Total Unbilled Case Work (low bill files)</t>
  </si>
  <si>
    <t>Avg Month Case Hours: Standard CM</t>
  </si>
  <si>
    <t>Total Hours Billed (non-EIP)</t>
  </si>
  <si>
    <t>Open Case Types</t>
  </si>
  <si>
    <t>Field</t>
  </si>
  <si>
    <t>Field/Bilingual</t>
  </si>
  <si>
    <t>Telephonic</t>
  </si>
  <si>
    <t>Telephonic Bilingual</t>
  </si>
  <si>
    <t>Task (Field/Telephonic)</t>
  </si>
  <si>
    <t>Task/Bilingual</t>
  </si>
  <si>
    <t>Future Medical</t>
  </si>
  <si>
    <t>CIT</t>
  </si>
  <si>
    <t>Ortho/Surgical</t>
  </si>
  <si>
    <t>File Review</t>
  </si>
  <si>
    <t>CAT</t>
  </si>
  <si>
    <t>Total Regular Cases</t>
  </si>
  <si>
    <t>PROJECT PLAN</t>
  </si>
  <si>
    <t>WHAT?</t>
  </si>
  <si>
    <t>WHEN?</t>
  </si>
  <si>
    <t>WHO?</t>
  </si>
  <si>
    <t>Project Code</t>
  </si>
  <si>
    <t>Title</t>
  </si>
  <si>
    <t>Deliverable</t>
  </si>
  <si>
    <t>Start Date</t>
  </si>
  <si>
    <t>End Date</t>
  </si>
  <si>
    <t>Responsible</t>
  </si>
  <si>
    <t>Accountable</t>
  </si>
  <si>
    <t>CD1</t>
  </si>
  <si>
    <t>Client Engagement &amp; Retention</t>
  </si>
  <si>
    <t>CD1.1 Establish Baseline (for the 3 metrics)</t>
  </si>
  <si>
    <t>Rominger</t>
  </si>
  <si>
    <t>CD1.2 Finish and get approval on customer outreach plan</t>
  </si>
  <si>
    <t xml:space="preserve">CD1.3 Recruit part time "Client Engagement" personnel </t>
  </si>
  <si>
    <t>Brauer</t>
  </si>
  <si>
    <t>CD1.4 Develop plan for client engagement with others</t>
  </si>
  <si>
    <t>CD1.5 Establish process to report rolling 12 month metrics</t>
  </si>
  <si>
    <t>CD1.6 Measure progress (10% $, 0 dropped, +15% referrals)</t>
  </si>
  <si>
    <t>CD1.7 Create client personas (End User, Influencer, Decision Maker)</t>
  </si>
  <si>
    <t>CD1.8 Incorporate V1 stewardship data in messaging</t>
  </si>
  <si>
    <t>CD 1.9 Incorporate NEW stewardship data in messaging</t>
  </si>
  <si>
    <t>CD2</t>
  </si>
  <si>
    <t>Expand EIP</t>
  </si>
  <si>
    <t xml:space="preserve">CD2.1 Hire and train a RN </t>
  </si>
  <si>
    <t>Rost</t>
  </si>
  <si>
    <t>CD2.2 Complete &gt;6 stewardship meetings with prospective clients</t>
  </si>
  <si>
    <t>CD2.3 Start reporting on incremental EIP hours</t>
  </si>
  <si>
    <t>CD2.4 Follow up with existing/new clients</t>
  </si>
  <si>
    <t>CD2.5 Quarterly updates and present results</t>
  </si>
  <si>
    <t>CD2.6 Determine new metrics for EIP (currently old data)</t>
  </si>
  <si>
    <t>CD2.7 Incorporate new EIP metrics into stewardship messaging</t>
  </si>
  <si>
    <t>CD2.8 Feed EIP related requirements into New Case Mgt. SW</t>
  </si>
  <si>
    <t>CD2.9 Create marketing material for EIP</t>
  </si>
  <si>
    <t>CD2.10 Establish baseline (# of clients, # of hours, referrals)</t>
  </si>
  <si>
    <t>CD2.11</t>
  </si>
  <si>
    <t>04A</t>
  </si>
  <si>
    <t>Launch Case Management services in new states</t>
  </si>
  <si>
    <t>04A.1 Create marketing material with offering, TCM and FCM</t>
  </si>
  <si>
    <t>04A.2 Send marketing material to current clients</t>
  </si>
  <si>
    <t>04A.3 Review HubSpot for leads</t>
  </si>
  <si>
    <t>04A.4.Outside Research: Self Insured Employers, Brokers, Captives</t>
  </si>
  <si>
    <t>04A.5 Schedule meetings (virtual or in person)</t>
  </si>
  <si>
    <t>04A.6 Register for industry events: Conferences, Meetings, etc</t>
  </si>
  <si>
    <t>NU1</t>
  </si>
  <si>
    <t>Reduce Missed Appointments and Treatment Time</t>
  </si>
  <si>
    <t>NU1.1 Finish hiring all nurse coordinators (Completed)</t>
  </si>
  <si>
    <t>NU1.2 Finalize and implement NC Training program (Completed)</t>
  </si>
  <si>
    <t>Gietzen</t>
  </si>
  <si>
    <t>NU1.3 Assign NC to team of Nurses  (Completed)</t>
  </si>
  <si>
    <t>NU1.4 Train the new NCs (Completed)</t>
  </si>
  <si>
    <t>NU1.5 Establish baseline for TTT  (X days) and Missed Apt (%) - rolling 3 months</t>
  </si>
  <si>
    <t>NU1.6 Monitoring and reporting on time to treatment for next 3 months</t>
  </si>
  <si>
    <t>NU1.7 Follow up and tweak program if needed</t>
  </si>
  <si>
    <t>NU1.8 Develop a PIP for Nurses that are not performing</t>
  </si>
  <si>
    <t>NU1.9 Monitor and report on missed appts and time to treatment</t>
  </si>
  <si>
    <t>TBD</t>
  </si>
  <si>
    <t>NU2</t>
  </si>
  <si>
    <t>Revamp Performance Review Program with HR</t>
  </si>
  <si>
    <t>NU2.1 Develop measurable goals for each RN and manager</t>
  </si>
  <si>
    <t>NU2.2 Seek approval on goals and targets from Connie/Saurabh</t>
  </si>
  <si>
    <t>NU2.3 Pilot new goals and process (train, commu icate, measure)</t>
  </si>
  <si>
    <t>NU2.4 Follow up and tweak the process as needed</t>
  </si>
  <si>
    <t>NU2.5 New process is launched officially</t>
  </si>
  <si>
    <t>IT1</t>
  </si>
  <si>
    <t>Roll out Case Management Software</t>
  </si>
  <si>
    <t>IT1.1 Validate server and IT configuration</t>
  </si>
  <si>
    <t>Craig</t>
  </si>
  <si>
    <t>IT1.2 Complete the On-boarding Questionnaire</t>
  </si>
  <si>
    <t xml:space="preserve">IT1.3 Begin and end preliminary configuration </t>
  </si>
  <si>
    <t>IT1.4 Train supervisors</t>
  </si>
  <si>
    <t>IT1.5 Commence testing the platform (supervisors to test)</t>
  </si>
  <si>
    <t>IT1.6 Make changes as requested by supervisors</t>
  </si>
  <si>
    <t>IT1.7 Implement integration of ODG</t>
  </si>
  <si>
    <t>IT1.8 Train pilot group (and any minor changes)</t>
  </si>
  <si>
    <t>IT1.9 Complete launch of Case AnyPlace with Guidelines</t>
  </si>
  <si>
    <t>IT1.10 Additional training for all staff</t>
  </si>
  <si>
    <t>IT1.11 Decommission Case Director</t>
  </si>
  <si>
    <t>AC1</t>
  </si>
  <si>
    <t>Complete Policies and Procedures</t>
  </si>
  <si>
    <t>AC 1.1 Review and distribute existing policies - ALL</t>
  </si>
  <si>
    <t>AC 1.2 Update existing policies (Nursing)</t>
  </si>
  <si>
    <t>AC 1.3 Update existing policies (HR)</t>
  </si>
  <si>
    <t>AC 1.4 Update existing policies (IT)</t>
  </si>
  <si>
    <t>AC 1.5 Update existing policies (Admin)</t>
  </si>
  <si>
    <t>AC 1.6 Review and consolidate</t>
  </si>
  <si>
    <t>AC 1.7 Connie reviews, approves</t>
  </si>
  <si>
    <t>AC 1.8 Post in Paycor</t>
  </si>
  <si>
    <t>AC 1.9 Train staff</t>
  </si>
  <si>
    <t>HR1</t>
  </si>
  <si>
    <t>Digitize Documents</t>
  </si>
  <si>
    <t xml:space="preserve">HR 1.1 Identify what can be digitized  - HR </t>
  </si>
  <si>
    <t>HR 1.2 Identify what can be digitized - Accounting</t>
  </si>
  <si>
    <t>HR 1.3 Identify where the documents are currently stored (HR and Accounting)</t>
  </si>
  <si>
    <t>HR 1.4 Determine if external help to digitize and prioritize is needed</t>
  </si>
  <si>
    <t>HR 1.5 Determine plan for digitizing current documents</t>
  </si>
  <si>
    <t>HR 1.6 Digitize existing paper</t>
  </si>
  <si>
    <t>HR 1.7 Verifiy that everything needed is Digitized</t>
  </si>
  <si>
    <t>HR 1.8 Shred existing paper documents</t>
  </si>
  <si>
    <t>HR 1.9 Develop plan for future documents (Accounting)</t>
  </si>
  <si>
    <t>ED1</t>
  </si>
  <si>
    <t>Reimagine Education Programs for Nurses</t>
  </si>
  <si>
    <t>ED 1.1 Identify gaps in training throughout CCM</t>
  </si>
  <si>
    <t>Bowers</t>
  </si>
  <si>
    <t>ED 1.2 Develop topics and short videos for all staff/new hires</t>
  </si>
  <si>
    <t>ED 1.3 Develop training manuals (video, measurable goals)</t>
  </si>
  <si>
    <t>ED 1.4 Develop culture training programs</t>
  </si>
  <si>
    <t>ED 1.5 Develop effective meeting and communication trainings</t>
  </si>
  <si>
    <t>ED 1.6 Create a Resource Library (24 topics)</t>
  </si>
  <si>
    <t>ED 1.7 Develop podcast</t>
  </si>
  <si>
    <t>ED 1.8</t>
  </si>
  <si>
    <t>Other Task</t>
  </si>
  <si>
    <t>STATUS REPORT</t>
  </si>
  <si>
    <t>HIGHLIGHTS</t>
  </si>
  <si>
    <t>LAST WEEK ACCOMPLISHMENTS</t>
  </si>
  <si>
    <t>- Obtained pricing and other info from Digitization companies and selected Scan Strong
-  Process Map completed and provided feedback to Scotti
-  Performance Goals Established for all supervisors and sales roles</t>
  </si>
  <si>
    <t>SCOPE</t>
  </si>
  <si>
    <t>RATIONALE</t>
  </si>
  <si>
    <t>TIMELINE</t>
  </si>
  <si>
    <t>Case Anyplace delayed due to info not sent to vendor</t>
  </si>
  <si>
    <t>BUDGET</t>
  </si>
  <si>
    <t>KEY METRICS ATTAINED</t>
  </si>
  <si>
    <t>Metric Name</t>
  </si>
  <si>
    <t>Description</t>
  </si>
  <si>
    <t>Actuals</t>
  </si>
  <si>
    <t>Monthly Revenue from all clients and services</t>
  </si>
  <si>
    <t>Monthly revenue 12% above target</t>
  </si>
  <si>
    <t>Gross Margin</t>
  </si>
  <si>
    <t>Gross Profit/Revenue</t>
  </si>
  <si>
    <t>Due to higher revenue, GP has exceeded goal</t>
  </si>
  <si>
    <t>Net Margin</t>
  </si>
  <si>
    <t>Net Profit/Revenue</t>
  </si>
  <si>
    <t>Excess 25K in Events and 11K in Insurance</t>
  </si>
  <si>
    <t>Average Referrals</t>
  </si>
  <si>
    <t>Avg referrals across all clients</t>
  </si>
  <si>
    <t>Discuss: Why are referrals low?</t>
  </si>
  <si>
    <t>Average Hours on EIP</t>
  </si>
  <si>
    <t>Avg. hours on EIP with clients having &gt;1 referral</t>
  </si>
  <si>
    <t>Exceeded target substantially</t>
  </si>
  <si>
    <t>Missed Appointments</t>
  </si>
  <si>
    <t>Average % of appointments missed</t>
  </si>
  <si>
    <t>Still basing results on audit and incomplete data</t>
  </si>
  <si>
    <t>KEY DECISION NEEDED</t>
  </si>
  <si>
    <t xml:space="preserve">   </t>
  </si>
  <si>
    <t>Responsible Owner</t>
  </si>
  <si>
    <t>Key Decision Needed</t>
  </si>
  <si>
    <t>By When?</t>
  </si>
  <si>
    <t>Next Steps</t>
  </si>
  <si>
    <t>1 Page Client Sheet which lays out client info</t>
  </si>
  <si>
    <t>Amar was supposed to research HubSpot</t>
  </si>
  <si>
    <t>Discuss Quarterly Draws</t>
  </si>
  <si>
    <t>Connie to discuss with Saurabh</t>
  </si>
  <si>
    <t xml:space="preserve">Obtain approval to proceed with Scan Strong </t>
  </si>
  <si>
    <t>Amar to coordination SOW/Contract and get Connie's signature</t>
  </si>
  <si>
    <t>Do we have go ahead to set up the process for established goals?</t>
  </si>
  <si>
    <t>Saurabh to work with Alison to get a pilot going</t>
  </si>
  <si>
    <t>KEY RISKS &amp; MITIGATION</t>
  </si>
  <si>
    <t>Key Risk/Issue Being Monitored (only OPEN ones)</t>
  </si>
  <si>
    <t>Close Date</t>
  </si>
  <si>
    <t>Mitigation Steps</t>
  </si>
  <si>
    <t>Inadequate staff leading to bandwidth issues</t>
  </si>
  <si>
    <t>Ongoing</t>
  </si>
  <si>
    <t>Monitoring and will suggest concrete actions if projects at risk</t>
  </si>
  <si>
    <t>Able to complete stewardship meetings for EIP by June end</t>
  </si>
  <si>
    <t>Work with Brian to ensure meetings are set up</t>
  </si>
  <si>
    <t>Bandwidth issues with Scotti to complete all audits on time</t>
  </si>
  <si>
    <t>Frequent communication with Scotti</t>
  </si>
  <si>
    <t>PROEJCT TIMELINE</t>
  </si>
  <si>
    <t>Timeline Start Date:</t>
  </si>
  <si>
    <t>Timeline End Date:</t>
  </si>
  <si>
    <t>* Start and End Dates can be changed regardless of dates in plan</t>
  </si>
  <si>
    <t>BOM</t>
  </si>
  <si>
    <t>EOM</t>
  </si>
  <si>
    <t>Status</t>
  </si>
  <si>
    <t>Completed</t>
  </si>
  <si>
    <t>On Track</t>
  </si>
  <si>
    <t>Delayed</t>
  </si>
  <si>
    <t>IT Onboarding Status Sheet</t>
  </si>
  <si>
    <t xml:space="preserve">Item Needed </t>
  </si>
  <si>
    <t>Resonsible</t>
  </si>
  <si>
    <t>Answer or Attachment</t>
  </si>
  <si>
    <t>Billing Codes</t>
  </si>
  <si>
    <t>Complete</t>
  </si>
  <si>
    <t>Need to update as of 3/14</t>
  </si>
  <si>
    <t>Company Rates</t>
  </si>
  <si>
    <t>SB to follow up with Connie</t>
  </si>
  <si>
    <t>Sample Invoices</t>
  </si>
  <si>
    <t>Same Case Reports</t>
  </si>
  <si>
    <t>3/5 sent initial interview and initial report; more to follow</t>
  </si>
  <si>
    <t>Payroll Reports/Utilization Report</t>
  </si>
  <si>
    <t>Company Logo</t>
  </si>
  <si>
    <t>Scottie to check with Brandon</t>
  </si>
  <si>
    <t>Sample Referral Form</t>
  </si>
  <si>
    <t>Mail Merge Word Documents</t>
  </si>
  <si>
    <t>Talk to Sue</t>
  </si>
  <si>
    <t>Case # Format</t>
  </si>
  <si>
    <t>Mask SSN except last 4?</t>
  </si>
  <si>
    <t>NO</t>
  </si>
  <si>
    <t>List of Case Type and Case Sub Types</t>
  </si>
  <si>
    <t>3/14 : Decision made to streamline, in process</t>
  </si>
  <si>
    <t>Overview of Company Workflow</t>
  </si>
  <si>
    <t>Put together; Reviewing with Michelle</t>
  </si>
  <si>
    <t>User List</t>
  </si>
  <si>
    <t>System Email Address</t>
  </si>
  <si>
    <t>Agency Setup</t>
  </si>
  <si>
    <t>System Application Setup</t>
  </si>
  <si>
    <t>Data Conversion</t>
  </si>
  <si>
    <t>Follow up later</t>
  </si>
  <si>
    <t>Demo of Existing App</t>
  </si>
  <si>
    <t>Accounting Period</t>
  </si>
  <si>
    <t>Marketing Reps</t>
  </si>
  <si>
    <t>Scotti to follow up with Michelle</t>
  </si>
  <si>
    <t>Account Receivable</t>
  </si>
  <si>
    <t>Part of Process Map</t>
  </si>
  <si>
    <t>Implementation Timeline</t>
  </si>
  <si>
    <t>Policies &amp; Procedures Process</t>
  </si>
  <si>
    <t>Process Steps</t>
  </si>
  <si>
    <t>Review existing policies and procedures</t>
  </si>
  <si>
    <t>Identify where changes are needed</t>
  </si>
  <si>
    <t>Seek approval on changes through the CEO</t>
  </si>
  <si>
    <t>Make the required changes</t>
  </si>
  <si>
    <t>Formalize by posting on Paycor</t>
  </si>
  <si>
    <t>Train and communicate to Staff</t>
  </si>
  <si>
    <t>Watkins, Brauer</t>
  </si>
  <si>
    <t>Watkins, Brauer, Craig, Rost</t>
  </si>
  <si>
    <t>Watkins, Brauer, Craig</t>
  </si>
  <si>
    <t>Performance Goals and Bonus Structure</t>
  </si>
  <si>
    <t>Current Date</t>
  </si>
  <si>
    <t>Performance Goals for Managers</t>
  </si>
  <si>
    <t>Power or Essential Skills</t>
  </si>
  <si>
    <t>Product Quality</t>
  </si>
  <si>
    <t>Connie</t>
  </si>
  <si>
    <t xml:space="preserve">EIP Program Manager 
</t>
  </si>
  <si>
    <t>Goals</t>
  </si>
  <si>
    <t>Weight</t>
  </si>
  <si>
    <t>EOY Goal</t>
  </si>
  <si>
    <t>EOY Actuals</t>
  </si>
  <si>
    <t>YTD actuals</t>
  </si>
  <si>
    <t>On Track?</t>
  </si>
  <si>
    <t>% EOY Attained</t>
  </si>
  <si>
    <t>Skills</t>
  </si>
  <si>
    <t>Score</t>
  </si>
  <si>
    <t>Output</t>
  </si>
  <si>
    <t>Required Min Billable hours (NCM)</t>
  </si>
  <si>
    <t>Stewardship</t>
  </si>
  <si>
    <t>EIP transfer within 90 days</t>
  </si>
  <si>
    <t>Dept Min. Billable Hours (Aggregate)</t>
  </si>
  <si>
    <t>Trustworthy</t>
  </si>
  <si>
    <t>Coord meets established guidelines</t>
  </si>
  <si>
    <t>Lifelong Learning</t>
  </si>
  <si>
    <t>Utilize Co resources = case advancement</t>
  </si>
  <si>
    <t>Product Quality (Accurate, Efficient, Effective)</t>
  </si>
  <si>
    <t>Passionate Advocacy</t>
  </si>
  <si>
    <t xml:space="preserve">% Weighted Attained </t>
  </si>
  <si>
    <t>Service Excellence</t>
  </si>
  <si>
    <t>Max Potential Bonus</t>
  </si>
  <si>
    <t>Achieved Bonus</t>
  </si>
  <si>
    <t>Weighted Score</t>
  </si>
  <si>
    <t xml:space="preserve">TCM/Nurse Coordinator/EIP Manager 
</t>
  </si>
  <si>
    <t>Required Min. Billable Hours (NCM)</t>
  </si>
  <si>
    <t>RFA Time to Treatment</t>
  </si>
  <si>
    <t>Appt Attendence (TCM)</t>
  </si>
  <si>
    <t>Nurse Supervisor</t>
  </si>
  <si>
    <t>Power Skills</t>
  </si>
  <si>
    <t>Team Min. Billable Hour (Aggregate)</t>
  </si>
  <si>
    <t>Appt Attendence</t>
  </si>
  <si>
    <t>Chief Nursing Officer
(Alison)</t>
  </si>
  <si>
    <t>Required Min. Billable Hours (Aggregate)</t>
  </si>
  <si>
    <t>Audit based corrections</t>
  </si>
  <si>
    <t>Nursing Team Utilization</t>
  </si>
  <si>
    <t>95%-105%</t>
  </si>
  <si>
    <t>Client Feedback</t>
  </si>
  <si>
    <t>Bonus</t>
  </si>
  <si>
    <t>Sales</t>
  </si>
  <si>
    <t>Quarterly Goals</t>
  </si>
  <si>
    <t>Q(t-4) Actuals</t>
  </si>
  <si>
    <t>% Attained</t>
  </si>
  <si>
    <t>Bonus Amount</t>
  </si>
  <si>
    <t>New Client Revenue</t>
  </si>
  <si>
    <t>New Sales
(No Cap)</t>
  </si>
  <si>
    <t>New Services to Existing Clients</t>
  </si>
  <si>
    <t>Stewardship Meetings</t>
  </si>
  <si>
    <t>Client Retention
(Cap of 1,000)</t>
  </si>
  <si>
    <t>Percent
 Attained</t>
  </si>
  <si>
    <t>Email Campaigns, Linked In Posting</t>
  </si>
  <si>
    <t>Budget Adherence</t>
  </si>
  <si>
    <t>Cap of 250</t>
  </si>
  <si>
    <t>1.5% of sales</t>
  </si>
  <si>
    <t>Attained</t>
  </si>
  <si>
    <t>Percent Attained</t>
  </si>
  <si>
    <t>Weigthed Score</t>
  </si>
  <si>
    <t xml:space="preserve">Note:  Dept operating capacities versus actual capacitiy, what percentage should that be.  Quick snap shot of workload, know when to hire, etc.  What is target range?  </t>
  </si>
  <si>
    <t>Priority Project Cards</t>
  </si>
  <si>
    <t>#</t>
  </si>
  <si>
    <t>Strategic Objective</t>
  </si>
  <si>
    <t>Initiative #</t>
  </si>
  <si>
    <t>Initiative</t>
  </si>
  <si>
    <t>Sponsor</t>
  </si>
  <si>
    <t>KPI</t>
  </si>
  <si>
    <t>Goal</t>
  </si>
  <si>
    <t>2024</t>
  </si>
  <si>
    <t>2025</t>
  </si>
  <si>
    <t>2026</t>
  </si>
  <si>
    <t>Increase Gross Margin</t>
  </si>
  <si>
    <t>01.A</t>
  </si>
  <si>
    <t>In Progress</t>
  </si>
  <si>
    <t>Increase utilization of Nurse Coordinators</t>
  </si>
  <si>
    <t>NC Billable Utilization</t>
  </si>
  <si>
    <t>01.B</t>
  </si>
  <si>
    <t>Develop proactive programs to start discussing rate increase</t>
  </si>
  <si>
    <t># of Clients with Pricing Discussion</t>
  </si>
  <si>
    <t>01.C</t>
  </si>
  <si>
    <t>Develop higher margin pricing options (such as flat rate) - Make part of the research project</t>
  </si>
  <si>
    <t># of New Pricing Options and Tiered Pricing</t>
  </si>
  <si>
    <t>01.D</t>
  </si>
  <si>
    <t>Develop plan for Stewardship Reporting additional revenue</t>
  </si>
  <si>
    <t>Developed Plan</t>
  </si>
  <si>
    <t>01.E</t>
  </si>
  <si>
    <t>Explore low-cost translation services</t>
  </si>
  <si>
    <t>Analysis Complete</t>
  </si>
  <si>
    <t>Create sustainable competitive advantage through cost innovation</t>
  </si>
  <si>
    <t>02.A</t>
  </si>
  <si>
    <t>Streamline invoicing</t>
  </si>
  <si>
    <t>Admin Headcount Reduction</t>
  </si>
  <si>
    <t>EO24</t>
  </si>
  <si>
    <t>02.B</t>
  </si>
  <si>
    <t>Explore prepaying expenses to leverage discounts</t>
  </si>
  <si>
    <t>Reduction in SG&amp;A Expense as % of Revenue</t>
  </si>
  <si>
    <t>02.C</t>
  </si>
  <si>
    <t>Eliminate Case Director</t>
  </si>
  <si>
    <t>$10K / yr.</t>
  </si>
  <si>
    <t>EO 24</t>
  </si>
  <si>
    <t>02.D</t>
  </si>
  <si>
    <t>Eliminate redundant guideline</t>
  </si>
  <si>
    <t>$15K /yr.</t>
  </si>
  <si>
    <t>EO 25</t>
  </si>
  <si>
    <t>02.E</t>
  </si>
  <si>
    <t>Invest excess cash</t>
  </si>
  <si>
    <t>Interest Income</t>
  </si>
  <si>
    <t>Streamline work methods and process</t>
  </si>
  <si>
    <t>03.A</t>
  </si>
  <si>
    <t>Implement Case Anyplace</t>
  </si>
  <si>
    <t>Implementation complete</t>
  </si>
  <si>
    <t>03.B</t>
  </si>
  <si>
    <t>Achieve SOC2 compliance</t>
  </si>
  <si>
    <t>SOC2 Certification</t>
  </si>
  <si>
    <t>EO25</t>
  </si>
  <si>
    <t>03.C</t>
  </si>
  <si>
    <t>Achieve Paycor 100% compliance and certification</t>
  </si>
  <si>
    <t>All required employees certified</t>
  </si>
  <si>
    <t>03.D</t>
  </si>
  <si>
    <t>Implement LMS</t>
  </si>
  <si>
    <t>LMS complete</t>
  </si>
  <si>
    <t>Enter new states and launch new services</t>
  </si>
  <si>
    <t>04.A</t>
  </si>
  <si>
    <t># of New States</t>
  </si>
  <si>
    <t>3 by EO26</t>
  </si>
  <si>
    <t>40K in 24</t>
  </si>
  <si>
    <t>04.B</t>
  </si>
  <si>
    <t>Launch new services in current and new states</t>
  </si>
  <si>
    <t># of New Services Launched</t>
  </si>
  <si>
    <t>Finish Research</t>
  </si>
  <si>
    <t>Increase Client Engagement</t>
  </si>
  <si>
    <t>05.A</t>
  </si>
  <si>
    <t>Inventory listing of all existing services that may be revenue generating - Part of research project</t>
  </si>
  <si>
    <t>Increase Employee Engagement</t>
  </si>
  <si>
    <t>06.A</t>
  </si>
  <si>
    <t>Finishing the Emp. Engagement survey</t>
  </si>
  <si>
    <t>Complete Survey</t>
  </si>
  <si>
    <t>Annual</t>
  </si>
  <si>
    <t>06.B</t>
  </si>
  <si>
    <t>Set up process to track volunteering hours</t>
  </si>
  <si>
    <t>06.C</t>
  </si>
  <si>
    <t>Evaluate and launch a new training survey</t>
  </si>
  <si>
    <t>06.D</t>
  </si>
  <si>
    <t>Plan a company wide team building event</t>
  </si>
  <si>
    <t>06.E</t>
  </si>
  <si>
    <t>Implement a Suggestion Box  (Einstein Award)</t>
  </si>
  <si>
    <t>Create High Performance Culture</t>
  </si>
  <si>
    <t>07.A</t>
  </si>
  <si>
    <t>Set up criteria and metrics for all staff levels for Performance Reviews</t>
  </si>
  <si>
    <t>07.B</t>
  </si>
  <si>
    <t>Incorporate values in PR</t>
  </si>
  <si>
    <t>07.C</t>
  </si>
  <si>
    <t>Integrate PR into PayCor</t>
  </si>
  <si>
    <t>Digitization Company in California</t>
  </si>
  <si>
    <t>Company Name</t>
  </si>
  <si>
    <t>Contact Person</t>
  </si>
  <si>
    <t>Website</t>
  </si>
  <si>
    <t>Progress</t>
  </si>
  <si>
    <t>Zip Code</t>
  </si>
  <si>
    <t>Process</t>
  </si>
  <si>
    <t>Pricing</t>
  </si>
  <si>
    <t>Timeline</t>
  </si>
  <si>
    <t>Contacts</t>
  </si>
  <si>
    <t>Key Term</t>
  </si>
  <si>
    <t>Pacific Records Management</t>
  </si>
  <si>
    <t>Archie Strauman
astrauman@pacific-records.com</t>
  </si>
  <si>
    <t>Got response from the company</t>
  </si>
  <si>
    <t>CA 95838-2372, CA 95203, CA 95354-4142, CA 93722-7765</t>
  </si>
  <si>
    <t xml:space="preserve">1) After agreement , pickup will be scheduled
2) After scanning, document will be returned in usb drive within 4 weeks
3) 4 weeks will be given to review the documents before shredding
</t>
  </si>
  <si>
    <r>
      <rPr>
        <sz val="8.75"/>
        <color rgb="FF0D0D0D"/>
        <rFont val="Calibri"/>
        <family val="2"/>
        <scheme val="minor"/>
      </rPr>
      <t xml:space="preserve">1. Scanning and transport: $125.00 per trip
2. Digitization: $150 per standard size carton (150x12=1,800)
3. Storage : $35.00 per usb (~3)
4. Shredding : $5.00 per standard carton (12x5=60)
</t>
    </r>
    <r>
      <rPr>
        <b/>
        <sz val="8.75"/>
        <color rgb="FF0D0D0D"/>
        <rFont val="Calibri"/>
        <family val="2"/>
        <scheme val="minor"/>
      </rPr>
      <t>Approx:  $2,100</t>
    </r>
  </si>
  <si>
    <t>~2 months</t>
  </si>
  <si>
    <t>800-685-9034</t>
  </si>
  <si>
    <t>1. Rate may vary after 30 days for storage
2. Late fee will be charged @ 15% per annum
3.There should be only one representative for all communication.
4. Company is not responsible for any loss or damage of storage materials
5.Pacific shall exercise the same degree of care in safeguarding deposits entrusted to it by Client</t>
  </si>
  <si>
    <t>Iron Mountain</t>
  </si>
  <si>
    <t>https://www.ironmountain.com/</t>
  </si>
  <si>
    <t>No response</t>
  </si>
  <si>
    <t> 800-934-3453</t>
  </si>
  <si>
    <t>DRM Scanning and shredding</t>
  </si>
  <si>
    <t>Mike Levine
mike@scanninghouse.com</t>
  </si>
  <si>
    <t>https://drmscanning.com/#open</t>
  </si>
  <si>
    <t> CA 90212</t>
  </si>
  <si>
    <t>1) After agreement , pickup will be scheduld
2) After scanning, document will be hosted on drive for us to download
3) 3 weeks will be given to review the documents before shredding</t>
  </si>
  <si>
    <r>
      <t xml:space="preserve">1. $175 per Banker/file size box (include OCR for searchable text electronic files,hosting on their cloud, shredding)
2. Pick up charges:  $50 pick up
Total: $175*12 + $50 = </t>
    </r>
    <r>
      <rPr>
        <b/>
        <sz val="8.75"/>
        <color rgb="FF0D0D0D"/>
        <rFont val="Calibri"/>
        <family val="2"/>
        <scheme val="minor"/>
      </rPr>
      <t>$2,150</t>
    </r>
  </si>
  <si>
    <t>2-3 weeks</t>
  </si>
  <si>
    <t>The pdf file does not contain and terms and condition rather they provided the procedure of work. I have mailed them again for SOW</t>
  </si>
  <si>
    <t>Los Angeles Document Scanning</t>
  </si>
  <si>
    <t>https://www.ladocumentscanning.com/#</t>
  </si>
  <si>
    <t>Emailed to the company</t>
  </si>
  <si>
    <t> CA 90069</t>
  </si>
  <si>
    <t>310-598-7350</t>
  </si>
  <si>
    <t>Corodata</t>
  </si>
  <si>
    <t>Jason Perry
jperry@corodata.com</t>
  </si>
  <si>
    <t>https://corodata.com/</t>
  </si>
  <si>
    <t>CA 92064</t>
  </si>
  <si>
    <r>
      <rPr>
        <sz val="8.75"/>
        <color rgb="FF0D0D0D"/>
        <rFont val="Calibri"/>
        <family val="2"/>
        <scheme val="minor"/>
      </rPr>
      <t xml:space="preserve">1) After agreement , pickup will be scheduled
2) After scanning, document will be hosted on drive for us to download
3) </t>
    </r>
    <r>
      <rPr>
        <sz val="8.75"/>
        <color rgb="FF000000"/>
        <rFont val="Calibri"/>
        <family val="2"/>
        <scheme val="minor"/>
      </rPr>
      <t>6 weeks</t>
    </r>
    <r>
      <rPr>
        <sz val="8.75"/>
        <color rgb="FF0D0D0D"/>
        <rFont val="Calibri"/>
        <family val="2"/>
        <scheme val="minor"/>
      </rPr>
      <t xml:space="preserve"> will be given to review the documents before shredding</t>
    </r>
  </si>
  <si>
    <r>
      <t xml:space="preserve">1. Estimated per box: $250-$300 (12x250=$3,000)
2. Total: </t>
    </r>
    <r>
      <rPr>
        <b/>
        <sz val="8.75"/>
        <color rgb="FF0D0D0D"/>
        <rFont val="Calibri"/>
        <family val="2"/>
        <scheme val="minor"/>
      </rPr>
      <t>$3,000 - $3,600</t>
    </r>
  </si>
  <si>
    <t>858-748-1100</t>
  </si>
  <si>
    <t>1. All the charges are as Per Record Storage Agreement
2. If any charge not listed, price will be mutually agreed before delivery
3. Company will provie the sample of scanning before final proceeding
4. Company will provided 90 days of free storage</t>
  </si>
  <si>
    <t>Fresnoscanning Services</t>
  </si>
  <si>
    <t>https://www.fresnoscanningservices.com/</t>
  </si>
  <si>
    <t>CA 93721</t>
  </si>
  <si>
    <t>River Side Document Scanning</t>
  </si>
  <si>
    <t>https://www.riversidedocumentscanning.com/</t>
  </si>
  <si>
    <t>CA 92506</t>
  </si>
  <si>
    <t>Scan Strong</t>
  </si>
  <si>
    <t>Nathan Simmons
nathan@goscanstrong.com</t>
  </si>
  <si>
    <t>https://goscanstrong.com/</t>
  </si>
  <si>
    <t>CA 95054</t>
  </si>
  <si>
    <t>1) After agreement , pickup will be scheduled
2) After scanning, document will be hosted on drive for us to download
3) 8 weeks will be given to review the documents before shredding</t>
  </si>
  <si>
    <r>
      <rPr>
        <sz val="8.75"/>
        <color rgb="FF0D0D0D"/>
        <rFont val="Calibri"/>
        <family val="2"/>
        <scheme val="minor"/>
      </rPr>
      <t xml:space="preserve">1. Per box: $170 (170*12=2,040)
2. Total: </t>
    </r>
    <r>
      <rPr>
        <b/>
        <sz val="8.75"/>
        <color rgb="FF0D0D0D"/>
        <rFont val="Calibri"/>
        <family val="2"/>
        <scheme val="minor"/>
      </rPr>
      <t>$2,040</t>
    </r>
    <r>
      <rPr>
        <sz val="8.75"/>
        <color rgb="FF0D0D0D"/>
        <rFont val="Calibri"/>
        <family val="2"/>
        <scheme val="minor"/>
      </rPr>
      <t xml:space="preserve"> including all services</t>
    </r>
  </si>
  <si>
    <t>2 Week</t>
  </si>
  <si>
    <t>1. Company agrees to maintain the confidentiality and security of all documents throughout the scanning process
2. Any data breach or loss of documents will be immediately reported to the Client, and necessary measures will be taken</t>
  </si>
  <si>
    <t>Vital Records Controls</t>
  </si>
  <si>
    <t>Lyndse McPheeters
lmcpheeters@vrcnetwork.com</t>
  </si>
  <si>
    <t>https://vitalrecordscontrol.com/l</t>
  </si>
  <si>
    <t>CA  90640</t>
  </si>
  <si>
    <t>1) We prepare documents for scanning
2) Documents are scanned
3) Documents are categorized and indexed and undergo a two-step QA process
4) Digital files are saved as PDFs, JPGs, TIFFs
5) Digital files are migrated to our secure online repository or the document management system (DMS) of choice
6) Hard copies are returned, stored in their off-site storage facilities, or securely shredded</t>
  </si>
  <si>
    <r>
      <rPr>
        <b/>
        <sz val="8.75"/>
        <color rgb="FF0D0D0D"/>
        <rFont val="Calibri"/>
        <family val="2"/>
        <scheme val="minor"/>
      </rPr>
      <t xml:space="preserve">$ 10,085 
</t>
    </r>
    <r>
      <rPr>
        <sz val="8.75"/>
        <color rgb="FF0D0D0D"/>
        <rFont val="Calibri"/>
        <family val="2"/>
        <scheme val="minor"/>
      </rPr>
      <t xml:space="preserve">The Price is high as they have assumed double side scanning of each page and guessing as 50,400 scan pages. Price can get reduced for only one side scanning pages. </t>
    </r>
  </si>
  <si>
    <t>4 Weeks</t>
  </si>
  <si>
    <t>650-875-3700</t>
  </si>
  <si>
    <t>STATUS</t>
  </si>
  <si>
    <t>Stankus</t>
  </si>
  <si>
    <t>Garrett</t>
  </si>
  <si>
    <t>Erno</t>
  </si>
  <si>
    <t>Client Financial Analysis</t>
  </si>
  <si>
    <t>Clients-&gt;</t>
  </si>
  <si>
    <t>Amerind</t>
  </si>
  <si>
    <t>2023-2024-&gt;</t>
  </si>
  <si>
    <t>Apr - Jun 24</t>
  </si>
  <si>
    <t>Client-&gt;</t>
  </si>
  <si>
    <t>CA Fair Services Authority (SAC)</t>
  </si>
  <si>
    <t>Apr-Jun</t>
  </si>
  <si>
    <t>Jul-Sep</t>
  </si>
  <si>
    <t>Oct-Dec</t>
  </si>
  <si>
    <t>Jan-Mar</t>
  </si>
  <si>
    <t>2022-2023</t>
  </si>
  <si>
    <t>2023-2024</t>
  </si>
  <si>
    <t>2024-2025</t>
  </si>
  <si>
    <t>AAA Ideal Mattress &amp; Furniture</t>
  </si>
  <si>
    <t>AdminSure (ONT)</t>
  </si>
  <si>
    <t>AIMS-SAC</t>
  </si>
  <si>
    <t>Applied Underwriters</t>
  </si>
  <si>
    <t>Athens-CON (B)</t>
  </si>
  <si>
    <t>Athens-CON</t>
  </si>
  <si>
    <t>Athens/HISIG</t>
  </si>
  <si>
    <t>Berkley Environmental</t>
  </si>
  <si>
    <t>California Fair Services Authority (SAC)</t>
  </si>
  <si>
    <t>Carisk Partners-FL</t>
  </si>
  <si>
    <t>CCC Risk Mgmt-MAR</t>
  </si>
  <si>
    <t>CCMS, Inc. (TOR)</t>
  </si>
  <si>
    <t>CCMSI-CON (B)</t>
  </si>
  <si>
    <t>CCMSI-CON</t>
  </si>
  <si>
    <t>CIGA-GLE (B)</t>
  </si>
  <si>
    <t>CIGA-GLE</t>
  </si>
  <si>
    <t>CIGA-Tristar</t>
  </si>
  <si>
    <t>CorVel Corporation</t>
  </si>
  <si>
    <t>County of Sacramento-SAC</t>
  </si>
  <si>
    <t>Gallagher-Pacific Coast Building Products</t>
  </si>
  <si>
    <t>Gallagher Bassett-ONT (B)</t>
  </si>
  <si>
    <t>Gallagher Bassett-ONT</t>
  </si>
  <si>
    <t>GSRMA (WIL)</t>
  </si>
  <si>
    <t>Guideone Insurance</t>
  </si>
  <si>
    <t>ICS-SR (B)</t>
  </si>
  <si>
    <t>ICS-SR</t>
  </si>
  <si>
    <t>Intercare-ORA</t>
  </si>
  <si>
    <t>Intercare-ROS</t>
  </si>
  <si>
    <t>Intercare/Culver City-ROS</t>
  </si>
  <si>
    <t>Intercare/SDRMA-ROS</t>
  </si>
  <si>
    <t>LWP/CIRA (B)</t>
  </si>
  <si>
    <t>LWP/CIRA</t>
  </si>
  <si>
    <t>Matrix Absence Mgmt-SJ</t>
  </si>
  <si>
    <t>Mountain F. Enterprises</t>
  </si>
  <si>
    <t>Murphy &amp; Beane</t>
  </si>
  <si>
    <t>NARS</t>
  </si>
  <si>
    <t>NBSIA-FAI</t>
  </si>
  <si>
    <t>Omaha National-NE</t>
  </si>
  <si>
    <t>Pacific Claims Management</t>
  </si>
  <si>
    <t>Pacific Gas &amp; Electric (B)</t>
  </si>
  <si>
    <t>Pacific Gas &amp; Electric</t>
  </si>
  <si>
    <t>Presque Isle Rehabilitation Service, LLC</t>
  </si>
  <si>
    <t>Republic-ENC</t>
  </si>
  <si>
    <t>SDRMA</t>
  </si>
  <si>
    <t>Sedgwick-GLE</t>
  </si>
  <si>
    <t>Sedgwick-LB</t>
  </si>
  <si>
    <t>Sedgwick-OAK</t>
  </si>
  <si>
    <t>Sedgwick-ORA</t>
  </si>
  <si>
    <t>Sedgwick-RCu</t>
  </si>
  <si>
    <t>Sedgwick-RIV</t>
  </si>
  <si>
    <t>Sedgwick/Butte County</t>
  </si>
  <si>
    <t>Sedgwick/CSU (B)</t>
  </si>
  <si>
    <t>Sedgwick/CSU</t>
  </si>
  <si>
    <t>Sedgwick/Kaiser</t>
  </si>
  <si>
    <t>Sedgwick/PRISM</t>
  </si>
  <si>
    <t>Sedgwick/SDRMA (ROS)</t>
  </si>
  <si>
    <t>Sedgwick/York RSG-ROS</t>
  </si>
  <si>
    <t>Sutter-SAC</t>
  </si>
  <si>
    <t>The Polaris Group, LTD</t>
  </si>
  <si>
    <t>Tribal First-SD</t>
  </si>
  <si>
    <t>Trindel Insurance Fund</t>
  </si>
  <si>
    <t>Tristar-SAC (B)</t>
  </si>
  <si>
    <t>Tristar-SAC</t>
  </si>
  <si>
    <t>Waterloo Morada FD -STO</t>
  </si>
  <si>
    <t>Zurich/Sierra Wes</t>
  </si>
  <si>
    <t>Apr - Jun 23</t>
  </si>
  <si>
    <t>Jul - Sep 23</t>
  </si>
  <si>
    <t>Oct - Dec 23</t>
  </si>
  <si>
    <t>Jan - Mar 24</t>
  </si>
  <si>
    <t>House</t>
  </si>
  <si>
    <t>Brian</t>
  </si>
  <si>
    <t>YoY % House</t>
  </si>
  <si>
    <t>-</t>
  </si>
  <si>
    <t>YoY % Brian</t>
  </si>
  <si>
    <t>Trend</t>
  </si>
  <si>
    <t>Clients</t>
  </si>
  <si>
    <t>Account</t>
  </si>
  <si>
    <t>Apr - Jun 22</t>
  </si>
  <si>
    <t>Jul - Sep 22</t>
  </si>
  <si>
    <t>Oct - Dec 22</t>
  </si>
  <si>
    <t>Jan - Mar 23</t>
  </si>
  <si>
    <t>Jul - Sep 24</t>
  </si>
  <si>
    <t>Oct - Dec 24</t>
  </si>
  <si>
    <t>Jan - Mar 25</t>
  </si>
  <si>
    <t>YoY 23</t>
  </si>
  <si>
    <t>YoY% 23</t>
  </si>
  <si>
    <t>YoY 24</t>
  </si>
  <si>
    <t>YoY% 24</t>
  </si>
  <si>
    <t>Nurses Hours By Month</t>
  </si>
  <si>
    <t>Regular</t>
  </si>
  <si>
    <t>Impact EIP</t>
  </si>
  <si>
    <t>Nurse Coordinator</t>
  </si>
  <si>
    <t>Select Program-&gt;</t>
  </si>
  <si>
    <t>Select Nurse -&gt;</t>
  </si>
  <si>
    <t>YTD Hours -&gt;</t>
  </si>
  <si>
    <t>YTD Util -&gt;</t>
  </si>
  <si>
    <t>Hour Type -&gt;</t>
  </si>
  <si>
    <t>Select Month -&gt;</t>
  </si>
  <si>
    <t>YTD</t>
  </si>
  <si>
    <t>* Utilization only for Type 1</t>
  </si>
  <si>
    <t>YTD Hours</t>
  </si>
  <si>
    <t>Jan</t>
  </si>
  <si>
    <t>Feb</t>
  </si>
  <si>
    <t>Mar</t>
  </si>
  <si>
    <t>Apr</t>
  </si>
  <si>
    <t>May</t>
  </si>
  <si>
    <t>Jun</t>
  </si>
  <si>
    <t>Jul</t>
  </si>
  <si>
    <t>Aug</t>
  </si>
  <si>
    <t>Sep</t>
  </si>
  <si>
    <t>Oct</t>
  </si>
  <si>
    <t>Nov</t>
  </si>
  <si>
    <t>Dec</t>
  </si>
  <si>
    <t>Aquino, Vanessa</t>
  </si>
  <si>
    <t>Cabral, Wendy</t>
  </si>
  <si>
    <t>Delgado, David</t>
  </si>
  <si>
    <t>deLuna, Peggy</t>
  </si>
  <si>
    <t>Gietzen, Shelby</t>
  </si>
  <si>
    <t>Kaur, Ravee</t>
  </si>
  <si>
    <t>Kaur, Savreet</t>
  </si>
  <si>
    <t>Omoaholo, Roxanne</t>
  </si>
  <si>
    <t>Rost, Alison</t>
  </si>
  <si>
    <t>Moore, Falisha</t>
  </si>
  <si>
    <t>Vincente, Devanny</t>
  </si>
  <si>
    <t>Aguayo, Madeline</t>
  </si>
  <si>
    <t xml:space="preserve">Benson, Tammy </t>
  </si>
  <si>
    <t>Brassfield, Amber</t>
  </si>
  <si>
    <t>Brogdon, Stephanie</t>
  </si>
  <si>
    <t>Erno, Susan</t>
  </si>
  <si>
    <t>Fortner, Michael</t>
  </si>
  <si>
    <t>Garrett, Holly</t>
  </si>
  <si>
    <t>Gill, Manpreet</t>
  </si>
  <si>
    <t>Grant, Scotti</t>
  </si>
  <si>
    <t>Habra, Cecilia</t>
  </si>
  <si>
    <t>Jeng, Jinny</t>
  </si>
  <si>
    <t>Keefer, Tamryn</t>
  </si>
  <si>
    <t>Pepito, Mabelene</t>
  </si>
  <si>
    <t>Pham, Michelle</t>
  </si>
  <si>
    <t>Price, Nychole</t>
  </si>
  <si>
    <t>Regalado, Jeanette</t>
  </si>
  <si>
    <t>Adkins, Molly</t>
  </si>
  <si>
    <t>Boulger, Becky</t>
  </si>
  <si>
    <t>Chau, Shawna</t>
  </si>
  <si>
    <t>Raimondi, Lisa</t>
  </si>
  <si>
    <t>Veilleaux, Cheryl</t>
  </si>
  <si>
    <t>Ind Contractors</t>
  </si>
  <si>
    <t xml:space="preserve">Thieleman, Casandra </t>
  </si>
  <si>
    <t xml:space="preserve">Snyder, Collete </t>
  </si>
  <si>
    <t xml:space="preserve">Fortner, Jared </t>
  </si>
  <si>
    <t xml:space="preserve">Sanchez, Armando </t>
  </si>
  <si>
    <t>Breitenbucher, Brett</t>
  </si>
  <si>
    <t>Bowers, Sue</t>
  </si>
  <si>
    <t xml:space="preserve">Malone, Teresa </t>
  </si>
  <si>
    <t>Deogny, Linda</t>
  </si>
  <si>
    <t>Erno, Susan (I)</t>
  </si>
  <si>
    <t>Erno, Susan (T)</t>
  </si>
  <si>
    <t>Habra, Cecilia (I)</t>
  </si>
  <si>
    <t>Habra, Cecilia (T)</t>
  </si>
  <si>
    <t>Garett, Holly (I)</t>
  </si>
  <si>
    <t>Garett, Holly (T)</t>
  </si>
  <si>
    <t>Henderson, Rachel</t>
  </si>
  <si>
    <t>Rayburn, Ardie</t>
  </si>
  <si>
    <t>White, Amber</t>
  </si>
  <si>
    <t>Willison, Jennifer</t>
  </si>
  <si>
    <t>Nurse Details</t>
  </si>
  <si>
    <t>(1) RN Billable Hours + All Misc &amp; PTO Hours</t>
  </si>
  <si>
    <t>Utilization of the Nurses</t>
  </si>
  <si>
    <t>(2) RN Billable Hours Without Non-Billable Misc Hours 
(without PTO or Special Assignments for LEGACY; Received HOURS for PT)</t>
  </si>
  <si>
    <t>(3) BONUS HOURS PAID (includes RN Special Assignment Hrs) 
(for STANDARD includes PTO Holiday/Vacation Hrs)</t>
  </si>
  <si>
    <t xml:space="preserve">(4) BILLABLE BONUS HOURS ONLY (NO PTO, NO SPECIAL ASSIGNMENT HOURS) </t>
  </si>
  <si>
    <t>Goal for FT Nurses-&gt;</t>
  </si>
  <si>
    <t>Nurse</t>
  </si>
  <si>
    <t>Program</t>
  </si>
  <si>
    <t>Month -&gt;</t>
  </si>
  <si>
    <t>July</t>
  </si>
  <si>
    <t>Column1</t>
  </si>
  <si>
    <t>None</t>
  </si>
  <si>
    <t>Retired</t>
  </si>
  <si>
    <t>Ret. As of 4/8</t>
  </si>
  <si>
    <t>Standard</t>
  </si>
  <si>
    <t>FT</t>
  </si>
  <si>
    <t>Alejo, Marahi</t>
  </si>
  <si>
    <t>Legacy</t>
  </si>
  <si>
    <t>PT</t>
  </si>
  <si>
    <t>LOA, now PT as of 6/20</t>
  </si>
  <si>
    <t>Terminated</t>
  </si>
  <si>
    <t>Nurse Supv</t>
  </si>
  <si>
    <t>9/1 Supervisor</t>
  </si>
  <si>
    <t>Legacy, Standard as of 5/1</t>
  </si>
  <si>
    <t>Caldera, Rosa</t>
  </si>
  <si>
    <t>6/1 Standard, 9/1 Supv</t>
  </si>
  <si>
    <t>Delgado, Virgie</t>
  </si>
  <si>
    <t>Added in oct (10/7)</t>
  </si>
  <si>
    <t>TCM Manager</t>
  </si>
  <si>
    <t>QC</t>
  </si>
  <si>
    <t xml:space="preserve">Kaur, Gursimron </t>
  </si>
  <si>
    <t>Kaur, Lapreet</t>
  </si>
  <si>
    <t>Miller, Alicia</t>
  </si>
  <si>
    <t>Ter. on 1/25</t>
  </si>
  <si>
    <t>LOA  3/18, Now PT as of 6/20, terminated 10/1</t>
  </si>
  <si>
    <t>Root, Gabrielle</t>
  </si>
  <si>
    <t>Promted to CNO</t>
  </si>
  <si>
    <t>inactive as of 6/20</t>
  </si>
  <si>
    <t>Thomas, Tracy</t>
  </si>
  <si>
    <t>Con. To PT in Mar</t>
  </si>
  <si>
    <t>n/a</t>
  </si>
  <si>
    <t>EIP PROGRAM</t>
  </si>
  <si>
    <t>Billable Hours Only</t>
  </si>
  <si>
    <t xml:space="preserve">Billable Hours + PTO </t>
  </si>
  <si>
    <t>Goal -&gt;</t>
  </si>
  <si>
    <t>Delgado, Virgie (&lt;=90)</t>
  </si>
  <si>
    <t>Manager</t>
  </si>
  <si>
    <t>IMPACT EIP</t>
  </si>
  <si>
    <t>Delgado, Virgie (&gt;90)</t>
  </si>
  <si>
    <t>TELEPHONIC EIP</t>
  </si>
  <si>
    <t>Erno, Susan (&lt;=90)</t>
  </si>
  <si>
    <t>Erno, Susan (&gt;90)</t>
  </si>
  <si>
    <t>Habra, Cecilia (&lt;=90)</t>
  </si>
  <si>
    <t>Habra, Cecilia (&gt;90)</t>
  </si>
  <si>
    <t>Garett, Holly (&lt;=90)</t>
  </si>
  <si>
    <t>Garett, Holly (&gt;90)</t>
  </si>
  <si>
    <t>NURSE COORDINATORS</t>
  </si>
  <si>
    <t>NC</t>
  </si>
  <si>
    <t>EIP Coordinator</t>
  </si>
  <si>
    <t>NC Lead</t>
  </si>
  <si>
    <t>Future Communities Campaign Workstream: Governance</t>
  </si>
  <si>
    <t>WORKSTREAM</t>
  </si>
  <si>
    <t>WORK DESCRIPTION</t>
  </si>
  <si>
    <t>WORKSTREAM LEADER(s)</t>
  </si>
  <si>
    <t xml:space="preserve">WORKSTREAM PRIMARY CONTRIBUTOR </t>
  </si>
  <si>
    <t>KEY STAKEHOLDERS</t>
  </si>
  <si>
    <r>
      <t>EXECUTIVE APPROVAL</t>
    </r>
    <r>
      <rPr>
        <b/>
        <sz val="16"/>
        <color theme="1"/>
        <rFont val="Arial"/>
        <family val="2"/>
      </rPr>
      <t>*</t>
    </r>
  </si>
  <si>
    <t>DECISION-MAKING PROTOCOL</t>
  </si>
  <si>
    <t>Core responsibility</t>
  </si>
  <si>
    <t>Scope of work; key focus areas</t>
  </si>
  <si>
    <t>Sets direction and make decisions</t>
  </si>
  <si>
    <t>Actively provides input 
and feedback</t>
  </si>
  <si>
    <t>Regularly offers expertise, experience in relevant areas</t>
  </si>
  <si>
    <t>Provide final approval/veto on selected workstreams</t>
  </si>
  <si>
    <t>Well-defined criteria/rules for each workstream</t>
  </si>
  <si>
    <t>1. Management</t>
  </si>
  <si>
    <t>Stakeholder engagement, timeline adherence, workstream alignment (full program)</t>
  </si>
  <si>
    <t>Alison</t>
  </si>
  <si>
    <t>Kathryn, Colleen</t>
  </si>
  <si>
    <r>
      <t>2. Strategy</t>
    </r>
    <r>
      <rPr>
        <sz val="16"/>
        <rFont val="Arial"/>
        <family val="2"/>
      </rPr>
      <t>*</t>
    </r>
  </si>
  <si>
    <t>FC alignment, brand, sustainability integration</t>
  </si>
  <si>
    <t>Andrew</t>
  </si>
  <si>
    <t>Future Communities Regional Leads, Andrew, Melissa, Nirali, Natalie, Bianca</t>
  </si>
  <si>
    <t>Andre, Simon, Sonia</t>
  </si>
  <si>
    <t xml:space="preserve">These workstreams need a minmum of 75% agreement from Andrew, Andre, Simon, Sonia. Andrew to lead decision-based discussions.  In absence of 75% agreement, Simon Light, as executive sponsor, to make final decision and circulate back to Andrew within two business days.   Andrew will advise Andre, &amp; Sonia and Alison of final decision and the team will proceed to implementation. </t>
  </si>
  <si>
    <r>
      <t>3. Research and analysis</t>
    </r>
    <r>
      <rPr>
        <sz val="16"/>
        <rFont val="Arial"/>
        <family val="2"/>
      </rPr>
      <t>*</t>
    </r>
  </si>
  <si>
    <t>Research design (including methodology), data/vendor selection, data analysis, and insight generation</t>
  </si>
  <si>
    <t>Aijaz</t>
  </si>
  <si>
    <t>Andrew, Kathryn</t>
  </si>
  <si>
    <r>
      <t>4. Creative direction</t>
    </r>
    <r>
      <rPr>
        <sz val="16"/>
        <rFont val="Arial"/>
        <family val="2"/>
      </rPr>
      <t>*</t>
    </r>
  </si>
  <si>
    <t>Ideation, conception, visual identity</t>
  </si>
  <si>
    <t>Jack</t>
  </si>
  <si>
    <t>5. Thought leadership and content</t>
  </si>
  <si>
    <t>"Hero" report and bridging content creation (follow-up articles, case studies, etc.)</t>
  </si>
  <si>
    <t>Kathryn, Melissa</t>
  </si>
  <si>
    <t xml:space="preserve">If we experience significant disagreement between the workstream lead and the primary workstream contributors or the key stakeholders, the workstream lead will convene a dicussion between Andrew, the workstream lead, and the primary contributors.  Andrew will note agreement with the team that he will be fallback decision maker, if consensus cannot be reached. Andrew will make the decision (if needed) and will communicate the decision and the reasoning behind the it to the workstream lead, primary contributors and key stakeholders within three business days. </t>
  </si>
  <si>
    <t>6. Regional adaptation/localization</t>
  </si>
  <si>
    <t>Contextualizing by region including content requirements for local clients</t>
  </si>
  <si>
    <t xml:space="preserve">Lana </t>
  </si>
  <si>
    <t>Karole, Kirsty, Tim, Vic</t>
  </si>
  <si>
    <t>7. Digital marketing</t>
  </si>
  <si>
    <t>Digital journey (search, web, social, paid, always-on)</t>
  </si>
  <si>
    <t>Khaliya</t>
  </si>
  <si>
    <t>Ute, Kathryn</t>
  </si>
  <si>
    <t>8. Full-funnel nurture programs</t>
  </si>
  <si>
    <t>Salesforce, MCAE, integration, scoring</t>
  </si>
  <si>
    <t>Ute</t>
  </si>
  <si>
    <t>Duncan</t>
  </si>
  <si>
    <t>9. Account-based marketing</t>
  </si>
  <si>
    <t>Content adaptation and digital journey for target clients</t>
  </si>
  <si>
    <t>Andrew, Mellisa</t>
  </si>
  <si>
    <t>10. Budget planning</t>
  </si>
  <si>
    <t>Process for global budget requests based on ROMI or critical targets</t>
  </si>
  <si>
    <t>Jamie</t>
  </si>
  <si>
    <t>Andre</t>
  </si>
  <si>
    <t>11. Regional activation</t>
  </si>
  <si>
    <t>Timeline for campaign deliverables, milestones, digital activation, media outreach and events in region</t>
  </si>
  <si>
    <t xml:space="preserve">12. Marketing &amp; BD partnership agreement </t>
  </si>
  <si>
    <t>Regional lead creation, assignment, qualification and completion</t>
  </si>
  <si>
    <t>13. Internal comms</t>
  </si>
  <si>
    <t xml:space="preserve">Internal roll-out, stakeholder preparedness, </t>
  </si>
  <si>
    <t>Lana</t>
  </si>
  <si>
    <t>Celeste, Violeta</t>
  </si>
  <si>
    <t>14. Media outreach</t>
  </si>
  <si>
    <t>Media engagement and public relations</t>
  </si>
  <si>
    <t>Sarah H.</t>
  </si>
  <si>
    <t>15. Events</t>
  </si>
  <si>
    <t>Online and in-person</t>
  </si>
  <si>
    <t>Janette</t>
  </si>
  <si>
    <t>Shannon</t>
  </si>
  <si>
    <t>16. Performance reporting</t>
  </si>
  <si>
    <t>Scorecards, ongoing metrics</t>
  </si>
  <si>
    <t>Why are we employing this governance model?</t>
  </si>
  <si>
    <t>The Workstream Governance model clearly delineates each team member’s roles, responsibilities and deliverables. It also:</t>
  </si>
  <si>
    <t>a) Creates an environment where everyone can feel comfortable sharing their ideas, feedback and concerns.</t>
  </si>
  <si>
    <t>b) Improves efficiency and fosters quick, open communication.</t>
  </si>
  <si>
    <t>c) Avoids overlapping duties and ensures that everyone has a clear understanding of their tasks.</t>
  </si>
  <si>
    <t>d) Drives a collaborative atmosphere where team members can brainstorm and generate creative ideas.</t>
  </si>
  <si>
    <t>Nurses Cases By Month</t>
  </si>
  <si>
    <t>Case Type-&gt;</t>
  </si>
  <si>
    <t>New Cases</t>
  </si>
  <si>
    <t>Program-&gt;</t>
  </si>
  <si>
    <t>Month-&gt;</t>
  </si>
  <si>
    <t>REGULAR CASES</t>
  </si>
  <si>
    <t>EIP CASES</t>
  </si>
  <si>
    <t>BOM Cases</t>
  </si>
  <si>
    <t>Closed Cases</t>
  </si>
  <si>
    <t>EOM Cases</t>
  </si>
  <si>
    <t>Hours By Case</t>
  </si>
  <si>
    <t>Hours Per Case by Nurses</t>
  </si>
  <si>
    <t xml:space="preserve">Sep </t>
  </si>
  <si>
    <t>Action Items/Tasks</t>
  </si>
  <si>
    <t>Project</t>
  </si>
  <si>
    <t>Task</t>
  </si>
  <si>
    <t>Priority</t>
  </si>
  <si>
    <t>Date Opened</t>
  </si>
  <si>
    <t>Due Date</t>
  </si>
  <si>
    <t>Date Closed</t>
  </si>
  <si>
    <t>Next Step Owner</t>
  </si>
  <si>
    <t>Obtain raw data that will help establish baseline on:
- Avg. Billing per Client
- Avg. Client Tenure 
- Avg. # of Client Referrals</t>
  </si>
  <si>
    <t>Email Brian to get raw data</t>
  </si>
  <si>
    <t>Obtain raw data that will help establish baseline on:
- # of Clients on EIP
- # of Hours on EIP
- # of Referrals on EIP</t>
  </si>
  <si>
    <t>Obtain baseline data for TTT and Missed Appointments</t>
  </si>
  <si>
    <t>Email Scotti and Allison to get data</t>
  </si>
  <si>
    <t>Ensure Onboarding Questionaire is complete</t>
  </si>
  <si>
    <t>Setup weekly 30 min meeting with Scotti and Brandon (thu morning per their request) starting second week of March until end of the year</t>
  </si>
  <si>
    <t>Killer</t>
  </si>
  <si>
    <t>Setup weekly meeting</t>
  </si>
  <si>
    <t>Setup weekly 30 min check in meeting with Brauer (Tues morning) starting second week of March</t>
  </si>
  <si>
    <t>Set up weekly meeting with Brian (30 mins) to discuss projects starting second week of March (Tue)</t>
  </si>
  <si>
    <t>Set up weekly meeting with Allison (30 mins) to discuss projects starting second week of March (Tue)</t>
  </si>
  <si>
    <t>Enter January number in Excel file</t>
  </si>
  <si>
    <t>Remind Brian around 3/13 to put in actuals in the sheet</t>
  </si>
  <si>
    <t>Set up one time meeting with Sue in April</t>
  </si>
  <si>
    <t>Set up meeting to likely close out the project - Sue Bowers</t>
  </si>
  <si>
    <t>Set up meeting early April (one time)</t>
  </si>
  <si>
    <t>Set up meeting Michelle Watkin</t>
  </si>
  <si>
    <t>Create PPT process flow with Michelle and Melanie</t>
  </si>
  <si>
    <t>Create proces flow</t>
  </si>
  <si>
    <t>Get username/pwd HubSpot from Rob Stankus</t>
  </si>
  <si>
    <t>Got the credentials of Webistes but not LinkedIn. Brian is OOO</t>
  </si>
  <si>
    <t>Get username/pwd for Website from Rob Stankus</t>
  </si>
  <si>
    <t>Brian got the credential and he is discussing with Connie</t>
  </si>
  <si>
    <t>HIPPA Certification and Requirements</t>
  </si>
  <si>
    <t>Get Amar and Saurabh HIPPA compliant
4/9 - Follow up with Brandon to get next steps</t>
  </si>
  <si>
    <t>Kumar</t>
  </si>
  <si>
    <t>Create Personas</t>
  </si>
  <si>
    <t xml:space="preserve">Brian to tag roles
4/9: Follow up with Brian to make sure all roles are tagged. </t>
  </si>
  <si>
    <t>Automate process of getting data from Case Director</t>
  </si>
  <si>
    <t>Wait for Case Anyplace to go live</t>
  </si>
  <si>
    <t>Develop goals and bonus structure for 3 roles plus performance management questionaire</t>
  </si>
  <si>
    <t>Amar to automate/create reports</t>
  </si>
  <si>
    <t>Research Digitzing Companies</t>
  </si>
  <si>
    <t>Mailed to 7 companied. Got response from 2. Planning to mail to more companies and waiting for replt from rest</t>
  </si>
  <si>
    <t>Re-organize Nuse Data so that we can do the analysis</t>
  </si>
  <si>
    <t>Data Orgainsed and reports created</t>
  </si>
  <si>
    <t>Send CaseAnyplace username/pwd</t>
  </si>
  <si>
    <t>Amar to login and explore reporting
4/9 -&gt; Amar to follow up on Scotti's email to request username/pwd--&gt; Email send to David today(4/15)</t>
  </si>
  <si>
    <t>Process Map for Biz Process</t>
  </si>
  <si>
    <t>Process Map provided by Scotti</t>
  </si>
  <si>
    <t>Sales Comp Plan Update</t>
  </si>
  <si>
    <t>Saurabh to work with Connie on finalizing</t>
  </si>
  <si>
    <t>Create storage place and log in instructions for all Sites/Etc</t>
  </si>
  <si>
    <t>- Brian to create Hubsot "edit" roles for Amar and Saurabh
- Store the LinkedIn credentials in the folder
- Give Brian, Connie, Saurabh, Amar access to that folder</t>
  </si>
  <si>
    <t xml:space="preserve">Set up meeting in May to review </t>
  </si>
  <si>
    <t>Effective communication training</t>
  </si>
  <si>
    <t>Reorgainse Nurse Case count data for analysis</t>
  </si>
  <si>
    <t>Created and to get reviewed by Saurabh</t>
  </si>
  <si>
    <t>To create a new drop down for type of hours in Nurse hours tab</t>
  </si>
  <si>
    <t>Discussed with saurabh and created the drop down</t>
  </si>
  <si>
    <t>Access for Paycor</t>
  </si>
  <si>
    <t>To get credentials from Connie for Paycor for Saurabh and Amar (Have Credentials) - Waiting on training from Melanie</t>
  </si>
  <si>
    <t>To setup a meeting with Michelle next wednesday 4/17/2024 at 10 am central</t>
  </si>
  <si>
    <t>Created</t>
  </si>
  <si>
    <t>To mail support team regarding access of MS team on desktop</t>
  </si>
  <si>
    <t>4/17/2024</t>
  </si>
  <si>
    <t>Issue caused due to the old version of MS Office in desktop</t>
  </si>
  <si>
    <t xml:space="preserve">To mail all companies for the confirmation of the details </t>
  </si>
  <si>
    <t>Mailed to all compaines for the confirmatio</t>
  </si>
  <si>
    <t>Explore HubSpot</t>
  </si>
  <si>
    <t>Need HubSpot access to explore for which already mailed to Brian. Brian is OOO</t>
  </si>
  <si>
    <t>Remind Brian about EIP metrics to incorporate in future marketing</t>
  </si>
  <si>
    <t>To create a page to store all credentials of LinkdIn and Website</t>
  </si>
  <si>
    <t>To remind Brian to obtain HubSpot access for Amar/Saurabh and research 1 page client profile</t>
  </si>
  <si>
    <t>Amar to get contracts for 4 of the 5 shortlisted companies</t>
  </si>
  <si>
    <t>email sent to all 4 companies SOW. Waiting for their reply</t>
  </si>
  <si>
    <t>Amar to update Nurses Case to open up Apr hours and also fix formulas</t>
  </si>
  <si>
    <t>Done</t>
  </si>
  <si>
    <t>Email to scotti for March data in operational dashboard</t>
  </si>
  <si>
    <t>Scotti to fill the Mar data by Friday (4/19/2024)</t>
  </si>
  <si>
    <t>To remind Connie for SOW scan strong</t>
  </si>
  <si>
    <t>Got reply from connie</t>
  </si>
  <si>
    <t>To update full name of nurse in nurse cases tab</t>
  </si>
  <si>
    <t>Waiting to get full name from Michelle</t>
  </si>
  <si>
    <t>To remind Michelle for indexing and box count</t>
  </si>
  <si>
    <t>Michelle will update by next week 6/12</t>
  </si>
  <si>
    <t>kumar</t>
  </si>
  <si>
    <t>Waiting on CCM</t>
  </si>
  <si>
    <t xml:space="preserve">To create a Strategic Plan tab </t>
  </si>
  <si>
    <t>To create a audit report for payroll</t>
  </si>
  <si>
    <t>Melanie will discuss with Brandon and will let us know</t>
  </si>
  <si>
    <t>Explore how to create standard "Client profiles" (PDF) in HubSpot and present to Saurabh in meeting on 5/7</t>
  </si>
  <si>
    <t>Amar to log on using credentials provided by Brian</t>
  </si>
  <si>
    <t>Remind Michelle to put in Hours and Case count around 7th of following month
1. Nurses Hours (all cols and all tables are populated)
2. Nurse Cases (all cols and all tables are populated)
3. Reporting Dashboard metrics that have your name tied to it. Also, should some of these match the hours/cases that you are putting in. If yes, we can link it to minimize data entry</t>
  </si>
  <si>
    <t>Amar to remind and follow up until hours are populated</t>
  </si>
  <si>
    <t>Remind Brian to update Reporting Dashboard by 7th of Every Month</t>
  </si>
  <si>
    <t>Remind Scotti to update Reporting Dashboard by 20th of Every Month (give me the data and I'll populate)</t>
  </si>
  <si>
    <t>Link Names in Nurse Hours and Nurse Cases with "Last Name, First Name" convention and do analysis by nurse on avg hours per case</t>
  </si>
  <si>
    <t>5/6/72024</t>
  </si>
  <si>
    <t>5/102024</t>
  </si>
  <si>
    <t>Amar working on it</t>
  </si>
  <si>
    <t>Send email to all sponsors informing them about their projects that came out of the strategic planning workshop (CC Connie and me)
1. Summarize the projects they have
2. Inform them that you will be setting up follow up calls/meetings to discuss progress on those projects</t>
  </si>
  <si>
    <t>Amar</t>
  </si>
  <si>
    <t>Save the CCM excel file by 15th of Every month on the desktop</t>
  </si>
  <si>
    <t>To add new nurses provided by Michelle</t>
  </si>
  <si>
    <t>Brian to talk to clients for increasing rate</t>
  </si>
  <si>
    <t>EO 2024</t>
  </si>
  <si>
    <t>Brian to provide Inventory listing of all existing service that may be revenue generating</t>
  </si>
  <si>
    <t>To mail scan strong company to schedule pickup in end of May</t>
  </si>
  <si>
    <t>Research Employee Engagement Survey Companies and Prices</t>
  </si>
  <si>
    <t>Set up monthly meeting with Sue Bowers</t>
  </si>
  <si>
    <t>Sort the three nurse hour tabs</t>
  </si>
  <si>
    <t>To create a suggestion box System</t>
  </si>
  <si>
    <t>To create a inventory listing tab for brian</t>
  </si>
  <si>
    <t>Waiting for Brian to provide the file</t>
  </si>
  <si>
    <t>Launch of new services in current and new states</t>
  </si>
  <si>
    <t>Brian to write 2-3 line about each inventory listing in excel</t>
  </si>
  <si>
    <t>Brian written 2-3 lines and he needs time to veirfy before SOW</t>
  </si>
  <si>
    <t>Determine research for new services</t>
  </si>
  <si>
    <t>To Create Nurse Coordinate Hour tab</t>
  </si>
  <si>
    <t>Waiting for Michelle</t>
  </si>
  <si>
    <t xml:space="preserve">Incorporating core values </t>
  </si>
  <si>
    <t>Alison was not avaiable for the meeting</t>
  </si>
  <si>
    <t>To create SOW for new services</t>
  </si>
  <si>
    <t>To create a tab for stewardship Meeting calander in organised way</t>
  </si>
  <si>
    <t>To create 3 section of Nurses in Nurse hour tab</t>
  </si>
  <si>
    <t>To create a weekly meeting review channel to discuss the task and to create 2*2 matrix for task</t>
  </si>
  <si>
    <t>saurabh will guide</t>
  </si>
  <si>
    <t>To create or merge NC hour and EIP hour graph</t>
  </si>
  <si>
    <t>To add a new section in project plan and project timeline for the new services in new states</t>
  </si>
  <si>
    <t>Analysis on House Account</t>
  </si>
  <si>
    <t>September Meeting - Check with Connie</t>
  </si>
  <si>
    <t>Check with Connie on EIP billing for first 90 days</t>
  </si>
  <si>
    <t>To create a tab for client financial trend</t>
  </si>
  <si>
    <t>Regularly checking the scanned document by scan strong</t>
  </si>
  <si>
    <t>To download the scanned documents from Box.com site</t>
  </si>
  <si>
    <t>To talk to scotti regarding the caseAnyplace training</t>
  </si>
  <si>
    <t>To create a new team channel for Digitized documents</t>
  </si>
  <si>
    <t>To prepare a mockup report for 3 nurse tabs for Scotti</t>
  </si>
  <si>
    <t>To update the Scotti data in Reporting Dashboard</t>
  </si>
  <si>
    <t>To Create a one page PPT for the submitted ideas</t>
  </si>
  <si>
    <t>To update Client Trend for April to June</t>
  </si>
  <si>
    <t>Saurabh will provide the report</t>
  </si>
  <si>
    <t>To edit the workflow. Add idea details in mail.</t>
  </si>
  <si>
    <t>App sheet overview</t>
  </si>
  <si>
    <t>To add 2 nurses in Nurse Case Tab</t>
  </si>
  <si>
    <t>To create a Mockup for Referral in power point for Alison</t>
  </si>
  <si>
    <t xml:space="preserve">To Update the sales client trend </t>
  </si>
  <si>
    <t>To work on master audit file</t>
  </si>
  <si>
    <t>To setup meeting with Alison and Saurabh regarding new referral</t>
  </si>
  <si>
    <t>To Create Individual Nurse tab in Master Audit file</t>
  </si>
  <si>
    <t>Working on the Reporitng dashboard (meeting with Scotti)</t>
  </si>
  <si>
    <t>Created Einstein idea ppt for Aug month</t>
  </si>
  <si>
    <t>To update the formula in Master Audit file as requested by Scotti</t>
  </si>
  <si>
    <t>Created pareto chart for nurse case distribution number</t>
  </si>
  <si>
    <t>To Test the Referral form with different test cases</t>
  </si>
  <si>
    <t>To add 4 New nurses in all the nurse tab</t>
  </si>
  <si>
    <t>Mailing to the colleague regarding the Logistic Task (CAP) due date</t>
  </si>
  <si>
    <t>To read the Intro Training Module</t>
  </si>
  <si>
    <t>Retest the failed cases of Referral form</t>
  </si>
  <si>
    <t>To incorporate the changes in User Manual</t>
  </si>
  <si>
    <t>Working on the Case Director data transfer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</si>
</sst>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64" formatCode="&quot;$&quot;#,##0_);[Red]\(&quot;$&quot;#,##0\)"/>
    <numFmt numFmtId="165" formatCode="_(&quot;$&quot;* #,##0_);_(&quot;$&quot;* \(#,##0\);_(&quot;$&quot;* &quot;-&quot;_);_(@_)"/>
    <numFmt numFmtId="166" formatCode="_(&quot;$&quot;* #,##0.00_);_(&quot;$&quot;* \(#,##0.00\);_(&quot;$&quot;* &quot;-&quot;??_);_(@_)"/>
    <numFmt numFmtId="167" formatCode="mmm\ yy"/>
    <numFmt numFmtId="168" formatCode="#,##0.0"/>
    <numFmt numFmtId="169" formatCode="_-[$$-409]* #,##0.00_ ;_-[$$-409]* \-#,##0.00\ ;_-[$$-409]* &quot;-&quot;??_ ;_-@_ "/>
    <numFmt numFmtId="170" formatCode="0.000"/>
    <numFmt numFmtId="171" formatCode="&quot;$&quot;#,##0"/>
    <numFmt numFmtId="172" formatCode="0_);[Red]\(0\)"/>
    <numFmt numFmtId="173" formatCode="_([$$-409]* #,##0.00_);_([$$-409]* \(#,##0.00\);_([$$-409]* &quot;-&quot;??_);_(@_)"/>
    <numFmt numFmtId="174" formatCode="_(&quot;$&quot;* #,##0.00_);_(&quot;$&quot;* \(#,##0.00\);_(&quot;$&quot;* &quot;-&quot;_);_(@_)"/>
    <numFmt numFmtId="175" formatCode="[$$-409]#,##0.00"/>
  </numFmts>
  <fonts count="111" x14ac:knownFonts="1">
    <font>
      <sz val="10"/>
      <color theme="1"/>
      <name val="Arial"/>
      <family val="2"/>
    </font>
    <font>
      <sz val="12"/>
      <name val="Arial"/>
      <family val="2"/>
    </font>
    <font>
      <b/>
      <sz val="18"/>
      <name val="Arial"/>
      <family val="2"/>
    </font>
    <font>
      <sz val="14"/>
      <color theme="1"/>
      <name val="Arial"/>
      <family val="2"/>
    </font>
    <font>
      <b/>
      <sz val="16"/>
      <color theme="1"/>
      <name val="Arial"/>
      <family val="2"/>
    </font>
    <font>
      <b/>
      <sz val="12"/>
      <name val="Arial"/>
      <family val="2"/>
    </font>
    <font>
      <b/>
      <sz val="12"/>
      <color theme="1"/>
      <name val="Arial"/>
      <family val="2"/>
    </font>
    <font>
      <b/>
      <sz val="22"/>
      <color rgb="FFFFFFFF"/>
      <name val="Arial"/>
      <family val="2"/>
    </font>
    <font>
      <sz val="22"/>
      <color theme="0"/>
      <name val="Arial"/>
      <family val="2"/>
    </font>
    <font>
      <sz val="22"/>
      <color theme="1"/>
      <name val="Arial"/>
      <family val="2"/>
    </font>
    <font>
      <b/>
      <sz val="22"/>
      <color theme="0"/>
      <name val="Arial"/>
      <family val="2"/>
    </font>
    <font>
      <b/>
      <sz val="13"/>
      <color theme="1"/>
      <name val="Arial"/>
      <family val="2"/>
    </font>
    <font>
      <sz val="16"/>
      <name val="Arial"/>
      <family val="2"/>
    </font>
    <font>
      <sz val="12"/>
      <color rgb="FF000000"/>
      <name val="Arial"/>
      <family val="2"/>
    </font>
    <font>
      <sz val="10"/>
      <color theme="1"/>
      <name val="Calibri"/>
      <family val="2"/>
      <scheme val="minor"/>
    </font>
    <font>
      <b/>
      <sz val="10"/>
      <color theme="0"/>
      <name val="Calibri"/>
      <family val="2"/>
      <scheme val="minor"/>
    </font>
    <font>
      <sz val="10"/>
      <color theme="0"/>
      <name val="Calibri"/>
      <family val="2"/>
      <scheme val="minor"/>
    </font>
    <font>
      <b/>
      <sz val="10"/>
      <color theme="0"/>
      <name val="Arial"/>
      <family val="2"/>
    </font>
    <font>
      <sz val="10"/>
      <color theme="0"/>
      <name val="Arial"/>
      <family val="2"/>
    </font>
    <font>
      <b/>
      <sz val="22"/>
      <color theme="0"/>
      <name val="Calibri"/>
      <family val="2"/>
      <scheme val="minor"/>
    </font>
    <font>
      <b/>
      <sz val="12"/>
      <color theme="0"/>
      <name val="Arial"/>
      <family val="2"/>
    </font>
    <font>
      <b/>
      <sz val="9"/>
      <color theme="0"/>
      <name val="Arial"/>
      <family val="2"/>
    </font>
    <font>
      <sz val="9"/>
      <color theme="1"/>
      <name val="Arial"/>
      <family val="2"/>
    </font>
    <font>
      <sz val="9"/>
      <color theme="0"/>
      <name val="Arial"/>
      <family val="2"/>
    </font>
    <font>
      <b/>
      <sz val="14"/>
      <color theme="0"/>
      <name val="Arial"/>
      <family val="2"/>
    </font>
    <font>
      <sz val="10"/>
      <name val="Arial"/>
      <family val="2"/>
    </font>
    <font>
      <b/>
      <sz val="9"/>
      <color theme="1"/>
      <name val="Arial"/>
      <family val="2"/>
    </font>
    <font>
      <b/>
      <sz val="11"/>
      <color theme="0"/>
      <name val="Arial"/>
      <family val="2"/>
    </font>
    <font>
      <i/>
      <sz val="9"/>
      <color theme="1"/>
      <name val="Arial"/>
      <family val="2"/>
    </font>
    <font>
      <b/>
      <i/>
      <sz val="9"/>
      <color theme="1"/>
      <name val="Arial"/>
      <family val="2"/>
    </font>
    <font>
      <b/>
      <sz val="22"/>
      <name val="Arial"/>
      <family val="2"/>
    </font>
    <font>
      <b/>
      <sz val="10"/>
      <color theme="1"/>
      <name val="Calibri Light"/>
      <family val="2"/>
      <scheme val="major"/>
    </font>
    <font>
      <sz val="10"/>
      <color theme="1"/>
      <name val="Calibri Light"/>
      <family val="2"/>
      <scheme val="major"/>
    </font>
    <font>
      <b/>
      <sz val="10"/>
      <color theme="0"/>
      <name val="Calibri Light"/>
      <family val="2"/>
      <scheme val="major"/>
    </font>
    <font>
      <sz val="10"/>
      <color theme="0"/>
      <name val="Calibri Light"/>
      <family val="2"/>
      <scheme val="major"/>
    </font>
    <font>
      <b/>
      <sz val="14"/>
      <color theme="1"/>
      <name val="Calibri"/>
      <family val="2"/>
      <scheme val="minor"/>
    </font>
    <font>
      <u/>
      <sz val="10"/>
      <color theme="10"/>
      <name val="Arial"/>
      <family val="2"/>
    </font>
    <font>
      <b/>
      <sz val="22"/>
      <color theme="0"/>
      <name val="Calibri Light"/>
      <family val="2"/>
      <scheme val="major"/>
    </font>
    <font>
      <b/>
      <sz val="22"/>
      <name val="Calibri Light"/>
      <family val="2"/>
      <scheme val="major"/>
    </font>
    <font>
      <b/>
      <sz val="10"/>
      <color rgb="FFFFFFFF"/>
      <name val="Calibri Light"/>
      <family val="2"/>
      <scheme val="major"/>
    </font>
    <font>
      <b/>
      <sz val="10"/>
      <name val="Calibri Light"/>
      <family val="2"/>
      <scheme val="major"/>
    </font>
    <font>
      <sz val="10"/>
      <color rgb="FFFFFFFF"/>
      <name val="Calibri Light"/>
      <family val="2"/>
      <scheme val="major"/>
    </font>
    <font>
      <sz val="10"/>
      <color rgb="FF000000"/>
      <name val="Calibri Light"/>
      <family val="2"/>
      <scheme val="major"/>
    </font>
    <font>
      <u/>
      <sz val="10"/>
      <color theme="1"/>
      <name val="Calibri Light"/>
      <family val="2"/>
      <scheme val="major"/>
    </font>
    <font>
      <b/>
      <sz val="10.5"/>
      <name val="Calibri Light"/>
      <family val="2"/>
      <scheme val="major"/>
    </font>
    <font>
      <sz val="11"/>
      <color rgb="FF000000"/>
      <name val="Calibri Light"/>
      <family val="2"/>
      <scheme val="major"/>
    </font>
    <font>
      <b/>
      <sz val="16"/>
      <color theme="0"/>
      <name val="Calibri Light"/>
      <family val="2"/>
      <scheme val="major"/>
    </font>
    <font>
      <b/>
      <sz val="18"/>
      <color theme="0"/>
      <name val="Calibri Light"/>
      <family val="2"/>
      <scheme val="major"/>
    </font>
    <font>
      <b/>
      <sz val="8.75"/>
      <color rgb="FF0D0D0D"/>
      <name val="Calibri"/>
      <family val="2"/>
      <scheme val="minor"/>
    </font>
    <font>
      <u/>
      <sz val="10"/>
      <color theme="10"/>
      <name val="Calibri"/>
      <family val="2"/>
      <scheme val="minor"/>
    </font>
    <font>
      <sz val="8.75"/>
      <color rgb="FF0D0D0D"/>
      <name val="Calibri"/>
      <family val="2"/>
      <scheme val="minor"/>
    </font>
    <font>
      <b/>
      <sz val="22"/>
      <name val="Calibri"/>
      <family val="2"/>
      <scheme val="minor"/>
    </font>
    <font>
      <b/>
      <sz val="10"/>
      <color theme="1"/>
      <name val="Calibri"/>
      <family val="2"/>
      <scheme val="minor"/>
    </font>
    <font>
      <b/>
      <sz val="12"/>
      <color theme="0"/>
      <name val="Calibri"/>
      <family val="2"/>
      <scheme val="minor"/>
    </font>
    <font>
      <b/>
      <sz val="10"/>
      <color rgb="FF000000"/>
      <name val="Calibri"/>
      <family val="2"/>
      <scheme val="minor"/>
    </font>
    <font>
      <sz val="10"/>
      <color theme="4"/>
      <name val="Calibri"/>
      <family val="2"/>
      <scheme val="minor"/>
    </font>
    <font>
      <b/>
      <sz val="10"/>
      <name val="Calibri"/>
      <family val="2"/>
      <scheme val="minor"/>
    </font>
    <font>
      <b/>
      <sz val="10"/>
      <color theme="1"/>
      <name val="Arial"/>
      <family val="2"/>
    </font>
    <font>
      <b/>
      <sz val="11"/>
      <color rgb="FFFFFFFF"/>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
      <b/>
      <sz val="20"/>
      <color theme="0"/>
      <name val="Calibri"/>
      <family val="2"/>
      <scheme val="minor"/>
    </font>
    <font>
      <sz val="10"/>
      <name val="Calibri"/>
      <family val="2"/>
      <scheme val="minor"/>
    </font>
    <font>
      <sz val="10"/>
      <color rgb="FFFF0000"/>
      <name val="Calibri"/>
      <family val="2"/>
      <scheme val="minor"/>
    </font>
    <font>
      <sz val="11"/>
      <color rgb="FF000000"/>
      <name val="Arial"/>
      <family val="2"/>
    </font>
    <font>
      <sz val="10"/>
      <color rgb="FF000000"/>
      <name val="Arial"/>
      <family val="2"/>
    </font>
    <font>
      <sz val="10"/>
      <color rgb="FF00B050"/>
      <name val="Calibri"/>
      <family val="2"/>
      <scheme val="minor"/>
    </font>
    <font>
      <sz val="11"/>
      <color theme="1"/>
      <name val="Arial"/>
      <family val="2"/>
    </font>
    <font>
      <sz val="10"/>
      <color rgb="FF000000"/>
      <name val="Calibri"/>
      <family val="2"/>
    </font>
    <font>
      <sz val="10"/>
      <color theme="0"/>
      <name val="Calibri"/>
      <family val="2"/>
    </font>
    <font>
      <b/>
      <sz val="14"/>
      <color theme="0"/>
      <name val="Calibri"/>
      <family val="2"/>
      <scheme val="minor"/>
    </font>
    <font>
      <b/>
      <sz val="11"/>
      <color theme="0"/>
      <name val="Calibri"/>
      <family val="2"/>
      <scheme val="minor"/>
    </font>
    <font>
      <sz val="11"/>
      <color rgb="FF242424"/>
      <name val="Calibri"/>
      <family val="2"/>
      <scheme val="minor"/>
    </font>
    <font>
      <sz val="8.75"/>
      <color rgb="FF000000"/>
      <name val="Calibri"/>
      <family val="2"/>
      <scheme val="minor"/>
    </font>
    <font>
      <sz val="9"/>
      <color theme="1"/>
      <name val="Calibri"/>
      <family val="2"/>
      <scheme val="minor"/>
    </font>
    <font>
      <b/>
      <sz val="22"/>
      <color rgb="FF000000"/>
      <name val="Calibri"/>
      <family val="2"/>
    </font>
    <font>
      <sz val="10"/>
      <color theme="1"/>
      <name val="Calibri"/>
      <family val="2"/>
    </font>
    <font>
      <sz val="10"/>
      <color theme="1"/>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0"/>
      <color rgb="FFFFFFFF"/>
      <name val="Calibri Light"/>
      <family val="2"/>
    </font>
    <font>
      <sz val="10"/>
      <color theme="4"/>
      <name val="Arial"/>
      <family val="2"/>
    </font>
    <font>
      <sz val="11"/>
      <name val="Calibri"/>
      <family val="2"/>
    </font>
    <font>
      <b/>
      <sz val="9"/>
      <color indexed="81"/>
      <name val="Tahoma"/>
      <family val="2"/>
    </font>
    <font>
      <sz val="9"/>
      <color indexed="81"/>
      <name val="Tahoma"/>
      <family val="2"/>
    </font>
    <font>
      <sz val="10"/>
      <color theme="1"/>
      <name val="Arial"/>
      <family val="2"/>
    </font>
    <font>
      <sz val="11"/>
      <color rgb="FFFF0000"/>
      <name val="Calibri"/>
      <family val="2"/>
      <scheme val="minor"/>
    </font>
    <font>
      <b/>
      <sz val="20"/>
      <color rgb="FFFF0000"/>
      <name val="Calibri"/>
      <family val="2"/>
      <scheme val="minor"/>
    </font>
    <font>
      <sz val="10"/>
      <color theme="0"/>
      <name val="Calibri"/>
      <family val="2"/>
      <scheme val="minor"/>
    </font>
    <font>
      <b/>
      <sz val="28"/>
      <name val="Calibri Light"/>
      <family val="2"/>
      <scheme val="major"/>
    </font>
    <font>
      <b/>
      <sz val="10"/>
      <color rgb="FF000000"/>
      <name val="Calibri"/>
      <scheme val="minor"/>
    </font>
    <font>
      <sz val="10"/>
      <color theme="1"/>
      <name val="Calibri"/>
      <scheme val="minor"/>
    </font>
    <font>
      <sz val="10"/>
      <color rgb="FF000000"/>
      <name val="Calibri"/>
    </font>
    <font>
      <sz val="11"/>
      <color rgb="FF000000"/>
      <name val="Calibri"/>
    </font>
    <font>
      <b/>
      <sz val="8"/>
      <color rgb="FF000000"/>
      <name val="Arial"/>
      <family val="2"/>
    </font>
    <font>
      <sz val="8"/>
      <color rgb="FF000000"/>
      <name val="Arial"/>
      <family val="2"/>
    </font>
    <font>
      <sz val="9"/>
      <color rgb="FF000000"/>
      <name val="Calibri"/>
      <family val="2"/>
      <scheme val="minor"/>
    </font>
    <font>
      <b/>
      <sz val="9"/>
      <color rgb="FF000000"/>
      <name val="Calibri Light"/>
      <family val="2"/>
      <scheme val="major"/>
    </font>
    <font>
      <sz val="8"/>
      <name val="Arial"/>
      <family val="2"/>
    </font>
    <font>
      <sz val="10"/>
      <color theme="1"/>
      <name val="Calibri Light"/>
      <scheme val="major"/>
    </font>
    <font>
      <b/>
      <sz val="11"/>
      <color theme="0"/>
      <name val="Calibri"/>
      <scheme val="minor"/>
    </font>
    <font>
      <sz val="9"/>
      <color rgb="FF000000"/>
      <name val="Calibri"/>
      <scheme val="minor"/>
    </font>
    <font>
      <b/>
      <sz val="9"/>
      <color rgb="FF000000"/>
      <name val="Calibri Light"/>
      <scheme val="major"/>
    </font>
    <font>
      <b/>
      <sz val="9"/>
      <color theme="0"/>
      <name val="Calibri Light"/>
      <scheme val="major"/>
    </font>
    <font>
      <sz val="10"/>
      <color theme="0"/>
      <name val="Calibri"/>
      <scheme val="minor"/>
    </font>
    <font>
      <sz val="11"/>
      <color theme="0"/>
      <name val="Calibri"/>
      <family val="2"/>
    </font>
    <font>
      <sz val="11"/>
      <color theme="1"/>
      <name val="Calibri"/>
      <family val="2"/>
    </font>
    <font>
      <sz val="10"/>
      <color rgb="FF000000"/>
      <name val="Arial"/>
    </font>
    <font>
      <sz val="10"/>
      <color rgb="FFC00000"/>
      <name val="Calibri"/>
      <family val="2"/>
      <scheme val="minor"/>
    </font>
  </fonts>
  <fills count="3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gray0625">
        <bgColor theme="0" tint="-4.9989318521683403E-2"/>
      </patternFill>
    </fill>
    <fill>
      <patternFill patternType="gray0625"/>
    </fill>
    <fill>
      <patternFill patternType="solid">
        <fgColor theme="8"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2"/>
        <bgColor indexed="64"/>
      </patternFill>
    </fill>
    <fill>
      <patternFill patternType="solid">
        <fgColor theme="5"/>
        <bgColor indexed="64"/>
      </patternFill>
    </fill>
    <fill>
      <patternFill patternType="solid">
        <fgColor theme="4"/>
        <bgColor indexed="64"/>
      </patternFill>
    </fill>
    <fill>
      <patternFill patternType="solid">
        <fgColor rgb="FFED7D31"/>
        <bgColor indexed="64"/>
      </patternFill>
    </fill>
    <fill>
      <patternFill patternType="solid">
        <fgColor rgb="FFD9D9D9"/>
        <bgColor indexed="64"/>
      </patternFill>
    </fill>
    <fill>
      <patternFill patternType="solid">
        <fgColor rgb="FFED7D31"/>
        <bgColor rgb="FF000000"/>
      </patternFill>
    </fill>
    <fill>
      <patternFill patternType="solid">
        <fgColor theme="8"/>
        <bgColor indexed="64"/>
      </patternFill>
    </fill>
    <fill>
      <patternFill patternType="solid">
        <fgColor rgb="FF0070C0"/>
        <bgColor rgb="FF000000"/>
      </patternFill>
    </fill>
    <fill>
      <patternFill patternType="solid">
        <fgColor rgb="FFFCE4D6"/>
        <bgColor rgb="FF000000"/>
      </patternFill>
    </fill>
    <fill>
      <patternFill patternType="solid">
        <fgColor theme="4" tint="0.79998168889431442"/>
        <bgColor theme="4" tint="0.79998168889431442"/>
      </patternFill>
    </fill>
    <fill>
      <patternFill patternType="solid">
        <fgColor rgb="FF0070C0"/>
        <bgColor indexed="64"/>
      </patternFill>
    </fill>
    <fill>
      <patternFill patternType="solid">
        <fgColor theme="9"/>
        <bgColor indexed="64"/>
      </patternFill>
    </fill>
    <fill>
      <patternFill patternType="solid">
        <fgColor theme="5"/>
        <bgColor theme="5"/>
      </patternFill>
    </fill>
    <fill>
      <patternFill patternType="solid">
        <fgColor rgb="FFD9E1F2"/>
        <bgColor rgb="FFD9E1F2"/>
      </patternFill>
    </fill>
    <fill>
      <patternFill patternType="solid">
        <fgColor rgb="FFC65911"/>
        <bgColor rgb="FF000000"/>
      </patternFill>
    </fill>
    <fill>
      <patternFill patternType="solid">
        <fgColor theme="3" tint="0.79998168889431442"/>
        <bgColor indexed="64"/>
      </patternFill>
    </fill>
    <fill>
      <patternFill patternType="solid">
        <fgColor rgb="FFD9E1F2"/>
        <bgColor indexed="64"/>
      </patternFill>
    </fill>
    <fill>
      <patternFill patternType="solid">
        <fgColor rgb="FF92D050"/>
        <bgColor indexed="64"/>
      </patternFill>
    </fill>
  </fills>
  <borders count="218">
    <border>
      <left/>
      <right/>
      <top/>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
      <left style="medium">
        <color theme="2"/>
      </left>
      <right style="medium">
        <color theme="2"/>
      </right>
      <top style="medium">
        <color theme="2"/>
      </top>
      <bottom/>
      <diagonal/>
    </border>
    <border>
      <left style="medium">
        <color theme="0" tint="-0.14996795556505021"/>
      </left>
      <right style="medium">
        <color theme="0" tint="-0.14996795556505021"/>
      </right>
      <top style="medium">
        <color theme="0" tint="-0.14996795556505021"/>
      </top>
      <bottom/>
      <diagonal/>
    </border>
    <border>
      <left style="medium">
        <color theme="0" tint="-0.14996795556505021"/>
      </left>
      <right style="medium">
        <color theme="0" tint="-0.14996795556505021"/>
      </right>
      <top/>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top/>
      <bottom/>
      <diagonal/>
    </border>
    <border>
      <left/>
      <right/>
      <top/>
      <bottom style="thin">
        <color indexed="64"/>
      </bottom>
      <diagonal/>
    </border>
    <border>
      <left/>
      <right/>
      <top/>
      <bottom style="thin">
        <color theme="0"/>
      </bottom>
      <diagonal/>
    </border>
    <border>
      <left/>
      <right/>
      <top style="thin">
        <color indexed="64"/>
      </top>
      <bottom/>
      <diagonal/>
    </border>
    <border>
      <left/>
      <right/>
      <top style="thin">
        <color theme="0"/>
      </top>
      <bottom style="thin">
        <color theme="0"/>
      </bottom>
      <diagonal/>
    </border>
    <border>
      <left/>
      <right/>
      <top/>
      <bottom style="thin">
        <color theme="1"/>
      </bottom>
      <diagonal/>
    </border>
    <border>
      <left style="thin">
        <color theme="0"/>
      </left>
      <right/>
      <top/>
      <bottom style="thin">
        <color theme="0"/>
      </bottom>
      <diagonal/>
    </border>
    <border>
      <left style="thin">
        <color theme="0"/>
      </left>
      <right style="thin">
        <color theme="0"/>
      </right>
      <top style="thin">
        <color theme="0"/>
      </top>
      <bottom/>
      <diagonal/>
    </border>
    <border>
      <left/>
      <right style="thin">
        <color theme="0"/>
      </right>
      <top/>
      <bottom style="thin">
        <color theme="0"/>
      </bottom>
      <diagonal/>
    </border>
    <border>
      <left/>
      <right/>
      <top style="thin">
        <color theme="1"/>
      </top>
      <bottom style="thin">
        <color theme="1"/>
      </bottom>
      <diagonal/>
    </border>
    <border>
      <left/>
      <right/>
      <top style="thin">
        <color indexed="64"/>
      </top>
      <bottom style="thin">
        <color indexed="64"/>
      </bottom>
      <diagonal/>
    </border>
    <border>
      <left/>
      <right/>
      <top style="thin">
        <color theme="0"/>
      </top>
      <bottom style="thin">
        <color indexed="64"/>
      </bottom>
      <diagonal/>
    </border>
    <border>
      <left/>
      <right/>
      <top style="thin">
        <color theme="0"/>
      </top>
      <bottom style="thin">
        <color theme="1"/>
      </bottom>
      <diagonal/>
    </border>
    <border>
      <left style="thin">
        <color theme="0"/>
      </left>
      <right/>
      <top style="thin">
        <color theme="0"/>
      </top>
      <bottom/>
      <diagonal/>
    </border>
    <border>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theme="5"/>
      </left>
      <right/>
      <top/>
      <bottom/>
      <diagonal/>
    </border>
    <border>
      <left style="thin">
        <color theme="5"/>
      </left>
      <right style="thin">
        <color theme="5"/>
      </right>
      <top/>
      <bottom/>
      <diagonal/>
    </border>
    <border>
      <left/>
      <right/>
      <top/>
      <bottom style="thin">
        <color theme="5"/>
      </bottom>
      <diagonal/>
    </border>
    <border>
      <left style="thin">
        <color theme="5"/>
      </left>
      <right/>
      <top/>
      <bottom style="thin">
        <color theme="5"/>
      </bottom>
      <diagonal/>
    </border>
    <border>
      <left style="thin">
        <color theme="5"/>
      </left>
      <right style="thin">
        <color theme="5"/>
      </right>
      <top/>
      <bottom style="thin">
        <color theme="5"/>
      </bottom>
      <diagonal/>
    </border>
    <border>
      <left/>
      <right style="thin">
        <color theme="0"/>
      </right>
      <top/>
      <bottom/>
      <diagonal/>
    </border>
    <border>
      <left style="thin">
        <color theme="5"/>
      </left>
      <right style="thin">
        <color theme="5"/>
      </right>
      <top style="thin">
        <color theme="5"/>
      </top>
      <bottom style="thin">
        <color theme="5"/>
      </bottom>
      <diagonal/>
    </border>
    <border>
      <left style="thin">
        <color theme="5"/>
      </left>
      <right/>
      <top style="thin">
        <color theme="5"/>
      </top>
      <bottom/>
      <diagonal/>
    </border>
    <border>
      <left/>
      <right style="thin">
        <color theme="5"/>
      </right>
      <top style="thin">
        <color theme="5"/>
      </top>
      <bottom/>
      <diagonal/>
    </border>
    <border>
      <left/>
      <right style="thin">
        <color theme="5"/>
      </right>
      <top/>
      <bottom/>
      <diagonal/>
    </border>
    <border>
      <left/>
      <right style="thin">
        <color theme="5"/>
      </right>
      <top/>
      <bottom style="thin">
        <color theme="5"/>
      </bottom>
      <diagonal/>
    </border>
    <border>
      <left style="thin">
        <color indexed="64"/>
      </left>
      <right style="thin">
        <color indexed="64"/>
      </right>
      <top style="thin">
        <color indexed="64"/>
      </top>
      <bottom style="thin">
        <color indexed="64"/>
      </bottom>
      <diagonal/>
    </border>
    <border>
      <left style="thin">
        <color theme="5"/>
      </left>
      <right style="thin">
        <color theme="5"/>
      </right>
      <top style="thin">
        <color theme="5"/>
      </top>
      <bottom/>
      <diagonal/>
    </border>
    <border>
      <left/>
      <right style="thin">
        <color theme="5"/>
      </right>
      <top style="thin">
        <color theme="5"/>
      </top>
      <bottom style="thin">
        <color theme="5"/>
      </bottom>
      <diagonal/>
    </border>
    <border>
      <left style="thin">
        <color indexed="64"/>
      </left>
      <right style="thin">
        <color indexed="64"/>
      </right>
      <top style="thin">
        <color indexed="64"/>
      </top>
      <bottom/>
      <diagonal/>
    </border>
    <border>
      <left style="thin">
        <color rgb="FF000000"/>
      </left>
      <right style="thin">
        <color rgb="FF000000"/>
      </right>
      <top style="thin">
        <color indexed="64"/>
      </top>
      <bottom style="thin">
        <color rgb="FF000000"/>
      </bottom>
      <diagonal/>
    </border>
    <border>
      <left style="thin">
        <color theme="5"/>
      </left>
      <right/>
      <top style="thin">
        <color theme="5"/>
      </top>
      <bottom style="thin">
        <color theme="5"/>
      </bottom>
      <diagonal/>
    </border>
    <border>
      <left/>
      <right/>
      <top style="thin">
        <color theme="5"/>
      </top>
      <bottom style="thin">
        <color theme="5"/>
      </bottom>
      <diagonal/>
    </border>
    <border>
      <left/>
      <right/>
      <top style="thin">
        <color theme="0"/>
      </top>
      <bottom style="medium">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8"/>
      </bottom>
      <diagonal/>
    </border>
    <border>
      <left style="thin">
        <color theme="0"/>
      </left>
      <right style="thin">
        <color theme="0"/>
      </right>
      <top style="thin">
        <color theme="0"/>
      </top>
      <bottom style="thin">
        <color theme="8"/>
      </bottom>
      <diagonal/>
    </border>
    <border>
      <left/>
      <right style="thin">
        <color theme="0"/>
      </right>
      <top style="thin">
        <color theme="0"/>
      </top>
      <bottom style="thin">
        <color theme="8"/>
      </bottom>
      <diagonal/>
    </border>
    <border>
      <left/>
      <right/>
      <top style="thin">
        <color theme="0"/>
      </top>
      <bottom style="thin">
        <color theme="8"/>
      </bottom>
      <diagonal/>
    </border>
    <border>
      <left style="thin">
        <color theme="0"/>
      </left>
      <right/>
      <top style="thin">
        <color theme="8"/>
      </top>
      <bottom style="thin">
        <color theme="8"/>
      </bottom>
      <diagonal/>
    </border>
    <border>
      <left style="thin">
        <color theme="0"/>
      </left>
      <right style="thin">
        <color theme="0"/>
      </right>
      <top style="thin">
        <color theme="8"/>
      </top>
      <bottom style="thin">
        <color theme="8"/>
      </bottom>
      <diagonal/>
    </border>
    <border>
      <left/>
      <right style="thin">
        <color theme="0"/>
      </right>
      <top style="thin">
        <color theme="8"/>
      </top>
      <bottom style="thin">
        <color theme="8"/>
      </bottom>
      <diagonal/>
    </border>
    <border>
      <left/>
      <right/>
      <top style="thin">
        <color theme="8"/>
      </top>
      <bottom style="thin">
        <color theme="8"/>
      </bottom>
      <diagonal/>
    </border>
    <border>
      <left style="thick">
        <color theme="0"/>
      </left>
      <right style="thin">
        <color theme="0"/>
      </right>
      <top style="thin">
        <color theme="0"/>
      </top>
      <bottom style="thin">
        <color theme="8"/>
      </bottom>
      <diagonal/>
    </border>
    <border>
      <left style="thick">
        <color theme="0"/>
      </left>
      <right style="thin">
        <color theme="0"/>
      </right>
      <top style="thin">
        <color theme="8"/>
      </top>
      <bottom style="thin">
        <color theme="8"/>
      </bottom>
      <diagonal/>
    </border>
    <border>
      <left style="thick">
        <color theme="0"/>
      </left>
      <right style="thin">
        <color theme="0"/>
      </right>
      <top style="thin">
        <color theme="8"/>
      </top>
      <bottom style="thin">
        <color theme="0"/>
      </bottom>
      <diagonal/>
    </border>
    <border>
      <left/>
      <right/>
      <top/>
      <bottom style="thin">
        <color rgb="FFED7D31"/>
      </bottom>
      <diagonal/>
    </border>
    <border>
      <left/>
      <right style="thin">
        <color rgb="FFED7D31"/>
      </right>
      <top/>
      <bottom/>
      <diagonal/>
    </border>
    <border>
      <left style="thin">
        <color rgb="FFED7D31"/>
      </left>
      <right/>
      <top/>
      <bottom/>
      <diagonal/>
    </border>
    <border>
      <left style="thin">
        <color rgb="FFED7D31"/>
      </left>
      <right/>
      <top style="thin">
        <color rgb="FFED7D31"/>
      </top>
      <bottom style="thin">
        <color rgb="FFED7D31"/>
      </bottom>
      <diagonal/>
    </border>
    <border>
      <left style="thin">
        <color theme="5"/>
      </left>
      <right/>
      <top/>
      <bottom style="thin">
        <color rgb="FFED7D31"/>
      </bottom>
      <diagonal/>
    </border>
    <border>
      <left/>
      <right style="thin">
        <color theme="0"/>
      </right>
      <top style="thin">
        <color rgb="FFED7D31"/>
      </top>
      <bottom style="thin">
        <color rgb="FFED7D31"/>
      </bottom>
      <diagonal/>
    </border>
    <border>
      <left/>
      <right style="thin">
        <color theme="0"/>
      </right>
      <top style="thin">
        <color theme="5"/>
      </top>
      <bottom style="thin">
        <color theme="5"/>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right style="thin">
        <color theme="5"/>
      </right>
      <top style="thin">
        <color theme="0"/>
      </top>
      <bottom style="thin">
        <color theme="0"/>
      </bottom>
      <diagonal/>
    </border>
    <border>
      <left style="thin">
        <color theme="5"/>
      </left>
      <right style="thin">
        <color theme="5"/>
      </right>
      <top style="thin">
        <color theme="0"/>
      </top>
      <bottom style="thin">
        <color theme="0"/>
      </bottom>
      <diagonal/>
    </border>
    <border>
      <left style="thin">
        <color theme="5"/>
      </left>
      <right/>
      <top style="thin">
        <color theme="0"/>
      </top>
      <bottom style="thin">
        <color theme="0"/>
      </bottom>
      <diagonal/>
    </border>
    <border>
      <left/>
      <right style="thin">
        <color indexed="64"/>
      </right>
      <top style="thin">
        <color indexed="64"/>
      </top>
      <bottom style="thin">
        <color indexed="64"/>
      </bottom>
      <diagonal/>
    </border>
    <border>
      <left/>
      <right/>
      <top/>
      <bottom style="thin">
        <color theme="8"/>
      </bottom>
      <diagonal/>
    </border>
    <border>
      <left style="thin">
        <color theme="0"/>
      </left>
      <right/>
      <top style="thin">
        <color theme="8"/>
      </top>
      <bottom/>
      <diagonal/>
    </border>
    <border>
      <left style="thin">
        <color theme="0"/>
      </left>
      <right/>
      <top/>
      <bottom style="thin">
        <color theme="8"/>
      </bottom>
      <diagonal/>
    </border>
    <border>
      <left/>
      <right/>
      <top style="thin">
        <color theme="8"/>
      </top>
      <bottom/>
      <diagonal/>
    </border>
    <border>
      <left/>
      <right/>
      <top style="thin">
        <color theme="4" tint="0.39997558519241921"/>
      </top>
      <bottom style="thin">
        <color theme="4" tint="0.39997558519241921"/>
      </bottom>
      <diagonal/>
    </border>
    <border>
      <left/>
      <right/>
      <top style="medium">
        <color rgb="FFFFFFFF"/>
      </top>
      <bottom/>
      <diagonal/>
    </border>
    <border>
      <left/>
      <right style="thin">
        <color theme="4"/>
      </right>
      <top/>
      <bottom/>
      <diagonal/>
    </border>
    <border>
      <left style="thin">
        <color theme="4"/>
      </left>
      <right style="thin">
        <color theme="4"/>
      </right>
      <top/>
      <bottom/>
      <diagonal/>
    </border>
    <border>
      <left style="thin">
        <color theme="4"/>
      </left>
      <right/>
      <top/>
      <bottom/>
      <diagonal/>
    </border>
    <border>
      <left/>
      <right/>
      <top style="double">
        <color theme="4"/>
      </top>
      <bottom style="medium">
        <color rgb="FF4472C4"/>
      </bottom>
      <diagonal/>
    </border>
    <border>
      <left/>
      <right/>
      <top style="thin">
        <color theme="4" tint="0.39997558519241921"/>
      </top>
      <bottom/>
      <diagonal/>
    </border>
    <border>
      <left style="thin">
        <color rgb="FFFFFFFF"/>
      </left>
      <right/>
      <top/>
      <bottom/>
      <diagonal/>
    </border>
    <border>
      <left/>
      <right/>
      <top style="thin">
        <color rgb="FF000000"/>
      </top>
      <bottom/>
      <diagonal/>
    </border>
    <border>
      <left style="medium">
        <color theme="4"/>
      </left>
      <right/>
      <top style="medium">
        <color theme="4"/>
      </top>
      <bottom/>
      <diagonal/>
    </border>
    <border>
      <left style="thin">
        <color theme="0"/>
      </left>
      <right/>
      <top style="medium">
        <color theme="4"/>
      </top>
      <bottom/>
      <diagonal/>
    </border>
    <border>
      <left/>
      <right/>
      <top style="medium">
        <color theme="4"/>
      </top>
      <bottom/>
      <diagonal/>
    </border>
    <border>
      <left/>
      <right style="thin">
        <color theme="0"/>
      </right>
      <top style="medium">
        <color theme="4"/>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theme="0"/>
      </left>
      <right style="thin">
        <color theme="0"/>
      </right>
      <top/>
      <bottom/>
      <diagonal/>
    </border>
    <border>
      <left style="thin">
        <color theme="0"/>
      </left>
      <right/>
      <top/>
      <bottom style="thin">
        <color indexed="64"/>
      </bottom>
      <diagonal/>
    </border>
    <border>
      <left style="thin">
        <color theme="0"/>
      </left>
      <right style="thin">
        <color theme="0"/>
      </right>
      <top/>
      <bottom style="thin">
        <color indexed="64"/>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rgb="FF000000"/>
      </top>
      <bottom/>
      <diagonal/>
    </border>
    <border>
      <left/>
      <right style="thin">
        <color rgb="FF000000"/>
      </right>
      <top/>
      <bottom/>
      <diagonal/>
    </border>
    <border>
      <left style="thin">
        <color rgb="FF000000"/>
      </left>
      <right/>
      <top/>
      <bottom style="thin">
        <color rgb="FF000000"/>
      </bottom>
      <diagonal/>
    </border>
    <border>
      <left style="thin">
        <color indexed="64"/>
      </left>
      <right/>
      <top/>
      <bottom style="thin">
        <color indexed="64"/>
      </bottom>
      <diagonal/>
    </border>
    <border>
      <left/>
      <right/>
      <top style="thin">
        <color theme="5"/>
      </top>
      <bottom/>
      <diagonal/>
    </border>
    <border>
      <left style="thin">
        <color theme="5"/>
      </left>
      <right style="thin">
        <color theme="0"/>
      </right>
      <top style="thin">
        <color theme="5"/>
      </top>
      <bottom style="thin">
        <color theme="5"/>
      </bottom>
      <diagonal/>
    </border>
    <border>
      <left style="thin">
        <color theme="0"/>
      </left>
      <right style="thin">
        <color theme="0"/>
      </right>
      <top style="thin">
        <color theme="5"/>
      </top>
      <bottom style="thin">
        <color theme="5"/>
      </bottom>
      <diagonal/>
    </border>
    <border>
      <left style="thin">
        <color theme="0"/>
      </left>
      <right style="thin">
        <color theme="5"/>
      </right>
      <top style="thin">
        <color theme="5"/>
      </top>
      <bottom style="thin">
        <color theme="5"/>
      </bottom>
      <diagonal/>
    </border>
    <border>
      <left/>
      <right/>
      <top style="thin">
        <color theme="0"/>
      </top>
      <bottom/>
      <diagonal/>
    </border>
    <border>
      <left style="thin">
        <color theme="0"/>
      </left>
      <right style="thin">
        <color theme="0"/>
      </right>
      <top/>
      <bottom style="thin">
        <color theme="0"/>
      </bottom>
      <diagonal/>
    </border>
    <border>
      <left style="thin">
        <color theme="4"/>
      </left>
      <right/>
      <top style="double">
        <color theme="4"/>
      </top>
      <bottom style="medium">
        <color rgb="FF4472C4"/>
      </bottom>
      <diagonal/>
    </border>
    <border>
      <left/>
      <right/>
      <top style="thin">
        <color rgb="FF8EA9DB"/>
      </top>
      <bottom style="thin">
        <color rgb="FF8EA9DB"/>
      </bottom>
      <diagonal/>
    </border>
    <border>
      <left/>
      <right/>
      <top/>
      <bottom style="thin">
        <color rgb="FF8EA9DB"/>
      </bottom>
      <diagonal/>
    </border>
    <border>
      <left style="thin">
        <color rgb="FF8EA9DB"/>
      </left>
      <right/>
      <top style="thin">
        <color rgb="FF8EA9DB"/>
      </top>
      <bottom style="thin">
        <color rgb="FF8EA9DB"/>
      </bottom>
      <diagonal/>
    </border>
    <border>
      <left style="thin">
        <color rgb="FFED7D31"/>
      </left>
      <right style="thin">
        <color rgb="FFED7D31"/>
      </right>
      <top/>
      <bottom/>
      <diagonal/>
    </border>
    <border>
      <left style="medium">
        <color rgb="FF4472C4"/>
      </left>
      <right/>
      <top style="thin">
        <color rgb="FF8EA9DB"/>
      </top>
      <bottom style="thin">
        <color rgb="FF8EA9DB"/>
      </bottom>
      <diagonal/>
    </border>
    <border>
      <left style="thin">
        <color rgb="FF4472C4"/>
      </left>
      <right style="thin">
        <color rgb="FF4472C4"/>
      </right>
      <top style="thin">
        <color rgb="FF8EA9DB"/>
      </top>
      <bottom style="thin">
        <color rgb="FF8EA9DB"/>
      </bottom>
      <diagonal/>
    </border>
    <border>
      <left/>
      <right style="thin">
        <color rgb="FF4472C4"/>
      </right>
      <top style="thin">
        <color rgb="FF8EA9DB"/>
      </top>
      <bottom style="thin">
        <color rgb="FF8EA9DB"/>
      </bottom>
      <diagonal/>
    </border>
    <border>
      <left style="thin">
        <color rgb="FF4472C4"/>
      </left>
      <right/>
      <top style="thin">
        <color rgb="FF8EA9DB"/>
      </top>
      <bottom style="thin">
        <color rgb="FF8EA9DB"/>
      </bottom>
      <diagonal/>
    </border>
    <border>
      <left/>
      <right style="thin">
        <color rgb="FF8EA9DB"/>
      </right>
      <top style="thin">
        <color rgb="FF8EA9DB"/>
      </top>
      <bottom style="thin">
        <color rgb="FF8EA9DB"/>
      </bottom>
      <diagonal/>
    </border>
    <border>
      <left/>
      <right style="medium">
        <color rgb="FF4472C4"/>
      </right>
      <top style="thin">
        <color rgb="FF8EA9DB"/>
      </top>
      <bottom style="thin">
        <color rgb="FF8EA9DB"/>
      </bottom>
      <diagonal/>
    </border>
    <border>
      <left/>
      <right/>
      <top style="double">
        <color theme="4"/>
      </top>
      <bottom style="medium">
        <color theme="4"/>
      </bottom>
      <diagonal/>
    </border>
    <border>
      <left/>
      <right/>
      <top/>
      <bottom style="medium">
        <color theme="4"/>
      </bottom>
      <diagonal/>
    </border>
    <border>
      <left style="thin">
        <color theme="4"/>
      </left>
      <right/>
      <top/>
      <bottom style="medium">
        <color theme="4"/>
      </bottom>
      <diagonal/>
    </border>
    <border>
      <left/>
      <right/>
      <top style="thin">
        <color rgb="FF8EA9DB"/>
      </top>
      <bottom style="thin">
        <color theme="4"/>
      </bottom>
      <diagonal/>
    </border>
    <border>
      <left/>
      <right style="thin">
        <color rgb="FF4472C4"/>
      </right>
      <top style="thin">
        <color rgb="FF8EA9DB"/>
      </top>
      <bottom style="thin">
        <color theme="4"/>
      </bottom>
      <diagonal/>
    </border>
    <border>
      <left style="thin">
        <color rgb="FF4472C4"/>
      </left>
      <right style="thin">
        <color rgb="FF4472C4"/>
      </right>
      <top/>
      <bottom style="thin">
        <color rgb="FF8EA9DB"/>
      </bottom>
      <diagonal/>
    </border>
    <border>
      <left style="medium">
        <color theme="0"/>
      </left>
      <right style="medium">
        <color theme="0"/>
      </right>
      <top style="medium">
        <color theme="0"/>
      </top>
      <bottom style="medium">
        <color theme="0"/>
      </bottom>
      <diagonal/>
    </border>
    <border>
      <left style="thin">
        <color rgb="FF4472C4"/>
      </left>
      <right/>
      <top/>
      <bottom style="thin">
        <color rgb="FF8EA9DB"/>
      </bottom>
      <diagonal/>
    </border>
    <border>
      <left style="medium">
        <color theme="4"/>
      </left>
      <right style="thin">
        <color theme="0"/>
      </right>
      <top style="medium">
        <color theme="4"/>
      </top>
      <bottom style="thin">
        <color theme="0"/>
      </bottom>
      <diagonal/>
    </border>
    <border>
      <left style="thin">
        <color theme="0"/>
      </left>
      <right style="thin">
        <color theme="0"/>
      </right>
      <top style="medium">
        <color theme="4"/>
      </top>
      <bottom style="thin">
        <color theme="0"/>
      </bottom>
      <diagonal/>
    </border>
    <border>
      <left style="medium">
        <color theme="4"/>
      </left>
      <right style="medium">
        <color theme="0"/>
      </right>
      <top style="medium">
        <color theme="0"/>
      </top>
      <bottom style="medium">
        <color theme="0"/>
      </bottom>
      <diagonal/>
    </border>
    <border>
      <left style="medium">
        <color theme="0"/>
      </left>
      <right style="medium">
        <color theme="4"/>
      </right>
      <top style="medium">
        <color theme="0"/>
      </top>
      <bottom style="medium">
        <color theme="0"/>
      </bottom>
      <diagonal/>
    </border>
    <border>
      <left style="medium">
        <color theme="4"/>
      </left>
      <right/>
      <top style="double">
        <color theme="4"/>
      </top>
      <bottom style="medium">
        <color theme="4"/>
      </bottom>
      <diagonal/>
    </border>
    <border>
      <left/>
      <right style="medium">
        <color theme="4"/>
      </right>
      <top style="double">
        <color theme="4"/>
      </top>
      <bottom style="medium">
        <color theme="4"/>
      </bottom>
      <diagonal/>
    </border>
    <border>
      <left style="medium">
        <color theme="4"/>
      </left>
      <right/>
      <top style="medium">
        <color theme="4"/>
      </top>
      <bottom style="thin">
        <color theme="0"/>
      </bottom>
      <diagonal/>
    </border>
    <border>
      <left style="thin">
        <color theme="0"/>
      </left>
      <right/>
      <top style="medium">
        <color theme="4"/>
      </top>
      <bottom style="thin">
        <color theme="0"/>
      </bottom>
      <diagonal/>
    </border>
    <border>
      <left style="medium">
        <color theme="4"/>
      </left>
      <right/>
      <top/>
      <bottom/>
      <diagonal/>
    </border>
    <border>
      <left style="thin">
        <color rgb="FF0070C0"/>
      </left>
      <right style="medium">
        <color theme="4"/>
      </right>
      <top style="thin">
        <color theme="0"/>
      </top>
      <bottom/>
      <diagonal/>
    </border>
    <border>
      <left style="medium">
        <color theme="4"/>
      </left>
      <right/>
      <top/>
      <bottom style="thin">
        <color rgb="FF8EA9DB"/>
      </bottom>
      <diagonal/>
    </border>
    <border>
      <left style="thin">
        <color rgb="FF0070C0"/>
      </left>
      <right style="medium">
        <color theme="4"/>
      </right>
      <top/>
      <bottom/>
      <diagonal/>
    </border>
    <border>
      <left style="medium">
        <color theme="4"/>
      </left>
      <right/>
      <top style="thin">
        <color rgb="FF8EA9DB"/>
      </top>
      <bottom style="thin">
        <color rgb="FF8EA9DB"/>
      </bottom>
      <diagonal/>
    </border>
    <border>
      <left style="thin">
        <color rgb="FF0070C0"/>
      </left>
      <right style="medium">
        <color theme="4"/>
      </right>
      <top style="thin">
        <color theme="4" tint="0.39997558519241921"/>
      </top>
      <bottom/>
      <diagonal/>
    </border>
    <border>
      <left style="medium">
        <color theme="4"/>
      </left>
      <right/>
      <top/>
      <bottom style="medium">
        <color theme="4"/>
      </bottom>
      <diagonal/>
    </border>
    <border>
      <left style="thin">
        <color rgb="FF0070C0"/>
      </left>
      <right style="medium">
        <color theme="4"/>
      </right>
      <top/>
      <bottom style="medium">
        <color theme="4"/>
      </bottom>
      <diagonal/>
    </border>
    <border>
      <left style="medium">
        <color theme="4"/>
      </left>
      <right/>
      <top style="medium">
        <color theme="4"/>
      </top>
      <bottom style="medium">
        <color rgb="FFFFFFFF"/>
      </bottom>
      <diagonal/>
    </border>
    <border>
      <left style="medium">
        <color theme="4"/>
      </left>
      <right/>
      <top style="medium">
        <color rgb="FFFFFFFF"/>
      </top>
      <bottom/>
      <diagonal/>
    </border>
    <border>
      <left style="thin">
        <color rgb="FF0070C0"/>
      </left>
      <right style="medium">
        <color theme="4"/>
      </right>
      <top style="medium">
        <color rgb="FFFFFFFF"/>
      </top>
      <bottom/>
      <diagonal/>
    </border>
    <border>
      <left style="thin">
        <color rgb="FF0070C0"/>
      </left>
      <right style="medium">
        <color theme="4"/>
      </right>
      <top/>
      <bottom style="thin">
        <color theme="4" tint="0.39997558519241921"/>
      </bottom>
      <diagonal/>
    </border>
    <border>
      <left style="thin">
        <color rgb="FF0070C0"/>
      </left>
      <right style="medium">
        <color theme="4"/>
      </right>
      <top style="thin">
        <color theme="4" tint="0.39997558519241921"/>
      </top>
      <bottom style="thin">
        <color theme="4" tint="0.39997558519241921"/>
      </bottom>
      <diagonal/>
    </border>
    <border>
      <left style="thin">
        <color rgb="FF0070C0"/>
      </left>
      <right style="medium">
        <color theme="4"/>
      </right>
      <top style="double">
        <color theme="4"/>
      </top>
      <bottom style="medium">
        <color theme="4"/>
      </bottom>
      <diagonal/>
    </border>
    <border>
      <left style="thin">
        <color theme="0"/>
      </left>
      <right style="medium">
        <color theme="4"/>
      </right>
      <top style="medium">
        <color theme="4"/>
      </top>
      <bottom style="thin">
        <color theme="0"/>
      </bottom>
      <diagonal/>
    </border>
    <border>
      <left style="medium">
        <color theme="4"/>
      </left>
      <right style="medium">
        <color theme="4"/>
      </right>
      <top style="medium">
        <color theme="4"/>
      </top>
      <bottom style="thin">
        <color theme="0"/>
      </bottom>
      <diagonal/>
    </border>
    <border>
      <left style="thin">
        <color theme="4"/>
      </left>
      <right/>
      <top style="medium">
        <color theme="4"/>
      </top>
      <bottom style="thin">
        <color theme="0"/>
      </bottom>
      <diagonal/>
    </border>
    <border>
      <left style="medium">
        <color theme="4"/>
      </left>
      <right/>
      <top style="thin">
        <color rgb="FF8EA9DB"/>
      </top>
      <bottom style="thin">
        <color theme="4"/>
      </bottom>
      <diagonal/>
    </border>
    <border>
      <left style="thin">
        <color rgb="FF0070C0"/>
      </left>
      <right style="medium">
        <color theme="4"/>
      </right>
      <top style="thin">
        <color theme="4" tint="0.39997558519241921"/>
      </top>
      <bottom style="thin">
        <color theme="4"/>
      </bottom>
      <diagonal/>
    </border>
    <border>
      <left/>
      <right style="thin">
        <color rgb="FF0070C0"/>
      </right>
      <top/>
      <bottom style="medium">
        <color theme="4"/>
      </bottom>
      <diagonal/>
    </border>
    <border>
      <left style="thin">
        <color rgb="FF0070C0"/>
      </left>
      <right style="thin">
        <color rgb="FF0070C0"/>
      </right>
      <top/>
      <bottom style="medium">
        <color theme="4"/>
      </bottom>
      <diagonal/>
    </border>
    <border>
      <left style="medium">
        <color theme="4"/>
      </left>
      <right style="medium">
        <color theme="0"/>
      </right>
      <top style="thin">
        <color theme="0"/>
      </top>
      <bottom style="thin">
        <color theme="0"/>
      </bottom>
      <diagonal/>
    </border>
    <border>
      <left style="medium">
        <color theme="0"/>
      </left>
      <right style="medium">
        <color theme="0"/>
      </right>
      <top style="thin">
        <color theme="0"/>
      </top>
      <bottom style="thin">
        <color theme="0"/>
      </bottom>
      <diagonal/>
    </border>
    <border>
      <left style="medium">
        <color theme="0"/>
      </left>
      <right style="medium">
        <color theme="4"/>
      </right>
      <top style="thin">
        <color theme="0"/>
      </top>
      <bottom style="thin">
        <color theme="0"/>
      </bottom>
      <diagonal/>
    </border>
    <border>
      <left style="thin">
        <color rgb="FFFFFFFF"/>
      </left>
      <right/>
      <top style="thin">
        <color theme="0"/>
      </top>
      <bottom style="thin">
        <color theme="0"/>
      </bottom>
      <diagonal/>
    </border>
    <border>
      <left/>
      <right/>
      <top/>
      <bottom style="thin">
        <color theme="4" tint="0.39997558519241921"/>
      </bottom>
      <diagonal/>
    </border>
    <border>
      <left/>
      <right style="medium">
        <color theme="0"/>
      </right>
      <top style="thin">
        <color theme="0"/>
      </top>
      <bottom style="thin">
        <color theme="0"/>
      </bottom>
      <diagonal/>
    </border>
    <border>
      <left style="medium">
        <color theme="0"/>
      </left>
      <right/>
      <top style="thin">
        <color theme="0"/>
      </top>
      <bottom style="thin">
        <color theme="0"/>
      </bottom>
      <diagonal/>
    </border>
    <border>
      <left style="medium">
        <color theme="4"/>
      </left>
      <right style="thin">
        <color theme="0"/>
      </right>
      <top style="medium">
        <color theme="4"/>
      </top>
      <bottom/>
      <diagonal/>
    </border>
    <border>
      <left style="medium">
        <color theme="4"/>
      </left>
      <right style="medium">
        <color theme="4"/>
      </right>
      <top style="medium">
        <color theme="4"/>
      </top>
      <bottom/>
      <diagonal/>
    </border>
    <border>
      <left style="thin">
        <color theme="4"/>
      </left>
      <right/>
      <top style="medium">
        <color theme="4"/>
      </top>
      <bottom style="medium">
        <color rgb="FFFFFFFF"/>
      </bottom>
      <diagonal/>
    </border>
    <border>
      <left style="thin">
        <color theme="4"/>
      </left>
      <right style="medium">
        <color theme="4"/>
      </right>
      <top style="medium">
        <color theme="4"/>
      </top>
      <bottom style="medium">
        <color rgb="FFFFFFFF"/>
      </bottom>
      <diagonal/>
    </border>
    <border>
      <left style="medium">
        <color theme="4"/>
      </left>
      <right style="thin">
        <color rgb="FFFFFFFF"/>
      </right>
      <top style="thin">
        <color theme="0"/>
      </top>
      <bottom style="thin">
        <color theme="0"/>
      </bottom>
      <diagonal/>
    </border>
    <border>
      <left style="thin">
        <color rgb="FFFFFFFF"/>
      </left>
      <right style="medium">
        <color theme="4"/>
      </right>
      <top style="thin">
        <color theme="0"/>
      </top>
      <bottom style="thin">
        <color theme="0"/>
      </bottom>
      <diagonal/>
    </border>
    <border>
      <left style="medium">
        <color theme="4"/>
      </left>
      <right/>
      <top/>
      <bottom style="thin">
        <color theme="4" tint="0.39997558519241921"/>
      </bottom>
      <diagonal/>
    </border>
    <border>
      <left style="medium">
        <color theme="4"/>
      </left>
      <right/>
      <top style="thin">
        <color theme="4" tint="0.39997558519241921"/>
      </top>
      <bottom style="thin">
        <color theme="4" tint="0.39997558519241921"/>
      </bottom>
      <diagonal/>
    </border>
    <border>
      <left style="thin">
        <color theme="4"/>
      </left>
      <right style="medium">
        <color theme="4"/>
      </right>
      <top style="double">
        <color theme="4"/>
      </top>
      <bottom style="medium">
        <color rgb="FF4472C4"/>
      </bottom>
      <diagonal/>
    </border>
    <border>
      <left style="thin">
        <color theme="0"/>
      </left>
      <right style="medium">
        <color theme="4"/>
      </right>
      <top style="thin">
        <color theme="0"/>
      </top>
      <bottom/>
      <diagonal/>
    </border>
    <border>
      <left/>
      <right/>
      <top style="thin">
        <color rgb="FF000000"/>
      </top>
      <bottom style="thin">
        <color rgb="FF000000"/>
      </bottom>
      <diagonal/>
    </border>
    <border>
      <left/>
      <right/>
      <top/>
      <bottom style="thin">
        <color theme="4" tint="-0.249977111117893"/>
      </bottom>
      <diagonal/>
    </border>
    <border>
      <left/>
      <right style="medium">
        <color theme="4"/>
      </right>
      <top style="thin">
        <color theme="0"/>
      </top>
      <bottom/>
      <diagonal/>
    </border>
    <border>
      <left style="medium">
        <color theme="0"/>
      </left>
      <right style="medium">
        <color theme="0"/>
      </right>
      <top/>
      <bottom style="medium">
        <color theme="0"/>
      </bottom>
      <diagonal/>
    </border>
    <border>
      <left/>
      <right/>
      <top style="thin">
        <color rgb="FF8EA9DB"/>
      </top>
      <bottom/>
      <diagonal/>
    </border>
    <border>
      <left/>
      <right style="thin">
        <color rgb="FF8EA9DB"/>
      </right>
      <top style="thin">
        <color rgb="FF8EA9DB"/>
      </top>
      <bottom/>
      <diagonal/>
    </border>
    <border>
      <left style="thin">
        <color rgb="FF8EA9DB"/>
      </left>
      <right/>
      <top style="thin">
        <color rgb="FF8EA9DB"/>
      </top>
      <bottom/>
      <diagonal/>
    </border>
    <border>
      <left/>
      <right style="medium">
        <color rgb="FF4472C4"/>
      </right>
      <top style="thin">
        <color rgb="FF8EA9DB"/>
      </top>
      <bottom/>
      <diagonal/>
    </border>
    <border>
      <left/>
      <right style="thin">
        <color theme="4"/>
      </right>
      <top style="thin">
        <color theme="4" tint="0.39997558519241921"/>
      </top>
      <bottom/>
      <diagonal/>
    </border>
    <border>
      <left style="thin">
        <color theme="4"/>
      </left>
      <right/>
      <top style="thin">
        <color theme="4" tint="0.39997558519241921"/>
      </top>
      <bottom style="thin">
        <color theme="4"/>
      </bottom>
      <diagonal/>
    </border>
    <border>
      <left/>
      <right/>
      <top style="thin">
        <color theme="4" tint="0.39997558519241921"/>
      </top>
      <bottom style="thin">
        <color theme="4"/>
      </bottom>
      <diagonal/>
    </border>
    <border>
      <left/>
      <right style="thin">
        <color theme="4"/>
      </right>
      <top style="thin">
        <color theme="4" tint="0.39997558519241921"/>
      </top>
      <bottom style="thin">
        <color theme="4"/>
      </bottom>
      <diagonal/>
    </border>
    <border>
      <left style="thin">
        <color theme="4"/>
      </left>
      <right/>
      <top style="thin">
        <color theme="4" tint="0.39997558519241921"/>
      </top>
      <bottom/>
      <diagonal/>
    </border>
    <border>
      <left style="thin">
        <color rgb="FF4472C4"/>
      </left>
      <right/>
      <top style="thin">
        <color rgb="FF8EA9DB"/>
      </top>
      <bottom/>
      <diagonal/>
    </border>
    <border>
      <left style="thin">
        <color theme="0"/>
      </left>
      <right style="thin">
        <color theme="0"/>
      </right>
      <top style="medium">
        <color theme="4"/>
      </top>
      <bottom/>
      <diagonal/>
    </border>
    <border>
      <left style="thin">
        <color theme="0"/>
      </left>
      <right style="medium">
        <color theme="4"/>
      </right>
      <top style="medium">
        <color theme="4"/>
      </top>
      <bottom/>
      <diagonal/>
    </border>
    <border>
      <left style="medium">
        <color theme="8"/>
      </left>
      <right/>
      <top style="medium">
        <color theme="8"/>
      </top>
      <bottom/>
      <diagonal/>
    </border>
    <border>
      <left/>
      <right/>
      <top style="medium">
        <color theme="8"/>
      </top>
      <bottom/>
      <diagonal/>
    </border>
    <border>
      <left/>
      <right style="thin">
        <color theme="4"/>
      </right>
      <top style="medium">
        <color theme="8"/>
      </top>
      <bottom/>
      <diagonal/>
    </border>
    <border>
      <left style="thin">
        <color theme="4"/>
      </left>
      <right style="thin">
        <color theme="4"/>
      </right>
      <top style="medium">
        <color theme="8"/>
      </top>
      <bottom/>
      <diagonal/>
    </border>
    <border>
      <left style="thin">
        <color theme="4"/>
      </left>
      <right/>
      <top style="medium">
        <color theme="8"/>
      </top>
      <bottom/>
      <diagonal/>
    </border>
    <border>
      <left style="thin">
        <color rgb="FF0070C0"/>
      </left>
      <right style="medium">
        <color theme="8"/>
      </right>
      <top style="medium">
        <color theme="8"/>
      </top>
      <bottom/>
      <diagonal/>
    </border>
    <border>
      <left style="medium">
        <color theme="8"/>
      </left>
      <right style="medium">
        <color theme="0"/>
      </right>
      <top style="thin">
        <color theme="0"/>
      </top>
      <bottom style="thin">
        <color theme="0"/>
      </bottom>
      <diagonal/>
    </border>
    <border>
      <left style="medium">
        <color theme="0"/>
      </left>
      <right style="medium">
        <color theme="8"/>
      </right>
      <top style="thin">
        <color theme="0"/>
      </top>
      <bottom style="thin">
        <color theme="0"/>
      </bottom>
      <diagonal/>
    </border>
    <border>
      <left style="medium">
        <color theme="8"/>
      </left>
      <right/>
      <top/>
      <bottom style="thin">
        <color rgb="FF8EA9DB"/>
      </bottom>
      <diagonal/>
    </border>
    <border>
      <left style="thin">
        <color rgb="FF0070C0"/>
      </left>
      <right style="medium">
        <color theme="8"/>
      </right>
      <top/>
      <bottom/>
      <diagonal/>
    </border>
    <border>
      <left style="thin">
        <color rgb="FF0070C0"/>
      </left>
      <right style="medium">
        <color theme="8"/>
      </right>
      <top style="thin">
        <color theme="4" tint="0.39997558519241921"/>
      </top>
      <bottom/>
      <diagonal/>
    </border>
    <border>
      <left style="medium">
        <color theme="8"/>
      </left>
      <right/>
      <top style="thin">
        <color rgb="FF8EA9DB"/>
      </top>
      <bottom style="thin">
        <color rgb="FF8EA9DB"/>
      </bottom>
      <diagonal/>
    </border>
    <border>
      <left style="medium">
        <color theme="8"/>
      </left>
      <right/>
      <top style="thin">
        <color rgb="FF8EA9DB"/>
      </top>
      <bottom/>
      <diagonal/>
    </border>
    <border>
      <left style="medium">
        <color theme="8"/>
      </left>
      <right/>
      <top style="thin">
        <color rgb="FF8EA9DB"/>
      </top>
      <bottom style="medium">
        <color theme="8"/>
      </bottom>
      <diagonal/>
    </border>
    <border>
      <left/>
      <right/>
      <top style="thin">
        <color rgb="FF8EA9DB"/>
      </top>
      <bottom style="medium">
        <color theme="8"/>
      </bottom>
      <diagonal/>
    </border>
    <border>
      <left style="thin">
        <color theme="4"/>
      </left>
      <right style="thin">
        <color theme="8"/>
      </right>
      <top style="thin">
        <color rgb="FF8EA9DB"/>
      </top>
      <bottom style="medium">
        <color theme="8"/>
      </bottom>
      <diagonal/>
    </border>
    <border>
      <left style="thin">
        <color theme="4"/>
      </left>
      <right/>
      <top style="thin">
        <color rgb="FF8EA9DB"/>
      </top>
      <bottom style="medium">
        <color theme="8"/>
      </bottom>
      <diagonal/>
    </border>
    <border>
      <left/>
      <right/>
      <top/>
      <bottom style="medium">
        <color theme="1"/>
      </bottom>
      <diagonal/>
    </border>
    <border>
      <left/>
      <right/>
      <top style="medium">
        <color theme="4"/>
      </top>
      <bottom style="medium">
        <color rgb="FFFFFFFF"/>
      </bottom>
      <diagonal/>
    </border>
    <border>
      <left style="thin">
        <color rgb="FF4472C4"/>
      </left>
      <right style="thin">
        <color theme="4" tint="0.39997558519241921"/>
      </right>
      <top style="thin">
        <color theme="0"/>
      </top>
      <bottom style="thin">
        <color rgb="FF8EA9DB"/>
      </bottom>
      <diagonal/>
    </border>
    <border>
      <left style="thin">
        <color rgb="FF4472C4"/>
      </left>
      <right style="thin">
        <color theme="4" tint="0.39997558519241921"/>
      </right>
      <top/>
      <bottom style="thin">
        <color rgb="FF8EA9DB"/>
      </bottom>
      <diagonal/>
    </border>
  </borders>
  <cellStyleXfs count="3">
    <xf numFmtId="0" fontId="0" fillId="0" borderId="0"/>
    <xf numFmtId="0" fontId="36" fillId="0" borderId="0" applyNumberFormat="0" applyFill="0" applyBorder="0" applyAlignment="0" applyProtection="0"/>
    <xf numFmtId="9" fontId="87" fillId="0" borderId="0" applyFont="0" applyFill="0" applyBorder="0" applyAlignment="0" applyProtection="0"/>
  </cellStyleXfs>
  <cellXfs count="993">
    <xf numFmtId="0" fontId="0" fillId="0" borderId="0" xfId="0"/>
    <xf numFmtId="0" fontId="1" fillId="0" borderId="1" xfId="0" applyFont="1" applyBorder="1" applyAlignment="1">
      <alignment horizontal="left" vertical="center" wrapText="1" readingOrder="1"/>
    </xf>
    <xf numFmtId="0" fontId="3" fillId="0" borderId="0" xfId="0" applyFont="1"/>
    <xf numFmtId="0" fontId="1" fillId="0" borderId="1" xfId="0" applyFont="1" applyBorder="1" applyAlignment="1">
      <alignment vertical="center" wrapText="1"/>
    </xf>
    <xf numFmtId="0" fontId="1" fillId="3" borderId="1" xfId="0" applyFont="1" applyFill="1" applyBorder="1" applyAlignment="1">
      <alignment vertical="center" wrapText="1"/>
    </xf>
    <xf numFmtId="0" fontId="6" fillId="0" borderId="0" xfId="0" applyFont="1"/>
    <xf numFmtId="0" fontId="2" fillId="0" borderId="0" xfId="0" applyFont="1" applyAlignment="1">
      <alignment horizontal="left" vertical="center" readingOrder="1"/>
    </xf>
    <xf numFmtId="0" fontId="5" fillId="4" borderId="1" xfId="0" applyFont="1" applyFill="1" applyBorder="1" applyAlignment="1">
      <alignment horizontal="center" vertical="center" wrapText="1" readingOrder="1"/>
    </xf>
    <xf numFmtId="0" fontId="3" fillId="0" borderId="0" xfId="0" applyFont="1" applyAlignment="1">
      <alignment horizontal="left" indent="1"/>
    </xf>
    <xf numFmtId="0" fontId="11" fillId="5" borderId="2" xfId="0" applyFont="1" applyFill="1" applyBorder="1" applyAlignment="1">
      <alignment horizontal="center" vertical="center" wrapText="1" readingOrder="1"/>
    </xf>
    <xf numFmtId="0" fontId="0" fillId="2" borderId="0" xfId="0" applyFill="1"/>
    <xf numFmtId="0" fontId="6" fillId="2" borderId="0" xfId="0" applyFont="1" applyFill="1"/>
    <xf numFmtId="0" fontId="1" fillId="3" borderId="1" xfId="0" applyFont="1" applyFill="1" applyBorder="1" applyAlignment="1">
      <alignment horizontal="left" vertical="center" readingOrder="1"/>
    </xf>
    <xf numFmtId="0" fontId="1" fillId="3" borderId="1" xfId="0" applyFont="1" applyFill="1" applyBorder="1" applyAlignment="1">
      <alignment vertical="center"/>
    </xf>
    <xf numFmtId="0" fontId="1" fillId="3" borderId="1" xfId="0" applyFont="1" applyFill="1" applyBorder="1" applyAlignment="1">
      <alignment horizontal="left" vertical="center" wrapText="1" readingOrder="1"/>
    </xf>
    <xf numFmtId="0" fontId="1" fillId="0" borderId="4" xfId="0" applyFont="1" applyBorder="1" applyAlignment="1">
      <alignment horizontal="left" vertical="center" wrapText="1" readingOrder="1"/>
    </xf>
    <xf numFmtId="0" fontId="0" fillId="6" borderId="0" xfId="0" applyFill="1"/>
    <xf numFmtId="0" fontId="0" fillId="7" borderId="0" xfId="0" applyFill="1"/>
    <xf numFmtId="0" fontId="1" fillId="0" borderId="3" xfId="0" applyFont="1" applyBorder="1" applyAlignment="1">
      <alignment horizontal="left" vertical="center" readingOrder="1"/>
    </xf>
    <xf numFmtId="0" fontId="0" fillId="7" borderId="0" xfId="0" applyFill="1" applyAlignment="1">
      <alignment horizontal="center" vertical="center"/>
    </xf>
    <xf numFmtId="0" fontId="1" fillId="8" borderId="1" xfId="0" applyFont="1" applyFill="1" applyBorder="1" applyAlignment="1">
      <alignment horizontal="left" vertical="center" wrapText="1" readingOrder="1"/>
    </xf>
    <xf numFmtId="0" fontId="11" fillId="8" borderId="2" xfId="0" applyFont="1" applyFill="1" applyBorder="1" applyAlignment="1">
      <alignment horizontal="center" vertical="center" wrapText="1" readingOrder="1"/>
    </xf>
    <xf numFmtId="0" fontId="5" fillId="8" borderId="1" xfId="0" applyFont="1" applyFill="1" applyBorder="1" applyAlignment="1">
      <alignment horizontal="center" vertical="center" wrapText="1" readingOrder="1"/>
    </xf>
    <xf numFmtId="0" fontId="9" fillId="2" borderId="0" xfId="0" applyFont="1" applyFill="1" applyAlignment="1">
      <alignment horizontal="left" indent="1"/>
    </xf>
    <xf numFmtId="0" fontId="7" fillId="2" borderId="0" xfId="0" applyFont="1" applyFill="1" applyAlignment="1">
      <alignment horizontal="left" indent="1"/>
    </xf>
    <xf numFmtId="0" fontId="10" fillId="2" borderId="0" xfId="0" applyFont="1" applyFill="1" applyAlignment="1">
      <alignment horizontal="left" indent="1"/>
    </xf>
    <xf numFmtId="0" fontId="8" fillId="2" borderId="0" xfId="0" applyFont="1" applyFill="1" applyAlignment="1">
      <alignment horizontal="left" indent="1"/>
    </xf>
    <xf numFmtId="0" fontId="9" fillId="0" borderId="0" xfId="0" applyFont="1" applyAlignment="1">
      <alignment horizontal="left" indent="1"/>
    </xf>
    <xf numFmtId="0" fontId="14" fillId="0" borderId="0" xfId="0" applyFont="1"/>
    <xf numFmtId="0" fontId="0" fillId="0" borderId="0" xfId="0" applyAlignment="1">
      <alignment horizontal="center"/>
    </xf>
    <xf numFmtId="0" fontId="22" fillId="0" borderId="0" xfId="0" applyFont="1"/>
    <xf numFmtId="0" fontId="22" fillId="0" borderId="8" xfId="0" applyFont="1" applyBorder="1"/>
    <xf numFmtId="0" fontId="21" fillId="0" borderId="0" xfId="0" applyFont="1"/>
    <xf numFmtId="0" fontId="22" fillId="0" borderId="0" xfId="0" applyFont="1" applyProtection="1">
      <protection locked="0"/>
    </xf>
    <xf numFmtId="0" fontId="0" fillId="0" borderId="0" xfId="0" applyAlignment="1">
      <alignment wrapText="1"/>
    </xf>
    <xf numFmtId="0" fontId="25" fillId="11" borderId="0" xfId="0" applyFont="1" applyFill="1" applyAlignment="1">
      <alignment horizontal="left" vertical="center" wrapText="1" readingOrder="1"/>
    </xf>
    <xf numFmtId="0" fontId="0" fillId="0" borderId="0" xfId="0" applyAlignment="1">
      <alignment horizontal="center" vertical="center"/>
    </xf>
    <xf numFmtId="167" fontId="0" fillId="0" borderId="0" xfId="0" applyNumberFormat="1"/>
    <xf numFmtId="0" fontId="26" fillId="0" borderId="0" xfId="0" applyFont="1" applyAlignment="1">
      <alignment horizontal="right"/>
    </xf>
    <xf numFmtId="167" fontId="21" fillId="0" borderId="8" xfId="0" applyNumberFormat="1" applyFont="1" applyBorder="1"/>
    <xf numFmtId="14" fontId="25" fillId="10" borderId="0" xfId="0" applyNumberFormat="1" applyFont="1" applyFill="1" applyAlignment="1" applyProtection="1">
      <alignment horizontal="center" vertical="center"/>
      <protection locked="0"/>
    </xf>
    <xf numFmtId="0" fontId="25" fillId="10" borderId="0" xfId="0" applyFont="1" applyFill="1" applyAlignment="1" applyProtection="1">
      <alignment horizontal="center" vertical="center"/>
      <protection locked="0"/>
    </xf>
    <xf numFmtId="0" fontId="25" fillId="11" borderId="0" xfId="0" applyFont="1" applyFill="1" applyAlignment="1" applyProtection="1">
      <alignment horizontal="center" vertical="center"/>
      <protection locked="0"/>
    </xf>
    <xf numFmtId="0" fontId="0" fillId="0" borderId="0" xfId="0" applyAlignment="1" applyProtection="1">
      <alignment horizontal="center"/>
      <protection locked="0"/>
    </xf>
    <xf numFmtId="0" fontId="0" fillId="0" borderId="0" xfId="0" applyProtection="1">
      <protection locked="0"/>
    </xf>
    <xf numFmtId="0" fontId="0" fillId="0" borderId="0" xfId="0" applyAlignment="1" applyProtection="1">
      <alignment horizontal="center" vertical="center"/>
      <protection locked="0"/>
    </xf>
    <xf numFmtId="0" fontId="25" fillId="10" borderId="7" xfId="0" applyFont="1" applyFill="1" applyBorder="1" applyAlignment="1">
      <alignment horizontal="left" vertical="center" wrapText="1" readingOrder="1"/>
    </xf>
    <xf numFmtId="0" fontId="25" fillId="10" borderId="7" xfId="0" applyFont="1" applyFill="1" applyBorder="1" applyAlignment="1" applyProtection="1">
      <alignment horizontal="center" vertical="center"/>
      <protection locked="0"/>
    </xf>
    <xf numFmtId="0" fontId="25" fillId="11" borderId="9" xfId="0" applyFont="1" applyFill="1" applyBorder="1" applyAlignment="1">
      <alignment horizontal="left" vertical="center" wrapText="1" readingOrder="1"/>
    </xf>
    <xf numFmtId="14" fontId="25" fillId="11" borderId="9" xfId="0" applyNumberFormat="1" applyFont="1" applyFill="1" applyBorder="1" applyAlignment="1" applyProtection="1">
      <alignment horizontal="center" vertical="center" wrapText="1"/>
      <protection locked="0"/>
    </xf>
    <xf numFmtId="0" fontId="25" fillId="11" borderId="9" xfId="0" applyFont="1" applyFill="1" applyBorder="1" applyAlignment="1" applyProtection="1">
      <alignment horizontal="center" vertical="center"/>
      <protection locked="0"/>
    </xf>
    <xf numFmtId="0" fontId="25" fillId="11" borderId="7" xfId="0" applyFont="1" applyFill="1" applyBorder="1" applyAlignment="1">
      <alignment horizontal="left" vertical="center" wrapText="1" readingOrder="1"/>
    </xf>
    <xf numFmtId="14" fontId="25" fillId="11" borderId="7" xfId="0" applyNumberFormat="1" applyFont="1" applyFill="1" applyBorder="1" applyAlignment="1" applyProtection="1">
      <alignment horizontal="center" vertical="center" wrapText="1"/>
      <protection locked="0"/>
    </xf>
    <xf numFmtId="0" fontId="25" fillId="11" borderId="7" xfId="0" applyFont="1" applyFill="1" applyBorder="1" applyAlignment="1" applyProtection="1">
      <alignment horizontal="center" vertical="center"/>
      <protection locked="0"/>
    </xf>
    <xf numFmtId="0" fontId="25" fillId="10" borderId="9" xfId="0" applyFont="1" applyFill="1" applyBorder="1" applyAlignment="1">
      <alignment horizontal="left" vertical="center" wrapText="1" readingOrder="1"/>
    </xf>
    <xf numFmtId="14" fontId="25" fillId="10" borderId="9" xfId="0" applyNumberFormat="1" applyFont="1" applyFill="1" applyBorder="1" applyAlignment="1" applyProtection="1">
      <alignment horizontal="center" vertical="center" wrapText="1"/>
      <protection locked="0"/>
    </xf>
    <xf numFmtId="0" fontId="25" fillId="10" borderId="9" xfId="0" applyFont="1" applyFill="1" applyBorder="1" applyAlignment="1" applyProtection="1">
      <alignment horizontal="center" vertical="center"/>
      <protection locked="0"/>
    </xf>
    <xf numFmtId="14" fontId="25" fillId="10" borderId="7" xfId="0" applyNumberFormat="1" applyFont="1" applyFill="1" applyBorder="1" applyAlignment="1" applyProtection="1">
      <alignment horizontal="center" vertical="center" wrapText="1"/>
      <protection locked="0"/>
    </xf>
    <xf numFmtId="14" fontId="23" fillId="0" borderId="0" xfId="0" applyNumberFormat="1" applyFont="1" applyAlignment="1">
      <alignment horizontal="right"/>
    </xf>
    <xf numFmtId="167" fontId="23" fillId="0" borderId="0" xfId="0" applyNumberFormat="1" applyFont="1"/>
    <xf numFmtId="0" fontId="22" fillId="2" borderId="8" xfId="0" applyFont="1" applyFill="1" applyBorder="1" applyAlignment="1">
      <alignment horizontal="right"/>
    </xf>
    <xf numFmtId="0" fontId="22" fillId="0" borderId="17" xfId="0" applyFont="1" applyBorder="1"/>
    <xf numFmtId="0" fontId="22" fillId="0" borderId="7" xfId="0" applyFont="1" applyBorder="1"/>
    <xf numFmtId="0" fontId="22" fillId="0" borderId="16" xfId="0" applyFont="1" applyBorder="1"/>
    <xf numFmtId="0" fontId="26" fillId="0" borderId="11" xfId="0" applyFont="1" applyBorder="1" applyAlignment="1">
      <alignment horizontal="right"/>
    </xf>
    <xf numFmtId="0" fontId="21" fillId="2" borderId="8" xfId="0" applyFont="1" applyFill="1" applyBorder="1" applyAlignment="1">
      <alignment horizontal="center"/>
    </xf>
    <xf numFmtId="0" fontId="22" fillId="0" borderId="18" xfId="0" applyFont="1" applyBorder="1" applyAlignment="1">
      <alignment horizontal="center"/>
    </xf>
    <xf numFmtId="0" fontId="22" fillId="0" borderId="15" xfId="0" applyFont="1" applyBorder="1" applyAlignment="1">
      <alignment horizontal="center"/>
    </xf>
    <xf numFmtId="14" fontId="26" fillId="0" borderId="0" xfId="0" applyNumberFormat="1" applyFont="1" applyAlignment="1">
      <alignment horizontal="left"/>
    </xf>
    <xf numFmtId="14" fontId="28" fillId="0" borderId="0" xfId="0" applyNumberFormat="1" applyFont="1" applyAlignment="1">
      <alignment horizontal="left"/>
    </xf>
    <xf numFmtId="49" fontId="22" fillId="0" borderId="0" xfId="0" applyNumberFormat="1" applyFont="1"/>
    <xf numFmtId="2" fontId="22" fillId="0" borderId="0" xfId="0" applyNumberFormat="1" applyFont="1"/>
    <xf numFmtId="2" fontId="22" fillId="0" borderId="0" xfId="0" applyNumberFormat="1" applyFont="1" applyAlignment="1">
      <alignment horizontal="left" vertical="center"/>
    </xf>
    <xf numFmtId="2" fontId="22" fillId="10" borderId="0" xfId="0" applyNumberFormat="1" applyFont="1" applyFill="1"/>
    <xf numFmtId="2" fontId="22" fillId="10" borderId="0" xfId="0" applyNumberFormat="1" applyFont="1" applyFill="1" applyAlignment="1">
      <alignment horizontal="left" vertical="center"/>
    </xf>
    <xf numFmtId="0" fontId="21" fillId="0" borderId="0" xfId="0" applyFont="1" applyAlignment="1">
      <alignment horizontal="center"/>
    </xf>
    <xf numFmtId="2" fontId="22" fillId="0" borderId="0" xfId="0" applyNumberFormat="1" applyFont="1" applyAlignment="1">
      <alignment horizontal="center"/>
    </xf>
    <xf numFmtId="2" fontId="22" fillId="10" borderId="0" xfId="0" applyNumberFormat="1" applyFont="1" applyFill="1" applyAlignment="1">
      <alignment horizontal="center"/>
    </xf>
    <xf numFmtId="0" fontId="22" fillId="10" borderId="0" xfId="0" applyFont="1" applyFill="1" applyProtection="1">
      <protection locked="0"/>
    </xf>
    <xf numFmtId="14" fontId="22" fillId="0" borderId="0" xfId="0" applyNumberFormat="1" applyFont="1" applyAlignment="1" applyProtection="1">
      <alignment horizontal="center" vertical="center"/>
      <protection locked="0"/>
    </xf>
    <xf numFmtId="0" fontId="22" fillId="0" borderId="0" xfId="0" applyFont="1" applyAlignment="1" applyProtection="1">
      <alignment horizontal="center"/>
      <protection locked="0"/>
    </xf>
    <xf numFmtId="0" fontId="22" fillId="10" borderId="0" xfId="0" applyFont="1" applyFill="1" applyAlignment="1" applyProtection="1">
      <alignment horizontal="center"/>
      <protection locked="0"/>
    </xf>
    <xf numFmtId="0" fontId="28" fillId="10" borderId="8" xfId="0" applyFont="1" applyFill="1" applyBorder="1" applyAlignment="1" applyProtection="1">
      <alignment horizontal="center"/>
      <protection locked="0"/>
    </xf>
    <xf numFmtId="0" fontId="28" fillId="10" borderId="10" xfId="0" applyFont="1" applyFill="1" applyBorder="1" applyAlignment="1" applyProtection="1">
      <alignment horizontal="center"/>
      <protection locked="0"/>
    </xf>
    <xf numFmtId="0" fontId="28" fillId="10" borderId="0" xfId="0" applyFont="1" applyFill="1" applyAlignment="1" applyProtection="1">
      <alignment horizontal="center"/>
      <protection locked="0"/>
    </xf>
    <xf numFmtId="0" fontId="25" fillId="10" borderId="0" xfId="0" applyFont="1" applyFill="1" applyAlignment="1">
      <alignment horizontal="left" vertical="center" wrapText="1" readingOrder="1"/>
    </xf>
    <xf numFmtId="14" fontId="25" fillId="11" borderId="0" xfId="0" applyNumberFormat="1" applyFont="1" applyFill="1" applyAlignment="1" applyProtection="1">
      <alignment horizontal="center" vertical="center" wrapText="1"/>
      <protection locked="0"/>
    </xf>
    <xf numFmtId="14" fontId="25" fillId="10" borderId="0" xfId="0" applyNumberFormat="1" applyFont="1" applyFill="1" applyAlignment="1" applyProtection="1">
      <alignment horizontal="center" vertical="center" wrapText="1"/>
      <protection locked="0"/>
    </xf>
    <xf numFmtId="14" fontId="26" fillId="4" borderId="11" xfId="0" applyNumberFormat="1" applyFont="1" applyFill="1" applyBorder="1" applyAlignment="1" applyProtection="1">
      <alignment horizontal="left"/>
      <protection locked="0"/>
    </xf>
    <xf numFmtId="14" fontId="26" fillId="4" borderId="0" xfId="0" applyNumberFormat="1" applyFont="1" applyFill="1" applyAlignment="1" applyProtection="1">
      <alignment horizontal="left"/>
      <protection locked="0"/>
    </xf>
    <xf numFmtId="0" fontId="0" fillId="12" borderId="0" xfId="0" applyFill="1"/>
    <xf numFmtId="0" fontId="0" fillId="12" borderId="0" xfId="0" applyFill="1" applyAlignment="1">
      <alignment wrapText="1"/>
    </xf>
    <xf numFmtId="0" fontId="0" fillId="12" borderId="0" xfId="0" applyFill="1" applyAlignment="1">
      <alignment horizontal="center"/>
    </xf>
    <xf numFmtId="0" fontId="0" fillId="12" borderId="0" xfId="0" applyFill="1" applyAlignment="1">
      <alignment horizontal="center" vertical="center"/>
    </xf>
    <xf numFmtId="0" fontId="10" fillId="12" borderId="0" xfId="0" applyFont="1" applyFill="1" applyAlignment="1">
      <alignment vertical="center"/>
    </xf>
    <xf numFmtId="0" fontId="27" fillId="13" borderId="0" xfId="0" applyFont="1" applyFill="1" applyAlignment="1">
      <alignment horizontal="center" vertical="center" wrapText="1" readingOrder="1"/>
    </xf>
    <xf numFmtId="0" fontId="27" fillId="13" borderId="19" xfId="0" applyFont="1" applyFill="1" applyBorder="1" applyAlignment="1">
      <alignment horizontal="center" vertical="center" wrapText="1" readingOrder="1"/>
    </xf>
    <xf numFmtId="0" fontId="27" fillId="13" borderId="13" xfId="0" applyFont="1" applyFill="1" applyBorder="1" applyAlignment="1">
      <alignment horizontal="center" vertical="center" wrapText="1" readingOrder="1"/>
    </xf>
    <xf numFmtId="0" fontId="27" fillId="13" borderId="20" xfId="0" applyFont="1" applyFill="1" applyBorder="1" applyAlignment="1">
      <alignment horizontal="center" vertical="center" wrapText="1" readingOrder="1"/>
    </xf>
    <xf numFmtId="0" fontId="0" fillId="4" borderId="0" xfId="0" applyFill="1" applyAlignment="1">
      <alignment horizontal="center"/>
    </xf>
    <xf numFmtId="0" fontId="0" fillId="4" borderId="0" xfId="0" applyFill="1"/>
    <xf numFmtId="0" fontId="16" fillId="4" borderId="0" xfId="0" applyFont="1" applyFill="1" applyAlignment="1" applyProtection="1">
      <alignment horizontal="left"/>
      <protection locked="0"/>
    </xf>
    <xf numFmtId="0" fontId="19" fillId="4" borderId="0" xfId="0" applyFont="1" applyFill="1" applyAlignment="1">
      <alignment horizontal="left" vertical="center"/>
    </xf>
    <xf numFmtId="14" fontId="16" fillId="4" borderId="0" xfId="0" applyNumberFormat="1" applyFont="1" applyFill="1" applyAlignment="1" applyProtection="1">
      <alignment horizontal="left"/>
      <protection locked="0"/>
    </xf>
    <xf numFmtId="164" fontId="16" fillId="4" borderId="0" xfId="0" applyNumberFormat="1" applyFont="1" applyFill="1" applyAlignment="1" applyProtection="1">
      <alignment horizontal="left"/>
      <protection locked="0"/>
    </xf>
    <xf numFmtId="0" fontId="0" fillId="4" borderId="0" xfId="0" applyFill="1" applyAlignment="1">
      <alignment wrapText="1"/>
    </xf>
    <xf numFmtId="0" fontId="0" fillId="4" borderId="0" xfId="0" applyFill="1" applyAlignment="1">
      <alignment horizontal="center" vertical="center"/>
    </xf>
    <xf numFmtId="0" fontId="30" fillId="4" borderId="0" xfId="0" applyFont="1" applyFill="1" applyAlignment="1">
      <alignment vertical="center"/>
    </xf>
    <xf numFmtId="167" fontId="22" fillId="0" borderId="0" xfId="0" applyNumberFormat="1" applyFont="1"/>
    <xf numFmtId="167" fontId="21" fillId="0" borderId="0" xfId="0" applyNumberFormat="1" applyFont="1"/>
    <xf numFmtId="0" fontId="15" fillId="4" borderId="0" xfId="0" applyFont="1" applyFill="1" applyAlignment="1">
      <alignment horizontal="right" vertical="center"/>
    </xf>
    <xf numFmtId="0" fontId="22" fillId="4" borderId="0" xfId="0" applyFont="1" applyFill="1"/>
    <xf numFmtId="0" fontId="18" fillId="4" borderId="0" xfId="0" applyFont="1" applyFill="1" applyAlignment="1">
      <alignment wrapText="1"/>
    </xf>
    <xf numFmtId="0" fontId="10" fillId="4" borderId="0" xfId="0" applyFont="1" applyFill="1" applyAlignment="1">
      <alignment vertical="center"/>
    </xf>
    <xf numFmtId="0" fontId="21" fillId="13" borderId="8" xfId="0" applyFont="1" applyFill="1" applyBorder="1" applyAlignment="1">
      <alignment horizontal="right" vertical="center"/>
    </xf>
    <xf numFmtId="0" fontId="21" fillId="13" borderId="0" xfId="0" applyFont="1" applyFill="1" applyAlignment="1">
      <alignment horizontal="right" vertical="center"/>
    </xf>
    <xf numFmtId="0" fontId="21" fillId="13" borderId="0" xfId="0" applyFont="1" applyFill="1" applyAlignment="1">
      <alignment horizontal="center"/>
    </xf>
    <xf numFmtId="0" fontId="21" fillId="13" borderId="0" xfId="0" applyFont="1" applyFill="1" applyAlignment="1">
      <alignment horizontal="left"/>
    </xf>
    <xf numFmtId="0" fontId="21" fillId="13" borderId="0" xfId="0" applyFont="1" applyFill="1"/>
    <xf numFmtId="14" fontId="0" fillId="0" borderId="0" xfId="0" applyNumberFormat="1" applyAlignment="1">
      <alignment horizontal="center"/>
    </xf>
    <xf numFmtId="0" fontId="0" fillId="0" borderId="0" xfId="0" applyAlignment="1">
      <alignment horizontal="left"/>
    </xf>
    <xf numFmtId="0" fontId="30" fillId="0" borderId="0" xfId="0" applyFont="1" applyAlignment="1">
      <alignment vertical="center"/>
    </xf>
    <xf numFmtId="0" fontId="0" fillId="0" borderId="21" xfId="0" applyBorder="1" applyAlignment="1">
      <alignment horizontal="left" vertical="center" wrapText="1"/>
    </xf>
    <xf numFmtId="0" fontId="0" fillId="0" borderId="21" xfId="0" applyBorder="1" applyAlignment="1">
      <alignment horizontal="left" vertical="center"/>
    </xf>
    <xf numFmtId="0" fontId="0" fillId="0" borderId="23" xfId="0" applyBorder="1" applyAlignment="1">
      <alignment horizontal="left" vertical="center"/>
    </xf>
    <xf numFmtId="0" fontId="0" fillId="12" borderId="0" xfId="0" applyFill="1" applyAlignment="1">
      <alignment horizontal="center" wrapText="1"/>
    </xf>
    <xf numFmtId="14" fontId="0" fillId="0" borderId="21" xfId="0" applyNumberFormat="1" applyBorder="1" applyAlignment="1">
      <alignment horizontal="center" vertical="center"/>
    </xf>
    <xf numFmtId="14" fontId="0" fillId="0" borderId="22" xfId="0" applyNumberFormat="1" applyBorder="1" applyAlignment="1">
      <alignment horizontal="center" vertical="center"/>
    </xf>
    <xf numFmtId="0" fontId="0" fillId="0" borderId="22" xfId="0" applyBorder="1" applyAlignment="1">
      <alignment horizontal="center" vertical="center"/>
    </xf>
    <xf numFmtId="0" fontId="0" fillId="0" borderId="25" xfId="0" applyBorder="1" applyAlignment="1">
      <alignment horizontal="center" vertical="center"/>
    </xf>
    <xf numFmtId="14" fontId="0" fillId="0" borderId="22" xfId="0" applyNumberFormat="1" applyBorder="1" applyAlignment="1">
      <alignment horizontal="center" vertical="center" wrapText="1"/>
    </xf>
    <xf numFmtId="14" fontId="0" fillId="0" borderId="22" xfId="0" applyNumberFormat="1" applyBorder="1" applyAlignment="1">
      <alignment vertical="center" wrapText="1"/>
    </xf>
    <xf numFmtId="0" fontId="30" fillId="12" borderId="0" xfId="0" applyFont="1" applyFill="1" applyAlignment="1">
      <alignment horizontal="left" vertical="center"/>
    </xf>
    <xf numFmtId="0" fontId="0" fillId="12" borderId="0" xfId="0" applyFill="1" applyAlignment="1">
      <alignment horizontal="center" vertical="center" wrapText="1"/>
    </xf>
    <xf numFmtId="0" fontId="30" fillId="12" borderId="0" xfId="0" applyFont="1" applyFill="1" applyAlignment="1">
      <alignment horizontal="left" vertical="center" wrapText="1"/>
    </xf>
    <xf numFmtId="0" fontId="0" fillId="0" borderId="0" xfId="0" applyAlignment="1">
      <alignment horizontal="center" vertical="center" wrapText="1"/>
    </xf>
    <xf numFmtId="0" fontId="0" fillId="0" borderId="22" xfId="0" applyBorder="1" applyAlignment="1">
      <alignment vertical="center" wrapText="1"/>
    </xf>
    <xf numFmtId="0" fontId="0" fillId="0" borderId="25" xfId="0" applyBorder="1" applyAlignment="1">
      <alignment vertical="center" wrapText="1"/>
    </xf>
    <xf numFmtId="0" fontId="0" fillId="0" borderId="24" xfId="0" applyBorder="1" applyAlignment="1">
      <alignment horizontal="left" vertical="center" wrapText="1" shrinkToFit="1"/>
    </xf>
    <xf numFmtId="0" fontId="0" fillId="0" borderId="29" xfId="0" applyBorder="1" applyAlignment="1">
      <alignment horizontal="left" vertical="center" wrapText="1" shrinkToFit="1"/>
    </xf>
    <xf numFmtId="0" fontId="32" fillId="0" borderId="0" xfId="0" applyFont="1"/>
    <xf numFmtId="0" fontId="32" fillId="0" borderId="0" xfId="0" applyFont="1" applyAlignment="1">
      <alignment horizontal="center"/>
    </xf>
    <xf numFmtId="3" fontId="32" fillId="0" borderId="31" xfId="0" applyNumberFormat="1" applyFont="1" applyBorder="1" applyAlignment="1">
      <alignment horizontal="center" vertical="center"/>
    </xf>
    <xf numFmtId="3" fontId="32" fillId="0" borderId="34" xfId="0" applyNumberFormat="1" applyFont="1" applyBorder="1" applyAlignment="1">
      <alignment horizontal="center" vertical="center"/>
    </xf>
    <xf numFmtId="9" fontId="32" fillId="0" borderId="31" xfId="0" applyNumberFormat="1" applyFont="1" applyBorder="1" applyAlignment="1">
      <alignment horizontal="center" vertical="center"/>
    </xf>
    <xf numFmtId="10" fontId="32" fillId="0" borderId="34" xfId="0" applyNumberFormat="1" applyFont="1" applyBorder="1" applyAlignment="1">
      <alignment horizontal="center" vertical="center"/>
    </xf>
    <xf numFmtId="0" fontId="33" fillId="13" borderId="35" xfId="0" applyFont="1" applyFill="1" applyBorder="1" applyAlignment="1">
      <alignment horizontal="center" vertical="center"/>
    </xf>
    <xf numFmtId="0" fontId="31" fillId="0" borderId="37" xfId="0" applyFont="1" applyBorder="1"/>
    <xf numFmtId="0" fontId="31" fillId="0" borderId="38" xfId="0" applyFont="1" applyBorder="1" applyAlignment="1">
      <alignment horizontal="center" vertical="center"/>
    </xf>
    <xf numFmtId="0" fontId="31" fillId="0" borderId="30" xfId="0" applyFont="1" applyBorder="1"/>
    <xf numFmtId="0" fontId="31" fillId="0" borderId="39" xfId="0" applyFont="1" applyBorder="1" applyAlignment="1">
      <alignment horizontal="center" vertical="center"/>
    </xf>
    <xf numFmtId="0" fontId="31" fillId="0" borderId="33" xfId="0" applyFont="1" applyBorder="1"/>
    <xf numFmtId="0" fontId="31" fillId="0" borderId="40" xfId="0" applyFont="1" applyBorder="1" applyAlignment="1">
      <alignment horizontal="center" vertical="center"/>
    </xf>
    <xf numFmtId="0" fontId="31" fillId="0" borderId="39" xfId="0" applyFont="1" applyBorder="1" applyAlignment="1">
      <alignment horizontal="center"/>
    </xf>
    <xf numFmtId="0" fontId="31" fillId="0" borderId="40" xfId="0" applyFont="1" applyBorder="1" applyAlignment="1">
      <alignment horizontal="center"/>
    </xf>
    <xf numFmtId="165" fontId="32" fillId="0" borderId="39" xfId="0" applyNumberFormat="1" applyFont="1" applyBorder="1"/>
    <xf numFmtId="9" fontId="32" fillId="0" borderId="39" xfId="0" applyNumberFormat="1" applyFont="1" applyBorder="1" applyAlignment="1">
      <alignment horizontal="center" vertical="center"/>
    </xf>
    <xf numFmtId="9" fontId="32" fillId="0" borderId="40" xfId="0" applyNumberFormat="1" applyFont="1" applyBorder="1" applyAlignment="1">
      <alignment horizontal="center" vertical="center"/>
    </xf>
    <xf numFmtId="0" fontId="33" fillId="13" borderId="14" xfId="0" applyFont="1" applyFill="1" applyBorder="1" applyAlignment="1">
      <alignment horizontal="center" vertical="center"/>
    </xf>
    <xf numFmtId="165" fontId="32" fillId="13" borderId="39" xfId="0" applyNumberFormat="1" applyFont="1" applyFill="1" applyBorder="1"/>
    <xf numFmtId="9" fontId="32" fillId="13" borderId="39" xfId="0" applyNumberFormat="1" applyFont="1" applyFill="1" applyBorder="1" applyAlignment="1">
      <alignment horizontal="center" vertical="center"/>
    </xf>
    <xf numFmtId="9" fontId="32" fillId="13" borderId="40" xfId="0" applyNumberFormat="1" applyFont="1" applyFill="1" applyBorder="1" applyAlignment="1">
      <alignment horizontal="center" vertical="center"/>
    </xf>
    <xf numFmtId="0" fontId="34" fillId="13" borderId="10" xfId="0" applyFont="1" applyFill="1" applyBorder="1" applyAlignment="1">
      <alignment horizontal="center" vertical="center"/>
    </xf>
    <xf numFmtId="0" fontId="33" fillId="13" borderId="8" xfId="0" applyFont="1" applyFill="1" applyBorder="1" applyAlignment="1">
      <alignment vertical="center"/>
    </xf>
    <xf numFmtId="1" fontId="32" fillId="0" borderId="31" xfId="0" applyNumberFormat="1" applyFont="1" applyBorder="1" applyAlignment="1">
      <alignment horizontal="center" vertical="center"/>
    </xf>
    <xf numFmtId="3" fontId="32" fillId="0" borderId="32" xfId="0" applyNumberFormat="1" applyFont="1" applyBorder="1" applyAlignment="1">
      <alignment horizontal="center" vertical="center"/>
    </xf>
    <xf numFmtId="0" fontId="33" fillId="13" borderId="0" xfId="0" applyFont="1" applyFill="1" applyAlignment="1">
      <alignment vertical="center"/>
    </xf>
    <xf numFmtId="14" fontId="0" fillId="0" borderId="23" xfId="0" applyNumberFormat="1" applyBorder="1" applyAlignment="1">
      <alignment horizontal="center" vertical="center"/>
    </xf>
    <xf numFmtId="14" fontId="0" fillId="0" borderId="25" xfId="0" applyNumberFormat="1" applyBorder="1" applyAlignment="1">
      <alignment horizontal="center" vertical="center"/>
    </xf>
    <xf numFmtId="0" fontId="0" fillId="0" borderId="41" xfId="0" applyBorder="1" applyAlignment="1">
      <alignment horizontal="center" vertical="center"/>
    </xf>
    <xf numFmtId="166" fontId="15" fillId="13" borderId="0" xfId="0" applyNumberFormat="1" applyFont="1" applyFill="1" applyAlignment="1">
      <alignment horizontal="center" vertical="center" wrapText="1"/>
    </xf>
    <xf numFmtId="0" fontId="35" fillId="0" borderId="0" xfId="0" applyFont="1" applyAlignment="1">
      <alignment horizontal="left" vertical="center"/>
    </xf>
    <xf numFmtId="0" fontId="18" fillId="14" borderId="0" xfId="0" applyFont="1" applyFill="1" applyAlignment="1">
      <alignment horizontal="center" vertical="center"/>
    </xf>
    <xf numFmtId="0" fontId="18" fillId="14" borderId="0" xfId="0" applyFont="1" applyFill="1" applyAlignment="1">
      <alignment horizontal="center" vertical="center" wrapText="1"/>
    </xf>
    <xf numFmtId="10" fontId="22" fillId="0" borderId="0" xfId="0" applyNumberFormat="1" applyFont="1" applyAlignment="1">
      <alignment horizontal="center"/>
    </xf>
    <xf numFmtId="10" fontId="22" fillId="10" borderId="0" xfId="0" applyNumberFormat="1" applyFont="1" applyFill="1" applyAlignment="1">
      <alignment horizontal="center"/>
    </xf>
    <xf numFmtId="10" fontId="22" fillId="10" borderId="0" xfId="0" applyNumberFormat="1" applyFont="1" applyFill="1" applyAlignment="1" applyProtection="1">
      <alignment horizontal="center"/>
      <protection locked="0"/>
    </xf>
    <xf numFmtId="14" fontId="22" fillId="10" borderId="0" xfId="0" applyNumberFormat="1" applyFont="1" applyFill="1" applyAlignment="1" applyProtection="1">
      <alignment horizontal="center" vertical="center"/>
      <protection locked="0"/>
    </xf>
    <xf numFmtId="0" fontId="0" fillId="0" borderId="0" xfId="0" applyAlignment="1">
      <alignment vertical="center"/>
    </xf>
    <xf numFmtId="14" fontId="0" fillId="0" borderId="0" xfId="0" applyNumberFormat="1" applyAlignment="1">
      <alignment horizontal="center" vertical="center"/>
    </xf>
    <xf numFmtId="0" fontId="0" fillId="0" borderId="0" xfId="0" applyAlignment="1">
      <alignment horizontal="left" vertical="center" wrapText="1"/>
    </xf>
    <xf numFmtId="165" fontId="32" fillId="0" borderId="30" xfId="0" applyNumberFormat="1" applyFont="1" applyBorder="1"/>
    <xf numFmtId="9" fontId="32" fillId="0" borderId="30" xfId="0" applyNumberFormat="1" applyFont="1" applyBorder="1" applyAlignment="1">
      <alignment horizontal="center" vertical="center"/>
    </xf>
    <xf numFmtId="0" fontId="32" fillId="0" borderId="36" xfId="0" applyFont="1" applyBorder="1" applyAlignment="1">
      <alignment horizontal="center"/>
    </xf>
    <xf numFmtId="1" fontId="32" fillId="0" borderId="30" xfId="0" applyNumberFormat="1" applyFont="1" applyBorder="1" applyAlignment="1">
      <alignment horizontal="center" vertical="center"/>
    </xf>
    <xf numFmtId="0" fontId="0" fillId="0" borderId="44" xfId="0" applyBorder="1" applyAlignment="1">
      <alignment vertical="center" wrapText="1"/>
    </xf>
    <xf numFmtId="14" fontId="0" fillId="0" borderId="45" xfId="0" applyNumberFormat="1" applyBorder="1" applyAlignment="1">
      <alignment horizontal="center" vertical="center"/>
    </xf>
    <xf numFmtId="0" fontId="0" fillId="0" borderId="44" xfId="0" applyBorder="1" applyAlignment="1">
      <alignment horizontal="center" vertical="center"/>
    </xf>
    <xf numFmtId="0" fontId="31" fillId="0" borderId="46" xfId="0" applyFont="1" applyBorder="1"/>
    <xf numFmtId="1" fontId="32" fillId="0" borderId="37" xfId="0" applyNumberFormat="1" applyFont="1" applyBorder="1" applyAlignment="1">
      <alignment horizontal="center" vertical="center"/>
    </xf>
    <xf numFmtId="1" fontId="32" fillId="0" borderId="42" xfId="0" applyNumberFormat="1" applyFont="1" applyBorder="1" applyAlignment="1">
      <alignment horizontal="center" vertical="center"/>
    </xf>
    <xf numFmtId="0" fontId="31" fillId="0" borderId="43" xfId="0" applyFont="1" applyBorder="1" applyAlignment="1">
      <alignment horizontal="center" vertical="center"/>
    </xf>
    <xf numFmtId="0" fontId="32" fillId="0" borderId="46" xfId="0" applyFont="1" applyBorder="1" applyAlignment="1">
      <alignment horizontal="center"/>
    </xf>
    <xf numFmtId="0" fontId="33" fillId="13" borderId="0" xfId="0" applyFont="1" applyFill="1"/>
    <xf numFmtId="0" fontId="31" fillId="0" borderId="38" xfId="0" applyFont="1" applyBorder="1" applyAlignment="1">
      <alignment horizontal="center"/>
    </xf>
    <xf numFmtId="9" fontId="34" fillId="13" borderId="0" xfId="0" applyNumberFormat="1" applyFont="1" applyFill="1" applyAlignment="1">
      <alignment horizontal="center" vertical="center"/>
    </xf>
    <xf numFmtId="1" fontId="34" fillId="13" borderId="32" xfId="0" applyNumberFormat="1" applyFont="1" applyFill="1" applyBorder="1" applyAlignment="1">
      <alignment horizontal="center" vertical="center"/>
    </xf>
    <xf numFmtId="1" fontId="34" fillId="13" borderId="0" xfId="0" applyNumberFormat="1" applyFont="1" applyFill="1" applyAlignment="1">
      <alignment horizontal="center" vertical="center"/>
    </xf>
    <xf numFmtId="0" fontId="34" fillId="13" borderId="47" xfId="0" applyFont="1" applyFill="1" applyBorder="1" applyAlignment="1">
      <alignment horizontal="center"/>
    </xf>
    <xf numFmtId="0" fontId="34" fillId="13" borderId="46" xfId="0" applyFont="1" applyFill="1" applyBorder="1" applyAlignment="1">
      <alignment horizontal="center"/>
    </xf>
    <xf numFmtId="168" fontId="34" fillId="13" borderId="0" xfId="0" applyNumberFormat="1" applyFont="1" applyFill="1" applyAlignment="1">
      <alignment horizontal="center" vertical="center"/>
    </xf>
    <xf numFmtId="9" fontId="34" fillId="13" borderId="31" xfId="0" applyNumberFormat="1" applyFont="1" applyFill="1" applyBorder="1" applyAlignment="1">
      <alignment horizontal="center" vertical="center"/>
    </xf>
    <xf numFmtId="1" fontId="34" fillId="13" borderId="31" xfId="0" applyNumberFormat="1" applyFont="1" applyFill="1" applyBorder="1" applyAlignment="1">
      <alignment horizontal="center" vertical="center"/>
    </xf>
    <xf numFmtId="167" fontId="33" fillId="13" borderId="10" xfId="0" applyNumberFormat="1" applyFont="1" applyFill="1" applyBorder="1" applyAlignment="1">
      <alignment horizontal="center" vertical="center"/>
    </xf>
    <xf numFmtId="0" fontId="14" fillId="0" borderId="0" xfId="0" applyFont="1" applyAlignment="1">
      <alignment horizontal="center"/>
    </xf>
    <xf numFmtId="9" fontId="34" fillId="13" borderId="61" xfId="0" applyNumberFormat="1" applyFont="1" applyFill="1" applyBorder="1" applyAlignment="1">
      <alignment horizontal="center" vertical="center"/>
    </xf>
    <xf numFmtId="0" fontId="31" fillId="0" borderId="30" xfId="0" applyFont="1" applyBorder="1" applyAlignment="1">
      <alignment horizontal="left"/>
    </xf>
    <xf numFmtId="0" fontId="31" fillId="0" borderId="63" xfId="0" applyFont="1" applyBorder="1" applyAlignment="1">
      <alignment horizontal="left"/>
    </xf>
    <xf numFmtId="0" fontId="31" fillId="0" borderId="63" xfId="0" applyFont="1" applyBorder="1" applyAlignment="1">
      <alignment horizontal="right"/>
    </xf>
    <xf numFmtId="0" fontId="33" fillId="13" borderId="64" xfId="0" applyFont="1" applyFill="1" applyBorder="1" applyAlignment="1">
      <alignment vertical="center"/>
    </xf>
    <xf numFmtId="0" fontId="33" fillId="13" borderId="66" xfId="0" applyFont="1" applyFill="1" applyBorder="1" applyAlignment="1">
      <alignment horizontal="center" vertical="center"/>
    </xf>
    <xf numFmtId="0" fontId="33" fillId="13" borderId="46" xfId="0" applyFont="1" applyFill="1" applyBorder="1" applyAlignment="1">
      <alignment vertical="center"/>
    </xf>
    <xf numFmtId="0" fontId="33" fillId="13" borderId="67" xfId="0" applyFont="1" applyFill="1" applyBorder="1" applyAlignment="1">
      <alignment horizontal="center" vertical="center"/>
    </xf>
    <xf numFmtId="9" fontId="34" fillId="13" borderId="65" xfId="0" applyNumberFormat="1" applyFont="1" applyFill="1" applyBorder="1" applyAlignment="1">
      <alignment horizontal="center" vertical="center"/>
    </xf>
    <xf numFmtId="0" fontId="31" fillId="0" borderId="0" xfId="0" applyFont="1" applyAlignment="1">
      <alignment horizontal="center"/>
    </xf>
    <xf numFmtId="0" fontId="33" fillId="13" borderId="68" xfId="0" applyFont="1" applyFill="1" applyBorder="1"/>
    <xf numFmtId="0" fontId="33" fillId="13" borderId="10" xfId="0" applyFont="1" applyFill="1" applyBorder="1" applyAlignment="1">
      <alignment horizontal="center" vertical="center"/>
    </xf>
    <xf numFmtId="0" fontId="32" fillId="13" borderId="0" xfId="0" applyFont="1" applyFill="1"/>
    <xf numFmtId="0" fontId="33" fillId="13" borderId="19" xfId="0" applyFont="1" applyFill="1" applyBorder="1"/>
    <xf numFmtId="0" fontId="32" fillId="4" borderId="0" xfId="0" applyFont="1" applyFill="1"/>
    <xf numFmtId="0" fontId="32" fillId="4" borderId="0" xfId="0" applyFont="1" applyFill="1" applyAlignment="1">
      <alignment wrapText="1"/>
    </xf>
    <xf numFmtId="0" fontId="34" fillId="4" borderId="0" xfId="0" applyFont="1" applyFill="1" applyAlignment="1">
      <alignment wrapText="1"/>
    </xf>
    <xf numFmtId="0" fontId="32" fillId="4" borderId="0" xfId="0" applyFont="1" applyFill="1" applyAlignment="1">
      <alignment horizontal="center"/>
    </xf>
    <xf numFmtId="0" fontId="32" fillId="4" borderId="0" xfId="0" applyFont="1" applyFill="1" applyAlignment="1">
      <alignment horizontal="center" vertical="center"/>
    </xf>
    <xf numFmtId="0" fontId="37" fillId="4" borderId="0" xfId="0" applyFont="1" applyFill="1" applyAlignment="1">
      <alignment vertical="center"/>
    </xf>
    <xf numFmtId="0" fontId="38" fillId="4" borderId="0" xfId="0" applyFont="1" applyFill="1" applyAlignment="1">
      <alignment vertical="center"/>
    </xf>
    <xf numFmtId="0" fontId="33" fillId="13" borderId="49" xfId="0" applyFont="1" applyFill="1" applyBorder="1" applyAlignment="1">
      <alignment horizontal="center" vertical="center"/>
    </xf>
    <xf numFmtId="167" fontId="33" fillId="13" borderId="49" xfId="0" applyNumberFormat="1" applyFont="1" applyFill="1" applyBorder="1" applyAlignment="1">
      <alignment horizontal="center" vertical="center"/>
    </xf>
    <xf numFmtId="0" fontId="40" fillId="0" borderId="30" xfId="0" applyFont="1" applyBorder="1"/>
    <xf numFmtId="0" fontId="41" fillId="13" borderId="61" xfId="0" applyFont="1" applyFill="1" applyBorder="1"/>
    <xf numFmtId="165" fontId="42" fillId="0" borderId="31" xfId="0" applyNumberFormat="1" applyFont="1" applyBorder="1" applyAlignment="1">
      <alignment horizontal="center"/>
    </xf>
    <xf numFmtId="165" fontId="42" fillId="0" borderId="31" xfId="0" applyNumberFormat="1" applyFont="1" applyBorder="1"/>
    <xf numFmtId="165" fontId="42" fillId="0" borderId="39" xfId="0" applyNumberFormat="1" applyFont="1" applyBorder="1"/>
    <xf numFmtId="49" fontId="40" fillId="0" borderId="30" xfId="0" applyNumberFormat="1" applyFont="1" applyBorder="1"/>
    <xf numFmtId="0" fontId="41" fillId="13" borderId="0" xfId="0" applyFont="1" applyFill="1"/>
    <xf numFmtId="165" fontId="42" fillId="0" borderId="34" xfId="0" applyNumberFormat="1" applyFont="1" applyBorder="1" applyAlignment="1">
      <alignment horizontal="center"/>
    </xf>
    <xf numFmtId="165" fontId="34" fillId="13" borderId="49" xfId="0" applyNumberFormat="1" applyFont="1" applyFill="1" applyBorder="1" applyAlignment="1">
      <alignment horizontal="center"/>
    </xf>
    <xf numFmtId="165" fontId="34" fillId="13" borderId="0" xfId="0" applyNumberFormat="1" applyFont="1" applyFill="1" applyAlignment="1">
      <alignment horizontal="center"/>
    </xf>
    <xf numFmtId="0" fontId="40" fillId="0" borderId="37" xfId="0" applyFont="1" applyBorder="1"/>
    <xf numFmtId="49" fontId="40" fillId="0" borderId="33" xfId="0" applyNumberFormat="1" applyFont="1" applyBorder="1"/>
    <xf numFmtId="0" fontId="40" fillId="0" borderId="0" xfId="0" applyFont="1"/>
    <xf numFmtId="0" fontId="41" fillId="0" borderId="0" xfId="0" applyFont="1"/>
    <xf numFmtId="165" fontId="42" fillId="0" borderId="0" xfId="0" applyNumberFormat="1" applyFont="1" applyAlignment="1">
      <alignment horizontal="center"/>
    </xf>
    <xf numFmtId="165" fontId="42" fillId="0" borderId="0" xfId="0" applyNumberFormat="1" applyFont="1"/>
    <xf numFmtId="0" fontId="43" fillId="0" borderId="0" xfId="0" applyFont="1"/>
    <xf numFmtId="0" fontId="42" fillId="0" borderId="62" xfId="0" applyFont="1" applyBorder="1" applyAlignment="1">
      <alignment horizontal="center"/>
    </xf>
    <xf numFmtId="0" fontId="32" fillId="3" borderId="0" xfId="0" applyFont="1" applyFill="1"/>
    <xf numFmtId="0" fontId="42" fillId="0" borderId="39" xfId="0" applyFont="1" applyBorder="1" applyAlignment="1">
      <alignment horizontal="center"/>
    </xf>
    <xf numFmtId="0" fontId="44" fillId="0" borderId="0" xfId="0" applyFont="1"/>
    <xf numFmtId="0" fontId="45" fillId="0" borderId="0" xfId="0" applyFont="1"/>
    <xf numFmtId="0" fontId="33" fillId="13" borderId="0" xfId="0" applyFont="1" applyFill="1" applyAlignment="1">
      <alignment horizontal="center" vertical="center"/>
    </xf>
    <xf numFmtId="167" fontId="33" fillId="13" borderId="0" xfId="0" applyNumberFormat="1" applyFont="1" applyFill="1" applyAlignment="1">
      <alignment horizontal="center" vertical="center"/>
    </xf>
    <xf numFmtId="0" fontId="31" fillId="0" borderId="30" xfId="0" applyFont="1" applyBorder="1" applyAlignment="1">
      <alignment horizontal="right"/>
    </xf>
    <xf numFmtId="168" fontId="34" fillId="13" borderId="30" xfId="0" applyNumberFormat="1" applyFont="1" applyFill="1" applyBorder="1" applyAlignment="1">
      <alignment horizontal="center" vertical="center"/>
    </xf>
    <xf numFmtId="3" fontId="32" fillId="0" borderId="42" xfId="0" applyNumberFormat="1" applyFont="1" applyBorder="1" applyAlignment="1">
      <alignment horizontal="center" vertical="center"/>
    </xf>
    <xf numFmtId="3" fontId="34" fillId="13" borderId="49" xfId="0" applyNumberFormat="1" applyFont="1" applyFill="1" applyBorder="1" applyAlignment="1">
      <alignment horizontal="center" vertical="center"/>
    </xf>
    <xf numFmtId="0" fontId="32" fillId="0" borderId="49" xfId="0" applyFont="1" applyBorder="1"/>
    <xf numFmtId="0" fontId="33" fillId="13" borderId="10" xfId="0" applyFont="1" applyFill="1" applyBorder="1" applyAlignment="1">
      <alignment horizontal="center"/>
    </xf>
    <xf numFmtId="165" fontId="34" fillId="13" borderId="69" xfId="0" applyNumberFormat="1" applyFont="1" applyFill="1" applyBorder="1" applyAlignment="1">
      <alignment horizontal="center"/>
    </xf>
    <xf numFmtId="3" fontId="34" fillId="13" borderId="69" xfId="0" applyNumberFormat="1" applyFont="1" applyFill="1" applyBorder="1" applyAlignment="1">
      <alignment horizontal="center" vertical="center"/>
    </xf>
    <xf numFmtId="0" fontId="34" fillId="13" borderId="10" xfId="0" applyFont="1" applyFill="1" applyBorder="1"/>
    <xf numFmtId="0" fontId="33" fillId="13" borderId="10" xfId="0" applyFont="1" applyFill="1" applyBorder="1"/>
    <xf numFmtId="0" fontId="33" fillId="13" borderId="68" xfId="0" applyFont="1" applyFill="1" applyBorder="1" applyAlignment="1">
      <alignment horizontal="right"/>
    </xf>
    <xf numFmtId="0" fontId="33" fillId="13" borderId="10" xfId="0" applyFont="1" applyFill="1" applyBorder="1" applyAlignment="1">
      <alignment vertical="center"/>
    </xf>
    <xf numFmtId="167" fontId="33" fillId="13" borderId="71" xfId="0" applyNumberFormat="1" applyFont="1" applyFill="1" applyBorder="1" applyAlignment="1">
      <alignment horizontal="center" vertical="center"/>
    </xf>
    <xf numFmtId="167" fontId="33" fillId="13" borderId="72" xfId="0" applyNumberFormat="1" applyFont="1" applyFill="1" applyBorder="1" applyAlignment="1">
      <alignment horizontal="center" vertical="center"/>
    </xf>
    <xf numFmtId="0" fontId="33" fillId="13" borderId="73" xfId="0" applyFont="1" applyFill="1" applyBorder="1" applyAlignment="1">
      <alignment horizontal="right"/>
    </xf>
    <xf numFmtId="0" fontId="31" fillId="0" borderId="63" xfId="0" applyFont="1" applyBorder="1"/>
    <xf numFmtId="4" fontId="34" fillId="13" borderId="69" xfId="0" applyNumberFormat="1" applyFont="1" applyFill="1" applyBorder="1" applyAlignment="1">
      <alignment horizontal="center" vertical="center"/>
    </xf>
    <xf numFmtId="4" fontId="34" fillId="13" borderId="49" xfId="0" applyNumberFormat="1" applyFont="1" applyFill="1" applyBorder="1" applyAlignment="1">
      <alignment horizontal="center" vertical="center"/>
    </xf>
    <xf numFmtId="4" fontId="42" fillId="0" borderId="62" xfId="0" applyNumberFormat="1" applyFont="1" applyBorder="1" applyAlignment="1">
      <alignment horizontal="center"/>
    </xf>
    <xf numFmtId="4" fontId="42" fillId="0" borderId="62" xfId="0" applyNumberFormat="1" applyFont="1" applyBorder="1"/>
    <xf numFmtId="4" fontId="42" fillId="0" borderId="0" xfId="0" applyNumberFormat="1" applyFont="1" applyAlignment="1">
      <alignment horizontal="center"/>
    </xf>
    <xf numFmtId="4" fontId="42" fillId="0" borderId="31" xfId="0" applyNumberFormat="1" applyFont="1" applyBorder="1" applyAlignment="1">
      <alignment horizontal="center"/>
    </xf>
    <xf numFmtId="4" fontId="42" fillId="0" borderId="0" xfId="0" applyNumberFormat="1" applyFont="1"/>
    <xf numFmtId="4" fontId="42" fillId="0" borderId="31" xfId="0" applyNumberFormat="1" applyFont="1" applyBorder="1"/>
    <xf numFmtId="4" fontId="34" fillId="13" borderId="0" xfId="0" applyNumberFormat="1" applyFont="1" applyFill="1" applyAlignment="1">
      <alignment horizontal="center" vertical="center"/>
    </xf>
    <xf numFmtId="4" fontId="34" fillId="13" borderId="31" xfId="0" applyNumberFormat="1" applyFont="1" applyFill="1" applyBorder="1" applyAlignment="1">
      <alignment horizontal="center" vertical="center"/>
    </xf>
    <xf numFmtId="14" fontId="0" fillId="0" borderId="28" xfId="0" applyNumberFormat="1" applyBorder="1" applyAlignment="1">
      <alignment horizontal="center" vertical="center"/>
    </xf>
    <xf numFmtId="0" fontId="0" fillId="0" borderId="23" xfId="0" applyBorder="1" applyAlignment="1">
      <alignment horizontal="center" vertical="center"/>
    </xf>
    <xf numFmtId="0" fontId="0" fillId="0" borderId="74" xfId="0" applyBorder="1" applyAlignment="1">
      <alignment horizontal="center" vertical="center"/>
    </xf>
    <xf numFmtId="0" fontId="14" fillId="4" borderId="0" xfId="0" applyFont="1" applyFill="1"/>
    <xf numFmtId="0" fontId="14" fillId="16" borderId="0" xfId="0" applyFont="1" applyFill="1" applyAlignment="1">
      <alignment wrapText="1"/>
    </xf>
    <xf numFmtId="0" fontId="16" fillId="4" borderId="0" xfId="0" applyFont="1" applyFill="1" applyAlignment="1">
      <alignment horizontal="center" wrapText="1"/>
    </xf>
    <xf numFmtId="0" fontId="14" fillId="4" borderId="0" xfId="0" applyFont="1" applyFill="1" applyAlignment="1">
      <alignment horizontal="center"/>
    </xf>
    <xf numFmtId="0" fontId="14" fillId="4" borderId="0" xfId="0" applyFont="1" applyFill="1" applyAlignment="1">
      <alignment horizontal="center" vertical="center"/>
    </xf>
    <xf numFmtId="0" fontId="19" fillId="4" borderId="0" xfId="0" applyFont="1" applyFill="1" applyAlignment="1">
      <alignment vertical="center"/>
    </xf>
    <xf numFmtId="0" fontId="51" fillId="4" borderId="0" xfId="0" applyFont="1" applyFill="1" applyAlignment="1">
      <alignment horizontal="center" vertical="center"/>
    </xf>
    <xf numFmtId="0" fontId="51" fillId="4" borderId="0" xfId="0" applyFont="1" applyFill="1" applyAlignment="1">
      <alignment vertical="center"/>
    </xf>
    <xf numFmtId="0" fontId="15" fillId="13" borderId="0" xfId="0" applyFont="1" applyFill="1"/>
    <xf numFmtId="14" fontId="52" fillId="10" borderId="0" xfId="0" applyNumberFormat="1" applyFont="1" applyFill="1" applyAlignment="1">
      <alignment horizontal="left"/>
    </xf>
    <xf numFmtId="170" fontId="16" fillId="0" borderId="0" xfId="0" applyNumberFormat="1" applyFont="1" applyAlignment="1">
      <alignment horizontal="center"/>
    </xf>
    <xf numFmtId="14" fontId="14" fillId="0" borderId="0" xfId="0" applyNumberFormat="1" applyFont="1"/>
    <xf numFmtId="0" fontId="53" fillId="0" borderId="0" xfId="0" applyFont="1" applyAlignment="1">
      <alignment vertical="center"/>
    </xf>
    <xf numFmtId="0" fontId="14" fillId="15" borderId="0" xfId="0" applyFont="1" applyFill="1" applyAlignment="1">
      <alignment horizontal="center"/>
    </xf>
    <xf numFmtId="0" fontId="54" fillId="16" borderId="13" xfId="0" applyFont="1" applyFill="1" applyBorder="1" applyAlignment="1">
      <alignment horizontal="center"/>
    </xf>
    <xf numFmtId="0" fontId="54" fillId="16" borderId="49" xfId="0" applyFont="1" applyFill="1" applyBorder="1" applyAlignment="1">
      <alignment horizontal="center"/>
    </xf>
    <xf numFmtId="0" fontId="55" fillId="0" borderId="51" xfId="0" applyFont="1" applyBorder="1"/>
    <xf numFmtId="9" fontId="14" fillId="0" borderId="52" xfId="0" applyNumberFormat="1" applyFont="1" applyBorder="1" applyAlignment="1">
      <alignment horizontal="center"/>
    </xf>
    <xf numFmtId="3" fontId="14" fillId="0" borderId="53" xfId="0" applyNumberFormat="1" applyFont="1" applyBorder="1" applyAlignment="1">
      <alignment horizontal="center"/>
    </xf>
    <xf numFmtId="3" fontId="14" fillId="10" borderId="53" xfId="0" applyNumberFormat="1" applyFont="1" applyFill="1" applyBorder="1" applyAlignment="1">
      <alignment horizontal="center"/>
    </xf>
    <xf numFmtId="0" fontId="14" fillId="0" borderId="53" xfId="0" applyFont="1" applyBorder="1" applyAlignment="1">
      <alignment horizontal="center"/>
    </xf>
    <xf numFmtId="10" fontId="14" fillId="0" borderId="53" xfId="0" applyNumberFormat="1" applyFont="1" applyBorder="1" applyAlignment="1">
      <alignment horizontal="center"/>
    </xf>
    <xf numFmtId="0" fontId="14" fillId="0" borderId="53" xfId="0" applyFont="1" applyBorder="1"/>
    <xf numFmtId="9" fontId="14" fillId="0" borderId="53" xfId="0" applyNumberFormat="1" applyFont="1" applyBorder="1" applyAlignment="1">
      <alignment horizontal="center"/>
    </xf>
    <xf numFmtId="0" fontId="55" fillId="0" borderId="55" xfId="0" applyFont="1" applyBorder="1"/>
    <xf numFmtId="9" fontId="14" fillId="0" borderId="56" xfId="0" applyNumberFormat="1" applyFont="1" applyBorder="1" applyAlignment="1">
      <alignment horizontal="center"/>
    </xf>
    <xf numFmtId="3" fontId="14" fillId="0" borderId="57" xfId="0" applyNumberFormat="1" applyFont="1" applyBorder="1" applyAlignment="1">
      <alignment horizontal="center"/>
    </xf>
    <xf numFmtId="3" fontId="14" fillId="10" borderId="57" xfId="0" applyNumberFormat="1" applyFont="1" applyFill="1" applyBorder="1" applyAlignment="1">
      <alignment horizontal="center"/>
    </xf>
    <xf numFmtId="0" fontId="14" fillId="0" borderId="57" xfId="0" applyFont="1" applyBorder="1" applyAlignment="1">
      <alignment horizontal="center"/>
    </xf>
    <xf numFmtId="9" fontId="14" fillId="0" borderId="57" xfId="0" applyNumberFormat="1" applyFont="1" applyBorder="1" applyAlignment="1">
      <alignment horizontal="center"/>
    </xf>
    <xf numFmtId="0" fontId="14" fillId="0" borderId="57" xfId="0" applyFont="1" applyBorder="1"/>
    <xf numFmtId="4" fontId="14" fillId="0" borderId="57" xfId="0" applyNumberFormat="1" applyFont="1" applyBorder="1" applyAlignment="1">
      <alignment horizontal="center"/>
    </xf>
    <xf numFmtId="3" fontId="14" fillId="2" borderId="57" xfId="0" applyNumberFormat="1" applyFont="1" applyFill="1" applyBorder="1" applyAlignment="1">
      <alignment horizontal="center"/>
    </xf>
    <xf numFmtId="0" fontId="14" fillId="2" borderId="57" xfId="0" applyFont="1" applyFill="1" applyBorder="1" applyAlignment="1">
      <alignment horizontal="center"/>
    </xf>
    <xf numFmtId="0" fontId="56" fillId="4" borderId="50" xfId="0" applyFont="1" applyFill="1" applyBorder="1" applyAlignment="1">
      <alignment horizontal="right"/>
    </xf>
    <xf numFmtId="10" fontId="14" fillId="10" borderId="51" xfId="0" applyNumberFormat="1" applyFont="1" applyFill="1" applyBorder="1" applyAlignment="1">
      <alignment horizontal="right"/>
    </xf>
    <xf numFmtId="0" fontId="14" fillId="0" borderId="20" xfId="0" applyFont="1" applyBorder="1" applyAlignment="1">
      <alignment horizontal="center"/>
    </xf>
    <xf numFmtId="0" fontId="56" fillId="4" borderId="54" xfId="0" applyFont="1" applyFill="1" applyBorder="1" applyAlignment="1">
      <alignment horizontal="right"/>
    </xf>
    <xf numFmtId="169" fontId="14" fillId="10" borderId="55" xfId="0" applyNumberFormat="1" applyFont="1" applyFill="1" applyBorder="1" applyAlignment="1">
      <alignment horizontal="center"/>
    </xf>
    <xf numFmtId="0" fontId="14" fillId="0" borderId="35" xfId="0" applyFont="1" applyBorder="1" applyAlignment="1">
      <alignment horizontal="center"/>
    </xf>
    <xf numFmtId="0" fontId="14" fillId="0" borderId="14" xfId="0" applyFont="1" applyBorder="1" applyAlignment="1">
      <alignment horizontal="center"/>
    </xf>
    <xf numFmtId="2" fontId="14" fillId="10" borderId="51" xfId="0" applyNumberFormat="1" applyFont="1" applyFill="1" applyBorder="1" applyAlignment="1">
      <alignment horizontal="center"/>
    </xf>
    <xf numFmtId="0" fontId="14" fillId="0" borderId="11" xfId="0" applyFont="1" applyBorder="1"/>
    <xf numFmtId="0" fontId="14" fillId="0" borderId="11" xfId="0" applyFont="1" applyBorder="1" applyAlignment="1">
      <alignment horizontal="center"/>
    </xf>
    <xf numFmtId="166" fontId="14" fillId="0" borderId="11" xfId="0" applyNumberFormat="1" applyFont="1" applyBorder="1" applyAlignment="1">
      <alignment horizontal="center"/>
    </xf>
    <xf numFmtId="0" fontId="14" fillId="0" borderId="18" xfId="0" applyFont="1" applyBorder="1"/>
    <xf numFmtId="0" fontId="14" fillId="0" borderId="18" xfId="0" applyFont="1" applyBorder="1" applyAlignment="1">
      <alignment horizontal="center"/>
    </xf>
    <xf numFmtId="0" fontId="14" fillId="0" borderId="48" xfId="0" applyFont="1" applyBorder="1"/>
    <xf numFmtId="0" fontId="55" fillId="0" borderId="58" xfId="0" applyFont="1" applyBorder="1"/>
    <xf numFmtId="0" fontId="55" fillId="0" borderId="59" xfId="0" applyFont="1" applyBorder="1"/>
    <xf numFmtId="0" fontId="55" fillId="0" borderId="60" xfId="0" applyFont="1" applyBorder="1"/>
    <xf numFmtId="9" fontId="14" fillId="0" borderId="0" xfId="0" applyNumberFormat="1" applyFont="1" applyAlignment="1">
      <alignment horizontal="center"/>
    </xf>
    <xf numFmtId="165" fontId="14" fillId="0" borderId="57" xfId="0" applyNumberFormat="1" applyFont="1" applyBorder="1" applyAlignment="1">
      <alignment horizontal="center"/>
    </xf>
    <xf numFmtId="1" fontId="14" fillId="0" borderId="57" xfId="0" applyNumberFormat="1" applyFont="1" applyBorder="1" applyAlignment="1">
      <alignment horizontal="center"/>
    </xf>
    <xf numFmtId="0" fontId="16" fillId="2" borderId="0" xfId="0" applyFont="1" applyFill="1" applyAlignment="1">
      <alignment horizontal="right"/>
    </xf>
    <xf numFmtId="0" fontId="15" fillId="2" borderId="57" xfId="0" applyFont="1" applyFill="1" applyBorder="1" applyAlignment="1">
      <alignment horizontal="center"/>
    </xf>
    <xf numFmtId="0" fontId="16" fillId="2" borderId="57" xfId="0" applyFont="1" applyFill="1" applyBorder="1" applyAlignment="1">
      <alignment horizontal="right"/>
    </xf>
    <xf numFmtId="0" fontId="14" fillId="12" borderId="0" xfId="0" applyFont="1" applyFill="1" applyAlignment="1">
      <alignment horizontal="center"/>
    </xf>
    <xf numFmtId="0" fontId="14" fillId="12" borderId="0" xfId="0" applyFont="1" applyFill="1"/>
    <xf numFmtId="0" fontId="14" fillId="12" borderId="0" xfId="0" applyFont="1" applyFill="1" applyAlignment="1">
      <alignment horizontal="center" wrapText="1"/>
    </xf>
    <xf numFmtId="0" fontId="14" fillId="12" borderId="0" xfId="0" applyFont="1" applyFill="1" applyAlignment="1">
      <alignment horizontal="center" vertical="center"/>
    </xf>
    <xf numFmtId="0" fontId="14" fillId="12" borderId="0" xfId="0" applyFont="1" applyFill="1" applyAlignment="1">
      <alignment horizontal="center" vertical="center" wrapText="1"/>
    </xf>
    <xf numFmtId="0" fontId="51" fillId="12" borderId="0" xfId="0" applyFont="1" applyFill="1" applyAlignment="1">
      <alignment horizontal="left" vertical="center"/>
    </xf>
    <xf numFmtId="0" fontId="51" fillId="12" borderId="0" xfId="0" applyFont="1" applyFill="1" applyAlignment="1">
      <alignment horizontal="left" vertical="center" wrapText="1"/>
    </xf>
    <xf numFmtId="0" fontId="19" fillId="12" borderId="0" xfId="0" applyFont="1" applyFill="1" applyAlignment="1">
      <alignment vertical="center"/>
    </xf>
    <xf numFmtId="0" fontId="14" fillId="0" borderId="0" xfId="0" applyFont="1" applyAlignment="1">
      <alignment horizontal="center" vertical="center"/>
    </xf>
    <xf numFmtId="0" fontId="14" fillId="0" borderId="0" xfId="0" applyFont="1" applyAlignment="1">
      <alignment horizontal="center" vertical="center" wrapText="1"/>
    </xf>
    <xf numFmtId="0" fontId="59" fillId="20" borderId="81" xfId="0" applyFont="1" applyFill="1" applyBorder="1"/>
    <xf numFmtId="0" fontId="59" fillId="20" borderId="82" xfId="0" applyFont="1" applyFill="1" applyBorder="1" applyAlignment="1">
      <alignment horizontal="center"/>
    </xf>
    <xf numFmtId="0" fontId="59" fillId="20" borderId="83" xfId="0" applyFont="1" applyFill="1" applyBorder="1" applyAlignment="1">
      <alignment horizontal="center"/>
    </xf>
    <xf numFmtId="9" fontId="59" fillId="20" borderId="80" xfId="0" applyNumberFormat="1" applyFont="1" applyFill="1" applyBorder="1" applyAlignment="1">
      <alignment horizontal="center"/>
    </xf>
    <xf numFmtId="0" fontId="60" fillId="0" borderId="0" xfId="0" applyFont="1"/>
    <xf numFmtId="0" fontId="60" fillId="0" borderId="0" xfId="0" applyFont="1" applyAlignment="1">
      <alignment horizontal="center"/>
    </xf>
    <xf numFmtId="4" fontId="60" fillId="0" borderId="0" xfId="0" applyNumberFormat="1" applyFont="1" applyAlignment="1">
      <alignment horizontal="center"/>
    </xf>
    <xf numFmtId="0" fontId="19" fillId="0" borderId="0" xfId="0" applyFont="1" applyAlignment="1">
      <alignment vertical="center"/>
    </xf>
    <xf numFmtId="0" fontId="58" fillId="0" borderId="0" xfId="0" applyFont="1" applyAlignment="1">
      <alignment horizontal="center"/>
    </xf>
    <xf numFmtId="4" fontId="59" fillId="0" borderId="0" xfId="0" applyNumberFormat="1" applyFont="1" applyAlignment="1">
      <alignment horizontal="center"/>
    </xf>
    <xf numFmtId="0" fontId="14" fillId="0" borderId="0" xfId="0" applyFont="1" applyAlignment="1">
      <alignment vertical="center"/>
    </xf>
    <xf numFmtId="17" fontId="58" fillId="0" borderId="0" xfId="0" applyNumberFormat="1" applyFont="1" applyAlignment="1">
      <alignment horizontal="center"/>
    </xf>
    <xf numFmtId="10" fontId="61" fillId="0" borderId="79" xfId="0" applyNumberFormat="1" applyFont="1" applyBorder="1" applyAlignment="1">
      <alignment horizontal="center"/>
    </xf>
    <xf numFmtId="0" fontId="52" fillId="0" borderId="0" xfId="0" applyFont="1" applyAlignment="1">
      <alignment horizontal="center"/>
    </xf>
    <xf numFmtId="0" fontId="16" fillId="0" borderId="0" xfId="0" applyFont="1"/>
    <xf numFmtId="4" fontId="61" fillId="0" borderId="0" xfId="0" applyNumberFormat="1" applyFont="1" applyAlignment="1" applyProtection="1">
      <alignment horizontal="center"/>
      <protection locked="0"/>
    </xf>
    <xf numFmtId="4" fontId="61" fillId="0" borderId="0" xfId="0" applyNumberFormat="1" applyFont="1" applyAlignment="1">
      <alignment horizontal="center"/>
    </xf>
    <xf numFmtId="0" fontId="58" fillId="13" borderId="0" xfId="0" applyFont="1" applyFill="1" applyAlignment="1">
      <alignment horizontal="center"/>
    </xf>
    <xf numFmtId="0" fontId="58" fillId="13" borderId="86" xfId="0" applyFont="1" applyFill="1" applyBorder="1" applyAlignment="1">
      <alignment horizontal="center"/>
    </xf>
    <xf numFmtId="14" fontId="22" fillId="13" borderId="0" xfId="0" applyNumberFormat="1" applyFont="1" applyFill="1" applyAlignment="1" applyProtection="1">
      <alignment horizontal="center" vertical="center"/>
      <protection locked="0"/>
    </xf>
    <xf numFmtId="0" fontId="14" fillId="2" borderId="0" xfId="0" applyFont="1" applyFill="1"/>
    <xf numFmtId="10" fontId="22" fillId="13" borderId="0" xfId="0" applyNumberFormat="1" applyFont="1" applyFill="1" applyAlignment="1" applyProtection="1">
      <alignment horizontal="center"/>
      <protection locked="0"/>
    </xf>
    <xf numFmtId="2" fontId="22" fillId="13" borderId="0" xfId="0" applyNumberFormat="1" applyFont="1" applyFill="1" applyAlignment="1" applyProtection="1">
      <alignment horizontal="center"/>
      <protection locked="0"/>
    </xf>
    <xf numFmtId="2" fontId="22" fillId="0" borderId="0" xfId="0" applyNumberFormat="1" applyFont="1" applyAlignment="1" applyProtection="1">
      <alignment horizontal="center"/>
      <protection locked="0"/>
    </xf>
    <xf numFmtId="171" fontId="22" fillId="0" borderId="0" xfId="0" applyNumberFormat="1" applyFont="1" applyAlignment="1">
      <alignment horizontal="center"/>
    </xf>
    <xf numFmtId="0" fontId="0" fillId="0" borderId="21" xfId="0" applyBorder="1" applyAlignment="1">
      <alignment horizontal="center" vertical="center"/>
    </xf>
    <xf numFmtId="0" fontId="0" fillId="0" borderId="87" xfId="0" applyBorder="1" applyAlignment="1">
      <alignment horizontal="center" vertical="center"/>
    </xf>
    <xf numFmtId="0" fontId="67" fillId="0" borderId="0" xfId="0" applyFont="1"/>
    <xf numFmtId="0" fontId="64" fillId="0" borderId="0" xfId="0" applyFont="1" applyAlignment="1">
      <alignment horizontal="center"/>
    </xf>
    <xf numFmtId="0" fontId="64" fillId="0" borderId="0" xfId="0" applyFont="1" applyAlignment="1">
      <alignment horizontal="center" vertical="center"/>
    </xf>
    <xf numFmtId="0" fontId="14" fillId="0" borderId="92" xfId="0" applyFont="1" applyBorder="1"/>
    <xf numFmtId="0" fontId="14" fillId="0" borderId="93" xfId="0" applyFont="1" applyBorder="1"/>
    <xf numFmtId="0" fontId="14" fillId="0" borderId="93" xfId="0" applyFont="1" applyBorder="1" applyAlignment="1">
      <alignment horizontal="center"/>
    </xf>
    <xf numFmtId="0" fontId="14" fillId="0" borderId="93" xfId="0" applyFont="1" applyBorder="1" applyAlignment="1">
      <alignment horizontal="center" vertical="center"/>
    </xf>
    <xf numFmtId="0" fontId="14" fillId="0" borderId="93" xfId="0" applyFont="1" applyBorder="1" applyAlignment="1">
      <alignment horizontal="center" vertical="center" wrapText="1"/>
    </xf>
    <xf numFmtId="0" fontId="14" fillId="0" borderId="94" xfId="0" applyFont="1" applyBorder="1"/>
    <xf numFmtId="0" fontId="52" fillId="0" borderId="83" xfId="0" applyFont="1" applyBorder="1" applyAlignment="1">
      <alignment horizontal="right"/>
    </xf>
    <xf numFmtId="0" fontId="14" fillId="0" borderId="81" xfId="0" applyFont="1" applyBorder="1"/>
    <xf numFmtId="0" fontId="14" fillId="0" borderId="95" xfId="0" applyFont="1" applyBorder="1"/>
    <xf numFmtId="0" fontId="14" fillId="0" borderId="96" xfId="0" applyFont="1" applyBorder="1"/>
    <xf numFmtId="0" fontId="14" fillId="0" borderId="96" xfId="0" applyFont="1" applyBorder="1" applyAlignment="1">
      <alignment horizontal="center"/>
    </xf>
    <xf numFmtId="0" fontId="14" fillId="0" borderId="96" xfId="0" applyFont="1" applyBorder="1" applyAlignment="1">
      <alignment horizontal="center" vertical="center"/>
    </xf>
    <xf numFmtId="0" fontId="14" fillId="0" borderId="96" xfId="0" applyFont="1" applyBorder="1" applyAlignment="1">
      <alignment horizontal="center" vertical="center" wrapText="1"/>
    </xf>
    <xf numFmtId="0" fontId="14" fillId="0" borderId="97" xfId="0" applyFont="1" applyBorder="1"/>
    <xf numFmtId="0" fontId="52" fillId="12" borderId="96" xfId="0" applyFont="1" applyFill="1" applyBorder="1" applyAlignment="1" applyProtection="1">
      <alignment horizontal="center"/>
      <protection locked="0"/>
    </xf>
    <xf numFmtId="0" fontId="69" fillId="0" borderId="0" xfId="0" applyFont="1"/>
    <xf numFmtId="0" fontId="68" fillId="0" borderId="0" xfId="0" applyFont="1" applyAlignment="1">
      <alignment horizontal="center"/>
    </xf>
    <xf numFmtId="0" fontId="68" fillId="0" borderId="96" xfId="0" applyFont="1" applyBorder="1" applyAlignment="1">
      <alignment horizontal="center"/>
    </xf>
    <xf numFmtId="0" fontId="68" fillId="0" borderId="97" xfId="0" applyFont="1" applyBorder="1" applyAlignment="1">
      <alignment horizontal="center"/>
    </xf>
    <xf numFmtId="0" fontId="16" fillId="0" borderId="0" xfId="0" applyFont="1" applyAlignment="1">
      <alignment horizontal="center"/>
    </xf>
    <xf numFmtId="0" fontId="16" fillId="0" borderId="0" xfId="0" applyFont="1" applyAlignment="1">
      <alignment horizontal="center" vertical="center"/>
    </xf>
    <xf numFmtId="0" fontId="16" fillId="0" borderId="0" xfId="0" applyFont="1" applyAlignment="1">
      <alignment horizontal="center" vertical="center" wrapText="1"/>
    </xf>
    <xf numFmtId="0" fontId="70" fillId="0" borderId="0" xfId="0" applyFont="1"/>
    <xf numFmtId="172" fontId="65" fillId="0" borderId="85" xfId="0" applyNumberFormat="1" applyFont="1" applyBorder="1" applyAlignment="1" applyProtection="1">
      <alignment horizontal="center"/>
      <protection locked="0"/>
    </xf>
    <xf numFmtId="172" fontId="65" fillId="0" borderId="85" xfId="0" applyNumberFormat="1" applyFont="1" applyBorder="1" applyAlignment="1">
      <alignment horizontal="center"/>
    </xf>
    <xf numFmtId="172" fontId="65" fillId="0" borderId="0" xfId="0" applyNumberFormat="1" applyFont="1" applyAlignment="1" applyProtection="1">
      <alignment horizontal="center"/>
      <protection locked="0"/>
    </xf>
    <xf numFmtId="0" fontId="0" fillId="0" borderId="41" xfId="0" applyBorder="1" applyAlignment="1">
      <alignment horizontal="left" vertical="center" wrapText="1"/>
    </xf>
    <xf numFmtId="0" fontId="0" fillId="0" borderId="41" xfId="0" quotePrefix="1" applyBorder="1" applyAlignment="1">
      <alignment horizontal="left" vertical="center" wrapText="1"/>
    </xf>
    <xf numFmtId="0" fontId="0" fillId="0" borderId="44" xfId="0" applyBorder="1" applyAlignment="1">
      <alignment horizontal="left" vertical="center" wrapText="1"/>
    </xf>
    <xf numFmtId="0" fontId="0" fillId="0" borderId="23" xfId="0" applyBorder="1" applyAlignment="1">
      <alignment horizontal="left" vertical="center" wrapText="1"/>
    </xf>
    <xf numFmtId="0" fontId="0" fillId="0" borderId="29" xfId="0" applyBorder="1" applyAlignment="1">
      <alignment horizontal="left" vertical="center"/>
    </xf>
    <xf numFmtId="2" fontId="14" fillId="0" borderId="57" xfId="0" applyNumberFormat="1" applyFont="1" applyBorder="1" applyAlignment="1">
      <alignment horizontal="center"/>
    </xf>
    <xf numFmtId="0" fontId="56" fillId="0" borderId="70" xfId="0" applyFont="1" applyBorder="1" applyAlignment="1">
      <alignment horizontal="right"/>
    </xf>
    <xf numFmtId="169" fontId="14" fillId="0" borderId="98" xfId="0" applyNumberFormat="1" applyFont="1" applyBorder="1" applyAlignment="1">
      <alignment horizontal="center"/>
    </xf>
    <xf numFmtId="0" fontId="14" fillId="0" borderId="7" xfId="0" applyFont="1" applyBorder="1"/>
    <xf numFmtId="0" fontId="14" fillId="0" borderId="7" xfId="0" applyFont="1" applyBorder="1" applyAlignment="1">
      <alignment horizontal="center"/>
    </xf>
    <xf numFmtId="0" fontId="56" fillId="0" borderId="99" xfId="0" applyFont="1" applyBorder="1" applyAlignment="1">
      <alignment horizontal="right"/>
    </xf>
    <xf numFmtId="169" fontId="14" fillId="0" borderId="100" xfId="0" applyNumberFormat="1" applyFont="1" applyBorder="1" applyAlignment="1">
      <alignment horizontal="center"/>
    </xf>
    <xf numFmtId="9" fontId="14" fillId="0" borderId="7" xfId="0" applyNumberFormat="1" applyFont="1" applyBorder="1" applyAlignment="1">
      <alignment horizontal="center"/>
    </xf>
    <xf numFmtId="0" fontId="54" fillId="0" borderId="0" xfId="0" applyFont="1" applyAlignment="1">
      <alignment horizontal="center"/>
    </xf>
    <xf numFmtId="0" fontId="56" fillId="0" borderId="0" xfId="0" applyFont="1" applyAlignment="1">
      <alignment horizontal="right"/>
    </xf>
    <xf numFmtId="0" fontId="54" fillId="16" borderId="68" xfId="0" applyFont="1" applyFill="1" applyBorder="1" applyAlignment="1">
      <alignment horizontal="center"/>
    </xf>
    <xf numFmtId="2" fontId="14" fillId="10" borderId="50" xfId="0" applyNumberFormat="1" applyFont="1" applyFill="1" applyBorder="1" applyAlignment="1">
      <alignment horizontal="center"/>
    </xf>
    <xf numFmtId="0" fontId="54" fillId="16" borderId="69" xfId="0" applyFont="1" applyFill="1" applyBorder="1" applyAlignment="1">
      <alignment horizontal="center"/>
    </xf>
    <xf numFmtId="2" fontId="14" fillId="10" borderId="52" xfId="0" applyNumberFormat="1" applyFont="1" applyFill="1" applyBorder="1" applyAlignment="1">
      <alignment horizontal="center"/>
    </xf>
    <xf numFmtId="0" fontId="14" fillId="2" borderId="0" xfId="0" applyFont="1" applyFill="1" applyAlignment="1">
      <alignment horizontal="center"/>
    </xf>
    <xf numFmtId="0" fontId="14" fillId="0" borderId="78" xfId="0" applyFont="1" applyBorder="1" applyAlignment="1">
      <alignment horizontal="center"/>
    </xf>
    <xf numFmtId="0" fontId="14" fillId="2" borderId="75" xfId="0" applyFont="1" applyFill="1" applyBorder="1" applyAlignment="1">
      <alignment horizontal="center"/>
    </xf>
    <xf numFmtId="10" fontId="14" fillId="0" borderId="57" xfId="0" applyNumberFormat="1" applyFont="1" applyBorder="1" applyAlignment="1">
      <alignment horizontal="center"/>
    </xf>
    <xf numFmtId="3" fontId="14" fillId="2" borderId="0" xfId="0" applyNumberFormat="1" applyFont="1" applyFill="1" applyAlignment="1">
      <alignment horizontal="center"/>
    </xf>
    <xf numFmtId="3" fontId="14" fillId="2" borderId="78" xfId="0" applyNumberFormat="1" applyFont="1" applyFill="1" applyBorder="1" applyAlignment="1">
      <alignment horizontal="center"/>
    </xf>
    <xf numFmtId="0" fontId="14" fillId="2" borderId="78" xfId="0" applyFont="1" applyFill="1" applyBorder="1" applyAlignment="1">
      <alignment horizontal="center"/>
    </xf>
    <xf numFmtId="3" fontId="14" fillId="2" borderId="75" xfId="0" applyNumberFormat="1" applyFont="1" applyFill="1" applyBorder="1" applyAlignment="1">
      <alignment horizontal="center"/>
    </xf>
    <xf numFmtId="2" fontId="14" fillId="0" borderId="0" xfId="0" applyNumberFormat="1" applyFont="1" applyAlignment="1">
      <alignment horizontal="center"/>
    </xf>
    <xf numFmtId="14" fontId="0" fillId="0" borderId="41" xfId="0" applyNumberFormat="1" applyBorder="1" applyAlignment="1">
      <alignment horizontal="center" vertical="center"/>
    </xf>
    <xf numFmtId="0" fontId="0" fillId="0" borderId="21" xfId="0" applyBorder="1" applyAlignment="1">
      <alignment wrapText="1"/>
    </xf>
    <xf numFmtId="0" fontId="0" fillId="0" borderId="29" xfId="0" applyBorder="1" applyAlignment="1">
      <alignment horizontal="center" vertical="center"/>
    </xf>
    <xf numFmtId="0" fontId="51" fillId="0" borderId="0" xfId="0" applyFont="1" applyAlignment="1">
      <alignment vertical="center"/>
    </xf>
    <xf numFmtId="0" fontId="48" fillId="0" borderId="0" xfId="0" applyFont="1" applyAlignment="1">
      <alignment horizontal="center" vertical="center" wrapText="1"/>
    </xf>
    <xf numFmtId="0" fontId="48" fillId="0" borderId="0" xfId="0" applyFont="1" applyAlignment="1">
      <alignment vertical="center" wrapText="1"/>
    </xf>
    <xf numFmtId="0" fontId="49" fillId="0" borderId="0" xfId="1" applyFont="1" applyFill="1" applyBorder="1" applyAlignment="1">
      <alignment vertical="center" wrapText="1"/>
    </xf>
    <xf numFmtId="0" fontId="50" fillId="0" borderId="0" xfId="0" applyFont="1" applyAlignment="1">
      <alignment vertical="center" wrapText="1"/>
    </xf>
    <xf numFmtId="0" fontId="50" fillId="0" borderId="0" xfId="0" applyFont="1" applyAlignment="1">
      <alignment horizontal="left" vertical="center" wrapText="1"/>
    </xf>
    <xf numFmtId="0" fontId="58" fillId="17" borderId="0" xfId="0" applyFont="1" applyFill="1" applyAlignment="1">
      <alignment horizontal="center" vertical="center" wrapText="1" readingOrder="1"/>
    </xf>
    <xf numFmtId="0" fontId="0" fillId="0" borderId="101" xfId="0" applyBorder="1" applyAlignment="1">
      <alignment vertical="center" wrapText="1"/>
    </xf>
    <xf numFmtId="0" fontId="48" fillId="23" borderId="0" xfId="0" applyFont="1" applyFill="1" applyAlignment="1">
      <alignment horizontal="center" vertical="center" wrapText="1"/>
    </xf>
    <xf numFmtId="0" fontId="48" fillId="23" borderId="0" xfId="0" applyFont="1" applyFill="1" applyAlignment="1">
      <alignment vertical="center" wrapText="1"/>
    </xf>
    <xf numFmtId="0" fontId="50" fillId="23" borderId="0" xfId="0" applyFont="1" applyFill="1" applyAlignment="1">
      <alignment vertical="center" wrapText="1"/>
    </xf>
    <xf numFmtId="0" fontId="49" fillId="23" borderId="0" xfId="1" applyFont="1" applyFill="1" applyBorder="1" applyAlignment="1">
      <alignment vertical="center" wrapText="1"/>
    </xf>
    <xf numFmtId="0" fontId="50" fillId="23" borderId="0" xfId="0" applyFont="1" applyFill="1" applyAlignment="1">
      <alignment horizontal="left" vertical="center" wrapText="1"/>
    </xf>
    <xf numFmtId="172" fontId="65" fillId="0" borderId="0" xfId="0" applyNumberFormat="1" applyFont="1" applyAlignment="1">
      <alignment horizontal="center"/>
    </xf>
    <xf numFmtId="0" fontId="0" fillId="0" borderId="16" xfId="0" applyBorder="1" applyAlignment="1">
      <alignment horizontal="center" vertical="center"/>
    </xf>
    <xf numFmtId="0" fontId="0" fillId="0" borderId="103" xfId="0" applyBorder="1" applyAlignment="1">
      <alignment horizontal="center" vertical="center"/>
    </xf>
    <xf numFmtId="0" fontId="0" fillId="0" borderId="104" xfId="0" applyBorder="1" applyAlignment="1">
      <alignment horizontal="center" vertical="center"/>
    </xf>
    <xf numFmtId="0" fontId="0" fillId="0" borderId="27" xfId="0" applyBorder="1" applyAlignment="1">
      <alignment horizontal="center" vertical="center"/>
    </xf>
    <xf numFmtId="14" fontId="0" fillId="0" borderId="101" xfId="0" applyNumberFormat="1" applyBorder="1" applyAlignment="1">
      <alignment horizontal="center" vertical="center"/>
    </xf>
    <xf numFmtId="0" fontId="0" fillId="0" borderId="103" xfId="0" applyBorder="1" applyAlignment="1">
      <alignment horizontal="left" vertical="center" wrapText="1"/>
    </xf>
    <xf numFmtId="0" fontId="0" fillId="0" borderId="104" xfId="0" applyBorder="1" applyAlignment="1">
      <alignment vertical="center" wrapText="1"/>
    </xf>
    <xf numFmtId="0" fontId="0" fillId="0" borderId="101" xfId="0" applyBorder="1" applyAlignment="1">
      <alignment horizontal="left" vertical="center" wrapText="1"/>
    </xf>
    <xf numFmtId="0" fontId="0" fillId="0" borderId="105" xfId="0" applyBorder="1" applyAlignment="1">
      <alignment horizontal="center" vertical="center"/>
    </xf>
    <xf numFmtId="0" fontId="0" fillId="0" borderId="106" xfId="0" applyBorder="1" applyAlignment="1">
      <alignment horizontal="center" vertical="center"/>
    </xf>
    <xf numFmtId="14" fontId="0" fillId="0" borderId="102" xfId="0" applyNumberFormat="1" applyBorder="1" applyAlignment="1">
      <alignment horizontal="center" vertical="center"/>
    </xf>
    <xf numFmtId="0" fontId="17" fillId="13" borderId="26" xfId="0" applyFont="1" applyFill="1" applyBorder="1" applyAlignment="1">
      <alignment horizontal="center" vertical="center" wrapText="1" readingOrder="1"/>
    </xf>
    <xf numFmtId="0" fontId="17" fillId="13" borderId="27" xfId="0" applyFont="1" applyFill="1" applyBorder="1" applyAlignment="1">
      <alignment horizontal="center" vertical="center" wrapText="1" readingOrder="1"/>
    </xf>
    <xf numFmtId="0" fontId="17" fillId="13" borderId="28" xfId="0" applyFont="1" applyFill="1" applyBorder="1" applyAlignment="1">
      <alignment horizontal="center" vertical="center" wrapText="1" readingOrder="1"/>
    </xf>
    <xf numFmtId="0" fontId="0" fillId="0" borderId="26" xfId="0" applyBorder="1" applyAlignment="1">
      <alignment horizontal="left" vertical="center" wrapText="1" shrinkToFit="1"/>
    </xf>
    <xf numFmtId="0" fontId="0" fillId="0" borderId="27" xfId="0" applyBorder="1" applyAlignment="1">
      <alignment horizontal="left" vertical="center"/>
    </xf>
    <xf numFmtId="14" fontId="0" fillId="0" borderId="27" xfId="0" applyNumberFormat="1" applyBorder="1" applyAlignment="1">
      <alignment horizontal="center" vertical="center"/>
    </xf>
    <xf numFmtId="14" fontId="0" fillId="0" borderId="108" xfId="0" applyNumberFormat="1" applyBorder="1" applyAlignment="1">
      <alignment horizontal="center" vertical="center"/>
    </xf>
    <xf numFmtId="0" fontId="0" fillId="0" borderId="109" xfId="0" applyBorder="1" applyAlignment="1">
      <alignment horizontal="center" vertical="center"/>
    </xf>
    <xf numFmtId="0" fontId="0" fillId="0" borderId="104" xfId="0" applyBorder="1" applyAlignment="1">
      <alignment horizontal="left" vertical="center" wrapText="1"/>
    </xf>
    <xf numFmtId="0" fontId="0" fillId="0" borderId="7" xfId="0" applyBorder="1" applyAlignment="1">
      <alignment horizontal="center" vertical="center"/>
    </xf>
    <xf numFmtId="0" fontId="0" fillId="0" borderId="107" xfId="0" applyBorder="1" applyAlignment="1">
      <alignment horizontal="left" vertical="center" wrapText="1" shrinkToFit="1"/>
    </xf>
    <xf numFmtId="2" fontId="0" fillId="0" borderId="101" xfId="0" applyNumberFormat="1" applyBorder="1" applyAlignment="1">
      <alignment horizontal="left" vertical="center" wrapText="1"/>
    </xf>
    <xf numFmtId="0" fontId="0" fillId="0" borderId="101" xfId="0" applyBorder="1" applyAlignment="1">
      <alignment horizontal="left" vertical="center"/>
    </xf>
    <xf numFmtId="0" fontId="0" fillId="0" borderId="0" xfId="0" applyAlignment="1">
      <alignment horizontal="left" vertical="center"/>
    </xf>
    <xf numFmtId="0" fontId="0" fillId="0" borderId="0" xfId="0" applyAlignment="1">
      <alignment vertical="center" wrapText="1"/>
    </xf>
    <xf numFmtId="0" fontId="0" fillId="0" borderId="46" xfId="0" applyBorder="1" applyAlignment="1">
      <alignment horizontal="left" vertical="center" wrapText="1" shrinkToFit="1"/>
    </xf>
    <xf numFmtId="0" fontId="0" fillId="0" borderId="47" xfId="0" applyBorder="1" applyAlignment="1">
      <alignment horizontal="left" vertical="center"/>
    </xf>
    <xf numFmtId="14" fontId="0" fillId="0" borderId="47" xfId="0" applyNumberFormat="1" applyBorder="1" applyAlignment="1">
      <alignment horizontal="center" vertical="center"/>
    </xf>
    <xf numFmtId="0" fontId="0" fillId="0" borderId="47" xfId="0" applyBorder="1" applyAlignment="1">
      <alignment horizontal="center" vertical="center"/>
    </xf>
    <xf numFmtId="0" fontId="0" fillId="0" borderId="47" xfId="0" applyBorder="1" applyAlignment="1">
      <alignment horizontal="left" vertical="center" wrapText="1"/>
    </xf>
    <xf numFmtId="0" fontId="0" fillId="0" borderId="43" xfId="0" applyBorder="1" applyAlignment="1">
      <alignment horizontal="center" vertical="center"/>
    </xf>
    <xf numFmtId="0" fontId="0" fillId="0" borderId="37" xfId="0" applyBorder="1" applyAlignment="1">
      <alignment horizontal="left" vertical="center" wrapText="1" shrinkToFit="1"/>
    </xf>
    <xf numFmtId="0" fontId="0" fillId="0" borderId="110" xfId="0" applyBorder="1" applyAlignment="1">
      <alignment horizontal="left" vertical="center"/>
    </xf>
    <xf numFmtId="14" fontId="0" fillId="0" borderId="110" xfId="0" applyNumberFormat="1" applyBorder="1" applyAlignment="1">
      <alignment horizontal="center" vertical="center"/>
    </xf>
    <xf numFmtId="0" fontId="0" fillId="0" borderId="110" xfId="0" applyBorder="1" applyAlignment="1">
      <alignment horizontal="center" vertical="center"/>
    </xf>
    <xf numFmtId="0" fontId="0" fillId="0" borderId="110" xfId="0"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left" vertical="center" wrapText="1" shrinkToFit="1"/>
    </xf>
    <xf numFmtId="0" fontId="0" fillId="0" borderId="32" xfId="0" applyBorder="1" applyAlignment="1">
      <alignment horizontal="left" vertical="center"/>
    </xf>
    <xf numFmtId="14" fontId="0" fillId="0" borderId="32" xfId="0" applyNumberFormat="1" applyBorder="1" applyAlignment="1">
      <alignment horizontal="center" vertical="center"/>
    </xf>
    <xf numFmtId="0" fontId="0" fillId="0" borderId="32" xfId="0" applyBorder="1" applyAlignment="1">
      <alignment horizontal="center" vertical="center"/>
    </xf>
    <xf numFmtId="0" fontId="0" fillId="0" borderId="32" xfId="0" applyBorder="1" applyAlignment="1">
      <alignment horizontal="left" vertical="center" wrapText="1"/>
    </xf>
    <xf numFmtId="0" fontId="0" fillId="0" borderId="40" xfId="0" applyBorder="1" applyAlignment="1">
      <alignment horizontal="center" vertical="center"/>
    </xf>
    <xf numFmtId="0" fontId="0" fillId="0" borderId="110" xfId="0" applyBorder="1" applyAlignment="1">
      <alignment wrapText="1"/>
    </xf>
    <xf numFmtId="0" fontId="0" fillId="0" borderId="30" xfId="0" applyBorder="1" applyAlignment="1">
      <alignment horizontal="left" vertical="center" wrapText="1" shrinkToFit="1"/>
    </xf>
    <xf numFmtId="0" fontId="0" fillId="0" borderId="39" xfId="0" applyBorder="1" applyAlignment="1">
      <alignment horizontal="center" vertical="center"/>
    </xf>
    <xf numFmtId="10" fontId="32" fillId="4" borderId="0" xfId="0" applyNumberFormat="1" applyFont="1" applyFill="1" applyAlignment="1">
      <alignment horizontal="center" vertical="center"/>
    </xf>
    <xf numFmtId="0" fontId="14" fillId="0" borderId="0" xfId="0" applyFont="1" applyAlignment="1">
      <alignment wrapText="1"/>
    </xf>
    <xf numFmtId="0" fontId="14" fillId="0" borderId="0" xfId="0" applyFont="1" applyAlignment="1">
      <alignment horizontal="left" vertical="center" wrapText="1"/>
    </xf>
    <xf numFmtId="0" fontId="75" fillId="0" borderId="0" xfId="0" applyFont="1" applyAlignment="1">
      <alignment horizontal="left" vertical="center" wrapText="1"/>
    </xf>
    <xf numFmtId="0" fontId="16" fillId="4" borderId="0" xfId="0" applyFont="1" applyFill="1" applyAlignment="1">
      <alignment horizontal="center"/>
    </xf>
    <xf numFmtId="0" fontId="69" fillId="0" borderId="0" xfId="0" applyFont="1" applyAlignment="1">
      <alignment horizontal="center" vertical="center" readingOrder="1"/>
    </xf>
    <xf numFmtId="0" fontId="72" fillId="24" borderId="111" xfId="0" applyFont="1" applyFill="1" applyBorder="1" applyAlignment="1">
      <alignment horizontal="center"/>
    </xf>
    <xf numFmtId="0" fontId="72" fillId="24" borderId="112" xfId="0" applyFont="1" applyFill="1" applyBorder="1" applyAlignment="1">
      <alignment horizontal="center"/>
    </xf>
    <xf numFmtId="0" fontId="72" fillId="24" borderId="113" xfId="0" applyFont="1" applyFill="1" applyBorder="1" applyAlignment="1">
      <alignment horizontal="center"/>
    </xf>
    <xf numFmtId="0" fontId="16" fillId="4" borderId="0" xfId="0" applyFont="1" applyFill="1" applyAlignment="1">
      <alignment horizontal="center" vertical="center"/>
    </xf>
    <xf numFmtId="0" fontId="72" fillId="24" borderId="112" xfId="0" applyFont="1" applyFill="1" applyBorder="1" applyAlignment="1">
      <alignment horizontal="center" vertical="center"/>
    </xf>
    <xf numFmtId="0" fontId="0" fillId="0" borderId="36" xfId="0" applyBorder="1" applyAlignment="1">
      <alignment horizontal="left" vertical="center" wrapText="1" shrinkToFit="1"/>
    </xf>
    <xf numFmtId="0" fontId="0" fillId="0" borderId="36" xfId="0" applyBorder="1" applyAlignment="1">
      <alignment horizontal="left" vertical="center"/>
    </xf>
    <xf numFmtId="14" fontId="0" fillId="0" borderId="36" xfId="0" applyNumberFormat="1" applyBorder="1" applyAlignment="1">
      <alignment horizontal="center" vertical="center"/>
    </xf>
    <xf numFmtId="0" fontId="0" fillId="0" borderId="36" xfId="0" applyBorder="1" applyAlignment="1">
      <alignment vertical="center" wrapText="1"/>
    </xf>
    <xf numFmtId="0" fontId="0" fillId="0" borderId="36" xfId="0" applyBorder="1" applyAlignment="1">
      <alignment horizontal="center" vertical="center"/>
    </xf>
    <xf numFmtId="0" fontId="33" fillId="13" borderId="8" xfId="0" applyFont="1" applyFill="1" applyBorder="1" applyAlignment="1">
      <alignment horizontal="center" vertical="center"/>
    </xf>
    <xf numFmtId="0" fontId="0" fillId="0" borderId="87" xfId="0" applyBorder="1" applyAlignment="1">
      <alignment vertical="center" wrapText="1"/>
    </xf>
    <xf numFmtId="0" fontId="77" fillId="0" borderId="0" xfId="0" applyFont="1" applyAlignment="1">
      <alignment horizontal="center" vertical="center" readingOrder="1"/>
    </xf>
    <xf numFmtId="0" fontId="77" fillId="0" borderId="0" xfId="0" applyFont="1" applyAlignment="1">
      <alignment vertical="center" wrapText="1" readingOrder="1"/>
    </xf>
    <xf numFmtId="9" fontId="77" fillId="0" borderId="0" xfId="0" applyNumberFormat="1" applyFont="1" applyAlignment="1">
      <alignment horizontal="center" vertical="center" readingOrder="1"/>
    </xf>
    <xf numFmtId="0" fontId="69" fillId="0" borderId="0" xfId="0" applyFont="1" applyAlignment="1">
      <alignment vertical="center" wrapText="1" readingOrder="1"/>
    </xf>
    <xf numFmtId="9" fontId="69" fillId="0" borderId="0" xfId="0" applyNumberFormat="1" applyFont="1" applyAlignment="1">
      <alignment horizontal="center" vertical="center" readingOrder="1"/>
    </xf>
    <xf numFmtId="16" fontId="69" fillId="0" borderId="0" xfId="0" applyNumberFormat="1" applyFont="1" applyAlignment="1">
      <alignment horizontal="center" vertical="center" readingOrder="1"/>
    </xf>
    <xf numFmtId="0" fontId="25" fillId="0" borderId="0" xfId="0" applyFont="1" applyAlignment="1">
      <alignment horizontal="center" vertical="center" readingOrder="1"/>
    </xf>
    <xf numFmtId="16" fontId="77" fillId="0" borderId="0" xfId="0" applyNumberFormat="1" applyFont="1" applyAlignment="1">
      <alignment horizontal="center" vertical="center" readingOrder="1"/>
    </xf>
    <xf numFmtId="0" fontId="0" fillId="0" borderId="0" xfId="0" applyAlignment="1">
      <alignment horizontal="center" vertical="center" readingOrder="1"/>
    </xf>
    <xf numFmtId="0" fontId="66" fillId="0" borderId="0" xfId="0" applyFont="1" applyAlignment="1">
      <alignment horizontal="center" vertical="center" readingOrder="1"/>
    </xf>
    <xf numFmtId="0" fontId="33" fillId="13" borderId="20" xfId="0" applyFont="1" applyFill="1" applyBorder="1" applyAlignment="1">
      <alignment horizontal="center" vertical="center"/>
    </xf>
    <xf numFmtId="0" fontId="39" fillId="17" borderId="12" xfId="0" applyFont="1" applyFill="1" applyBorder="1"/>
    <xf numFmtId="167" fontId="33" fillId="13" borderId="14" xfId="0" applyNumberFormat="1" applyFont="1" applyFill="1" applyBorder="1" applyAlignment="1">
      <alignment horizontal="center" vertical="center"/>
    </xf>
    <xf numFmtId="167" fontId="33" fillId="13" borderId="115" xfId="0" applyNumberFormat="1" applyFont="1" applyFill="1" applyBorder="1" applyAlignment="1">
      <alignment horizontal="center" vertical="center"/>
    </xf>
    <xf numFmtId="165" fontId="34" fillId="13" borderId="110" xfId="0" applyNumberFormat="1" applyFont="1" applyFill="1" applyBorder="1"/>
    <xf numFmtId="165" fontId="32" fillId="0" borderId="37" xfId="0" applyNumberFormat="1" applyFont="1" applyBorder="1"/>
    <xf numFmtId="0" fontId="32" fillId="0" borderId="110" xfId="0" applyFont="1" applyBorder="1"/>
    <xf numFmtId="165" fontId="34" fillId="13" borderId="0" xfId="0" applyNumberFormat="1" applyFont="1" applyFill="1"/>
    <xf numFmtId="0" fontId="31" fillId="0" borderId="32" xfId="0" applyFont="1" applyBorder="1" applyAlignment="1">
      <alignment horizontal="center"/>
    </xf>
    <xf numFmtId="9" fontId="34" fillId="13" borderId="32" xfId="0" applyNumberFormat="1" applyFont="1" applyFill="1" applyBorder="1" applyAlignment="1">
      <alignment horizontal="center" vertical="center"/>
    </xf>
    <xf numFmtId="0" fontId="32" fillId="0" borderId="32" xfId="0" applyFont="1" applyBorder="1"/>
    <xf numFmtId="0" fontId="31" fillId="0" borderId="110" xfId="0" applyFont="1" applyBorder="1" applyAlignment="1">
      <alignment horizontal="center"/>
    </xf>
    <xf numFmtId="165" fontId="34" fillId="13" borderId="37" xfId="0" applyNumberFormat="1" applyFont="1" applyFill="1" applyBorder="1"/>
    <xf numFmtId="165" fontId="34" fillId="13" borderId="30" xfId="0" applyNumberFormat="1" applyFont="1" applyFill="1" applyBorder="1"/>
    <xf numFmtId="9" fontId="34" fillId="13" borderId="30" xfId="0" applyNumberFormat="1" applyFont="1" applyFill="1" applyBorder="1" applyAlignment="1">
      <alignment horizontal="center" vertical="center"/>
    </xf>
    <xf numFmtId="165" fontId="34" fillId="15" borderId="30" xfId="0" applyNumberFormat="1" applyFont="1" applyFill="1" applyBorder="1"/>
    <xf numFmtId="9" fontId="34" fillId="13" borderId="33" xfId="0" applyNumberFormat="1" applyFont="1" applyFill="1" applyBorder="1" applyAlignment="1">
      <alignment horizontal="center" vertical="center"/>
    </xf>
    <xf numFmtId="166" fontId="32" fillId="0" borderId="33" xfId="0" applyNumberFormat="1" applyFont="1" applyBorder="1" applyAlignment="1">
      <alignment horizontal="center" vertical="center"/>
    </xf>
    <xf numFmtId="0" fontId="65" fillId="0" borderId="0" xfId="0" applyFont="1"/>
    <xf numFmtId="172" fontId="66" fillId="0" borderId="0" xfId="0" applyNumberFormat="1" applyFont="1" applyAlignment="1" applyProtection="1">
      <alignment horizontal="center"/>
      <protection locked="0"/>
    </xf>
    <xf numFmtId="172" fontId="65" fillId="0" borderId="0" xfId="0" applyNumberFormat="1" applyFont="1" applyAlignment="1" applyProtection="1">
      <alignment horizontal="center" vertical="center"/>
      <protection locked="0"/>
    </xf>
    <xf numFmtId="0" fontId="14" fillId="0" borderId="0" xfId="0" applyFont="1" applyAlignment="1">
      <alignment horizontal="left" vertical="center"/>
    </xf>
    <xf numFmtId="173" fontId="50" fillId="23" borderId="0" xfId="0" applyNumberFormat="1" applyFont="1" applyFill="1" applyAlignment="1">
      <alignment horizontal="left" vertical="center" wrapText="1"/>
    </xf>
    <xf numFmtId="0" fontId="58" fillId="19" borderId="88" xfId="0" applyFont="1" applyFill="1" applyBorder="1" applyAlignment="1">
      <alignment horizontal="center"/>
    </xf>
    <xf numFmtId="0" fontId="78" fillId="0" borderId="0" xfId="0" applyFont="1"/>
    <xf numFmtId="172" fontId="13" fillId="0" borderId="0" xfId="0" applyNumberFormat="1" applyFont="1" applyAlignment="1" applyProtection="1">
      <alignment horizontal="center"/>
      <protection locked="0"/>
    </xf>
    <xf numFmtId="0" fontId="65" fillId="0" borderId="0" xfId="0" applyFont="1" applyAlignment="1" applyProtection="1">
      <alignment horizontal="center"/>
      <protection locked="0"/>
    </xf>
    <xf numFmtId="3" fontId="65" fillId="0" borderId="0" xfId="0" applyNumberFormat="1" applyFont="1" applyAlignment="1" applyProtection="1">
      <alignment horizontal="center"/>
      <protection locked="0"/>
    </xf>
    <xf numFmtId="3" fontId="65" fillId="0" borderId="0" xfId="0" applyNumberFormat="1" applyFont="1" applyAlignment="1">
      <alignment horizontal="center"/>
    </xf>
    <xf numFmtId="0" fontId="65" fillId="0" borderId="0" xfId="0" applyFont="1" applyAlignment="1">
      <alignment horizontal="center"/>
    </xf>
    <xf numFmtId="0" fontId="79" fillId="0" borderId="0" xfId="0" applyFont="1" applyAlignment="1">
      <alignment horizontal="center"/>
    </xf>
    <xf numFmtId="4" fontId="14" fillId="0" borderId="0" xfId="0" applyNumberFormat="1" applyFont="1" applyAlignment="1">
      <alignment horizontal="center"/>
    </xf>
    <xf numFmtId="0" fontId="51" fillId="12" borderId="0" xfId="0" applyFont="1" applyFill="1" applyAlignment="1">
      <alignment vertical="center"/>
    </xf>
    <xf numFmtId="0" fontId="51" fillId="0" borderId="0" xfId="0" applyFont="1" applyAlignment="1">
      <alignment horizontal="left" vertical="center"/>
    </xf>
    <xf numFmtId="10" fontId="64" fillId="0" borderId="0" xfId="0" applyNumberFormat="1" applyFont="1" applyAlignment="1">
      <alignment horizontal="center"/>
    </xf>
    <xf numFmtId="0" fontId="64" fillId="0" borderId="0" xfId="0" applyFont="1"/>
    <xf numFmtId="0" fontId="64" fillId="0" borderId="0" xfId="0" applyFont="1" applyAlignment="1">
      <alignment horizontal="center" vertical="center" wrapText="1"/>
    </xf>
    <xf numFmtId="165" fontId="32" fillId="0" borderId="39" xfId="0" applyNumberFormat="1" applyFont="1" applyBorder="1" applyAlignment="1">
      <alignment horizontal="center"/>
    </xf>
    <xf numFmtId="9" fontId="82" fillId="26" borderId="120" xfId="0" applyNumberFormat="1" applyFont="1" applyFill="1" applyBorder="1" applyAlignment="1">
      <alignment horizontal="center"/>
    </xf>
    <xf numFmtId="0" fontId="42" fillId="0" borderId="62" xfId="0" applyFont="1" applyBorder="1" applyAlignment="1">
      <alignment horizontal="center" vertical="center"/>
    </xf>
    <xf numFmtId="0" fontId="42" fillId="0" borderId="39" xfId="0" applyFont="1" applyBorder="1" applyAlignment="1">
      <alignment horizontal="center" vertical="center"/>
    </xf>
    <xf numFmtId="4" fontId="42" fillId="0" borderId="62" xfId="0" applyNumberFormat="1" applyFont="1" applyBorder="1" applyAlignment="1">
      <alignment horizontal="center" vertical="center"/>
    </xf>
    <xf numFmtId="165" fontId="32" fillId="0" borderId="39" xfId="0" applyNumberFormat="1" applyFont="1" applyBorder="1" applyAlignment="1">
      <alignment horizontal="left"/>
    </xf>
    <xf numFmtId="0" fontId="83" fillId="0" borderId="23" xfId="0" applyFont="1" applyBorder="1" applyAlignment="1">
      <alignment horizontal="left" vertical="center" wrapText="1"/>
    </xf>
    <xf numFmtId="0" fontId="83" fillId="0" borderId="21" xfId="0" applyFont="1" applyBorder="1" applyAlignment="1">
      <alignment horizontal="left" vertical="center" wrapText="1"/>
    </xf>
    <xf numFmtId="0" fontId="83" fillId="0" borderId="23" xfId="0" applyFont="1" applyBorder="1" applyAlignment="1">
      <alignment horizontal="left" vertical="center"/>
    </xf>
    <xf numFmtId="0" fontId="81" fillId="0" borderId="117" xfId="0" applyFont="1" applyBorder="1" applyAlignment="1">
      <alignment horizontal="center"/>
    </xf>
    <xf numFmtId="0" fontId="81" fillId="0" borderId="122" xfId="0" applyFont="1" applyBorder="1" applyAlignment="1">
      <alignment horizontal="center"/>
    </xf>
    <xf numFmtId="0" fontId="81" fillId="0" borderId="123" xfId="0" applyFont="1" applyBorder="1" applyAlignment="1">
      <alignment horizontal="center"/>
    </xf>
    <xf numFmtId="0" fontId="81" fillId="25" borderId="118" xfId="0" applyFont="1" applyFill="1" applyBorder="1" applyAlignment="1">
      <alignment horizontal="center"/>
    </xf>
    <xf numFmtId="0" fontId="81" fillId="25" borderId="132" xfId="0" applyFont="1" applyFill="1" applyBorder="1" applyAlignment="1">
      <alignment horizontal="center"/>
    </xf>
    <xf numFmtId="4" fontId="52" fillId="0" borderId="139" xfId="0" applyNumberFormat="1" applyFont="1" applyBorder="1" applyAlignment="1">
      <alignment horizontal="center" vertical="center"/>
    </xf>
    <xf numFmtId="4" fontId="52" fillId="0" borderId="127" xfId="0" applyNumberFormat="1" applyFont="1" applyBorder="1" applyAlignment="1">
      <alignment horizontal="center" vertical="center"/>
    </xf>
    <xf numFmtId="0" fontId="58" fillId="19" borderId="136" xfId="0" applyFont="1" applyFill="1" applyBorder="1" applyAlignment="1">
      <alignment horizontal="center"/>
    </xf>
    <xf numFmtId="0" fontId="59" fillId="20" borderId="143" xfId="0" applyFont="1" applyFill="1" applyBorder="1" applyAlignment="1">
      <alignment horizontal="center"/>
    </xf>
    <xf numFmtId="4" fontId="59" fillId="20" borderId="144" xfId="0" applyNumberFormat="1" applyFont="1" applyFill="1" applyBorder="1" applyAlignment="1">
      <alignment horizontal="center"/>
    </xf>
    <xf numFmtId="0" fontId="60" fillId="0" borderId="149" xfId="0" applyFont="1" applyBorder="1"/>
    <xf numFmtId="0" fontId="60" fillId="0" borderId="128" xfId="0" applyFont="1" applyBorder="1" applyAlignment="1">
      <alignment horizontal="center"/>
    </xf>
    <xf numFmtId="0" fontId="60" fillId="0" borderId="129" xfId="0" applyFont="1" applyBorder="1" applyAlignment="1">
      <alignment horizontal="center"/>
    </xf>
    <xf numFmtId="9" fontId="59" fillId="20" borderId="152" xfId="0" applyNumberFormat="1" applyFont="1" applyFill="1" applyBorder="1" applyAlignment="1">
      <alignment horizontal="center"/>
    </xf>
    <xf numFmtId="9" fontId="59" fillId="20" borderId="153" xfId="0" applyNumberFormat="1" applyFont="1" applyFill="1" applyBorder="1" applyAlignment="1">
      <alignment horizontal="center"/>
    </xf>
    <xf numFmtId="10" fontId="57" fillId="0" borderId="139" xfId="0" applyNumberFormat="1" applyFont="1" applyBorder="1" applyAlignment="1">
      <alignment horizontal="center" vertical="center"/>
    </xf>
    <xf numFmtId="10" fontId="52" fillId="0" borderId="127" xfId="0" applyNumberFormat="1" applyFont="1" applyBorder="1" applyAlignment="1">
      <alignment horizontal="center" vertical="center"/>
    </xf>
    <xf numFmtId="0" fontId="18" fillId="0" borderId="0" xfId="0" applyFont="1"/>
    <xf numFmtId="165" fontId="32" fillId="0" borderId="0" xfId="0" applyNumberFormat="1" applyFont="1"/>
    <xf numFmtId="0" fontId="66" fillId="0" borderId="147" xfId="0" applyFont="1" applyBorder="1"/>
    <xf numFmtId="0" fontId="81" fillId="0" borderId="124" xfId="0" applyFont="1" applyBorder="1"/>
    <xf numFmtId="0" fontId="81" fillId="0" borderId="118" xfId="0" applyFont="1" applyBorder="1" applyAlignment="1">
      <alignment horizontal="center"/>
    </xf>
    <xf numFmtId="0" fontId="81" fillId="0" borderId="134" xfId="0" applyFont="1" applyBorder="1"/>
    <xf numFmtId="0" fontId="81" fillId="0" borderId="147" xfId="0" applyFont="1" applyBorder="1"/>
    <xf numFmtId="0" fontId="59" fillId="20" borderId="0" xfId="0" applyFont="1" applyFill="1"/>
    <xf numFmtId="0" fontId="59" fillId="20" borderId="0" xfId="0" applyFont="1" applyFill="1" applyAlignment="1">
      <alignment horizontal="center"/>
    </xf>
    <xf numFmtId="0" fontId="84" fillId="25" borderId="145" xfId="0" applyFont="1" applyFill="1" applyBorder="1"/>
    <xf numFmtId="0" fontId="84" fillId="0" borderId="147" xfId="0" applyFont="1" applyBorder="1"/>
    <xf numFmtId="0" fontId="14" fillId="0" borderId="149" xfId="0" applyFont="1" applyBorder="1" applyAlignment="1">
      <alignment vertical="center"/>
    </xf>
    <xf numFmtId="0" fontId="14" fillId="0" borderId="128" xfId="0" applyFont="1" applyBorder="1" applyAlignment="1">
      <alignment vertical="center"/>
    </xf>
    <xf numFmtId="0" fontId="14" fillId="0" borderId="162" xfId="0" applyFont="1" applyBorder="1" applyAlignment="1">
      <alignment vertical="center"/>
    </xf>
    <xf numFmtId="0" fontId="14" fillId="0" borderId="163" xfId="0" applyFont="1" applyBorder="1" applyAlignment="1">
      <alignment vertical="center"/>
    </xf>
    <xf numFmtId="0" fontId="58" fillId="13" borderId="164" xfId="0" applyFont="1" applyFill="1" applyBorder="1" applyAlignment="1">
      <alignment horizontal="center"/>
    </xf>
    <xf numFmtId="0" fontId="58" fillId="13" borderId="165" xfId="0" applyFont="1" applyFill="1" applyBorder="1" applyAlignment="1">
      <alignment horizontal="center"/>
    </xf>
    <xf numFmtId="0" fontId="58" fillId="13" borderId="166" xfId="0" applyFont="1" applyFill="1" applyBorder="1" applyAlignment="1">
      <alignment horizontal="center"/>
    </xf>
    <xf numFmtId="17" fontId="58" fillId="17" borderId="167" xfId="0" applyNumberFormat="1" applyFont="1" applyFill="1" applyBorder="1" applyAlignment="1">
      <alignment horizontal="center"/>
    </xf>
    <xf numFmtId="10" fontId="61" fillId="21" borderId="168" xfId="0" applyNumberFormat="1" applyFont="1" applyFill="1" applyBorder="1" applyAlignment="1">
      <alignment horizontal="center"/>
    </xf>
    <xf numFmtId="17" fontId="58" fillId="17" borderId="165" xfId="0" applyNumberFormat="1" applyFont="1" applyFill="1" applyBorder="1" applyAlignment="1">
      <alignment horizontal="center"/>
    </xf>
    <xf numFmtId="17" fontId="58" fillId="17" borderId="169" xfId="0" applyNumberFormat="1" applyFont="1" applyFill="1" applyBorder="1" applyAlignment="1">
      <alignment horizontal="center"/>
    </xf>
    <xf numFmtId="17" fontId="58" fillId="17" borderId="170" xfId="0" applyNumberFormat="1" applyFont="1" applyFill="1" applyBorder="1" applyAlignment="1">
      <alignment horizontal="center"/>
    </xf>
    <xf numFmtId="17" fontId="58" fillId="17" borderId="164" xfId="0" applyNumberFormat="1" applyFont="1" applyFill="1" applyBorder="1" applyAlignment="1">
      <alignment horizontal="center"/>
    </xf>
    <xf numFmtId="17" fontId="58" fillId="17" borderId="166" xfId="0" applyNumberFormat="1" applyFont="1" applyFill="1" applyBorder="1" applyAlignment="1">
      <alignment horizontal="center"/>
    </xf>
    <xf numFmtId="0" fontId="58" fillId="17" borderId="165" xfId="0" applyFont="1" applyFill="1" applyBorder="1" applyAlignment="1">
      <alignment horizontal="center"/>
    </xf>
    <xf numFmtId="17" fontId="58" fillId="17" borderId="175" xfId="0" applyNumberFormat="1" applyFont="1" applyFill="1" applyBorder="1" applyAlignment="1">
      <alignment horizontal="center"/>
    </xf>
    <xf numFmtId="17" fontId="58" fillId="17" borderId="176" xfId="0" applyNumberFormat="1" applyFont="1" applyFill="1" applyBorder="1" applyAlignment="1">
      <alignment horizontal="center"/>
    </xf>
    <xf numFmtId="10" fontId="61" fillId="21" borderId="177" xfId="0" applyNumberFormat="1" applyFont="1" applyFill="1" applyBorder="1" applyAlignment="1">
      <alignment horizontal="center"/>
    </xf>
    <xf numFmtId="10" fontId="61" fillId="0" borderId="178" xfId="0" applyNumberFormat="1" applyFont="1" applyBorder="1" applyAlignment="1">
      <alignment horizontal="center"/>
    </xf>
    <xf numFmtId="10" fontId="69" fillId="28" borderId="147" xfId="0" applyNumberFormat="1" applyFont="1" applyFill="1" applyBorder="1" applyAlignment="1">
      <alignment horizontal="center"/>
    </xf>
    <xf numFmtId="10" fontId="69" fillId="28" borderId="117" xfId="0" applyNumberFormat="1" applyFont="1" applyFill="1" applyBorder="1" applyAlignment="1">
      <alignment horizontal="center"/>
    </xf>
    <xf numFmtId="10" fontId="69" fillId="0" borderId="147" xfId="0" applyNumberFormat="1" applyFont="1" applyBorder="1" applyAlignment="1">
      <alignment horizontal="center"/>
    </xf>
    <xf numFmtId="10" fontId="69" fillId="0" borderId="117" xfId="0" applyNumberFormat="1" applyFont="1" applyBorder="1" applyAlignment="1">
      <alignment horizontal="center"/>
    </xf>
    <xf numFmtId="0" fontId="58" fillId="17" borderId="137" xfId="0" applyFont="1" applyFill="1" applyBorder="1" applyAlignment="1">
      <alignment horizontal="center"/>
    </xf>
    <xf numFmtId="0" fontId="58" fillId="17" borderId="133" xfId="0" applyFont="1" applyFill="1" applyBorder="1" applyAlignment="1">
      <alignment horizontal="center"/>
    </xf>
    <xf numFmtId="0" fontId="58" fillId="17" borderId="138" xfId="0" applyFont="1" applyFill="1" applyBorder="1" applyAlignment="1">
      <alignment horizontal="center"/>
    </xf>
    <xf numFmtId="17" fontId="58" fillId="17" borderId="137" xfId="0" applyNumberFormat="1" applyFont="1" applyFill="1" applyBorder="1" applyAlignment="1">
      <alignment horizontal="center"/>
    </xf>
    <xf numFmtId="17" fontId="58" fillId="17" borderId="133" xfId="0" applyNumberFormat="1" applyFont="1" applyFill="1" applyBorder="1" applyAlignment="1">
      <alignment horizontal="center"/>
    </xf>
    <xf numFmtId="17" fontId="58" fillId="17" borderId="138" xfId="0" applyNumberFormat="1" applyFont="1" applyFill="1" applyBorder="1" applyAlignment="1">
      <alignment horizontal="center"/>
    </xf>
    <xf numFmtId="10" fontId="69" fillId="25" borderId="147" xfId="0" applyNumberFormat="1" applyFont="1" applyFill="1" applyBorder="1" applyAlignment="1">
      <alignment horizontal="center"/>
    </xf>
    <xf numFmtId="10" fontId="69" fillId="25" borderId="117" xfId="0" applyNumberFormat="1" applyFont="1" applyFill="1" applyBorder="1" applyAlignment="1">
      <alignment horizontal="center"/>
    </xf>
    <xf numFmtId="10" fontId="69" fillId="27" borderId="147" xfId="0" applyNumberFormat="1" applyFont="1" applyFill="1" applyBorder="1" applyAlignment="1">
      <alignment horizontal="center"/>
    </xf>
    <xf numFmtId="10" fontId="69" fillId="27" borderId="117" xfId="0" applyNumberFormat="1" applyFont="1" applyFill="1" applyBorder="1" applyAlignment="1">
      <alignment horizontal="center"/>
    </xf>
    <xf numFmtId="0" fontId="66" fillId="25" borderId="125" xfId="0" applyFont="1" applyFill="1" applyBorder="1" applyAlignment="1">
      <alignment horizontal="center"/>
    </xf>
    <xf numFmtId="0" fontId="66" fillId="0" borderId="125" xfId="0" applyFont="1" applyBorder="1" applyAlignment="1">
      <alignment horizontal="center"/>
    </xf>
    <xf numFmtId="0" fontId="57" fillId="0" borderId="118" xfId="0" applyFont="1" applyBorder="1" applyAlignment="1">
      <alignment horizontal="center"/>
    </xf>
    <xf numFmtId="0" fontId="60" fillId="0" borderId="85" xfId="0" applyFont="1" applyBorder="1"/>
    <xf numFmtId="0" fontId="0" fillId="0" borderId="181" xfId="0" applyBorder="1" applyAlignment="1">
      <alignment vertical="center" wrapText="1"/>
    </xf>
    <xf numFmtId="0" fontId="0" fillId="0" borderId="181" xfId="0" applyBorder="1" applyAlignment="1">
      <alignment horizontal="center" vertical="center"/>
    </xf>
    <xf numFmtId="0" fontId="0" fillId="10" borderId="9" xfId="0" applyFill="1" applyBorder="1"/>
    <xf numFmtId="0" fontId="0" fillId="10" borderId="0" xfId="0" applyFill="1"/>
    <xf numFmtId="0" fontId="0" fillId="10" borderId="7" xfId="0" applyFill="1" applyBorder="1"/>
    <xf numFmtId="4" fontId="14" fillId="0" borderId="0" xfId="0" applyNumberFormat="1" applyFont="1" applyAlignment="1">
      <alignment horizontal="center" vertical="center"/>
    </xf>
    <xf numFmtId="10" fontId="57" fillId="0" borderId="0" xfId="0" applyNumberFormat="1" applyFont="1" applyAlignment="1">
      <alignment horizontal="center" vertical="center"/>
    </xf>
    <xf numFmtId="4" fontId="52" fillId="0" borderId="0" xfId="0" applyNumberFormat="1" applyFont="1" applyAlignment="1">
      <alignment horizontal="center" vertical="center"/>
    </xf>
    <xf numFmtId="2" fontId="52" fillId="0" borderId="0" xfId="0" applyNumberFormat="1" applyFont="1" applyAlignment="1">
      <alignment horizontal="center" vertical="center"/>
    </xf>
    <xf numFmtId="0" fontId="62" fillId="0" borderId="0" xfId="0" applyFont="1" applyAlignment="1">
      <alignment horizontal="left" vertical="center"/>
    </xf>
    <xf numFmtId="0" fontId="89" fillId="0" borderId="0" xfId="0" applyFont="1" applyAlignment="1">
      <alignment horizontal="left" vertical="center"/>
    </xf>
    <xf numFmtId="0" fontId="88" fillId="0" borderId="0" xfId="0" applyFont="1" applyAlignment="1">
      <alignment horizontal="left" vertical="center"/>
    </xf>
    <xf numFmtId="0" fontId="64" fillId="0" borderId="0" xfId="0" applyFont="1" applyAlignment="1">
      <alignment horizontal="left" vertical="center"/>
    </xf>
    <xf numFmtId="10" fontId="57" fillId="0" borderId="0" xfId="0" applyNumberFormat="1" applyFont="1" applyAlignment="1">
      <alignment horizontal="center" vertical="center" wrapText="1"/>
    </xf>
    <xf numFmtId="0" fontId="80" fillId="0" borderId="0" xfId="0" applyFont="1" applyAlignment="1">
      <alignment horizontal="left" vertical="center"/>
    </xf>
    <xf numFmtId="10" fontId="64" fillId="0" borderId="0" xfId="2" applyNumberFormat="1" applyFont="1"/>
    <xf numFmtId="0" fontId="52" fillId="0" borderId="0" xfId="0" applyFont="1" applyAlignment="1">
      <alignment horizontal="right"/>
    </xf>
    <xf numFmtId="10" fontId="14" fillId="0" borderId="0" xfId="2" applyNumberFormat="1" applyFont="1"/>
    <xf numFmtId="4" fontId="16" fillId="0" borderId="0" xfId="0" applyNumberFormat="1" applyFont="1" applyAlignment="1">
      <alignment horizontal="center"/>
    </xf>
    <xf numFmtId="0" fontId="52" fillId="12" borderId="0" xfId="0" applyFont="1" applyFill="1" applyProtection="1">
      <protection locked="0"/>
    </xf>
    <xf numFmtId="0" fontId="52" fillId="12" borderId="0" xfId="0" applyFont="1" applyFill="1" applyAlignment="1" applyProtection="1">
      <alignment horizontal="center"/>
      <protection locked="0"/>
    </xf>
    <xf numFmtId="0" fontId="52" fillId="0" borderId="0" xfId="0" applyFont="1" applyAlignment="1">
      <alignment horizontal="right" vertical="center"/>
    </xf>
    <xf numFmtId="0" fontId="64" fillId="0" borderId="93" xfId="0" applyFont="1" applyBorder="1" applyAlignment="1">
      <alignment horizontal="center"/>
    </xf>
    <xf numFmtId="0" fontId="52" fillId="0" borderId="95" xfId="0" applyFont="1" applyBorder="1" applyAlignment="1">
      <alignment horizontal="right"/>
    </xf>
    <xf numFmtId="0" fontId="52" fillId="0" borderId="96" xfId="0" applyFont="1" applyBorder="1" applyProtection="1">
      <protection locked="0"/>
    </xf>
    <xf numFmtId="0" fontId="52" fillId="0" borderId="96" xfId="0" applyFont="1" applyBorder="1" applyAlignment="1">
      <alignment horizontal="right"/>
    </xf>
    <xf numFmtId="4" fontId="52" fillId="0" borderId="96" xfId="0" applyNumberFormat="1" applyFont="1" applyBorder="1" applyAlignment="1">
      <alignment horizontal="center"/>
    </xf>
    <xf numFmtId="0" fontId="52" fillId="0" borderId="96" xfId="0" applyFont="1" applyBorder="1" applyAlignment="1">
      <alignment horizontal="right" vertical="center"/>
    </xf>
    <xf numFmtId="10" fontId="52" fillId="0" borderId="96" xfId="0" applyNumberFormat="1" applyFont="1" applyBorder="1" applyAlignment="1">
      <alignment horizontal="center" vertical="center" wrapText="1"/>
    </xf>
    <xf numFmtId="0" fontId="52" fillId="0" borderId="0" xfId="0" applyFont="1" applyAlignment="1" applyProtection="1">
      <alignment horizontal="left"/>
      <protection locked="0"/>
    </xf>
    <xf numFmtId="0" fontId="63" fillId="0" borderId="0" xfId="0" applyFont="1"/>
    <xf numFmtId="0" fontId="80" fillId="0" borderId="0" xfId="0" applyFont="1"/>
    <xf numFmtId="10" fontId="16" fillId="0" borderId="0" xfId="0" applyNumberFormat="1" applyFont="1"/>
    <xf numFmtId="10" fontId="16" fillId="0" borderId="0" xfId="2" applyNumberFormat="1" applyFont="1" applyProtection="1"/>
    <xf numFmtId="10" fontId="64" fillId="0" borderId="0" xfId="2" applyNumberFormat="1" applyFont="1" applyProtection="1"/>
    <xf numFmtId="10" fontId="16" fillId="0" borderId="0" xfId="0" applyNumberFormat="1" applyFont="1" applyAlignment="1">
      <alignment horizontal="center"/>
    </xf>
    <xf numFmtId="0" fontId="90" fillId="0" borderId="0" xfId="0" applyFont="1"/>
    <xf numFmtId="0" fontId="15" fillId="14" borderId="0" xfId="0" applyFont="1" applyFill="1" applyAlignment="1" applyProtection="1">
      <alignment horizontal="center"/>
      <protection locked="0"/>
    </xf>
    <xf numFmtId="10" fontId="15" fillId="14" borderId="0" xfId="0" applyNumberFormat="1" applyFont="1" applyFill="1" applyAlignment="1">
      <alignment horizontal="center" vertical="center" wrapText="1"/>
    </xf>
    <xf numFmtId="4" fontId="15" fillId="14" borderId="0" xfId="0" applyNumberFormat="1" applyFont="1" applyFill="1" applyAlignment="1">
      <alignment horizontal="center"/>
    </xf>
    <xf numFmtId="4" fontId="59" fillId="20" borderId="183" xfId="0" applyNumberFormat="1" applyFont="1" applyFill="1" applyBorder="1" applyAlignment="1">
      <alignment horizontal="center"/>
    </xf>
    <xf numFmtId="0" fontId="58" fillId="17" borderId="184" xfId="0" applyFont="1" applyFill="1" applyBorder="1" applyAlignment="1">
      <alignment horizontal="center"/>
    </xf>
    <xf numFmtId="2" fontId="69" fillId="25" borderId="118" xfId="0" applyNumberFormat="1" applyFont="1" applyFill="1" applyBorder="1" applyAlignment="1" applyProtection="1">
      <alignment horizontal="center"/>
      <protection locked="0"/>
    </xf>
    <xf numFmtId="2" fontId="69" fillId="0" borderId="117" xfId="0" applyNumberFormat="1" applyFont="1" applyBorder="1" applyAlignment="1" applyProtection="1">
      <alignment horizontal="center"/>
      <protection locked="0"/>
    </xf>
    <xf numFmtId="2" fontId="69" fillId="0" borderId="118" xfId="0" applyNumberFormat="1" applyFont="1" applyBorder="1" applyAlignment="1" applyProtection="1">
      <alignment horizontal="center"/>
      <protection locked="0"/>
    </xf>
    <xf numFmtId="2" fontId="69" fillId="0" borderId="124" xfId="0" applyNumberFormat="1" applyFont="1" applyBorder="1" applyAlignment="1" applyProtection="1">
      <alignment horizontal="center"/>
      <protection locked="0"/>
    </xf>
    <xf numFmtId="2" fontId="69" fillId="25" borderId="134" xfId="0" applyNumberFormat="1" applyFont="1" applyFill="1" applyBorder="1" applyAlignment="1" applyProtection="1">
      <alignment horizontal="center"/>
      <protection locked="0"/>
    </xf>
    <xf numFmtId="2" fontId="69" fillId="21" borderId="147" xfId="0" applyNumberFormat="1" applyFont="1" applyFill="1" applyBorder="1" applyAlignment="1" applyProtection="1">
      <alignment horizontal="center"/>
      <protection locked="0"/>
    </xf>
    <xf numFmtId="2" fontId="69" fillId="21" borderId="117" xfId="0" applyNumberFormat="1" applyFont="1" applyFill="1" applyBorder="1" applyAlignment="1" applyProtection="1">
      <alignment horizontal="center"/>
      <protection locked="0"/>
    </xf>
    <xf numFmtId="2" fontId="69" fillId="0" borderId="147" xfId="0" applyNumberFormat="1" applyFont="1" applyBorder="1" applyAlignment="1" applyProtection="1">
      <alignment horizontal="center"/>
      <protection locked="0"/>
    </xf>
    <xf numFmtId="2" fontId="69" fillId="28" borderId="124" xfId="0" applyNumberFormat="1" applyFont="1" applyFill="1" applyBorder="1" applyAlignment="1" applyProtection="1">
      <alignment horizontal="center"/>
      <protection locked="0"/>
    </xf>
    <xf numFmtId="2" fontId="69" fillId="21" borderId="124" xfId="0" applyNumberFormat="1" applyFont="1" applyFill="1" applyBorder="1" applyAlignment="1" applyProtection="1">
      <alignment horizontal="center"/>
      <protection locked="0"/>
    </xf>
    <xf numFmtId="0" fontId="15" fillId="0" borderId="0" xfId="0" applyFont="1" applyAlignment="1">
      <alignment horizontal="center"/>
    </xf>
    <xf numFmtId="0" fontId="15" fillId="0" borderId="0" xfId="0" applyFont="1" applyAlignment="1">
      <alignment horizontal="center" vertical="center"/>
    </xf>
    <xf numFmtId="0" fontId="15" fillId="0" borderId="0" xfId="0" applyFont="1" applyAlignment="1">
      <alignment horizontal="center" vertical="center" wrapText="1"/>
    </xf>
    <xf numFmtId="0" fontId="54" fillId="2" borderId="0" xfId="0" applyFont="1" applyFill="1" applyAlignment="1">
      <alignment horizontal="center"/>
    </xf>
    <xf numFmtId="165" fontId="14" fillId="2" borderId="0" xfId="0" applyNumberFormat="1" applyFont="1" applyFill="1" applyAlignment="1">
      <alignment horizontal="center"/>
    </xf>
    <xf numFmtId="0" fontId="92" fillId="16" borderId="68" xfId="0" applyFont="1" applyFill="1" applyBorder="1" applyAlignment="1">
      <alignment horizontal="center"/>
    </xf>
    <xf numFmtId="2" fontId="15" fillId="0" borderId="0" xfId="0" applyNumberFormat="1" applyFont="1" applyAlignment="1">
      <alignment horizontal="center"/>
    </xf>
    <xf numFmtId="2" fontId="15" fillId="0" borderId="0" xfId="0" applyNumberFormat="1" applyFont="1" applyAlignment="1">
      <alignment horizontal="center" vertical="center"/>
    </xf>
    <xf numFmtId="2" fontId="15" fillId="0" borderId="0" xfId="0" applyNumberFormat="1" applyFont="1" applyAlignment="1">
      <alignment horizontal="center" vertical="center" wrapText="1"/>
    </xf>
    <xf numFmtId="10" fontId="16" fillId="0" borderId="0" xfId="2" applyNumberFormat="1" applyFont="1" applyAlignment="1">
      <alignment horizontal="center"/>
    </xf>
    <xf numFmtId="10" fontId="16" fillId="0" borderId="0" xfId="2" applyNumberFormat="1" applyFont="1" applyAlignment="1">
      <alignment horizontal="center" vertical="center"/>
    </xf>
    <xf numFmtId="10" fontId="16" fillId="0" borderId="0" xfId="2" applyNumberFormat="1" applyFont="1" applyAlignment="1">
      <alignment horizontal="center" vertical="center" wrapText="1"/>
    </xf>
    <xf numFmtId="10" fontId="16" fillId="0" borderId="0" xfId="2" applyNumberFormat="1" applyFont="1"/>
    <xf numFmtId="0" fontId="66" fillId="25" borderId="117" xfId="0" applyFont="1" applyFill="1" applyBorder="1" applyAlignment="1">
      <alignment horizontal="center"/>
    </xf>
    <xf numFmtId="0" fontId="66" fillId="0" borderId="117" xfId="0" applyFont="1" applyBorder="1" applyAlignment="1">
      <alignment horizontal="center"/>
    </xf>
    <xf numFmtId="0" fontId="66" fillId="25" borderId="119" xfId="0" applyFont="1" applyFill="1" applyBorder="1" applyAlignment="1">
      <alignment horizontal="center"/>
    </xf>
    <xf numFmtId="0" fontId="66" fillId="0" borderId="119" xfId="0" applyFont="1" applyBorder="1" applyAlignment="1">
      <alignment horizontal="center"/>
    </xf>
    <xf numFmtId="172" fontId="66" fillId="0" borderId="85" xfId="0" applyNumberFormat="1" applyFont="1" applyBorder="1" applyAlignment="1" applyProtection="1">
      <alignment horizontal="center"/>
      <protection locked="0"/>
    </xf>
    <xf numFmtId="0" fontId="66" fillId="21" borderId="85" xfId="0" applyFont="1" applyFill="1" applyBorder="1" applyAlignment="1" applyProtection="1">
      <alignment horizontal="center"/>
      <protection locked="0"/>
    </xf>
    <xf numFmtId="3" fontId="66" fillId="21" borderId="85" xfId="0" applyNumberFormat="1" applyFont="1" applyFill="1" applyBorder="1" applyAlignment="1" applyProtection="1">
      <alignment horizontal="center"/>
      <protection locked="0"/>
    </xf>
    <xf numFmtId="0" fontId="66" fillId="0" borderId="85" xfId="0" applyFont="1" applyBorder="1" applyAlignment="1" applyProtection="1">
      <alignment horizontal="center"/>
      <protection locked="0"/>
    </xf>
    <xf numFmtId="3" fontId="66" fillId="0" borderId="85" xfId="0" applyNumberFormat="1" applyFont="1" applyBorder="1" applyAlignment="1" applyProtection="1">
      <alignment horizontal="center"/>
      <protection locked="0"/>
    </xf>
    <xf numFmtId="172" fontId="68" fillId="0" borderId="0" xfId="0" applyNumberFormat="1" applyFont="1" applyAlignment="1">
      <alignment horizontal="center"/>
    </xf>
    <xf numFmtId="172" fontId="66" fillId="0" borderId="0" xfId="0" applyNumberFormat="1" applyFont="1" applyAlignment="1" applyProtection="1">
      <alignment horizontal="center" vertical="center"/>
      <protection locked="0"/>
    </xf>
    <xf numFmtId="172" fontId="66" fillId="0" borderId="85" xfId="0" applyNumberFormat="1" applyFont="1" applyBorder="1" applyAlignment="1">
      <alignment horizontal="center"/>
    </xf>
    <xf numFmtId="172" fontId="66" fillId="0" borderId="0" xfId="0" applyNumberFormat="1" applyFont="1" applyAlignment="1">
      <alignment horizontal="center"/>
    </xf>
    <xf numFmtId="0" fontId="66" fillId="21" borderId="85" xfId="0" applyFont="1" applyFill="1" applyBorder="1" applyAlignment="1">
      <alignment horizontal="center"/>
    </xf>
    <xf numFmtId="0" fontId="66" fillId="0" borderId="85" xfId="0" applyFont="1" applyBorder="1" applyAlignment="1">
      <alignment horizontal="center"/>
    </xf>
    <xf numFmtId="3" fontId="66" fillId="21" borderId="85" xfId="0" applyNumberFormat="1" applyFont="1" applyFill="1" applyBorder="1" applyAlignment="1">
      <alignment horizontal="center"/>
    </xf>
    <xf numFmtId="0" fontId="68" fillId="0" borderId="95" xfId="0" applyFont="1" applyBorder="1" applyAlignment="1">
      <alignment horizontal="center"/>
    </xf>
    <xf numFmtId="9" fontId="32" fillId="0" borderId="31" xfId="2" applyFont="1" applyBorder="1" applyAlignment="1">
      <alignment horizontal="center" vertical="center"/>
    </xf>
    <xf numFmtId="0" fontId="68" fillId="0" borderId="85" xfId="0" applyFont="1" applyBorder="1" applyAlignment="1">
      <alignment horizontal="left"/>
    </xf>
    <xf numFmtId="172" fontId="68" fillId="0" borderId="85" xfId="0" applyNumberFormat="1" applyFont="1" applyBorder="1" applyAlignment="1">
      <alignment horizontal="center"/>
    </xf>
    <xf numFmtId="0" fontId="68" fillId="0" borderId="85" xfId="0" applyFont="1" applyBorder="1" applyAlignment="1">
      <alignment horizontal="center"/>
    </xf>
    <xf numFmtId="0" fontId="68" fillId="0" borderId="189" xfId="0" applyFont="1" applyBorder="1" applyAlignment="1">
      <alignment horizontal="center"/>
    </xf>
    <xf numFmtId="0" fontId="68" fillId="0" borderId="190" xfId="0" applyFont="1" applyBorder="1" applyAlignment="1">
      <alignment horizontal="center"/>
    </xf>
    <xf numFmtId="0" fontId="68" fillId="0" borderId="191" xfId="0" applyFont="1" applyBorder="1" applyAlignment="1">
      <alignment horizontal="center"/>
    </xf>
    <xf numFmtId="0" fontId="68" fillId="0" borderId="192" xfId="0" applyFont="1" applyBorder="1" applyAlignment="1">
      <alignment horizontal="center"/>
    </xf>
    <xf numFmtId="0" fontId="68" fillId="0" borderId="193" xfId="0" applyFont="1" applyBorder="1" applyAlignment="1">
      <alignment horizontal="center"/>
    </xf>
    <xf numFmtId="0" fontId="81" fillId="0" borderId="122" xfId="0" applyFont="1" applyBorder="1" applyAlignment="1">
      <alignment horizontal="center" wrapText="1"/>
    </xf>
    <xf numFmtId="2" fontId="66" fillId="0" borderId="117" xfId="0" applyNumberFormat="1" applyFont="1" applyBorder="1" applyAlignment="1">
      <alignment horizontal="center"/>
    </xf>
    <xf numFmtId="0" fontId="66" fillId="25" borderId="117" xfId="0" applyFont="1" applyFill="1" applyBorder="1" applyAlignment="1" applyProtection="1">
      <alignment horizontal="center"/>
      <protection locked="0"/>
    </xf>
    <xf numFmtId="0" fontId="66" fillId="0" borderId="117" xfId="0" applyFont="1" applyBorder="1" applyAlignment="1" applyProtection="1">
      <alignment horizontal="center"/>
      <protection locked="0"/>
    </xf>
    <xf numFmtId="172" fontId="68" fillId="0" borderId="85" xfId="0" applyNumberFormat="1" applyFont="1" applyBorder="1" applyAlignment="1" applyProtection="1">
      <alignment horizontal="center"/>
      <protection locked="0"/>
    </xf>
    <xf numFmtId="0" fontId="66" fillId="25" borderId="125" xfId="0" applyFont="1" applyFill="1" applyBorder="1" applyAlignment="1" applyProtection="1">
      <alignment horizontal="center"/>
      <protection locked="0"/>
    </xf>
    <xf numFmtId="0" fontId="66" fillId="0" borderId="125" xfId="0" applyFont="1" applyBorder="1" applyAlignment="1" applyProtection="1">
      <alignment horizontal="center"/>
      <protection locked="0"/>
    </xf>
    <xf numFmtId="0" fontId="66" fillId="25" borderId="126" xfId="0" applyFont="1" applyFill="1" applyBorder="1" applyAlignment="1" applyProtection="1">
      <alignment horizontal="center"/>
      <protection locked="0"/>
    </xf>
    <xf numFmtId="0" fontId="66" fillId="0" borderId="126" xfId="0" applyFont="1" applyBorder="1" applyAlignment="1" applyProtection="1">
      <alignment horizontal="center"/>
      <protection locked="0"/>
    </xf>
    <xf numFmtId="2" fontId="69" fillId="0" borderId="194" xfId="0" applyNumberFormat="1" applyFont="1" applyBorder="1" applyAlignment="1" applyProtection="1">
      <alignment horizontal="center"/>
      <protection locked="0"/>
    </xf>
    <xf numFmtId="2" fontId="69" fillId="0" borderId="185" xfId="0" applyNumberFormat="1" applyFont="1" applyBorder="1" applyAlignment="1" applyProtection="1">
      <alignment horizontal="center"/>
      <protection locked="0"/>
    </xf>
    <xf numFmtId="0" fontId="58" fillId="19" borderId="195" xfId="0" applyFont="1" applyFill="1" applyBorder="1" applyAlignment="1">
      <alignment horizontal="center"/>
    </xf>
    <xf numFmtId="0" fontId="59" fillId="20" borderId="197" xfId="0" applyFont="1" applyFill="1" applyBorder="1" applyAlignment="1">
      <alignment horizontal="center"/>
    </xf>
    <xf numFmtId="0" fontId="59" fillId="20" borderId="198" xfId="0" applyFont="1" applyFill="1" applyBorder="1"/>
    <xf numFmtId="0" fontId="59" fillId="20" borderId="199" xfId="0" applyFont="1" applyFill="1" applyBorder="1"/>
    <xf numFmtId="0" fontId="59" fillId="20" borderId="200" xfId="0" applyFont="1" applyFill="1" applyBorder="1" applyAlignment="1">
      <alignment horizontal="center"/>
    </xf>
    <xf numFmtId="0" fontId="59" fillId="20" borderId="201" xfId="0" applyFont="1" applyFill="1" applyBorder="1" applyAlignment="1">
      <alignment horizontal="center"/>
    </xf>
    <xf numFmtId="0" fontId="59" fillId="20" borderId="198" xfId="0" applyFont="1" applyFill="1" applyBorder="1" applyAlignment="1">
      <alignment horizontal="center"/>
    </xf>
    <xf numFmtId="4" fontId="59" fillId="20" borderId="202" xfId="0" applyNumberFormat="1" applyFont="1" applyFill="1" applyBorder="1" applyAlignment="1">
      <alignment horizontal="center"/>
    </xf>
    <xf numFmtId="0" fontId="58" fillId="17" borderId="203" xfId="0" applyFont="1" applyFill="1" applyBorder="1" applyAlignment="1">
      <alignment horizontal="center"/>
    </xf>
    <xf numFmtId="0" fontId="58" fillId="17" borderId="204" xfId="0" applyFont="1" applyFill="1" applyBorder="1" applyAlignment="1">
      <alignment horizontal="center"/>
    </xf>
    <xf numFmtId="0" fontId="66" fillId="0" borderId="205" xfId="0" applyFont="1" applyBorder="1"/>
    <xf numFmtId="0" fontId="81" fillId="0" borderId="208" xfId="0" applyFont="1" applyBorder="1"/>
    <xf numFmtId="0" fontId="81" fillId="0" borderId="209" xfId="0" applyFont="1" applyBorder="1"/>
    <xf numFmtId="0" fontId="81" fillId="0" borderId="185" xfId="0" applyFont="1" applyBorder="1" applyAlignment="1">
      <alignment horizontal="center"/>
    </xf>
    <xf numFmtId="0" fontId="60" fillId="0" borderId="210" xfId="0" applyFont="1" applyBorder="1"/>
    <xf numFmtId="0" fontId="60" fillId="0" borderId="211" xfId="0" applyFont="1" applyBorder="1" applyAlignment="1">
      <alignment horizontal="center"/>
    </xf>
    <xf numFmtId="0" fontId="60" fillId="0" borderId="212" xfId="0" applyFont="1" applyBorder="1" applyAlignment="1">
      <alignment horizontal="center"/>
    </xf>
    <xf numFmtId="0" fontId="42" fillId="0" borderId="0" xfId="0" applyFont="1" applyAlignment="1">
      <alignment horizontal="center"/>
    </xf>
    <xf numFmtId="0" fontId="42" fillId="0" borderId="31" xfId="0" applyFont="1" applyBorder="1" applyAlignment="1">
      <alignment horizontal="center"/>
    </xf>
    <xf numFmtId="2" fontId="69" fillId="0" borderId="0" xfId="0" applyNumberFormat="1" applyFont="1" applyAlignment="1" applyProtection="1">
      <alignment horizontal="center"/>
      <protection locked="0"/>
    </xf>
    <xf numFmtId="2" fontId="60" fillId="0" borderId="211" xfId="0" applyNumberFormat="1" applyFont="1" applyBorder="1" applyAlignment="1">
      <alignment horizontal="center"/>
    </xf>
    <xf numFmtId="49" fontId="96" fillId="0" borderId="0" xfId="0" applyNumberFormat="1" applyFont="1" applyAlignment="1">
      <alignment horizontal="center"/>
    </xf>
    <xf numFmtId="49" fontId="96" fillId="0" borderId="0" xfId="0" applyNumberFormat="1" applyFont="1"/>
    <xf numFmtId="39" fontId="97" fillId="0" borderId="0" xfId="0" applyNumberFormat="1" applyFont="1"/>
    <xf numFmtId="0" fontId="72" fillId="0" borderId="0" xfId="0" applyFont="1" applyAlignment="1">
      <alignment horizontal="center"/>
    </xf>
    <xf numFmtId="0" fontId="72" fillId="0" borderId="0" xfId="0" applyFont="1" applyAlignment="1">
      <alignment horizontal="center" vertical="center"/>
    </xf>
    <xf numFmtId="39" fontId="96" fillId="0" borderId="0" xfId="0" applyNumberFormat="1" applyFont="1"/>
    <xf numFmtId="0" fontId="96" fillId="0" borderId="0" xfId="0" applyFont="1"/>
    <xf numFmtId="49" fontId="99" fillId="0" borderId="0" xfId="0" applyNumberFormat="1" applyFont="1"/>
    <xf numFmtId="0" fontId="14" fillId="14" borderId="0" xfId="0" applyFont="1" applyFill="1" applyAlignment="1">
      <alignment horizontal="center" vertical="center"/>
    </xf>
    <xf numFmtId="49" fontId="16" fillId="0" borderId="49" xfId="0" applyNumberFormat="1" applyFont="1" applyBorder="1" applyAlignment="1">
      <alignment horizontal="center" vertical="center"/>
    </xf>
    <xf numFmtId="0" fontId="16" fillId="4" borderId="0" xfId="0" applyFont="1" applyFill="1"/>
    <xf numFmtId="0" fontId="79" fillId="0" borderId="0" xfId="0" applyFont="1" applyAlignment="1">
      <alignment horizontal="right"/>
    </xf>
    <xf numFmtId="0" fontId="14" fillId="0" borderId="0" xfId="0" applyFont="1" applyAlignment="1">
      <alignment horizontal="right" vertical="center"/>
    </xf>
    <xf numFmtId="0" fontId="52" fillId="0" borderId="0" xfId="0" applyFont="1"/>
    <xf numFmtId="0" fontId="56" fillId="0" borderId="0" xfId="0" applyFont="1"/>
    <xf numFmtId="0" fontId="56" fillId="4" borderId="214" xfId="0" applyFont="1" applyFill="1" applyBorder="1" applyProtection="1">
      <protection locked="0"/>
    </xf>
    <xf numFmtId="0" fontId="16" fillId="0" borderId="0" xfId="0" applyFont="1" applyAlignment="1" applyProtection="1">
      <alignment horizontal="left"/>
      <protection locked="0"/>
    </xf>
    <xf numFmtId="0" fontId="19" fillId="0" borderId="0" xfId="0" applyFont="1" applyAlignment="1">
      <alignment horizontal="left" vertical="center"/>
    </xf>
    <xf numFmtId="14" fontId="16" fillId="0" borderId="0" xfId="0" applyNumberFormat="1" applyFont="1" applyAlignment="1" applyProtection="1">
      <alignment horizontal="left"/>
      <protection locked="0"/>
    </xf>
    <xf numFmtId="164" fontId="16" fillId="0" borderId="0" xfId="0" applyNumberFormat="1" applyFont="1" applyAlignment="1" applyProtection="1">
      <alignment horizontal="left"/>
      <protection locked="0"/>
    </xf>
    <xf numFmtId="0" fontId="17" fillId="0" borderId="0" xfId="0" applyFont="1" applyAlignment="1">
      <alignment vertical="center"/>
    </xf>
    <xf numFmtId="0" fontId="14" fillId="0" borderId="49" xfId="0" applyFont="1" applyBorder="1" applyAlignment="1">
      <alignment horizontal="center" vertical="center"/>
    </xf>
    <xf numFmtId="10" fontId="14" fillId="0" borderId="0" xfId="0" applyNumberFormat="1" applyFont="1"/>
    <xf numFmtId="165" fontId="14" fillId="0" borderId="0" xfId="0" applyNumberFormat="1" applyFont="1" applyAlignment="1">
      <alignment horizontal="center" vertical="center"/>
    </xf>
    <xf numFmtId="165" fontId="98" fillId="0" borderId="0" xfId="0" applyNumberFormat="1" applyFont="1" applyAlignment="1">
      <alignment horizontal="center" vertical="center"/>
    </xf>
    <xf numFmtId="165" fontId="14" fillId="0" borderId="0" xfId="0" applyNumberFormat="1" applyFont="1"/>
    <xf numFmtId="165" fontId="14" fillId="0" borderId="0" xfId="0" applyNumberFormat="1" applyFont="1" applyAlignment="1">
      <alignment horizontal="center"/>
    </xf>
    <xf numFmtId="0" fontId="72" fillId="14" borderId="49" xfId="0" applyFont="1" applyFill="1" applyBorder="1" applyAlignment="1">
      <alignment vertical="center"/>
    </xf>
    <xf numFmtId="174" fontId="97" fillId="0" borderId="0" xfId="0" applyNumberFormat="1" applyFont="1" applyAlignment="1">
      <alignment horizontal="center" vertical="center"/>
    </xf>
    <xf numFmtId="49" fontId="14" fillId="0" borderId="0" xfId="0" applyNumberFormat="1" applyFont="1"/>
    <xf numFmtId="49" fontId="99" fillId="29" borderId="0" xfId="0" applyNumberFormat="1" applyFont="1" applyFill="1"/>
    <xf numFmtId="165" fontId="97" fillId="0" borderId="0" xfId="0" applyNumberFormat="1" applyFont="1" applyAlignment="1">
      <alignment horizontal="center"/>
    </xf>
    <xf numFmtId="1" fontId="101" fillId="0" borderId="31" xfId="0" applyNumberFormat="1" applyFont="1" applyBorder="1" applyAlignment="1">
      <alignment horizontal="center" vertical="center"/>
    </xf>
    <xf numFmtId="2" fontId="32" fillId="0" borderId="31" xfId="2" applyNumberFormat="1" applyFont="1" applyBorder="1" applyAlignment="1">
      <alignment horizontal="center" vertical="center"/>
    </xf>
    <xf numFmtId="0" fontId="25" fillId="0" borderId="117" xfId="0" applyFont="1" applyBorder="1" applyAlignment="1">
      <alignment horizontal="center"/>
    </xf>
    <xf numFmtId="0" fontId="25" fillId="0" borderId="117" xfId="0" applyFont="1" applyBorder="1" applyAlignment="1" applyProtection="1">
      <alignment horizontal="center"/>
      <protection locked="0"/>
    </xf>
    <xf numFmtId="0" fontId="25" fillId="0" borderId="125" xfId="0" applyFont="1" applyBorder="1" applyAlignment="1" applyProtection="1">
      <alignment horizontal="center"/>
      <protection locked="0"/>
    </xf>
    <xf numFmtId="0" fontId="25" fillId="0" borderId="126" xfId="0" applyFont="1" applyBorder="1" applyAlignment="1" applyProtection="1">
      <alignment horizontal="center"/>
      <protection locked="0"/>
    </xf>
    <xf numFmtId="0" fontId="25" fillId="0" borderId="125" xfId="0" applyFont="1" applyBorder="1" applyAlignment="1">
      <alignment horizontal="center"/>
    </xf>
    <xf numFmtId="0" fontId="66" fillId="0" borderId="185" xfId="0" applyFont="1" applyBorder="1" applyAlignment="1">
      <alignment horizontal="center"/>
    </xf>
    <xf numFmtId="0" fontId="66" fillId="0" borderId="185" xfId="0" applyFont="1" applyBorder="1" applyAlignment="1" applyProtection="1">
      <alignment horizontal="center"/>
      <protection locked="0"/>
    </xf>
    <xf numFmtId="0" fontId="66" fillId="0" borderId="186" xfId="0" applyFont="1" applyBorder="1" applyAlignment="1" applyProtection="1">
      <alignment horizontal="center"/>
      <protection locked="0"/>
    </xf>
    <xf numFmtId="0" fontId="66" fillId="0" borderId="187" xfId="0" applyFont="1" applyBorder="1" applyAlignment="1">
      <alignment horizontal="center"/>
    </xf>
    <xf numFmtId="0" fontId="66" fillId="0" borderId="188" xfId="0" applyFont="1" applyBorder="1" applyAlignment="1" applyProtection="1">
      <alignment horizontal="center"/>
      <protection locked="0"/>
    </xf>
    <xf numFmtId="0" fontId="66" fillId="0" borderId="186" xfId="0" applyFont="1" applyBorder="1" applyAlignment="1">
      <alignment horizontal="center"/>
    </xf>
    <xf numFmtId="0" fontId="97" fillId="0" borderId="0" xfId="0" applyFont="1" applyAlignment="1">
      <alignment horizontal="center" vertical="center"/>
    </xf>
    <xf numFmtId="165" fontId="97" fillId="0" borderId="0" xfId="0" applyNumberFormat="1" applyFont="1" applyAlignment="1">
      <alignment horizontal="center" vertical="center"/>
    </xf>
    <xf numFmtId="49" fontId="16" fillId="0" borderId="115" xfId="0" applyNumberFormat="1" applyFont="1" applyBorder="1" applyAlignment="1">
      <alignment horizontal="center" vertical="center"/>
    </xf>
    <xf numFmtId="165" fontId="103" fillId="0" borderId="0" xfId="0" applyNumberFormat="1" applyFont="1" applyAlignment="1">
      <alignment horizontal="center" vertical="center"/>
    </xf>
    <xf numFmtId="49" fontId="104" fillId="0" borderId="0" xfId="0" applyNumberFormat="1" applyFont="1"/>
    <xf numFmtId="165" fontId="64" fillId="0" borderId="0" xfId="0" applyNumberFormat="1" applyFont="1"/>
    <xf numFmtId="165" fontId="64" fillId="0" borderId="0" xfId="0" applyNumberFormat="1" applyFont="1" applyAlignment="1">
      <alignment horizontal="center"/>
    </xf>
    <xf numFmtId="165" fontId="64" fillId="0" borderId="0" xfId="0" applyNumberFormat="1" applyFont="1" applyAlignment="1">
      <alignment horizontal="right"/>
    </xf>
    <xf numFmtId="165" fontId="64" fillId="0" borderId="0" xfId="0" applyNumberFormat="1" applyFont="1" applyAlignment="1">
      <alignment horizontal="center" vertical="center"/>
    </xf>
    <xf numFmtId="49" fontId="105" fillId="0" borderId="0" xfId="0" applyNumberFormat="1" applyFont="1"/>
    <xf numFmtId="165" fontId="106" fillId="0" borderId="0" xfId="0" applyNumberFormat="1" applyFont="1" applyAlignment="1">
      <alignment horizontal="center"/>
    </xf>
    <xf numFmtId="165" fontId="93" fillId="0" borderId="0" xfId="0" applyNumberFormat="1" applyFont="1"/>
    <xf numFmtId="0" fontId="93" fillId="0" borderId="0" xfId="0" applyFont="1"/>
    <xf numFmtId="0" fontId="102" fillId="0" borderId="12" xfId="0" applyFont="1" applyBorder="1" applyAlignment="1">
      <alignment vertical="center"/>
    </xf>
    <xf numFmtId="49" fontId="16" fillId="0" borderId="0" xfId="0" applyNumberFormat="1" applyFont="1" applyAlignment="1">
      <alignment horizontal="center"/>
    </xf>
    <xf numFmtId="175" fontId="16" fillId="0" borderId="0" xfId="0" applyNumberFormat="1" applyFont="1" applyAlignment="1">
      <alignment horizontal="center"/>
    </xf>
    <xf numFmtId="0" fontId="72" fillId="14" borderId="70" xfId="0" applyFont="1" applyFill="1" applyBorder="1" applyAlignment="1">
      <alignment horizontal="center" vertical="center"/>
    </xf>
    <xf numFmtId="0" fontId="108" fillId="0" borderId="0" xfId="0" applyFont="1" applyAlignment="1">
      <alignment horizontal="center"/>
    </xf>
    <xf numFmtId="0" fontId="107" fillId="0" borderId="0" xfId="0" applyFont="1" applyAlignment="1">
      <alignment horizontal="center"/>
    </xf>
    <xf numFmtId="4" fontId="54" fillId="21" borderId="155" xfId="0" applyNumberFormat="1" applyFont="1" applyFill="1" applyBorder="1" applyAlignment="1">
      <alignment horizontal="center"/>
    </xf>
    <xf numFmtId="4" fontId="54" fillId="0" borderId="155" xfId="0" applyNumberFormat="1" applyFont="1" applyBorder="1" applyAlignment="1">
      <alignment horizontal="center"/>
    </xf>
    <xf numFmtId="0" fontId="84" fillId="0" borderId="0" xfId="0" applyFont="1" applyAlignment="1">
      <alignment horizontal="center"/>
    </xf>
    <xf numFmtId="0" fontId="81" fillId="0" borderId="147" xfId="0" applyFont="1" applyBorder="1" applyAlignment="1">
      <alignment horizontal="left" vertical="center"/>
    </xf>
    <xf numFmtId="0" fontId="95" fillId="0" borderId="117" xfId="0" applyFont="1" applyBorder="1" applyAlignment="1">
      <alignment horizontal="center" vertical="center"/>
    </xf>
    <xf numFmtId="0" fontId="95" fillId="0" borderId="122" xfId="0" applyFont="1" applyBorder="1" applyAlignment="1">
      <alignment horizontal="center" vertical="center" wrapText="1"/>
    </xf>
    <xf numFmtId="2" fontId="94" fillId="0" borderId="117" xfId="0" applyNumberFormat="1" applyFont="1" applyBorder="1" applyAlignment="1" applyProtection="1">
      <alignment horizontal="center" vertical="center"/>
      <protection locked="0"/>
    </xf>
    <xf numFmtId="4" fontId="54" fillId="0" borderId="146" xfId="0" applyNumberFormat="1" applyFont="1" applyBorder="1" applyAlignment="1">
      <alignment horizontal="center"/>
    </xf>
    <xf numFmtId="4" fontId="54" fillId="0" borderId="148" xfId="0" applyNumberFormat="1" applyFont="1" applyBorder="1" applyAlignment="1">
      <alignment horizontal="center"/>
    </xf>
    <xf numFmtId="4" fontId="92" fillId="0" borderId="148" xfId="0" applyNumberFormat="1" applyFont="1" applyBorder="1" applyAlignment="1">
      <alignment horizontal="center" vertical="center"/>
    </xf>
    <xf numFmtId="4" fontId="14" fillId="0" borderId="150" xfId="0" applyNumberFormat="1" applyFont="1" applyBorder="1" applyAlignment="1">
      <alignment horizontal="center" vertical="center"/>
    </xf>
    <xf numFmtId="10" fontId="54" fillId="21" borderId="154" xfId="0" applyNumberFormat="1" applyFont="1" applyFill="1" applyBorder="1" applyAlignment="1">
      <alignment horizontal="center"/>
    </xf>
    <xf numFmtId="10" fontId="54" fillId="0" borderId="155" xfId="0" applyNumberFormat="1" applyFont="1" applyBorder="1" applyAlignment="1">
      <alignment horizontal="center"/>
    </xf>
    <xf numFmtId="10" fontId="57" fillId="0" borderId="156" xfId="0" applyNumberFormat="1" applyFont="1" applyBorder="1" applyAlignment="1">
      <alignment horizontal="center" vertical="center"/>
    </xf>
    <xf numFmtId="4" fontId="52" fillId="0" borderId="84" xfId="0" applyNumberFormat="1" applyFont="1" applyBorder="1" applyAlignment="1">
      <alignment horizontal="center" vertical="center"/>
    </xf>
    <xf numFmtId="4" fontId="52" fillId="0" borderId="116" xfId="0" applyNumberFormat="1" applyFont="1" applyBorder="1" applyAlignment="1">
      <alignment horizontal="center" vertical="center"/>
    </xf>
    <xf numFmtId="4" fontId="54" fillId="21" borderId="154" xfId="0" applyNumberFormat="1" applyFont="1" applyFill="1" applyBorder="1" applyAlignment="1">
      <alignment horizontal="center"/>
    </xf>
    <xf numFmtId="4" fontId="52" fillId="0" borderId="179" xfId="0" applyNumberFormat="1" applyFont="1" applyBorder="1" applyAlignment="1">
      <alignment horizontal="center" vertical="center"/>
    </xf>
    <xf numFmtId="4" fontId="54" fillId="0" borderId="207" xfId="0" applyNumberFormat="1" applyFont="1" applyBorder="1" applyAlignment="1">
      <alignment horizontal="center"/>
    </xf>
    <xf numFmtId="2" fontId="60" fillId="0" borderId="213" xfId="0" applyNumberFormat="1" applyFont="1" applyBorder="1" applyAlignment="1">
      <alignment horizontal="center"/>
    </xf>
    <xf numFmtId="10" fontId="54" fillId="28" borderId="155" xfId="0" applyNumberFormat="1" applyFont="1" applyFill="1" applyBorder="1" applyAlignment="1">
      <alignment horizontal="center"/>
    </xf>
    <xf numFmtId="4" fontId="52" fillId="0" borderId="140" xfId="0" applyNumberFormat="1" applyFont="1" applyBorder="1" applyAlignment="1">
      <alignment horizontal="center" vertical="center"/>
    </xf>
    <xf numFmtId="10" fontId="54" fillId="21" borderId="155" xfId="0" applyNumberFormat="1" applyFont="1" applyFill="1" applyBorder="1" applyAlignment="1">
      <alignment horizontal="center"/>
    </xf>
    <xf numFmtId="10" fontId="54" fillId="27" borderId="155" xfId="0" applyNumberFormat="1" applyFont="1" applyFill="1" applyBorder="1" applyAlignment="1">
      <alignment horizontal="center"/>
    </xf>
    <xf numFmtId="4" fontId="61" fillId="0" borderId="150" xfId="0" applyNumberFormat="1" applyFont="1" applyBorder="1" applyAlignment="1">
      <alignment horizontal="center"/>
    </xf>
    <xf numFmtId="4" fontId="14" fillId="0" borderId="128" xfId="0" applyNumberFormat="1" applyFont="1" applyBorder="1" applyAlignment="1">
      <alignment horizontal="center" vertical="center"/>
    </xf>
    <xf numFmtId="10" fontId="57" fillId="0" borderId="127" xfId="0" applyNumberFormat="1" applyFont="1" applyBorder="1" applyAlignment="1">
      <alignment horizontal="center" vertical="center"/>
    </xf>
    <xf numFmtId="2" fontId="52" fillId="0" borderId="116" xfId="0" applyNumberFormat="1" applyFont="1" applyBorder="1" applyAlignment="1">
      <alignment horizontal="center" vertical="center"/>
    </xf>
    <xf numFmtId="4" fontId="61" fillId="0" borderId="129" xfId="0" applyNumberFormat="1" applyFont="1" applyBorder="1" applyAlignment="1">
      <alignment horizontal="center"/>
    </xf>
    <xf numFmtId="4" fontId="61" fillId="0" borderId="128" xfId="0" applyNumberFormat="1" applyFont="1" applyBorder="1" applyAlignment="1">
      <alignment horizontal="center"/>
    </xf>
    <xf numFmtId="0" fontId="109" fillId="0" borderId="117" xfId="0" applyFont="1" applyBorder="1"/>
    <xf numFmtId="2" fontId="109" fillId="0" borderId="117" xfId="0" applyNumberFormat="1" applyFont="1" applyBorder="1" applyAlignment="1">
      <alignment horizontal="center"/>
    </xf>
    <xf numFmtId="0" fontId="34" fillId="0" borderId="0" xfId="0" applyFont="1"/>
    <xf numFmtId="0" fontId="33" fillId="13" borderId="68" xfId="0" applyFont="1" applyFill="1" applyBorder="1" applyAlignment="1">
      <alignment horizontal="right" vertical="center"/>
    </xf>
    <xf numFmtId="10" fontId="16" fillId="0" borderId="0" xfId="0" applyNumberFormat="1" applyFont="1" applyAlignment="1">
      <alignment horizontal="center" vertical="center"/>
    </xf>
    <xf numFmtId="10" fontId="16" fillId="0" borderId="0" xfId="0" applyNumberFormat="1" applyFont="1" applyAlignment="1">
      <alignment horizontal="center" vertical="center" wrapText="1"/>
    </xf>
    <xf numFmtId="4" fontId="16" fillId="0" borderId="0" xfId="0" applyNumberFormat="1" applyFont="1" applyAlignment="1">
      <alignment horizontal="center" vertical="center"/>
    </xf>
    <xf numFmtId="0" fontId="80" fillId="0" borderId="0" xfId="0" applyFont="1" applyAlignment="1">
      <alignment horizontal="center" vertical="center"/>
    </xf>
    <xf numFmtId="4" fontId="15" fillId="0" borderId="0" xfId="0" applyNumberFormat="1" applyFont="1" applyAlignment="1">
      <alignment horizontal="center" vertical="center"/>
    </xf>
    <xf numFmtId="2" fontId="16" fillId="0" borderId="0" xfId="0" applyNumberFormat="1" applyFont="1" applyAlignment="1">
      <alignment horizontal="center" vertical="center"/>
    </xf>
    <xf numFmtId="0" fontId="110" fillId="0" borderId="0" xfId="0" applyFont="1"/>
    <xf numFmtId="4" fontId="54" fillId="0" borderId="206" xfId="0" applyNumberFormat="1" applyFont="1" applyBorder="1" applyAlignment="1">
      <alignment horizontal="center"/>
    </xf>
    <xf numFmtId="0" fontId="84" fillId="0" borderId="160" xfId="0" applyFont="1" applyBorder="1"/>
    <xf numFmtId="0" fontId="81" fillId="0" borderId="130" xfId="0" applyFont="1" applyBorder="1" applyAlignment="1">
      <alignment horizontal="center"/>
    </xf>
    <xf numFmtId="0" fontId="81" fillId="0" borderId="131" xfId="0" applyFont="1" applyBorder="1" applyAlignment="1">
      <alignment horizontal="center"/>
    </xf>
    <xf numFmtId="2" fontId="69" fillId="0" borderId="130" xfId="0" applyNumberFormat="1" applyFont="1" applyBorder="1" applyAlignment="1" applyProtection="1">
      <alignment horizontal="center"/>
      <protection locked="0"/>
    </xf>
    <xf numFmtId="4" fontId="54" fillId="0" borderId="161" xfId="0" applyNumberFormat="1" applyFont="1" applyBorder="1" applyAlignment="1">
      <alignment horizontal="center"/>
    </xf>
    <xf numFmtId="0" fontId="81" fillId="0" borderId="216" xfId="0" applyFont="1" applyBorder="1"/>
    <xf numFmtId="0" fontId="81" fillId="0" borderId="217" xfId="0" applyFont="1" applyBorder="1"/>
    <xf numFmtId="0" fontId="66" fillId="0" borderId="0" xfId="0" applyFont="1" applyAlignment="1">
      <alignment horizontal="center"/>
    </xf>
    <xf numFmtId="0" fontId="66" fillId="0" borderId="0" xfId="0" applyFont="1" applyAlignment="1" applyProtection="1">
      <alignment horizontal="center"/>
      <protection locked="0"/>
    </xf>
    <xf numFmtId="3" fontId="66" fillId="0" borderId="0" xfId="0" applyNumberFormat="1" applyFont="1" applyAlignment="1" applyProtection="1">
      <alignment horizontal="center"/>
      <protection locked="0"/>
    </xf>
    <xf numFmtId="0" fontId="84" fillId="0" borderId="121" xfId="0" applyFont="1" applyBorder="1"/>
    <xf numFmtId="0" fontId="91" fillId="4" borderId="0" xfId="0" applyFont="1" applyFill="1" applyAlignment="1">
      <alignment horizontal="center" vertical="center"/>
    </xf>
    <xf numFmtId="0" fontId="47" fillId="18" borderId="0" xfId="0" applyFont="1" applyFill="1" applyAlignment="1">
      <alignment horizontal="center"/>
    </xf>
    <xf numFmtId="0" fontId="33" fillId="13" borderId="114" xfId="0" applyFont="1" applyFill="1" applyBorder="1" applyAlignment="1">
      <alignment horizontal="center" vertical="center"/>
    </xf>
    <xf numFmtId="0" fontId="33" fillId="13" borderId="20" xfId="0" applyFont="1" applyFill="1" applyBorder="1" applyAlignment="1">
      <alignment horizontal="center" vertical="center"/>
    </xf>
    <xf numFmtId="0" fontId="33" fillId="13" borderId="8" xfId="0" applyFont="1" applyFill="1" applyBorder="1" applyAlignment="1">
      <alignment horizontal="center" vertical="center"/>
    </xf>
    <xf numFmtId="0" fontId="46" fillId="18" borderId="0" xfId="0" applyFont="1" applyFill="1" applyAlignment="1">
      <alignment horizontal="center"/>
    </xf>
    <xf numFmtId="0" fontId="30" fillId="12" borderId="0" xfId="0" applyFont="1" applyFill="1" applyAlignment="1">
      <alignment horizontal="left" vertical="center"/>
    </xf>
    <xf numFmtId="0" fontId="25" fillId="10" borderId="9" xfId="0" applyFont="1" applyFill="1" applyBorder="1" applyAlignment="1">
      <alignment horizontal="center" vertical="center" wrapText="1" readingOrder="1"/>
    </xf>
    <xf numFmtId="0" fontId="25" fillId="10" borderId="0" xfId="0" applyFont="1" applyFill="1" applyAlignment="1">
      <alignment horizontal="center" vertical="center" wrapText="1" readingOrder="1"/>
    </xf>
    <xf numFmtId="0" fontId="25" fillId="10" borderId="7" xfId="0" applyFont="1" applyFill="1" applyBorder="1" applyAlignment="1">
      <alignment horizontal="center" vertical="center" wrapText="1" readingOrder="1"/>
    </xf>
    <xf numFmtId="0" fontId="25" fillId="10" borderId="9" xfId="0" applyFont="1" applyFill="1" applyBorder="1" applyAlignment="1">
      <alignment horizontal="left" vertical="center" wrapText="1" readingOrder="1"/>
    </xf>
    <xf numFmtId="0" fontId="25" fillId="10" borderId="0" xfId="0" applyFont="1" applyFill="1" applyAlignment="1">
      <alignment horizontal="left" vertical="center" wrapText="1" readingOrder="1"/>
    </xf>
    <xf numFmtId="0" fontId="25" fillId="10" borderId="7" xfId="0" applyFont="1" applyFill="1" applyBorder="1" applyAlignment="1">
      <alignment horizontal="left" vertical="center" wrapText="1" readingOrder="1"/>
    </xf>
    <xf numFmtId="0" fontId="25" fillId="11" borderId="0" xfId="0" applyFont="1" applyFill="1" applyAlignment="1">
      <alignment horizontal="center" vertical="center" wrapText="1" readingOrder="1"/>
    </xf>
    <xf numFmtId="0" fontId="25" fillId="11" borderId="7" xfId="0" applyFont="1" applyFill="1" applyBorder="1" applyAlignment="1">
      <alignment horizontal="center" vertical="center" wrapText="1" readingOrder="1"/>
    </xf>
    <xf numFmtId="0" fontId="25" fillId="11" borderId="0" xfId="0" applyFont="1" applyFill="1" applyAlignment="1">
      <alignment horizontal="left" vertical="center" wrapText="1" readingOrder="1"/>
    </xf>
    <xf numFmtId="0" fontId="25" fillId="11" borderId="7" xfId="0" applyFont="1" applyFill="1" applyBorder="1" applyAlignment="1">
      <alignment horizontal="left" vertical="center" wrapText="1" readingOrder="1"/>
    </xf>
    <xf numFmtId="0" fontId="25" fillId="11" borderId="9" xfId="0" applyFont="1" applyFill="1" applyBorder="1" applyAlignment="1">
      <alignment horizontal="left" vertical="center" wrapText="1" readingOrder="1"/>
    </xf>
    <xf numFmtId="0" fontId="24" fillId="13" borderId="8" xfId="0" applyFont="1" applyFill="1" applyBorder="1" applyAlignment="1">
      <alignment horizontal="center" vertical="center"/>
    </xf>
    <xf numFmtId="0" fontId="24" fillId="13" borderId="14" xfId="0" applyFont="1" applyFill="1" applyBorder="1" applyAlignment="1">
      <alignment horizontal="center" vertical="center"/>
    </xf>
    <xf numFmtId="0" fontId="24" fillId="13" borderId="12" xfId="0" applyFont="1" applyFill="1" applyBorder="1" applyAlignment="1">
      <alignment horizontal="center" vertical="center"/>
    </xf>
    <xf numFmtId="0" fontId="25" fillId="10" borderId="0" xfId="0" applyFont="1" applyFill="1" applyAlignment="1">
      <alignment horizontal="center" vertical="center" readingOrder="1"/>
    </xf>
    <xf numFmtId="0" fontId="25" fillId="10" borderId="7" xfId="0" applyFont="1" applyFill="1" applyBorder="1" applyAlignment="1">
      <alignment horizontal="center" vertical="center" readingOrder="1"/>
    </xf>
    <xf numFmtId="0" fontId="25" fillId="11" borderId="9" xfId="0" applyFont="1" applyFill="1" applyBorder="1" applyAlignment="1">
      <alignment horizontal="center" vertical="center" wrapText="1" readingOrder="1"/>
    </xf>
    <xf numFmtId="0" fontId="17" fillId="4" borderId="0" xfId="0" applyFont="1" applyFill="1" applyAlignment="1">
      <alignment horizontal="left" vertical="center"/>
    </xf>
    <xf numFmtId="0" fontId="21" fillId="13" borderId="0" xfId="0" applyFont="1" applyFill="1" applyAlignment="1">
      <alignment horizontal="right" vertical="center" wrapText="1"/>
    </xf>
    <xf numFmtId="0" fontId="22" fillId="10" borderId="0" xfId="0" quotePrefix="1" applyFont="1" applyFill="1" applyAlignment="1" applyProtection="1">
      <alignment horizontal="left" vertical="center" wrapText="1"/>
      <protection locked="0"/>
    </xf>
    <xf numFmtId="0" fontId="22" fillId="10" borderId="0" xfId="0" applyFont="1" applyFill="1" applyAlignment="1" applyProtection="1">
      <alignment horizontal="left" vertical="center" wrapText="1"/>
      <protection locked="0"/>
    </xf>
    <xf numFmtId="0" fontId="18" fillId="13" borderId="0" xfId="0" applyFont="1" applyFill="1" applyAlignment="1">
      <alignment horizontal="center"/>
    </xf>
    <xf numFmtId="0" fontId="0" fillId="10" borderId="0" xfId="0" applyFill="1" applyAlignment="1" applyProtection="1">
      <alignment horizontal="left" vertical="center" wrapText="1"/>
      <protection locked="0"/>
    </xf>
    <xf numFmtId="0" fontId="22" fillId="10" borderId="0" xfId="0" applyFont="1" applyFill="1" applyAlignment="1" applyProtection="1">
      <alignment horizontal="left"/>
      <protection locked="0"/>
    </xf>
    <xf numFmtId="0" fontId="22" fillId="0" borderId="0" xfId="0" applyFont="1" applyAlignment="1" applyProtection="1">
      <alignment horizontal="left"/>
      <protection locked="0"/>
    </xf>
    <xf numFmtId="0" fontId="22" fillId="3" borderId="0" xfId="0" applyFont="1" applyFill="1" applyAlignment="1" applyProtection="1">
      <alignment horizontal="left"/>
      <protection locked="0"/>
    </xf>
    <xf numFmtId="0" fontId="20" fillId="13" borderId="0" xfId="0" applyFont="1" applyFill="1" applyAlignment="1">
      <alignment horizontal="center"/>
    </xf>
    <xf numFmtId="0" fontId="21" fillId="13" borderId="0" xfId="0" applyFont="1" applyFill="1" applyAlignment="1">
      <alignment horizontal="center"/>
    </xf>
    <xf numFmtId="0" fontId="30" fillId="4" borderId="0" xfId="0" applyFont="1" applyFill="1" applyAlignment="1">
      <alignment horizontal="left" vertical="center"/>
    </xf>
    <xf numFmtId="0" fontId="22" fillId="10" borderId="0" xfId="0" applyFont="1" applyFill="1" applyAlignment="1" applyProtection="1">
      <alignment horizontal="left" vertical="center"/>
      <protection locked="0"/>
    </xf>
    <xf numFmtId="0" fontId="22" fillId="0" borderId="0" xfId="0" applyFont="1" applyAlignment="1" applyProtection="1">
      <alignment horizontal="left" vertical="center"/>
      <protection locked="0"/>
    </xf>
    <xf numFmtId="0" fontId="29" fillId="0" borderId="0" xfId="0" applyFont="1" applyAlignment="1">
      <alignment horizontal="right" vertical="center" wrapText="1"/>
    </xf>
    <xf numFmtId="0" fontId="29" fillId="0" borderId="7" xfId="0" applyFont="1" applyBorder="1" applyAlignment="1">
      <alignment horizontal="right" vertical="center" wrapText="1"/>
    </xf>
    <xf numFmtId="0" fontId="29" fillId="0" borderId="9" xfId="0" applyFont="1" applyBorder="1" applyAlignment="1">
      <alignment horizontal="right" vertical="center"/>
    </xf>
    <xf numFmtId="0" fontId="29" fillId="0" borderId="0" xfId="0" applyFont="1" applyAlignment="1">
      <alignment horizontal="right" vertical="center"/>
    </xf>
    <xf numFmtId="0" fontId="29" fillId="0" borderId="7" xfId="0" applyFont="1" applyBorder="1" applyAlignment="1">
      <alignment horizontal="right" vertical="center"/>
    </xf>
    <xf numFmtId="0" fontId="29" fillId="0" borderId="9" xfId="0" applyFont="1" applyBorder="1" applyAlignment="1">
      <alignment horizontal="right" vertical="center" wrapText="1"/>
    </xf>
    <xf numFmtId="0" fontId="72" fillId="15" borderId="0" xfId="0" applyFont="1" applyFill="1" applyAlignment="1">
      <alignment horizontal="center" vertical="center"/>
    </xf>
    <xf numFmtId="0" fontId="72" fillId="15" borderId="35" xfId="0" applyFont="1" applyFill="1" applyBorder="1" applyAlignment="1">
      <alignment horizontal="center" vertical="center"/>
    </xf>
    <xf numFmtId="0" fontId="51" fillId="4" borderId="0" xfId="0" applyFont="1" applyFill="1" applyAlignment="1">
      <alignment horizontal="left" vertical="center"/>
    </xf>
    <xf numFmtId="0" fontId="53" fillId="15" borderId="0" xfId="0" applyFont="1" applyFill="1" applyAlignment="1">
      <alignment horizontal="center" vertical="center" wrapText="1"/>
    </xf>
    <xf numFmtId="0" fontId="53" fillId="15" borderId="0" xfId="0" applyFont="1" applyFill="1" applyAlignment="1">
      <alignment horizontal="center" vertical="center"/>
    </xf>
    <xf numFmtId="165" fontId="14" fillId="0" borderId="78" xfId="0" applyNumberFormat="1" applyFont="1" applyBorder="1" applyAlignment="1">
      <alignment horizontal="center" vertical="center"/>
    </xf>
    <xf numFmtId="165" fontId="14" fillId="0" borderId="0" xfId="0" applyNumberFormat="1" applyFont="1" applyAlignment="1">
      <alignment horizontal="center" vertical="center"/>
    </xf>
    <xf numFmtId="165" fontId="14" fillId="0" borderId="75" xfId="0" applyNumberFormat="1" applyFont="1" applyBorder="1" applyAlignment="1">
      <alignment horizontal="center" vertical="center"/>
    </xf>
    <xf numFmtId="9" fontId="15" fillId="2" borderId="76" xfId="0" applyNumberFormat="1" applyFont="1" applyFill="1" applyBorder="1" applyAlignment="1">
      <alignment horizontal="center" vertical="center" wrapText="1"/>
    </xf>
    <xf numFmtId="9" fontId="15" fillId="2" borderId="70" xfId="0" applyNumberFormat="1" applyFont="1" applyFill="1" applyBorder="1" applyAlignment="1">
      <alignment horizontal="center" vertical="center"/>
    </xf>
    <xf numFmtId="9" fontId="15" fillId="2" borderId="77" xfId="0" applyNumberFormat="1" applyFont="1" applyFill="1" applyBorder="1" applyAlignment="1">
      <alignment horizontal="center" vertical="center"/>
    </xf>
    <xf numFmtId="9" fontId="15" fillId="2" borderId="19" xfId="0" applyNumberFormat="1" applyFont="1" applyFill="1" applyBorder="1" applyAlignment="1">
      <alignment horizontal="center" vertical="center" wrapText="1"/>
    </xf>
    <xf numFmtId="3" fontId="16" fillId="2" borderId="78" xfId="0" applyNumberFormat="1" applyFont="1" applyFill="1" applyBorder="1" applyAlignment="1">
      <alignment horizontal="right" vertical="center" wrapText="1"/>
    </xf>
    <xf numFmtId="3" fontId="16" fillId="2" borderId="0" xfId="0" applyNumberFormat="1" applyFont="1" applyFill="1" applyAlignment="1">
      <alignment horizontal="right" vertical="center"/>
    </xf>
    <xf numFmtId="3" fontId="16" fillId="2" borderId="75" xfId="0" applyNumberFormat="1" applyFont="1" applyFill="1" applyBorder="1" applyAlignment="1">
      <alignment horizontal="right" vertical="center"/>
    </xf>
    <xf numFmtId="165" fontId="93" fillId="0" borderId="114" xfId="0" applyNumberFormat="1" applyFont="1" applyBorder="1" applyAlignment="1">
      <alignment horizontal="center" vertical="center"/>
    </xf>
    <xf numFmtId="165" fontId="93" fillId="0" borderId="75" xfId="0" applyNumberFormat="1" applyFont="1" applyBorder="1" applyAlignment="1">
      <alignment horizontal="center" vertical="center"/>
    </xf>
    <xf numFmtId="164" fontId="93" fillId="0" borderId="114" xfId="0" applyNumberFormat="1" applyFont="1" applyBorder="1" applyAlignment="1">
      <alignment horizontal="center" vertical="center"/>
    </xf>
    <xf numFmtId="0" fontId="76" fillId="4" borderId="0" xfId="0" applyFont="1" applyFill="1" applyAlignment="1">
      <alignment horizontal="center" vertical="center"/>
    </xf>
    <xf numFmtId="0" fontId="73" fillId="0" borderId="0" xfId="0" applyFont="1" applyAlignment="1">
      <alignment horizontal="left"/>
    </xf>
    <xf numFmtId="0" fontId="79" fillId="0" borderId="0" xfId="0" applyFont="1" applyAlignment="1">
      <alignment horizontal="center"/>
    </xf>
    <xf numFmtId="0" fontId="51" fillId="4" borderId="0" xfId="0" applyFont="1" applyFill="1" applyAlignment="1">
      <alignment horizontal="center" vertical="center"/>
    </xf>
    <xf numFmtId="0" fontId="56" fillId="4" borderId="214" xfId="0" applyFont="1" applyFill="1" applyBorder="1" applyAlignment="1" applyProtection="1">
      <alignment horizontal="left"/>
      <protection locked="0"/>
    </xf>
    <xf numFmtId="0" fontId="102" fillId="14" borderId="68" xfId="0" applyFont="1" applyFill="1" applyBorder="1" applyAlignment="1">
      <alignment horizontal="center" vertical="center"/>
    </xf>
    <xf numFmtId="0" fontId="72" fillId="14" borderId="68" xfId="0" applyFont="1" applyFill="1" applyBorder="1" applyAlignment="1">
      <alignment horizontal="center" vertical="center"/>
    </xf>
    <xf numFmtId="0" fontId="72" fillId="14" borderId="12" xfId="0" applyFont="1" applyFill="1" applyBorder="1" applyAlignment="1">
      <alignment horizontal="center" vertical="center"/>
    </xf>
    <xf numFmtId="0" fontId="72" fillId="0" borderId="68" xfId="0" applyFont="1" applyBorder="1" applyAlignment="1">
      <alignment horizontal="center"/>
    </xf>
    <xf numFmtId="0" fontId="102" fillId="14" borderId="68" xfId="0" applyFont="1" applyFill="1" applyBorder="1" applyAlignment="1">
      <alignment horizontal="center"/>
    </xf>
    <xf numFmtId="0" fontId="102" fillId="14" borderId="69" xfId="0" applyFont="1" applyFill="1" applyBorder="1" applyAlignment="1">
      <alignment horizontal="center"/>
    </xf>
    <xf numFmtId="0" fontId="58" fillId="0" borderId="0" xfId="0" applyFont="1" applyAlignment="1">
      <alignment horizontal="center" vertical="center"/>
    </xf>
    <xf numFmtId="0" fontId="58" fillId="19" borderId="141" xfId="0" applyFont="1" applyFill="1" applyBorder="1" applyAlignment="1">
      <alignment horizontal="center"/>
    </xf>
    <xf numFmtId="0" fontId="58" fillId="19" borderId="89" xfId="0" applyFont="1" applyFill="1" applyBorder="1" applyAlignment="1">
      <alignment horizontal="center"/>
    </xf>
    <xf numFmtId="0" fontId="58" fillId="19" borderId="157" xfId="0" applyFont="1" applyFill="1" applyBorder="1" applyAlignment="1">
      <alignment horizontal="center"/>
    </xf>
    <xf numFmtId="0" fontId="58" fillId="19" borderId="151" xfId="0" applyFont="1" applyFill="1" applyBorder="1" applyAlignment="1">
      <alignment horizontal="center"/>
    </xf>
    <xf numFmtId="0" fontId="58" fillId="19" borderId="215" xfId="0" applyFont="1" applyFill="1" applyBorder="1" applyAlignment="1">
      <alignment horizontal="center"/>
    </xf>
    <xf numFmtId="0" fontId="58" fillId="19" borderId="135" xfId="0" applyFont="1" applyFill="1" applyBorder="1" applyAlignment="1">
      <alignment horizontal="center" vertical="center" wrapText="1"/>
    </xf>
    <xf numFmtId="0" fontId="58" fillId="0" borderId="0" xfId="0" applyFont="1" applyAlignment="1">
      <alignment horizontal="center" vertical="center" wrapText="1"/>
    </xf>
    <xf numFmtId="0" fontId="51" fillId="12" borderId="0" xfId="0" applyFont="1" applyFill="1" applyAlignment="1">
      <alignment horizontal="left" vertical="center"/>
    </xf>
    <xf numFmtId="0" fontId="51" fillId="12" borderId="0" xfId="0" applyFont="1" applyFill="1" applyAlignment="1">
      <alignment horizontal="center" vertical="center"/>
    </xf>
    <xf numFmtId="0" fontId="58" fillId="19" borderId="159" xfId="0" applyFont="1" applyFill="1" applyBorder="1" applyAlignment="1">
      <alignment horizontal="center"/>
    </xf>
    <xf numFmtId="0" fontId="58" fillId="19" borderId="142" xfId="0" applyFont="1" applyFill="1" applyBorder="1" applyAlignment="1">
      <alignment horizontal="center"/>
    </xf>
    <xf numFmtId="0" fontId="58" fillId="19" borderId="173" xfId="0" applyFont="1" applyFill="1" applyBorder="1" applyAlignment="1">
      <alignment horizontal="center"/>
    </xf>
    <xf numFmtId="0" fontId="58" fillId="19" borderId="174" xfId="0" applyFont="1" applyFill="1" applyBorder="1" applyAlignment="1">
      <alignment horizontal="center"/>
    </xf>
    <xf numFmtId="0" fontId="52" fillId="0" borderId="0" xfId="0" applyFont="1" applyAlignment="1">
      <alignment horizontal="right"/>
    </xf>
    <xf numFmtId="0" fontId="14" fillId="0" borderId="83" xfId="0" applyFont="1" applyBorder="1" applyAlignment="1">
      <alignment horizontal="right"/>
    </xf>
    <xf numFmtId="0" fontId="14" fillId="0" borderId="0" xfId="0" applyFont="1" applyAlignment="1">
      <alignment horizontal="right"/>
    </xf>
    <xf numFmtId="0" fontId="52" fillId="12" borderId="182" xfId="0" applyFont="1" applyFill="1" applyBorder="1" applyAlignment="1" applyProtection="1">
      <alignment horizontal="center"/>
      <protection locked="0"/>
    </xf>
    <xf numFmtId="0" fontId="62" fillId="13" borderId="0" xfId="0" applyFont="1" applyFill="1" applyAlignment="1">
      <alignment horizontal="left" vertical="center"/>
    </xf>
    <xf numFmtId="0" fontId="58" fillId="19" borderId="90" xfId="0" applyFont="1" applyFill="1" applyBorder="1" applyAlignment="1">
      <alignment horizontal="center" vertical="center" wrapText="1"/>
    </xf>
    <xf numFmtId="0" fontId="58" fillId="19" borderId="114" xfId="0" applyFont="1" applyFill="1" applyBorder="1" applyAlignment="1">
      <alignment horizontal="center" vertical="center" wrapText="1"/>
    </xf>
    <xf numFmtId="0" fontId="58" fillId="19" borderId="136" xfId="0" applyFont="1" applyFill="1" applyBorder="1" applyAlignment="1">
      <alignment horizontal="center" vertical="center"/>
    </xf>
    <xf numFmtId="0" fontId="58" fillId="19" borderId="157" xfId="0" applyFont="1" applyFill="1" applyBorder="1" applyAlignment="1">
      <alignment horizontal="center" vertical="center"/>
    </xf>
    <xf numFmtId="0" fontId="58" fillId="19" borderId="13" xfId="0" applyFont="1" applyFill="1" applyBorder="1" applyAlignment="1">
      <alignment horizontal="center" vertical="center"/>
    </xf>
    <xf numFmtId="0" fontId="58" fillId="19" borderId="180" xfId="0" applyFont="1" applyFill="1" applyBorder="1" applyAlignment="1">
      <alignment horizontal="center" vertical="center"/>
    </xf>
    <xf numFmtId="0" fontId="58" fillId="19" borderId="88" xfId="0" applyFont="1" applyFill="1" applyBorder="1" applyAlignment="1">
      <alignment horizontal="center"/>
    </xf>
    <xf numFmtId="0" fontId="58" fillId="19" borderId="196" xfId="0" applyFont="1" applyFill="1" applyBorder="1" applyAlignment="1">
      <alignment horizontal="center"/>
    </xf>
    <xf numFmtId="0" fontId="58" fillId="19" borderId="158" xfId="0" applyFont="1" applyFill="1" applyBorder="1" applyAlignment="1">
      <alignment horizontal="center" vertical="center" wrapText="1"/>
    </xf>
    <xf numFmtId="0" fontId="58" fillId="19" borderId="171" xfId="0" applyFont="1" applyFill="1" applyBorder="1" applyAlignment="1">
      <alignment horizontal="center" vertical="center" wrapText="1"/>
    </xf>
    <xf numFmtId="0" fontId="58" fillId="19" borderId="172" xfId="0" applyFont="1" applyFill="1" applyBorder="1" applyAlignment="1">
      <alignment horizontal="center" vertical="center" wrapText="1"/>
    </xf>
    <xf numFmtId="0" fontId="58" fillId="19" borderId="92" xfId="0" applyFont="1" applyFill="1" applyBorder="1" applyAlignment="1">
      <alignment horizontal="center" vertical="center" wrapText="1"/>
    </xf>
    <xf numFmtId="0" fontId="13" fillId="9" borderId="6" xfId="0" applyFont="1" applyFill="1" applyBorder="1" applyAlignment="1">
      <alignment vertical="center" wrapText="1"/>
    </xf>
    <xf numFmtId="0" fontId="13" fillId="9" borderId="0" xfId="0" applyFont="1" applyFill="1" applyAlignment="1">
      <alignment vertical="center" wrapText="1"/>
    </xf>
    <xf numFmtId="0" fontId="1" fillId="0" borderId="3" xfId="0" applyFont="1" applyBorder="1" applyAlignment="1">
      <alignment horizontal="left" vertical="center" wrapText="1" readingOrder="1"/>
    </xf>
    <xf numFmtId="0" fontId="1" fillId="0" borderId="4" xfId="0" applyFont="1" applyBorder="1" applyAlignment="1">
      <alignment horizontal="left" vertical="center" wrapText="1" readingOrder="1"/>
    </xf>
    <xf numFmtId="0" fontId="1" fillId="0" borderId="5" xfId="0" applyFont="1" applyBorder="1" applyAlignment="1">
      <alignment horizontal="left" vertical="center" wrapText="1" readingOrder="1"/>
    </xf>
    <xf numFmtId="0" fontId="1" fillId="6" borderId="4" xfId="0" applyFont="1" applyFill="1" applyBorder="1" applyAlignment="1">
      <alignment horizontal="center" vertical="center" wrapText="1" readingOrder="1"/>
    </xf>
    <xf numFmtId="0" fontId="0" fillId="7" borderId="4" xfId="0" applyFill="1" applyBorder="1" applyAlignment="1">
      <alignment horizontal="center" vertical="center" wrapText="1" readingOrder="1"/>
    </xf>
    <xf numFmtId="0" fontId="0" fillId="7" borderId="5" xfId="0" applyFill="1" applyBorder="1" applyAlignment="1">
      <alignment horizontal="center" vertical="center" wrapText="1" readingOrder="1"/>
    </xf>
    <xf numFmtId="0" fontId="71" fillId="22" borderId="0" xfId="0" applyFont="1" applyFill="1" applyAlignment="1">
      <alignment horizontal="center"/>
    </xf>
    <xf numFmtId="0" fontId="58" fillId="19" borderId="90" xfId="0" applyFont="1" applyFill="1" applyBorder="1" applyAlignment="1">
      <alignment horizontal="center"/>
    </xf>
    <xf numFmtId="0" fontId="58" fillId="19" borderId="91" xfId="0" applyFont="1" applyFill="1" applyBorder="1" applyAlignment="1">
      <alignment horizontal="center"/>
    </xf>
    <xf numFmtId="0" fontId="14" fillId="0" borderId="0" xfId="0" applyFont="1" applyAlignment="1">
      <alignment horizontal="center"/>
    </xf>
    <xf numFmtId="0" fontId="58" fillId="0" borderId="0" xfId="0" applyFont="1" applyAlignment="1">
      <alignment horizontal="center"/>
    </xf>
    <xf numFmtId="0" fontId="24" fillId="13" borderId="118" xfId="0" applyFont="1" applyFill="1" applyBorder="1" applyAlignment="1">
      <alignment horizontal="center" vertical="center"/>
    </xf>
  </cellXfs>
  <cellStyles count="3">
    <cellStyle name="Hyperlink" xfId="1" builtinId="8"/>
    <cellStyle name="Normal" xfId="0" builtinId="0"/>
    <cellStyle name="Percent" xfId="2" builtinId="5"/>
  </cellStyles>
  <dxfs count="550">
    <dxf>
      <font>
        <color theme="0"/>
      </font>
      <fill>
        <patternFill>
          <bgColor theme="9"/>
        </patternFill>
      </fill>
    </dxf>
    <dxf>
      <font>
        <color theme="0"/>
      </font>
      <fill>
        <patternFill>
          <bgColor theme="5"/>
        </patternFill>
      </fill>
    </dxf>
    <dxf>
      <font>
        <color rgb="FF9C0006"/>
      </font>
      <fill>
        <patternFill patternType="solid">
          <bgColor theme="1" tint="4.9989318521683403E-2"/>
        </patternFill>
      </fill>
    </dxf>
    <dxf>
      <font>
        <b/>
        <i val="0"/>
      </font>
      <fill>
        <patternFill>
          <bgColor theme="9"/>
        </patternFill>
      </fill>
    </dxf>
    <dxf>
      <font>
        <b/>
        <i val="0"/>
      </font>
      <fill>
        <patternFill>
          <bgColor theme="5"/>
        </patternFill>
      </fill>
    </dxf>
    <dxf>
      <font>
        <b/>
        <i val="0"/>
      </font>
      <fill>
        <patternFill>
          <bgColor theme="9"/>
        </patternFill>
      </fill>
    </dxf>
    <dxf>
      <font>
        <b/>
        <i val="0"/>
      </font>
      <fill>
        <patternFill>
          <bgColor theme="5"/>
        </patternFill>
      </fill>
    </dxf>
    <dxf>
      <font>
        <b/>
        <i val="0"/>
      </font>
      <fill>
        <patternFill>
          <bgColor theme="9"/>
        </patternFill>
      </fill>
    </dxf>
    <dxf>
      <font>
        <b/>
        <i val="0"/>
      </font>
      <fill>
        <patternFill>
          <bgColor theme="5"/>
        </patternFill>
      </fill>
    </dxf>
    <dxf>
      <font>
        <b/>
        <i val="0"/>
      </font>
      <fill>
        <patternFill>
          <bgColor theme="9"/>
        </patternFill>
      </fill>
    </dxf>
    <dxf>
      <font>
        <b/>
        <i val="0"/>
      </font>
      <fill>
        <patternFill>
          <bgColor theme="5"/>
        </patternFill>
      </fill>
    </dxf>
    <dxf>
      <font>
        <color theme="0"/>
      </font>
      <border>
        <bottom style="thin">
          <color theme="1"/>
        </bottom>
      </border>
    </dxf>
    <dxf>
      <fill>
        <patternFill>
          <bgColor theme="1"/>
        </patternFill>
      </fill>
      <border>
        <bottom style="thin">
          <color theme="0"/>
        </bottom>
      </border>
    </dxf>
    <dxf>
      <font>
        <color theme="9"/>
      </font>
      <fill>
        <patternFill>
          <bgColor theme="9"/>
        </patternFill>
      </fill>
      <border>
        <bottom style="thin">
          <color theme="0"/>
        </bottom>
      </border>
    </dxf>
    <dxf>
      <font>
        <color theme="5"/>
      </font>
      <fill>
        <patternFill>
          <bgColor theme="5"/>
        </patternFill>
      </fill>
      <border>
        <bottom style="thin">
          <color theme="0"/>
        </bottom>
      </border>
    </dxf>
    <dxf>
      <fill>
        <patternFill>
          <bgColor theme="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color theme="0"/>
      </font>
      <fill>
        <patternFill>
          <bgColor theme="5" tint="-0.24994659260841701"/>
        </patternFill>
      </fill>
    </dxf>
    <dxf>
      <font>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border diagonalUp="0" diagonalDown="0" outline="0">
        <left/>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outline="0">
        <left/>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rgb="FF000000"/>
        </left>
        <right/>
        <top style="thin">
          <color rgb="FF000000"/>
        </top>
        <bottom style="thin">
          <color rgb="FF000000"/>
        </bottom>
      </border>
    </dxf>
    <dxf>
      <font>
        <strike val="0"/>
        <outline val="0"/>
        <shadow val="0"/>
        <u val="none"/>
        <vertAlign val="baseline"/>
        <sz val="10"/>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0"/>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alignment horizontal="left" vertical="center" textRotation="0" wrapText="0" indent="0" justifyLastLine="0" shrinkToFit="0" readingOrder="0"/>
      <border diagonalUp="0" diagonalDown="0">
        <left style="thin">
          <color rgb="FF000000"/>
        </left>
        <right style="thin">
          <color rgb="FF000000"/>
        </right>
        <top style="thin">
          <color rgb="FF000000"/>
        </top>
        <bottom/>
        <vertical/>
        <horizontal/>
      </border>
    </dxf>
    <dxf>
      <font>
        <strike val="0"/>
        <outline val="0"/>
        <shadow val="0"/>
        <u val="none"/>
        <vertAlign val="baseline"/>
        <sz val="1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strike val="0"/>
        <outline val="0"/>
        <shadow val="0"/>
        <u val="none"/>
        <vertAlign val="baseline"/>
        <sz val="10"/>
        <name val="Arial"/>
        <family val="2"/>
        <scheme val="none"/>
      </font>
      <fill>
        <patternFill patternType="none">
          <fgColor indexed="64"/>
          <bgColor auto="1"/>
        </patternFill>
      </fill>
      <alignment horizontal="left" vertical="center" textRotation="0" wrapText="1" indent="0" justifyLastLine="0" shrinkToFit="1" readingOrder="0"/>
      <border diagonalUp="0" diagonalDown="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strike val="0"/>
        <outline val="0"/>
        <shadow val="0"/>
        <u val="none"/>
        <vertAlign val="baseline"/>
        <sz val="10"/>
        <name val="Arial"/>
        <family val="2"/>
        <scheme val="none"/>
      </font>
      <fill>
        <patternFill patternType="none">
          <fgColor indexed="64"/>
          <bgColor auto="1"/>
        </patternFill>
      </fill>
      <alignment horizontal="left" vertical="center" textRotation="0" indent="0" justifyLastLine="0" shrinkToFit="0" readingOrder="0"/>
    </dxf>
    <dxf>
      <font>
        <b/>
        <i val="0"/>
        <strike val="0"/>
        <condense val="0"/>
        <extend val="0"/>
        <outline val="0"/>
        <shadow val="0"/>
        <u val="none"/>
        <vertAlign val="baseline"/>
        <sz val="10"/>
        <color theme="0"/>
        <name val="Arial"/>
        <family val="2"/>
        <scheme val="none"/>
      </font>
      <fill>
        <patternFill patternType="none">
          <fgColor indexed="64"/>
          <bgColor auto="1"/>
        </patternFill>
      </fill>
      <alignment horizontal="center" vertical="center" textRotation="0" wrapText="1" indent="0" justifyLastLine="0" shrinkToFit="0" readingOrder="1"/>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left/>
        <right/>
        <top style="thin">
          <color rgb="FF8EA9DB"/>
        </top>
        <bottom style="thin">
          <color rgb="FF8EA9DB"/>
        </bottom>
      </border>
      <protection locked="1" hidden="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general" vertical="bottom" textRotation="0" wrapText="0" indent="0" justifyLastLine="0" shrinkToFit="0" readingOrder="0"/>
      <border diagonalUp="0" diagonalDown="0">
        <left/>
        <right/>
        <top style="thin">
          <color rgb="FF8EA9DB"/>
        </top>
        <bottom style="thin">
          <color rgb="FF8EA9DB"/>
        </bottom>
      </border>
    </dxf>
    <dxf>
      <alignment vertical="bottom" textRotation="0" wrapText="0" indent="0" justifyLastLine="0" shrinkToFit="0" readingOrder="0"/>
    </dxf>
    <dxf>
      <border outline="0">
        <left style="thin">
          <color rgb="FF8EA9DB"/>
        </left>
        <right style="thin">
          <color rgb="FF8EA9DB"/>
        </right>
        <top style="thin">
          <color rgb="FF8EA9DB"/>
        </top>
        <bottom style="thin">
          <color rgb="FF8EA9DB"/>
        </bottom>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general" vertical="bottom" textRotation="0" wrapText="0" indent="0" justifyLastLine="0" shrinkToFit="0" readingOrder="0"/>
    </dxf>
    <dxf>
      <border outline="0">
        <bottom style="thin">
          <color rgb="FF8EA9DB"/>
        </bottom>
      </border>
    </dxf>
    <dxf>
      <font>
        <b/>
        <i val="0"/>
        <strike val="0"/>
        <condense val="0"/>
        <extend val="0"/>
        <outline val="0"/>
        <shadow val="0"/>
        <u val="none"/>
        <vertAlign val="baseline"/>
        <sz val="10"/>
        <color theme="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border>
      <protection locked="1" hidden="0"/>
    </dxf>
    <dxf>
      <border outline="0">
        <top style="thin">
          <color theme="4" tint="0.39997558519241921"/>
        </top>
      </border>
    </dxf>
    <dxf>
      <font>
        <strike val="0"/>
        <outline val="0"/>
        <shadow val="0"/>
        <u val="none"/>
        <vertAlign val="baseline"/>
        <sz val="11"/>
        <color theme="1"/>
        <name val="Arial"/>
        <family val="2"/>
        <scheme val="none"/>
      </font>
    </dxf>
    <dxf>
      <border outline="0">
        <right style="medium">
          <color theme="4"/>
        </right>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style="thin">
          <color theme="4"/>
        </right>
        <top/>
        <bottom style="thin">
          <color theme="4"/>
        </bottom>
      </border>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bottom style="thin">
          <color theme="4"/>
        </bottom>
      </border>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bottom style="thin">
          <color theme="4"/>
        </bottom>
      </border>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style="thin">
          <color theme="4"/>
        </left>
        <right/>
        <top/>
        <bottom style="thin">
          <color theme="4"/>
        </bottom>
      </border>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border>
      <protection locked="1" hidden="0"/>
    </dxf>
    <dxf>
      <border outline="0">
        <top style="thin">
          <color theme="4" tint="0.39997558519241921"/>
        </top>
      </border>
    </dxf>
    <dxf>
      <font>
        <strike val="0"/>
        <outline val="0"/>
        <shadow val="0"/>
        <u val="none"/>
        <vertAlign val="baseline"/>
        <sz val="11"/>
        <color theme="1"/>
        <name val="Arial"/>
        <family val="2"/>
        <scheme val="none"/>
      </font>
    </dxf>
    <dxf>
      <border outline="0">
        <right style="medium">
          <color theme="4"/>
        </right>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1" hidden="0"/>
    </dxf>
    <dxf>
      <font>
        <strike val="0"/>
        <outline val="0"/>
        <shadow val="0"/>
        <u val="none"/>
        <vertAlign val="baseline"/>
        <sz val="11"/>
        <color theme="1"/>
        <name val="Arial"/>
        <family val="2"/>
        <scheme val="none"/>
      </font>
    </dxf>
    <dxf>
      <border outline="0">
        <right style="medium">
          <color theme="4"/>
        </right>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1" hidden="0"/>
    </dxf>
    <dxf>
      <font>
        <strike val="0"/>
        <outline val="0"/>
        <shadow val="0"/>
        <u val="none"/>
        <vertAlign val="baseline"/>
        <sz val="11"/>
        <color theme="1"/>
        <name val="Arial"/>
        <family val="2"/>
        <scheme val="none"/>
      </font>
    </dxf>
    <dxf>
      <border outline="0">
        <right style="medium">
          <color theme="4"/>
        </right>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border>
      <protection locked="1" hidden="0"/>
    </dxf>
    <dxf>
      <border outline="0">
        <top style="thin">
          <color theme="4" tint="0.39997558519241921"/>
        </top>
      </border>
    </dxf>
    <dxf>
      <font>
        <strike val="0"/>
        <outline val="0"/>
        <shadow val="0"/>
        <u val="none"/>
        <vertAlign val="baseline"/>
        <sz val="11"/>
        <color theme="1"/>
        <name val="Arial"/>
        <family val="2"/>
        <scheme val="none"/>
      </font>
    </dxf>
    <dxf>
      <border outline="0">
        <right style="medium">
          <color theme="4"/>
        </right>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style="thin">
          <color theme="4"/>
        </right>
        <top/>
        <bottom style="thin">
          <color theme="4"/>
        </bottom>
      </border>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bottom style="thin">
          <color theme="4"/>
        </bottom>
      </border>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bottom style="thin">
          <color theme="4"/>
        </bottom>
      </border>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style="thin">
          <color theme="4"/>
        </left>
        <right/>
        <top/>
        <bottom style="thin">
          <color theme="4"/>
        </bottom>
      </border>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border>
      <protection locked="1" hidden="0"/>
    </dxf>
    <dxf>
      <border outline="0">
        <top style="thin">
          <color theme="4" tint="0.39997558519241921"/>
        </top>
      </border>
    </dxf>
    <dxf>
      <font>
        <strike val="0"/>
        <outline val="0"/>
        <shadow val="0"/>
        <u val="none"/>
        <vertAlign val="baseline"/>
        <sz val="11"/>
        <color theme="1"/>
        <name val="Arial"/>
        <family val="2"/>
        <scheme val="none"/>
      </font>
    </dxf>
    <dxf>
      <border outline="0">
        <right style="medium">
          <color theme="4"/>
        </right>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style="thin">
          <color theme="4"/>
        </right>
        <top style="thin">
          <color theme="4" tint="0.39997558519241921"/>
        </top>
        <bottom/>
      </border>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1" hidden="0"/>
    </dxf>
    <dxf>
      <border>
        <top style="thin">
          <color theme="4" tint="0.39997558519241921"/>
        </top>
      </border>
    </dxf>
    <dxf>
      <font>
        <strike val="0"/>
        <outline val="0"/>
        <shadow val="0"/>
        <u val="none"/>
        <vertAlign val="baseline"/>
        <sz val="11"/>
        <color theme="1"/>
        <name val="Arial"/>
        <family val="2"/>
        <scheme val="none"/>
      </font>
    </dxf>
    <dxf>
      <border outline="0">
        <right style="medium">
          <color theme="4"/>
        </right>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fill>
        <patternFill patternType="solid">
          <fgColor theme="4" tint="0.79998168889431442"/>
          <bgColor theme="4" tint="0.79998168889431442"/>
        </patternFill>
      </fill>
      <alignment horizontal="center" vertical="bottom" textRotation="0" wrapText="0" indent="0" justifyLastLine="0" shrinkToFit="0" readingOrder="0"/>
      <protection locked="1" hidden="0"/>
    </dxf>
    <dxf>
      <border>
        <top style="thin">
          <color theme="4" tint="0.39997558519241921"/>
        </top>
      </border>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protection locked="0" hidden="0"/>
    </dxf>
    <dxf>
      <border outline="0">
        <right style="medium">
          <color theme="4"/>
        </right>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border>
      <protection locked="1" hidden="0"/>
    </dxf>
    <dxf>
      <border>
        <top style="thin">
          <color theme="4" tint="0.39997558519241921"/>
        </top>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border outline="0">
        <right style="medium">
          <color theme="4"/>
        </right>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strike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strike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strike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strike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strike val="0"/>
        <outline val="0"/>
        <shadow val="0"/>
        <u val="none"/>
        <vertAlign val="baseline"/>
        <sz val="11"/>
        <color theme="1"/>
        <name val="Arial"/>
        <family val="2"/>
        <scheme val="none"/>
      </font>
      <alignment horizontal="center"/>
    </dxf>
    <dxf>
      <border outline="0">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strike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strike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strike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strike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strike val="0"/>
        <outline val="0"/>
        <shadow val="0"/>
        <u val="none"/>
        <vertAlign val="baseline"/>
        <sz val="11"/>
        <color theme="1"/>
        <name val="Arial"/>
        <family val="2"/>
        <scheme val="none"/>
      </font>
      <alignment horizontal="center"/>
    </dxf>
    <dxf>
      <border outline="0">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strike val="0"/>
        <outline val="0"/>
        <shadow val="0"/>
        <u val="none"/>
        <vertAlign val="baseline"/>
        <sz val="11"/>
        <color theme="1"/>
        <name val="Arial"/>
        <family val="2"/>
        <scheme val="none"/>
      </font>
      <alignment horizontal="center"/>
    </dxf>
    <dxf>
      <border outline="0">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strike val="0"/>
        <outline val="0"/>
        <shadow val="0"/>
        <u val="none"/>
        <vertAlign val="baseline"/>
        <sz val="11"/>
        <color theme="1"/>
        <name val="Arial"/>
        <family val="2"/>
        <scheme val="none"/>
      </font>
      <alignment horizontal="center"/>
    </dxf>
    <dxf>
      <border outline="0">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strike val="0"/>
        <outline val="0"/>
        <shadow val="0"/>
        <u val="none"/>
        <vertAlign val="baseline"/>
        <sz val="11"/>
        <color theme="1"/>
        <name val="Arial"/>
        <family val="2"/>
        <scheme val="none"/>
      </font>
      <alignment horizontal="center"/>
    </dxf>
    <dxf>
      <border outline="0">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strike val="0"/>
        <outline val="0"/>
        <shadow val="0"/>
        <u val="none"/>
        <vertAlign val="baseline"/>
        <sz val="11"/>
        <color theme="1"/>
        <name val="Arial"/>
        <family val="2"/>
        <scheme val="none"/>
      </font>
      <alignment horizontal="center"/>
    </dxf>
    <dxf>
      <border outline="0">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border>
        <top style="thin">
          <color theme="4" tint="0.39997558519241921"/>
        </top>
      </border>
    </dxf>
    <dxf>
      <font>
        <strike val="0"/>
        <outline val="0"/>
        <shadow val="0"/>
        <u val="none"/>
        <vertAlign val="baseline"/>
        <sz val="11"/>
        <color theme="1"/>
        <name val="Arial"/>
        <family val="2"/>
        <scheme val="none"/>
      </font>
      <alignment horizontal="center"/>
    </dxf>
    <dxf>
      <border outline="0">
        <top style="medium">
          <color theme="4"/>
        </top>
        <bottom style="medium">
          <color theme="4"/>
        </bottom>
      </border>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border>
        <top style="thin">
          <color theme="4" tint="0.39997558519241921"/>
        </top>
      </border>
    </dxf>
    <dxf>
      <font>
        <strike val="0"/>
        <outline val="0"/>
        <shadow val="0"/>
        <u val="none"/>
        <vertAlign val="baseline"/>
        <sz val="11"/>
        <color theme="1"/>
        <name val="Arial"/>
        <family val="2"/>
        <scheme val="none"/>
      </font>
      <alignment horizontal="center"/>
    </dxf>
    <dxf>
      <border outline="0">
        <top style="medium">
          <color theme="4"/>
        </top>
        <bottom style="medium">
          <color theme="4"/>
        </bottom>
      </border>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fill>
        <patternFill patternType="none">
          <fgColor indexed="64"/>
          <bgColor auto="1"/>
        </patternFill>
      </fill>
    </dxf>
    <dxf>
      <border>
        <top style="thin">
          <color theme="4" tint="0.39997558519241921"/>
        </top>
      </border>
    </dxf>
    <dxf>
      <font>
        <strike val="0"/>
        <outline val="0"/>
        <shadow val="0"/>
        <u val="none"/>
        <vertAlign val="baseline"/>
        <sz val="11"/>
        <color theme="1"/>
        <name val="Arial"/>
        <family val="2"/>
        <scheme val="none"/>
      </font>
      <alignment horizontal="center"/>
    </dxf>
    <dxf>
      <border outline="0">
        <top style="medium">
          <color theme="4"/>
        </top>
        <bottom style="medium">
          <color theme="4"/>
        </bottom>
      </border>
    </dxf>
    <dxf>
      <font>
        <strike val="0"/>
        <outline val="0"/>
        <shadow val="0"/>
        <u val="none"/>
        <vertAlign val="baseline"/>
        <sz val="1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border>
      <protection locked="1" hidden="0"/>
    </dxf>
    <dxf>
      <border>
        <top style="thin">
          <color theme="4" tint="0.39997558519241921"/>
        </top>
      </border>
    </dxf>
    <dxf>
      <font>
        <strike val="0"/>
        <outline val="0"/>
        <shadow val="0"/>
        <u val="none"/>
        <vertAlign val="baseline"/>
        <sz val="11"/>
        <color theme="1"/>
        <name val="Arial"/>
        <family val="2"/>
        <scheme val="none"/>
      </font>
      <alignment horizontal="center"/>
    </dxf>
    <dxf>
      <border outline="0">
        <right style="medium">
          <color theme="4"/>
        </right>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style="thin">
          <color theme="4"/>
        </right>
        <top style="thin">
          <color theme="4" tint="0.39997558519241921"/>
        </top>
        <bottom/>
      </border>
    </dxf>
    <dxf>
      <font>
        <b val="0"/>
        <i val="0"/>
        <strike val="0"/>
        <condense val="0"/>
        <extend val="0"/>
        <outline val="0"/>
        <shadow val="0"/>
        <u val="none"/>
        <vertAlign val="baseline"/>
        <sz val="10"/>
        <color rgb="FF000000"/>
        <name val="Arial"/>
        <family val="2"/>
        <scheme val="none"/>
      </font>
      <numFmt numFmtId="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rgb="FF000000"/>
        <name val="Arial"/>
        <family val="2"/>
        <scheme val="none"/>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rgb="FF000000"/>
        <name val="Arial"/>
        <family val="2"/>
        <scheme val="none"/>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border>
      <protection locked="1" hidden="0"/>
    </dxf>
    <dxf>
      <border>
        <top style="thin">
          <color theme="4" tint="0.39997558519241921"/>
        </top>
      </border>
    </dxf>
    <dxf>
      <font>
        <strike val="0"/>
        <outline val="0"/>
        <shadow val="0"/>
        <u val="none"/>
        <vertAlign val="baseline"/>
        <sz val="11"/>
        <color theme="1"/>
        <name val="Arial"/>
        <family val="2"/>
        <scheme val="none"/>
      </font>
      <alignment horizontal="center"/>
    </dxf>
    <dxf>
      <border outline="0">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rgb="FF000000"/>
        <name val="Arial"/>
        <family val="2"/>
        <scheme val="none"/>
      </font>
      <numFmt numFmtId="3"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rgb="FF000000"/>
        <name val="Arial"/>
        <family val="2"/>
        <scheme val="none"/>
      </font>
      <numFmt numFmtId="172" formatCode="0_);[Red]\(0\)"/>
      <alignment horizontal="center" vertical="bottom" textRotation="0" wrapText="0" indent="0" justifyLastLine="0" shrinkToFit="0" readingOrder="0"/>
      <border diagonalUp="0" diagonalDown="0">
        <left/>
        <right/>
        <top style="thin">
          <color theme="4" tint="0.39997558519241921"/>
        </top>
        <bottom/>
      </border>
      <protection locked="1"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rgb="FF000000"/>
        <name val="Arial"/>
        <family val="2"/>
        <scheme val="none"/>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rgb="FF000000"/>
        <name val="Arial"/>
        <family val="2"/>
        <scheme val="none"/>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border>
      <protection locked="1" hidden="0"/>
    </dxf>
    <dxf>
      <border>
        <top style="thin">
          <color theme="4" tint="0.39997558519241921"/>
        </top>
      </border>
    </dxf>
    <dxf>
      <font>
        <strike val="0"/>
        <outline val="0"/>
        <shadow val="0"/>
        <u val="none"/>
        <vertAlign val="baseline"/>
        <sz val="11"/>
        <color theme="1"/>
        <name val="Arial"/>
        <family val="2"/>
        <scheme val="none"/>
      </font>
      <alignment horizontal="center"/>
    </dxf>
    <dxf>
      <border outline="0">
        <left style="medium">
          <color theme="4"/>
        </left>
        <top style="medium">
          <color theme="4"/>
        </top>
        <bottom style="medium">
          <color theme="4"/>
        </bottom>
      </border>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fill>
        <patternFill patternType="none">
          <fgColor indexed="64"/>
          <bgColor auto="1"/>
        </patternFill>
      </fill>
    </dxf>
    <dxf>
      <border>
        <top style="thin">
          <color theme="4" tint="0.39997558519241921"/>
        </top>
      </border>
    </dxf>
    <dxf>
      <font>
        <strike val="0"/>
        <outline val="0"/>
        <shadow val="0"/>
        <u val="none"/>
        <vertAlign val="baseline"/>
        <sz val="11"/>
        <color theme="1"/>
        <name val="Arial"/>
        <family val="2"/>
        <scheme val="none"/>
      </font>
      <alignment horizontal="center"/>
    </dxf>
    <dxf>
      <border outline="0">
        <right style="medium">
          <color theme="4"/>
        </right>
        <top style="medium">
          <color theme="4"/>
        </top>
        <bottom style="medium">
          <color theme="4"/>
        </bottom>
      </border>
    </dxf>
    <dxf>
      <font>
        <strike val="0"/>
        <outline val="0"/>
        <shadow val="0"/>
        <u val="none"/>
        <vertAlign val="baseline"/>
        <sz val="1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fill>
        <patternFill patternType="none">
          <fgColor indexed="64"/>
          <bgColor auto="1"/>
        </patternFill>
      </fill>
    </dxf>
    <dxf>
      <border>
        <top style="thin">
          <color theme="4" tint="0.39997558519241921"/>
        </top>
      </border>
    </dxf>
    <dxf>
      <font>
        <strike val="0"/>
        <outline val="0"/>
        <shadow val="0"/>
        <u val="none"/>
        <vertAlign val="baseline"/>
        <sz val="11"/>
        <color theme="1"/>
        <name val="Arial"/>
        <family val="2"/>
        <scheme val="none"/>
      </font>
      <alignment horizontal="center"/>
    </dxf>
    <dxf>
      <border outline="0">
        <top style="medium">
          <color theme="4"/>
        </top>
        <bottom style="medium">
          <color theme="4"/>
        </bottom>
      </border>
    </dxf>
    <dxf>
      <font>
        <strike val="0"/>
        <outline val="0"/>
        <shadow val="0"/>
        <u val="none"/>
        <vertAlign val="baseline"/>
        <sz val="10"/>
        <name val="Arial"/>
        <family val="2"/>
        <scheme val="none"/>
      </font>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strike val="0"/>
        <outline val="0"/>
        <shadow val="0"/>
        <u val="none"/>
        <vertAlign val="baseline"/>
        <sz val="10"/>
        <name val="Arial"/>
        <family val="2"/>
        <scheme val="none"/>
      </font>
      <alignment horizontal="center"/>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font>
        <strike val="0"/>
        <outline val="0"/>
        <shadow val="0"/>
        <u val="none"/>
        <vertAlign val="baseline"/>
        <sz val="10"/>
        <name val="Arial"/>
        <family val="2"/>
        <scheme val="none"/>
      </font>
      <protection locked="1"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protection locked="0" hidden="0"/>
    </dxf>
    <dxf>
      <font>
        <strike val="0"/>
        <outline val="0"/>
        <shadow val="0"/>
        <u val="none"/>
        <vertAlign val="baseline"/>
        <sz val="10"/>
        <name val="Arial"/>
        <family val="2"/>
        <scheme val="none"/>
      </font>
      <alignment horizontal="center"/>
      <protection locked="0" hidden="0"/>
    </dxf>
    <dxf>
      <font>
        <b val="0"/>
        <i val="0"/>
        <strike val="0"/>
        <condense val="0"/>
        <extend val="0"/>
        <outline val="0"/>
        <shadow val="0"/>
        <u val="none"/>
        <vertAlign val="baseline"/>
        <sz val="11"/>
        <color theme="1"/>
        <name val="Arial"/>
        <family val="2"/>
        <scheme val="none"/>
      </font>
      <numFmt numFmtId="172" formatCode="0_);[Red]\(0\)"/>
      <alignment horizontal="center" vertical="bottom" textRotation="0" wrapText="0" indent="0" justifyLastLine="0" shrinkToFit="0" readingOrder="0"/>
      <border diagonalUp="0" diagonalDown="0" outline="0">
        <left/>
        <right/>
        <top style="thin">
          <color theme="4" tint="0.39997558519241921"/>
        </top>
        <bottom/>
      </border>
    </dxf>
    <dxf>
      <font>
        <strike val="0"/>
        <outline val="0"/>
        <shadow val="0"/>
        <u val="none"/>
        <vertAlign val="baseline"/>
        <sz val="10"/>
        <name val="Arial"/>
        <family val="2"/>
        <scheme val="none"/>
      </font>
      <alignment horizontal="center"/>
      <protection locked="1" hidden="0"/>
    </dxf>
    <dxf>
      <font>
        <b val="0"/>
        <i val="0"/>
        <strike val="0"/>
        <condense val="0"/>
        <extend val="0"/>
        <outline val="0"/>
        <shadow val="0"/>
        <u val="none"/>
        <vertAlign val="baseline"/>
        <sz val="11"/>
        <color theme="1"/>
        <name val="Arial"/>
        <family val="2"/>
        <scheme val="none"/>
      </font>
      <alignment horizontal="left" vertical="bottom" textRotation="0" wrapText="0" indent="0" justifyLastLine="0" shrinkToFit="0" readingOrder="0"/>
      <border diagonalUp="0" diagonalDown="0" outline="0">
        <left/>
        <right/>
        <top style="thin">
          <color theme="4" tint="0.39997558519241921"/>
        </top>
        <bottom/>
      </border>
    </dxf>
    <dxf>
      <fill>
        <patternFill patternType="none">
          <fgColor indexed="64"/>
          <bgColor auto="1"/>
        </patternFill>
      </fill>
    </dxf>
    <dxf>
      <border>
        <top style="thin">
          <color theme="4" tint="0.39997558519241921"/>
        </top>
      </border>
    </dxf>
    <dxf>
      <font>
        <strike val="0"/>
        <outline val="0"/>
        <shadow val="0"/>
        <u val="none"/>
        <vertAlign val="baseline"/>
        <sz val="11"/>
        <color theme="1"/>
        <name val="Arial"/>
        <family val="2"/>
        <scheme val="none"/>
      </font>
      <alignment horizontal="center"/>
    </dxf>
    <dxf>
      <border outline="0">
        <left style="medium">
          <color theme="4"/>
        </left>
        <top style="medium">
          <color theme="4"/>
        </top>
        <bottom style="medium">
          <color theme="4"/>
        </bottom>
      </border>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style="thin">
          <color rgb="FF0070C0"/>
        </left>
        <right style="medium">
          <color theme="4"/>
        </right>
        <top/>
        <bottom style="medium">
          <color theme="4"/>
        </bottom>
      </border>
    </dxf>
    <dxf>
      <font>
        <b/>
        <i val="0"/>
        <strike val="0"/>
        <condense val="0"/>
        <extend val="0"/>
        <outline val="0"/>
        <shadow val="0"/>
        <u val="none"/>
        <vertAlign val="baseline"/>
        <sz val="10"/>
        <color rgb="FF000000"/>
        <name val="Calibri"/>
        <family val="2"/>
        <scheme val="minor"/>
      </font>
      <numFmt numFmtId="4" formatCode="#,##0.00"/>
      <fill>
        <patternFill patternType="none"/>
      </fill>
      <alignment horizontal="center" vertical="bottom" textRotation="0" wrapText="0" indent="0" justifyLastLine="0" shrinkToFit="0" readingOrder="0"/>
      <border diagonalUp="0" diagonalDown="0">
        <left style="thin">
          <color rgb="FF0070C0"/>
        </left>
        <right/>
        <top style="thin">
          <color theme="4" tint="0.39997558519241921"/>
        </top>
        <bottom/>
        <vertical/>
      </border>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0"/>
        <color rgb="FF000000"/>
        <name val="Calibri"/>
        <family val="2"/>
        <scheme val="minor"/>
      </font>
      <numFmt numFmtId="4" formatCode="#,##0.00"/>
      <alignment horizontal="center" vertical="bottom" textRotation="0" wrapText="0" indent="0" justifyLastLine="0" shrinkToFit="0" readingOrder="0"/>
      <border diagonalUp="0" diagonalDown="0" outline="0">
        <left style="thin">
          <color theme="4"/>
        </left>
        <right/>
        <top/>
        <bottom style="medium">
          <color theme="4"/>
        </bottom>
      </border>
    </dxf>
    <dxf>
      <numFmt numFmtId="2" formatCode="0.00"/>
      <fill>
        <patternFill patternType="none"/>
      </fill>
      <alignment horizontal="center"/>
      <protection locked="0" hidden="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style="thin">
          <color theme="4"/>
        </left>
        <right/>
        <top/>
        <bottom style="medium">
          <color theme="4"/>
        </bottom>
      </border>
    </dxf>
    <dxf>
      <fill>
        <patternFill patternType="none"/>
      </fill>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right/>
        <top/>
        <bottom style="medium">
          <color theme="4"/>
        </bottom>
      </border>
    </dxf>
    <dxf>
      <fill>
        <patternFill patternType="none"/>
      </fill>
      <alignment horizontal="cent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right/>
        <top/>
        <bottom style="medium">
          <color theme="4"/>
        </bottom>
      </border>
    </dxf>
    <dxf>
      <fill>
        <patternFill patternType="none"/>
      </fill>
      <alignment horizontal="center"/>
    </dxf>
    <dxf>
      <font>
        <b val="0"/>
        <i val="0"/>
        <strike val="0"/>
        <condense val="0"/>
        <extend val="0"/>
        <outline val="0"/>
        <shadow val="0"/>
        <u val="none"/>
        <vertAlign val="baseline"/>
        <sz val="11"/>
        <color rgb="FF000000"/>
        <name val="Calibri"/>
        <family val="2"/>
        <scheme val="minor"/>
      </font>
      <border diagonalUp="0" diagonalDown="0" outline="0">
        <left style="medium">
          <color theme="4"/>
        </left>
        <right/>
        <top/>
        <bottom style="medium">
          <color theme="4"/>
        </bottom>
      </border>
    </dxf>
    <dxf>
      <fill>
        <patternFill patternType="none"/>
      </fill>
    </dxf>
    <dxf>
      <font>
        <b val="0"/>
        <i val="0"/>
        <strike val="0"/>
        <condense val="0"/>
        <extend val="0"/>
        <outline val="0"/>
        <shadow val="0"/>
        <u val="none"/>
        <vertAlign val="baseline"/>
        <sz val="10"/>
        <color rgb="FF000000"/>
        <name val="Calibri"/>
        <family val="2"/>
        <scheme val="minor"/>
      </font>
      <fill>
        <patternFill patternType="none"/>
      </fill>
      <alignment horizontal="center" vertical="bottom" textRotation="0" wrapText="0" indent="0" justifyLastLine="0" shrinkToFit="0" readingOrder="0"/>
      <protection locked="0" hidden="0"/>
    </dxf>
    <dxf>
      <border>
        <bottom style="medium">
          <color theme="0"/>
        </bottom>
      </border>
    </dxf>
    <dxf>
      <font>
        <b/>
        <i val="0"/>
        <strike val="0"/>
        <condense val="0"/>
        <extend val="0"/>
        <outline val="0"/>
        <shadow val="0"/>
        <u val="none"/>
        <vertAlign val="baseline"/>
        <sz val="11"/>
        <color rgb="FFFFFFFF"/>
        <name val="Calibri"/>
        <family val="2"/>
        <scheme val="minor"/>
      </font>
      <fill>
        <patternFill patternType="solid">
          <fgColor rgb="FF000000"/>
          <bgColor rgb="FFED7D31"/>
        </patternFill>
      </fill>
      <alignment horizontal="center" vertical="bottom" textRotation="0" wrapText="0" indent="0" justifyLastLine="0" shrinkToFit="0" readingOrder="0"/>
      <border diagonalUp="0" diagonalDown="0">
        <left style="medium">
          <color theme="0"/>
        </left>
        <right style="medium">
          <color theme="0"/>
        </right>
        <top/>
        <bottom/>
        <vertical style="medium">
          <color theme="0"/>
        </vertical>
        <horizontal style="medium">
          <color theme="0"/>
        </horizontal>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style="thin">
          <color theme="4"/>
        </left>
        <right/>
        <top style="thin">
          <color rgb="FF8EA9DB"/>
        </top>
        <bottom style="medium">
          <color theme="8"/>
        </bottom>
      </border>
    </dxf>
    <dxf>
      <protection locked="1" hidden="0"/>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numFmt numFmtId="2" formatCode="0.00"/>
      <alignment horizontal="center" vertical="bottom" textRotation="0" wrapText="0" indent="0" justifyLastLine="0" shrinkToFit="0" readingOrder="0"/>
      <border diagonalUp="0" diagonalDown="0" outline="0">
        <left/>
        <right/>
        <top style="thin">
          <color rgb="FF8EA9DB"/>
        </top>
        <bottom style="medium">
          <color theme="8"/>
        </bottom>
      </bord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style="thin">
          <color theme="4"/>
        </left>
        <right style="thin">
          <color theme="8"/>
        </right>
        <top style="thin">
          <color rgb="FF8EA9DB"/>
        </top>
        <bottom style="medium">
          <color theme="8"/>
        </bottom>
      </border>
    </dxf>
    <dxf>
      <font>
        <sz val="11"/>
        <color rgb="FF000000"/>
        <name val="Calibri"/>
        <family val="2"/>
      </font>
      <fill>
        <patternFill patternType="none"/>
      </fill>
      <border diagonalUp="0" diagonalDown="0">
        <left style="thin">
          <color rgb="FF4472C4"/>
        </left>
        <right/>
        <top/>
        <bottom style="thin">
          <color rgb="FF8EA9DB"/>
        </bottom>
        <vertical/>
        <horizontal/>
      </bord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right/>
        <top style="thin">
          <color rgb="FF8EA9DB"/>
        </top>
        <bottom style="medium">
          <color theme="8"/>
        </bottom>
      </border>
    </dxf>
    <dxf>
      <fill>
        <patternFill patternType="none"/>
      </fill>
      <alignment horizontal="cent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right/>
        <top style="thin">
          <color rgb="FF8EA9DB"/>
        </top>
        <bottom style="medium">
          <color theme="8"/>
        </bottom>
      </border>
    </dxf>
    <dxf>
      <fill>
        <patternFill patternType="none"/>
      </fill>
      <alignment horizontal="center"/>
    </dxf>
    <dxf>
      <font>
        <b val="0"/>
        <i val="0"/>
        <strike val="0"/>
        <condense val="0"/>
        <extend val="0"/>
        <outline val="0"/>
        <shadow val="0"/>
        <u val="none"/>
        <vertAlign val="baseline"/>
        <sz val="11"/>
        <color rgb="FF000000"/>
        <name val="Calibri"/>
        <family val="2"/>
        <scheme val="minor"/>
      </font>
      <border diagonalUp="0" diagonalDown="0" outline="0">
        <left style="medium">
          <color theme="8"/>
        </left>
        <right/>
        <top style="thin">
          <color rgb="FF8EA9DB"/>
        </top>
        <bottom style="medium">
          <color theme="8"/>
        </bottom>
      </border>
    </dxf>
    <dxf>
      <fill>
        <patternFill patternType="none"/>
      </fill>
    </dxf>
    <dxf>
      <font>
        <b val="0"/>
        <i val="0"/>
        <strike val="0"/>
        <condense val="0"/>
        <extend val="0"/>
        <outline val="0"/>
        <shadow val="0"/>
        <u val="none"/>
        <vertAlign val="baseline"/>
        <sz val="10"/>
        <color rgb="FF000000"/>
        <name val="Calibri"/>
        <family val="2"/>
        <scheme val="minor"/>
      </font>
      <fill>
        <patternFill patternType="none"/>
      </fill>
      <alignment horizontal="center" vertical="bottom" textRotation="0" wrapText="0" indent="0" justifyLastLine="0" shrinkToFit="0" readingOrder="0"/>
      <protection locked="0" hidden="0"/>
    </dxf>
    <dxf>
      <border>
        <bottom style="medium">
          <color theme="0"/>
        </bottom>
      </border>
    </dxf>
    <dxf>
      <font>
        <b/>
        <i val="0"/>
        <strike val="0"/>
        <condense val="0"/>
        <extend val="0"/>
        <outline val="0"/>
        <shadow val="0"/>
        <u val="none"/>
        <vertAlign val="baseline"/>
        <sz val="11"/>
        <color rgb="FFFFFFFF"/>
        <name val="Calibri"/>
        <family val="2"/>
        <scheme val="minor"/>
      </font>
      <fill>
        <patternFill patternType="solid">
          <fgColor rgb="FF000000"/>
          <bgColor rgb="FFED7D31"/>
        </patternFill>
      </fill>
      <alignment horizontal="center" vertical="bottom" textRotation="0" wrapText="0" indent="0" justifyLastLine="0" shrinkToFit="0" readingOrder="0"/>
      <border diagonalUp="0" diagonalDown="0">
        <left style="medium">
          <color theme="0"/>
        </left>
        <right style="medium">
          <color theme="0"/>
        </right>
        <top/>
        <bottom/>
        <vertical style="medium">
          <color theme="0"/>
        </vertical>
        <horizontal style="medium">
          <color theme="0"/>
        </horizontal>
      </border>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style="thin">
          <color rgb="FF0070C0"/>
        </left>
        <right style="medium">
          <color theme="4"/>
        </right>
        <top/>
        <bottom style="medium">
          <color theme="4"/>
        </bottom>
      </border>
    </dxf>
    <dxf>
      <font>
        <b/>
        <strike val="0"/>
        <outline val="0"/>
        <shadow val="0"/>
        <u val="none"/>
        <vertAlign val="baseline"/>
        <sz val="10"/>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left style="thin">
          <color rgb="FF0070C0"/>
        </left>
        <right/>
        <vertical/>
      </border>
      <protection locked="1"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numFmt numFmtId="4" formatCode="#,##0.00"/>
      <alignment horizontal="center" vertical="center" textRotation="0" wrapText="0" indent="0" justifyLastLine="0" shrinkToFit="0" readingOrder="0"/>
      <border diagonalUp="0" diagonalDown="0" outline="0">
        <left/>
        <right/>
        <top/>
        <bottom style="medium">
          <color theme="4"/>
        </bottom>
      </border>
    </dxf>
    <dxf>
      <numFmt numFmtId="2" formatCode="0.00"/>
      <alignment horizontal="center"/>
      <protection locked="0" hidden="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border diagonalUp="0" diagonalDown="0" outline="0">
        <left style="thin">
          <color rgb="FF0070C0"/>
        </left>
        <right style="thin">
          <color rgb="FF0070C0"/>
        </right>
        <top/>
        <bottom style="medium">
          <color theme="4"/>
        </bottom>
      </border>
    </dxf>
    <dxf>
      <alignment horizontal="center"/>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border diagonalUp="0" diagonalDown="0" outline="0">
        <left/>
        <right style="thin">
          <color rgb="FF0070C0"/>
        </right>
        <top/>
        <bottom style="medium">
          <color theme="4"/>
        </bottom>
      </border>
    </dxf>
    <dxf>
      <alignment horizontal="center"/>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border diagonalUp="0" diagonalDown="0" outline="0">
        <left/>
        <right/>
        <top/>
        <bottom style="medium">
          <color theme="4"/>
        </bottom>
      </border>
    </dxf>
    <dxf>
      <alignment horizontal="center"/>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border diagonalUp="0" diagonalDown="0" outline="0">
        <left style="medium">
          <color theme="4"/>
        </left>
        <right/>
        <top/>
        <bottom style="medium">
          <color theme="4"/>
        </bottom>
      </border>
    </dxf>
    <dxf>
      <font>
        <strike val="0"/>
        <outline val="0"/>
        <shadow val="0"/>
        <u val="none"/>
        <vertAlign val="baseline"/>
        <name val="Calibri"/>
        <family val="2"/>
        <scheme val="minor"/>
      </font>
      <alignment vertical="center" textRotation="0" wrapText="0" indent="0" justifyLastLine="0" shrinkToFit="0" readingOrder="0"/>
    </dxf>
    <dxf>
      <border outline="0">
        <left style="medium">
          <color rgb="FF4472C4"/>
        </left>
        <top style="thin">
          <color rgb="FFFFFFFF"/>
        </top>
        <bottom style="medium">
          <color rgb="FF4472C4"/>
        </bottom>
      </border>
    </dxf>
    <dxf>
      <font>
        <strike val="0"/>
        <outline val="0"/>
        <shadow val="0"/>
        <u val="none"/>
        <vertAlign val="baseline"/>
        <name val="Calibri"/>
        <family val="2"/>
        <scheme val="minor"/>
      </font>
    </dxf>
    <dxf>
      <border>
        <bottom style="thin">
          <color theme="0"/>
        </bottom>
      </border>
    </dxf>
    <dxf>
      <font>
        <b/>
        <i val="0"/>
        <strike val="0"/>
        <condense val="0"/>
        <extend val="0"/>
        <outline val="0"/>
        <shadow val="0"/>
        <u val="none"/>
        <vertAlign val="baseline"/>
        <sz val="11"/>
        <color rgb="FFFFFFFF"/>
        <name val="Calibri"/>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left>
        <right style="medium">
          <color theme="0"/>
        </right>
        <top/>
        <bottom/>
        <vertical style="medium">
          <color theme="0"/>
        </vertical>
        <horizontal style="medium">
          <color theme="0"/>
        </horizontal>
      </border>
    </dxf>
    <dxf>
      <font>
        <b val="0"/>
        <i val="0"/>
        <strike val="0"/>
        <condense val="0"/>
        <extend val="0"/>
        <outline val="0"/>
        <shadow val="0"/>
        <u val="none"/>
        <vertAlign val="baseline"/>
        <sz val="10"/>
        <color theme="1"/>
        <name val="Calibri"/>
        <family val="2"/>
        <scheme val="minor"/>
      </font>
      <numFmt numFmtId="14" formatCode="0.00%"/>
    </dxf>
    <dxf>
      <font>
        <b val="0"/>
        <i val="0"/>
        <strike val="0"/>
        <condense val="0"/>
        <extend val="0"/>
        <outline val="0"/>
        <shadow val="0"/>
        <u val="none"/>
        <vertAlign val="baseline"/>
        <sz val="10"/>
        <color theme="1"/>
        <name val="Calibri"/>
        <family val="2"/>
        <scheme val="minor"/>
      </font>
      <numFmt numFmtId="14" formatCode="0.00%"/>
    </dxf>
    <dxf>
      <font>
        <b val="0"/>
        <i val="0"/>
        <strike val="0"/>
        <condense val="0"/>
        <extend val="0"/>
        <outline val="0"/>
        <shadow val="0"/>
        <u val="none"/>
        <vertAlign val="baseline"/>
        <sz val="10"/>
        <color theme="1"/>
        <name val="Calibri"/>
        <family val="2"/>
        <scheme val="minor"/>
      </font>
      <numFmt numFmtId="165" formatCode="_(&quot;$&quot;* #,##0_);_(&quot;$&quot;* \(#,##0\);_(&quot;$&quot;* &quot;-&quot;_);_(@_)"/>
    </dxf>
    <dxf>
      <font>
        <b val="0"/>
        <i val="0"/>
        <strike val="0"/>
        <condense val="0"/>
        <extend val="0"/>
        <outline val="0"/>
        <shadow val="0"/>
        <u val="none"/>
        <vertAlign val="baseline"/>
        <sz val="10"/>
        <color theme="1"/>
        <name val="Calibri"/>
        <family val="2"/>
        <scheme val="minor"/>
      </font>
      <numFmt numFmtId="165" formatCode="_(&quot;$&quot;* #,##0_);_(&quot;$&quot;* \(#,##0\);_(&quot;$&quot;* &quot;-&quot;_);_(@_)"/>
    </dxf>
    <dxf>
      <font>
        <b val="0"/>
        <i val="0"/>
        <strike val="0"/>
        <condense val="0"/>
        <extend val="0"/>
        <outline val="0"/>
        <shadow val="0"/>
        <u val="none"/>
        <vertAlign val="baseline"/>
        <sz val="10"/>
        <color theme="1"/>
        <name val="Calibri"/>
        <family val="2"/>
        <scheme val="minor"/>
      </font>
      <numFmt numFmtId="14" formatCode="0.00%"/>
    </dxf>
    <dxf>
      <font>
        <b val="0"/>
        <i val="0"/>
        <strike val="0"/>
        <condense val="0"/>
        <extend val="0"/>
        <outline val="0"/>
        <shadow val="0"/>
        <u val="none"/>
        <vertAlign val="baseline"/>
        <sz val="10"/>
        <color theme="1"/>
        <name val="Calibri"/>
        <family val="2"/>
        <scheme val="minor"/>
      </font>
      <numFmt numFmtId="14" formatCode="0.00%"/>
    </dxf>
    <dxf>
      <font>
        <b val="0"/>
        <i val="0"/>
        <strike val="0"/>
        <condense val="0"/>
        <extend val="0"/>
        <outline val="0"/>
        <shadow val="0"/>
        <u val="none"/>
        <vertAlign val="baseline"/>
        <sz val="10"/>
        <color theme="1"/>
        <name val="Calibri"/>
        <family val="2"/>
        <scheme val="minor"/>
      </font>
      <numFmt numFmtId="165" formatCode="_(&quot;$&quot;* #,##0_);_(&quot;$&quot;* \(#,##0\);_(&quot;$&quot;* &quot;-&quot;_);_(@_)"/>
    </dxf>
    <dxf>
      <font>
        <b val="0"/>
        <i val="0"/>
        <strike val="0"/>
        <condense val="0"/>
        <extend val="0"/>
        <outline val="0"/>
        <shadow val="0"/>
        <u val="none"/>
        <vertAlign val="baseline"/>
        <sz val="10"/>
        <color theme="1"/>
        <name val="Calibri"/>
        <family val="2"/>
        <scheme val="minor"/>
      </font>
      <numFmt numFmtId="165" formatCode="_(&quot;$&quot;* #,##0_);_(&quot;$&quot;* \(#,##0\);_(&quot;$&quot;* &quot;-&quot;_);_(@_)"/>
    </dxf>
    <dxf>
      <border>
        <bottom style="thin">
          <color theme="0"/>
        </bottom>
      </border>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style="thin">
          <color theme="0"/>
        </left>
        <right style="thin">
          <color theme="0"/>
        </right>
        <top/>
        <bottom/>
        <vertical style="thin">
          <color theme="0"/>
        </vertical>
        <horizontal style="thin">
          <color theme="0"/>
        </horizontal>
      </border>
    </dxf>
    <dxf>
      <font>
        <b val="0"/>
        <i val="0"/>
        <strike val="0"/>
        <condense val="0"/>
        <extend val="0"/>
        <outline val="0"/>
        <shadow val="0"/>
        <u val="none"/>
        <vertAlign val="baseline"/>
        <sz val="8"/>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numFmt numFmtId="174" formatCode="_(&quot;$&quot;* #,##0.00_);_(&quot;$&quot;* \(#,##0.00\);_(&quot;$&quot;* &quot;-&quot;_);_(@_)"/>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numFmt numFmtId="174" formatCode="_(&quot;$&quot;* #,##0.00_);_(&quot;$&quot;* \(#,##0.00\);_(&quot;$&quot;* &quot;-&quot;_);_(@_)"/>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numFmt numFmtId="174" formatCode="_(&quot;$&quot;* #,##0.00_);_(&quot;$&quot;* \(#,##0.00\);_(&quot;$&quot;* &quot;-&quot;_);_(@_)"/>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numFmt numFmtId="174" formatCode="_(&quot;$&quot;* #,##0.00_);_(&quot;$&quot;* \(#,##0.00\);_(&quot;$&quot;* &quot;-&quot;_);_(@_)"/>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numFmt numFmtId="174" formatCode="_(&quot;$&quot;* #,##0.00_);_(&quot;$&quot;* \(#,##0.00\);_(&quot;$&quot;* &quot;-&quot;_);_(@_)"/>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numFmt numFmtId="174" formatCode="_(&quot;$&quot;* #,##0.00_);_(&quot;$&quot;* \(#,##0.00\);_(&quot;$&quot;* &quot;-&quot;_);_(@_)"/>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numFmt numFmtId="174" formatCode="_(&quot;$&quot;* #,##0.00_);_(&quot;$&quot;* \(#,##0.00\);_(&quot;$&quot;* &quot;-&quot;_);_(@_)"/>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8"/>
        <color rgb="FF000000"/>
        <name val="Arial"/>
        <family val="2"/>
        <scheme val="none"/>
      </font>
      <numFmt numFmtId="174" formatCode="_(&quot;$&quot;* #,##0.00_);_(&quot;$&quot;* \(#,##0.00\);_(&quot;$&quot;* &quot;-&quot;_);_(@_)"/>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165" formatCode="_(&quot;$&quot;* #,##0_);_(&quot;$&quot;* \(#,##0\);_(&quot;$&quot;* &quot;-&quot;_);_(@_)"/>
      <alignment horizontal="center" vertical="center" textRotation="0" wrapText="0" indent="0" justifyLastLine="0" shrinkToFit="0" readingOrder="0"/>
    </dxf>
    <dxf>
      <font>
        <b/>
        <i val="0"/>
        <strike val="0"/>
        <condense val="0"/>
        <extend val="0"/>
        <outline val="0"/>
        <shadow val="0"/>
        <u val="none"/>
        <vertAlign val="baseline"/>
        <sz val="8"/>
        <color rgb="FF000000"/>
        <name val="Arial"/>
        <family val="2"/>
        <scheme val="none"/>
      </font>
    </dxf>
    <dxf>
      <font>
        <b/>
        <i val="0"/>
        <strike val="0"/>
        <condense val="0"/>
        <extend val="0"/>
        <outline val="0"/>
        <shadow val="0"/>
        <u val="none"/>
        <vertAlign val="baseline"/>
        <sz val="9"/>
        <color rgb="FF000000"/>
        <name val="Calibri Light"/>
        <family val="2"/>
        <scheme val="major"/>
      </font>
      <numFmt numFmtId="30" formatCode="@"/>
    </dxf>
    <dxf>
      <font>
        <b/>
        <i val="0"/>
        <strike val="0"/>
        <condense val="0"/>
        <extend val="0"/>
        <outline val="0"/>
        <shadow val="0"/>
        <u val="none"/>
        <vertAlign val="baseline"/>
        <sz val="8"/>
        <color rgb="FF000000"/>
        <name val="Arial"/>
        <family val="2"/>
        <scheme val="none"/>
      </font>
    </dxf>
    <dxf>
      <font>
        <b/>
        <i val="0"/>
        <strike val="0"/>
        <condense val="0"/>
        <extend val="0"/>
        <outline val="0"/>
        <shadow val="0"/>
        <u val="none"/>
        <vertAlign val="baseline"/>
        <sz val="9"/>
        <color rgb="FF000000"/>
        <name val="Calibri Light"/>
        <family val="2"/>
        <scheme val="major"/>
      </font>
      <numFmt numFmtId="30" formatCode="@"/>
    </dxf>
    <dxf>
      <font>
        <b val="0"/>
        <i val="0"/>
        <strike val="0"/>
        <condense val="0"/>
        <extend val="0"/>
        <outline val="0"/>
        <shadow val="0"/>
        <u val="none"/>
        <vertAlign val="baseline"/>
        <sz val="8"/>
        <color rgb="FF000000"/>
        <name val="Arial"/>
        <family val="2"/>
        <scheme val="none"/>
      </font>
    </dxf>
    <dxf>
      <border>
        <bottom style="thin">
          <color theme="0"/>
        </bottom>
      </border>
    </dxf>
    <dxf>
      <font>
        <b val="0"/>
        <i val="0"/>
        <strike val="0"/>
        <condense val="0"/>
        <extend val="0"/>
        <outline val="0"/>
        <shadow val="0"/>
        <u val="none"/>
        <vertAlign val="baseline"/>
        <sz val="10"/>
        <color theme="0"/>
        <name val="Calibri"/>
        <family val="2"/>
        <scheme val="minor"/>
      </font>
      <numFmt numFmtId="30" formatCode="@"/>
      <alignment horizontal="center" vertical="center" textRotation="0" wrapText="0" indent="0" justifyLastLine="0" shrinkToFit="0" readingOrder="0"/>
      <border diagonalUp="0" diagonalDown="0" outline="0">
        <left style="thin">
          <color theme="0"/>
        </left>
        <right style="thin">
          <color theme="0"/>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vertAlign val="baseline"/>
        <name val="Calibri"/>
        <family val="2"/>
        <scheme val="minor"/>
      </font>
      <fill>
        <patternFill patternType="none">
          <bgColor auto="1"/>
        </patternFill>
      </fill>
    </dxf>
    <dxf>
      <font>
        <strike val="0"/>
        <outline val="0"/>
        <shadow val="0"/>
        <vertAlign val="baseline"/>
        <name val="Calibri"/>
        <family val="2"/>
        <scheme val="minor"/>
      </font>
      <fill>
        <patternFill patternType="none">
          <bgColor auto="1"/>
        </patternFill>
      </fill>
    </dxf>
    <dxf>
      <font>
        <strike val="0"/>
        <outline val="0"/>
        <shadow val="0"/>
        <vertAlign val="baseline"/>
        <name val="Calibri"/>
        <family val="2"/>
        <scheme val="minor"/>
      </font>
      <fill>
        <patternFill patternType="none">
          <bgColor auto="1"/>
        </patternFill>
      </fill>
    </dxf>
    <dxf>
      <font>
        <strike val="0"/>
        <outline val="0"/>
        <shadow val="0"/>
        <vertAlign val="baseline"/>
        <name val="Calibri"/>
        <family val="2"/>
        <scheme val="minor"/>
      </font>
      <fill>
        <patternFill patternType="none">
          <bgColor auto="1"/>
        </patternFill>
      </fill>
    </dxf>
    <dxf>
      <font>
        <strike val="0"/>
        <outline val="0"/>
        <shadow val="0"/>
        <vertAlign val="baseline"/>
        <name val="Calibri"/>
        <family val="2"/>
        <scheme val="minor"/>
      </font>
      <fill>
        <patternFill patternType="none">
          <bgColor auto="1"/>
        </patternFill>
      </fill>
    </dxf>
    <dxf>
      <font>
        <b val="0"/>
        <i val="0"/>
        <strike val="0"/>
        <condense val="0"/>
        <extend val="0"/>
        <outline val="0"/>
        <shadow val="0"/>
        <u val="none"/>
        <vertAlign val="baseline"/>
        <sz val="8.75"/>
        <color rgb="FF0D0D0D"/>
        <name val="Calibri"/>
        <family val="2"/>
        <scheme val="minor"/>
      </font>
      <fill>
        <patternFill patternType="none">
          <fgColor rgb="FF000000"/>
          <bgColor auto="1"/>
        </patternFill>
      </fill>
      <alignment horizontal="general" vertical="center" textRotation="0" wrapText="1" indent="0" justifyLastLine="0" shrinkToFit="0" readingOrder="0"/>
    </dxf>
    <dxf>
      <font>
        <strike val="0"/>
        <outline val="0"/>
        <shadow val="0"/>
        <vertAlign val="baseline"/>
        <name val="Calibri"/>
        <family val="2"/>
        <scheme val="minor"/>
      </font>
      <fill>
        <patternFill patternType="none">
          <bgColor auto="1"/>
        </patternFill>
      </fill>
    </dxf>
    <dxf>
      <font>
        <strike val="0"/>
        <outline val="0"/>
        <shadow val="0"/>
        <vertAlign val="baseline"/>
        <name val="Calibri"/>
        <family val="2"/>
        <scheme val="minor"/>
      </font>
      <fill>
        <patternFill patternType="none">
          <bgColor auto="1"/>
        </patternFill>
      </fill>
    </dxf>
    <dxf>
      <font>
        <b/>
        <i val="0"/>
        <strike val="0"/>
        <condense val="0"/>
        <extend val="0"/>
        <outline val="0"/>
        <shadow val="0"/>
        <u val="none"/>
        <vertAlign val="baseline"/>
        <sz val="8.75"/>
        <color rgb="FF0D0D0D"/>
        <name val="Calibri"/>
        <family val="2"/>
        <scheme val="minor"/>
      </font>
      <alignment horizontal="general" vertical="center" textRotation="0" wrapText="1" indent="0" justifyLastLine="0" shrinkToFit="0" readingOrder="0"/>
    </dxf>
    <dxf>
      <font>
        <strike val="0"/>
        <outline val="0"/>
        <shadow val="0"/>
        <vertAlign val="baseline"/>
        <name val="Calibri"/>
        <family val="2"/>
        <scheme val="minor"/>
      </font>
      <fill>
        <patternFill patternType="none">
          <bgColor auto="1"/>
        </patternFill>
      </fill>
    </dxf>
    <dxf>
      <font>
        <strike val="0"/>
        <outline val="0"/>
        <shadow val="0"/>
        <vertAlign val="baseline"/>
        <name val="Calibri"/>
        <family val="2"/>
        <scheme val="minor"/>
      </font>
      <fill>
        <patternFill patternType="none">
          <bgColor auto="1"/>
        </patternFill>
      </fill>
    </dxf>
    <dxf>
      <border>
        <left style="thin">
          <color theme="5"/>
        </left>
        <right style="thin">
          <color theme="5"/>
        </right>
        <top style="thin">
          <color theme="5"/>
        </top>
        <bottom style="thin">
          <color theme="5"/>
        </bottom>
      </border>
    </dxf>
    <dxf>
      <font>
        <strike val="0"/>
        <outline val="0"/>
        <shadow val="0"/>
        <vertAlign val="baseline"/>
        <name val="Calibri"/>
        <family val="2"/>
        <scheme val="minor"/>
      </font>
      <fill>
        <patternFill patternType="none">
          <bgColor auto="1"/>
        </patternFill>
      </fill>
    </dxf>
    <dxf>
      <font>
        <b/>
        <i val="0"/>
        <strike val="0"/>
        <condense val="0"/>
        <extend val="0"/>
        <outline val="0"/>
        <shadow val="0"/>
        <u val="none"/>
        <vertAlign val="baseline"/>
        <sz val="11"/>
        <color rgb="FFFFFFFF"/>
        <name val="Calibri"/>
        <family val="2"/>
        <scheme val="minor"/>
      </font>
      <fill>
        <patternFill patternType="solid">
          <fgColor rgb="FF000000"/>
          <bgColor rgb="FFED7D31"/>
        </patternFill>
      </fill>
      <alignment horizontal="center" vertical="center" textRotation="0" wrapText="1" indent="0" justifyLastLine="0" shrinkToFit="0" readingOrder="1"/>
    </dxf>
    <dxf>
      <font>
        <sz val="10"/>
      </font>
      <fill>
        <patternFill patternType="none">
          <fgColor indexed="64"/>
          <bgColor auto="1"/>
        </patternFill>
      </fill>
      <alignment horizontal="center" vertical="center"/>
    </dxf>
    <dxf>
      <font>
        <sz val="10"/>
      </font>
      <fill>
        <patternFill patternType="none">
          <fgColor indexed="64"/>
          <bgColor auto="1"/>
        </patternFill>
      </fill>
      <alignment horizontal="center" vertical="center"/>
    </dxf>
    <dxf>
      <font>
        <sz val="10"/>
      </font>
      <fill>
        <patternFill patternType="none">
          <fgColor indexed="64"/>
          <bgColor auto="1"/>
        </patternFill>
      </fill>
      <alignment horizontal="center" vertical="center"/>
    </dxf>
    <dxf>
      <font>
        <sz val="10"/>
      </font>
      <fill>
        <patternFill patternType="none">
          <fgColor indexed="64"/>
          <bgColor auto="1"/>
        </patternFill>
      </fill>
      <alignment horizontal="center" vertical="center"/>
    </dxf>
    <dxf>
      <font>
        <sz val="10"/>
      </font>
      <fill>
        <patternFill patternType="none">
          <fgColor indexed="64"/>
          <bgColor auto="1"/>
        </patternFill>
      </fill>
      <alignment vertical="center" wrapText="1"/>
    </dxf>
    <dxf>
      <font>
        <sz val="10"/>
      </font>
      <fill>
        <patternFill patternType="none">
          <fgColor indexed="64"/>
          <bgColor auto="1"/>
        </patternFill>
      </fill>
      <alignment horizontal="center" vertical="center"/>
    </dxf>
    <dxf>
      <font>
        <sz val="10"/>
      </font>
      <fill>
        <patternFill patternType="none">
          <fgColor indexed="64"/>
          <bgColor auto="1"/>
        </patternFill>
      </fill>
      <alignment vertical="center" wrapText="1"/>
    </dxf>
    <dxf>
      <fill>
        <patternFill patternType="none">
          <fgColor indexed="64"/>
          <bgColor auto="1"/>
        </patternFill>
      </fill>
      <alignment vertical="center"/>
    </dxf>
    <dxf>
      <font>
        <sz val="10"/>
      </font>
      <fill>
        <patternFill patternType="none">
          <fgColor indexed="64"/>
          <bgColor auto="1"/>
        </patternFill>
      </fill>
      <alignment horizontal="center" vertical="cent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left" vertical="center"/>
    </dxf>
    <dxf>
      <font>
        <b val="0"/>
        <i val="0"/>
        <strike val="0"/>
        <condense val="0"/>
        <extend val="0"/>
        <outline val="0"/>
        <shadow val="0"/>
        <u val="none"/>
        <vertAlign val="baseline"/>
        <sz val="10"/>
        <color theme="1"/>
        <name val="Calibri"/>
        <family val="2"/>
        <scheme val="minor"/>
      </font>
      <fill>
        <patternFill patternType="none">
          <fgColor indexed="64"/>
          <bgColor auto="1"/>
        </patternFill>
      </fill>
      <alignment horizontal="center" vertical="center"/>
    </dxf>
    <dxf>
      <fill>
        <patternFill patternType="none">
          <fgColor indexed="64"/>
          <bgColor auto="1"/>
        </patternFill>
      </fill>
    </dxf>
    <dxf>
      <border>
        <bottom style="thin">
          <color theme="5"/>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alignment horizontal="center" vertical="bottom" textRotation="0" wrapText="0" indent="0" justifyLastLine="0" shrinkToFit="0" readingOrder="0"/>
      <border>
        <left style="thin">
          <color theme="0"/>
        </left>
        <right style="thin">
          <color theme="0"/>
        </right>
        <top/>
        <bottom/>
        <vertical style="thin">
          <color theme="0"/>
        </vertical>
        <horizontal style="thin">
          <color theme="0"/>
        </horizontal>
      </border>
    </dxf>
    <dxf>
      <alignment horizontal="center" vertical="bottom" textRotation="0" wrapText="0" indent="0" justifyLastLine="0" shrinkToFit="0" readingOrder="0"/>
    </dxf>
  </dxfs>
  <tableStyles count="1" defaultTableStyle="TableStyleMedium2" defaultPivotStyle="PivotStyleLight16">
    <tableStyle name="Invisible" pivot="0" table="0" count="0" xr9:uid="{4200C6A8-B6BF-4F01-9D29-DD2B71E347CB}"/>
  </tableStyles>
  <colors>
    <mruColors>
      <color rgb="FFD9D9D9"/>
      <color rgb="FFFF0000"/>
      <color rgb="FFED7D31"/>
      <color rgb="FFBFEEF8"/>
      <color rgb="FF7FDEF0"/>
      <color rgb="FF00BDE3"/>
      <color rgb="FF3FB2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2024</c:v>
          </c:tx>
          <c:spPr>
            <a:solidFill>
              <a:schemeClr val="accent1"/>
            </a:solidFill>
            <a:ln>
              <a:noFill/>
            </a:ln>
            <a:effectLst/>
          </c:spPr>
          <c:invertIfNegative val="0"/>
          <c:cat>
            <c:numRef>
              <c:f>ReportingDashboard!$F$11:$O$11</c:f>
              <c:numCache>
                <c:formatCode>mmm\ yy</c:formatCode>
                <c:ptCount val="10"/>
                <c:pt idx="0">
                  <c:v>45322</c:v>
                </c:pt>
                <c:pt idx="1">
                  <c:v>45351</c:v>
                </c:pt>
                <c:pt idx="2">
                  <c:v>45382</c:v>
                </c:pt>
                <c:pt idx="3">
                  <c:v>45412</c:v>
                </c:pt>
                <c:pt idx="4">
                  <c:v>45443</c:v>
                </c:pt>
                <c:pt idx="5">
                  <c:v>45473</c:v>
                </c:pt>
                <c:pt idx="6">
                  <c:v>45504</c:v>
                </c:pt>
                <c:pt idx="7">
                  <c:v>45535</c:v>
                </c:pt>
                <c:pt idx="8">
                  <c:v>45565</c:v>
                </c:pt>
                <c:pt idx="9">
                  <c:v>45596</c:v>
                </c:pt>
              </c:numCache>
            </c:numRef>
          </c:cat>
          <c:val>
            <c:numRef>
              <c:f>ReportingDashboard!$F$13:$O$13</c:f>
              <c:numCache>
                <c:formatCode>_("$"* #,##0_);_("$"* \(#,##0\);_("$"* "-"_);_(@_)</c:formatCode>
                <c:ptCount val="10"/>
                <c:pt idx="0">
                  <c:v>593114.1</c:v>
                </c:pt>
                <c:pt idx="1">
                  <c:v>650200.25</c:v>
                </c:pt>
                <c:pt idx="2">
                  <c:v>598007.12</c:v>
                </c:pt>
                <c:pt idx="3">
                  <c:v>680325.51</c:v>
                </c:pt>
                <c:pt idx="4">
                  <c:v>652747.07999999996</c:v>
                </c:pt>
                <c:pt idx="5">
                  <c:v>681904.68</c:v>
                </c:pt>
                <c:pt idx="6">
                  <c:v>671378</c:v>
                </c:pt>
                <c:pt idx="7">
                  <c:v>753064.5</c:v>
                </c:pt>
                <c:pt idx="8">
                  <c:v>761921.62</c:v>
                </c:pt>
                <c:pt idx="9">
                  <c:v>767419.49</c:v>
                </c:pt>
              </c:numCache>
            </c:numRef>
          </c:val>
          <c:extLst>
            <c:ext xmlns:c16="http://schemas.microsoft.com/office/drawing/2014/chart" uri="{C3380CC4-5D6E-409C-BE32-E72D297353CC}">
              <c16:uniqueId val="{00000000-E00E-4B1A-8B70-17C09C8434A7}"/>
            </c:ext>
          </c:extLst>
        </c:ser>
        <c:ser>
          <c:idx val="1"/>
          <c:order val="1"/>
          <c:tx>
            <c:v>2023</c:v>
          </c:tx>
          <c:spPr>
            <a:solidFill>
              <a:schemeClr val="accent2"/>
            </a:solidFill>
            <a:ln>
              <a:noFill/>
            </a:ln>
            <a:effectLst/>
          </c:spPr>
          <c:invertIfNegative val="0"/>
          <c:cat>
            <c:numRef>
              <c:f>ReportingDashboard!$F$11:$O$11</c:f>
              <c:numCache>
                <c:formatCode>mmm\ yy</c:formatCode>
                <c:ptCount val="10"/>
                <c:pt idx="0">
                  <c:v>45322</c:v>
                </c:pt>
                <c:pt idx="1">
                  <c:v>45351</c:v>
                </c:pt>
                <c:pt idx="2">
                  <c:v>45382</c:v>
                </c:pt>
                <c:pt idx="3">
                  <c:v>45412</c:v>
                </c:pt>
                <c:pt idx="4">
                  <c:v>45443</c:v>
                </c:pt>
                <c:pt idx="5">
                  <c:v>45473</c:v>
                </c:pt>
                <c:pt idx="6">
                  <c:v>45504</c:v>
                </c:pt>
                <c:pt idx="7">
                  <c:v>45535</c:v>
                </c:pt>
                <c:pt idx="8">
                  <c:v>45565</c:v>
                </c:pt>
                <c:pt idx="9">
                  <c:v>45596</c:v>
                </c:pt>
              </c:numCache>
            </c:numRef>
          </c:cat>
          <c:val>
            <c:numRef>
              <c:f>ReportingDashboard!$F$29:$O$29</c:f>
              <c:numCache>
                <c:formatCode>_("$"* #,##0_);_("$"* \(#,##0\);_("$"* "-"_);_(@_)</c:formatCode>
                <c:ptCount val="10"/>
                <c:pt idx="0">
                  <c:v>392895.7</c:v>
                </c:pt>
                <c:pt idx="1">
                  <c:v>408865.1</c:v>
                </c:pt>
                <c:pt idx="2">
                  <c:v>420865.44</c:v>
                </c:pt>
                <c:pt idx="3">
                  <c:v>431524.85</c:v>
                </c:pt>
                <c:pt idx="4">
                  <c:v>443858.35</c:v>
                </c:pt>
                <c:pt idx="5">
                  <c:v>444902</c:v>
                </c:pt>
                <c:pt idx="6">
                  <c:v>449982.9</c:v>
                </c:pt>
                <c:pt idx="7">
                  <c:v>518084.07</c:v>
                </c:pt>
                <c:pt idx="8">
                  <c:v>563636.76</c:v>
                </c:pt>
                <c:pt idx="9">
                  <c:v>587663.32999999996</c:v>
                </c:pt>
              </c:numCache>
            </c:numRef>
          </c:val>
          <c:extLst>
            <c:ext xmlns:c16="http://schemas.microsoft.com/office/drawing/2014/chart" uri="{C3380CC4-5D6E-409C-BE32-E72D297353CC}">
              <c16:uniqueId val="{00000001-E00E-4B1A-8B70-17C09C8434A7}"/>
            </c:ext>
          </c:extLst>
        </c:ser>
        <c:dLbls>
          <c:showLegendKey val="0"/>
          <c:showVal val="0"/>
          <c:showCatName val="0"/>
          <c:showSerName val="0"/>
          <c:showPercent val="0"/>
          <c:showBubbleSize val="0"/>
        </c:dLbls>
        <c:gapWidth val="219"/>
        <c:overlap val="-27"/>
        <c:axId val="466883568"/>
        <c:axId val="466888368"/>
      </c:barChart>
      <c:dateAx>
        <c:axId val="466883568"/>
        <c:scaling>
          <c:orientation val="minMax"/>
        </c:scaling>
        <c:delete val="1"/>
        <c:axPos val="b"/>
        <c:numFmt formatCode="mmm\ yy" sourceLinked="1"/>
        <c:majorTickMark val="none"/>
        <c:minorTickMark val="none"/>
        <c:tickLblPos val="nextTo"/>
        <c:crossAx val="466888368"/>
        <c:crosses val="autoZero"/>
        <c:auto val="1"/>
        <c:lblOffset val="100"/>
        <c:baseTimeUnit val="months"/>
      </c:dateAx>
      <c:valAx>
        <c:axId val="4668883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8835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a:t>
            </a:r>
            <a:r>
              <a:rPr lang="en-US" baseline="0"/>
              <a:t>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2024</c:v>
          </c:tx>
          <c:spPr>
            <a:ln w="28575" cap="rnd">
              <a:solidFill>
                <a:schemeClr val="accent1"/>
              </a:solidFill>
              <a:round/>
            </a:ln>
            <a:effectLst/>
          </c:spPr>
          <c:marker>
            <c:symbol val="circle"/>
            <c:size val="5"/>
            <c:spPr>
              <a:solidFill>
                <a:schemeClr val="bg1"/>
              </a:solidFill>
              <a:ln w="9525">
                <a:solidFill>
                  <a:schemeClr val="accent1"/>
                </a:solidFill>
              </a:ln>
              <a:effectLst/>
            </c:spPr>
          </c:marker>
          <c:cat>
            <c:numRef>
              <c:f>ReportingDashboard!$F$11:$O$11</c:f>
              <c:numCache>
                <c:formatCode>mmm\ yy</c:formatCode>
                <c:ptCount val="10"/>
                <c:pt idx="0">
                  <c:v>45322</c:v>
                </c:pt>
                <c:pt idx="1">
                  <c:v>45351</c:v>
                </c:pt>
                <c:pt idx="2">
                  <c:v>45382</c:v>
                </c:pt>
                <c:pt idx="3">
                  <c:v>45412</c:v>
                </c:pt>
                <c:pt idx="4">
                  <c:v>45443</c:v>
                </c:pt>
                <c:pt idx="5">
                  <c:v>45473</c:v>
                </c:pt>
                <c:pt idx="6">
                  <c:v>45504</c:v>
                </c:pt>
                <c:pt idx="7">
                  <c:v>45535</c:v>
                </c:pt>
                <c:pt idx="8">
                  <c:v>45565</c:v>
                </c:pt>
                <c:pt idx="9">
                  <c:v>45596</c:v>
                </c:pt>
              </c:numCache>
            </c:numRef>
          </c:cat>
          <c:val>
            <c:numRef>
              <c:f>ReportingDashboard!$F$16:$O$16</c:f>
              <c:numCache>
                <c:formatCode>0%</c:formatCode>
                <c:ptCount val="10"/>
                <c:pt idx="0">
                  <c:v>0.43681522661491268</c:v>
                </c:pt>
                <c:pt idx="1">
                  <c:v>0.52257540657666612</c:v>
                </c:pt>
                <c:pt idx="2">
                  <c:v>0.43354646011572573</c:v>
                </c:pt>
                <c:pt idx="3">
                  <c:v>0.50537572815695242</c:v>
                </c:pt>
                <c:pt idx="4">
                  <c:v>0.44274319848355348</c:v>
                </c:pt>
                <c:pt idx="5">
                  <c:v>0.44400924187820495</c:v>
                </c:pt>
                <c:pt idx="6">
                  <c:v>0.42599788792602677</c:v>
                </c:pt>
                <c:pt idx="7">
                  <c:v>0.46434405021083852</c:v>
                </c:pt>
                <c:pt idx="8">
                  <c:v>0.46908537652468763</c:v>
                </c:pt>
                <c:pt idx="9">
                  <c:v>0.38730762493405008</c:v>
                </c:pt>
              </c:numCache>
            </c:numRef>
          </c:val>
          <c:smooth val="0"/>
          <c:extLst>
            <c:ext xmlns:c16="http://schemas.microsoft.com/office/drawing/2014/chart" uri="{C3380CC4-5D6E-409C-BE32-E72D297353CC}">
              <c16:uniqueId val="{00000000-2267-4643-A9C5-32C859F9D6DC}"/>
            </c:ext>
          </c:extLst>
        </c:ser>
        <c:ser>
          <c:idx val="1"/>
          <c:order val="1"/>
          <c:tx>
            <c:v>2023</c:v>
          </c:tx>
          <c:spPr>
            <a:ln w="28575" cap="rnd">
              <a:solidFill>
                <a:schemeClr val="accent2"/>
              </a:solidFill>
              <a:round/>
            </a:ln>
            <a:effectLst/>
          </c:spPr>
          <c:marker>
            <c:symbol val="circle"/>
            <c:size val="5"/>
            <c:spPr>
              <a:solidFill>
                <a:schemeClr val="bg1"/>
              </a:solidFill>
              <a:ln w="9525">
                <a:solidFill>
                  <a:schemeClr val="accent2"/>
                </a:solidFill>
              </a:ln>
              <a:effectLst/>
            </c:spPr>
          </c:marker>
          <c:cat>
            <c:numRef>
              <c:f>ReportingDashboard!$F$11:$O$11</c:f>
              <c:numCache>
                <c:formatCode>mmm\ yy</c:formatCode>
                <c:ptCount val="10"/>
                <c:pt idx="0">
                  <c:v>45322</c:v>
                </c:pt>
                <c:pt idx="1">
                  <c:v>45351</c:v>
                </c:pt>
                <c:pt idx="2">
                  <c:v>45382</c:v>
                </c:pt>
                <c:pt idx="3">
                  <c:v>45412</c:v>
                </c:pt>
                <c:pt idx="4">
                  <c:v>45443</c:v>
                </c:pt>
                <c:pt idx="5">
                  <c:v>45473</c:v>
                </c:pt>
                <c:pt idx="6">
                  <c:v>45504</c:v>
                </c:pt>
                <c:pt idx="7">
                  <c:v>45535</c:v>
                </c:pt>
                <c:pt idx="8">
                  <c:v>45565</c:v>
                </c:pt>
                <c:pt idx="9">
                  <c:v>45596</c:v>
                </c:pt>
              </c:numCache>
            </c:numRef>
          </c:cat>
          <c:val>
            <c:numRef>
              <c:f>ReportingDashboard!$F$32:$O$32</c:f>
              <c:numCache>
                <c:formatCode>0%</c:formatCode>
                <c:ptCount val="10"/>
                <c:pt idx="0">
                  <c:v>0.19519742771427642</c:v>
                </c:pt>
                <c:pt idx="1">
                  <c:v>0.24125091625575273</c:v>
                </c:pt>
                <c:pt idx="2">
                  <c:v>0.2398514831723888</c:v>
                </c:pt>
                <c:pt idx="3">
                  <c:v>0.21632079821127334</c:v>
                </c:pt>
                <c:pt idx="4">
                  <c:v>0.17449195221853991</c:v>
                </c:pt>
                <c:pt idx="5">
                  <c:v>0.23250068554423226</c:v>
                </c:pt>
                <c:pt idx="6">
                  <c:v>0.20148005624213722</c:v>
                </c:pt>
                <c:pt idx="7">
                  <c:v>0.24660024771655309</c:v>
                </c:pt>
                <c:pt idx="8">
                  <c:v>0.31037686399304404</c:v>
                </c:pt>
                <c:pt idx="9">
                  <c:v>0.32451519477997709</c:v>
                </c:pt>
              </c:numCache>
            </c:numRef>
          </c:val>
          <c:smooth val="0"/>
          <c:extLst>
            <c:ext xmlns:c16="http://schemas.microsoft.com/office/drawing/2014/chart" uri="{C3380CC4-5D6E-409C-BE32-E72D297353CC}">
              <c16:uniqueId val="{00000001-2267-4643-A9C5-32C859F9D6DC}"/>
            </c:ext>
          </c:extLst>
        </c:ser>
        <c:dLbls>
          <c:showLegendKey val="0"/>
          <c:showVal val="0"/>
          <c:showCatName val="0"/>
          <c:showSerName val="0"/>
          <c:showPercent val="0"/>
          <c:showBubbleSize val="0"/>
        </c:dLbls>
        <c:marker val="1"/>
        <c:smooth val="0"/>
        <c:axId val="466883568"/>
        <c:axId val="466888368"/>
      </c:lineChart>
      <c:dateAx>
        <c:axId val="466883568"/>
        <c:scaling>
          <c:orientation val="minMax"/>
        </c:scaling>
        <c:delete val="1"/>
        <c:axPos val="b"/>
        <c:numFmt formatCode="mmm\ yy" sourceLinked="1"/>
        <c:majorTickMark val="none"/>
        <c:minorTickMark val="none"/>
        <c:tickLblPos val="nextTo"/>
        <c:crossAx val="466888368"/>
        <c:crosses val="autoZero"/>
        <c:auto val="1"/>
        <c:lblOffset val="100"/>
        <c:baseTimeUnit val="months"/>
      </c:dateAx>
      <c:valAx>
        <c:axId val="466888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8835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Net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2024</c:v>
          </c:tx>
          <c:spPr>
            <a:ln w="28575" cap="rnd">
              <a:solidFill>
                <a:schemeClr val="accent1"/>
              </a:solidFill>
              <a:round/>
            </a:ln>
            <a:effectLst/>
          </c:spPr>
          <c:marker>
            <c:symbol val="circle"/>
            <c:size val="5"/>
            <c:spPr>
              <a:solidFill>
                <a:schemeClr val="bg1">
                  <a:lumMod val="95000"/>
                </a:schemeClr>
              </a:solidFill>
              <a:ln w="9525">
                <a:solidFill>
                  <a:schemeClr val="accent1"/>
                </a:solidFill>
              </a:ln>
              <a:effectLst/>
            </c:spPr>
          </c:marker>
          <c:cat>
            <c:numRef>
              <c:f>ReportingDashboard!$F$11:$O$11</c:f>
              <c:numCache>
                <c:formatCode>mmm\ yy</c:formatCode>
                <c:ptCount val="10"/>
                <c:pt idx="0">
                  <c:v>45322</c:v>
                </c:pt>
                <c:pt idx="1">
                  <c:v>45351</c:v>
                </c:pt>
                <c:pt idx="2">
                  <c:v>45382</c:v>
                </c:pt>
                <c:pt idx="3">
                  <c:v>45412</c:v>
                </c:pt>
                <c:pt idx="4">
                  <c:v>45443</c:v>
                </c:pt>
                <c:pt idx="5">
                  <c:v>45473</c:v>
                </c:pt>
                <c:pt idx="6">
                  <c:v>45504</c:v>
                </c:pt>
                <c:pt idx="7">
                  <c:v>45535</c:v>
                </c:pt>
                <c:pt idx="8">
                  <c:v>45565</c:v>
                </c:pt>
                <c:pt idx="9">
                  <c:v>45596</c:v>
                </c:pt>
              </c:numCache>
            </c:numRef>
          </c:cat>
          <c:val>
            <c:numRef>
              <c:f>ReportingDashboard!$F$19:$O$19</c:f>
              <c:numCache>
                <c:formatCode>0%</c:formatCode>
                <c:ptCount val="10"/>
                <c:pt idx="0">
                  <c:v>0.22961733669794729</c:v>
                </c:pt>
                <c:pt idx="1">
                  <c:v>0.27252819419863339</c:v>
                </c:pt>
                <c:pt idx="2">
                  <c:v>0.11131823982296399</c:v>
                </c:pt>
                <c:pt idx="3">
                  <c:v>0.23636247301677693</c:v>
                </c:pt>
                <c:pt idx="4">
                  <c:v>0.13100653012496041</c:v>
                </c:pt>
                <c:pt idx="5">
                  <c:v>0.16467662313154965</c:v>
                </c:pt>
                <c:pt idx="6">
                  <c:v>0.14740812180321664</c:v>
                </c:pt>
                <c:pt idx="7">
                  <c:v>0.24778439297032326</c:v>
                </c:pt>
                <c:pt idx="8">
                  <c:v>0.21735910315814372</c:v>
                </c:pt>
                <c:pt idx="9">
                  <c:v>0.161071919088216</c:v>
                </c:pt>
              </c:numCache>
            </c:numRef>
          </c:val>
          <c:smooth val="0"/>
          <c:extLst>
            <c:ext xmlns:c16="http://schemas.microsoft.com/office/drawing/2014/chart" uri="{C3380CC4-5D6E-409C-BE32-E72D297353CC}">
              <c16:uniqueId val="{00000000-5C31-4023-8F40-A6284476ABBB}"/>
            </c:ext>
          </c:extLst>
        </c:ser>
        <c:ser>
          <c:idx val="1"/>
          <c:order val="1"/>
          <c:tx>
            <c:v>2023</c:v>
          </c:tx>
          <c:spPr>
            <a:ln w="28575" cap="rnd">
              <a:solidFill>
                <a:schemeClr val="accent2"/>
              </a:solidFill>
              <a:round/>
            </a:ln>
            <a:effectLst/>
          </c:spPr>
          <c:marker>
            <c:symbol val="circle"/>
            <c:size val="5"/>
            <c:spPr>
              <a:solidFill>
                <a:schemeClr val="bg1"/>
              </a:solidFill>
              <a:ln w="9525">
                <a:solidFill>
                  <a:schemeClr val="accent2"/>
                </a:solidFill>
              </a:ln>
              <a:effectLst/>
            </c:spPr>
          </c:marker>
          <c:cat>
            <c:numRef>
              <c:f>ReportingDashboard!$F$11:$O$11</c:f>
              <c:numCache>
                <c:formatCode>mmm\ yy</c:formatCode>
                <c:ptCount val="10"/>
                <c:pt idx="0">
                  <c:v>45322</c:v>
                </c:pt>
                <c:pt idx="1">
                  <c:v>45351</c:v>
                </c:pt>
                <c:pt idx="2">
                  <c:v>45382</c:v>
                </c:pt>
                <c:pt idx="3">
                  <c:v>45412</c:v>
                </c:pt>
                <c:pt idx="4">
                  <c:v>45443</c:v>
                </c:pt>
                <c:pt idx="5">
                  <c:v>45473</c:v>
                </c:pt>
                <c:pt idx="6">
                  <c:v>45504</c:v>
                </c:pt>
                <c:pt idx="7">
                  <c:v>45535</c:v>
                </c:pt>
                <c:pt idx="8">
                  <c:v>45565</c:v>
                </c:pt>
                <c:pt idx="9">
                  <c:v>45596</c:v>
                </c:pt>
              </c:numCache>
            </c:numRef>
          </c:cat>
          <c:val>
            <c:numRef>
              <c:f>ReportingDashboard!$F$35:$O$35</c:f>
              <c:numCache>
                <c:formatCode>0%</c:formatCode>
                <c:ptCount val="10"/>
                <c:pt idx="0">
                  <c:v>5.29781058942616E-2</c:v>
                </c:pt>
                <c:pt idx="1">
                  <c:v>0.11750313245126562</c:v>
                </c:pt>
                <c:pt idx="2">
                  <c:v>4.4182482648135721E-2</c:v>
                </c:pt>
                <c:pt idx="3">
                  <c:v>4.7600109240522284E-2</c:v>
                </c:pt>
                <c:pt idx="4">
                  <c:v>-5.6716292483859857E-4</c:v>
                </c:pt>
                <c:pt idx="5">
                  <c:v>5.402520105551338E-2</c:v>
                </c:pt>
                <c:pt idx="6">
                  <c:v>1.0879057848642723E-2</c:v>
                </c:pt>
                <c:pt idx="7">
                  <c:v>0.11475969527493873</c:v>
                </c:pt>
                <c:pt idx="8">
                  <c:v>0.1678968028983773</c:v>
                </c:pt>
                <c:pt idx="9">
                  <c:v>0.19197525903139123</c:v>
                </c:pt>
              </c:numCache>
            </c:numRef>
          </c:val>
          <c:smooth val="0"/>
          <c:extLst>
            <c:ext xmlns:c16="http://schemas.microsoft.com/office/drawing/2014/chart" uri="{C3380CC4-5D6E-409C-BE32-E72D297353CC}">
              <c16:uniqueId val="{00000001-5C31-4023-8F40-A6284476ABBB}"/>
            </c:ext>
          </c:extLst>
        </c:ser>
        <c:dLbls>
          <c:showLegendKey val="0"/>
          <c:showVal val="0"/>
          <c:showCatName val="0"/>
          <c:showSerName val="0"/>
          <c:showPercent val="0"/>
          <c:showBubbleSize val="0"/>
        </c:dLbls>
        <c:marker val="1"/>
        <c:smooth val="0"/>
        <c:axId val="466883568"/>
        <c:axId val="466888368"/>
      </c:lineChart>
      <c:dateAx>
        <c:axId val="466883568"/>
        <c:scaling>
          <c:orientation val="minMax"/>
        </c:scaling>
        <c:delete val="1"/>
        <c:axPos val="b"/>
        <c:numFmt formatCode="mmm\ yy" sourceLinked="1"/>
        <c:majorTickMark val="none"/>
        <c:minorTickMark val="none"/>
        <c:tickLblPos val="nextTo"/>
        <c:crossAx val="466888368"/>
        <c:crosses val="autoZero"/>
        <c:auto val="1"/>
        <c:lblOffset val="100"/>
        <c:baseTimeUnit val="months"/>
      </c:dateAx>
      <c:valAx>
        <c:axId val="466888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8835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Yearly Trend By</a:t>
            </a:r>
            <a:r>
              <a:rPr lang="en-IN" baseline="0"/>
              <a:t> Client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lineChart>
        <c:grouping val="standard"/>
        <c:varyColors val="0"/>
        <c:ser>
          <c:idx val="0"/>
          <c:order val="0"/>
          <c:tx>
            <c:strRef>
              <c:f>ClientTrend!$B$14</c:f>
              <c:strCache>
                <c:ptCount val="1"/>
                <c:pt idx="0">
                  <c:v> 2022-2023 </c:v>
                </c:pt>
              </c:strCache>
            </c:strRef>
          </c:tx>
          <c:spPr>
            <a:ln w="28575" cap="rnd">
              <a:solidFill>
                <a:schemeClr val="accent1"/>
              </a:solidFill>
              <a:round/>
            </a:ln>
            <a:effectLst/>
          </c:spPr>
          <c:marker>
            <c:symbol val="circle"/>
            <c:size val="5"/>
            <c:spPr>
              <a:solidFill>
                <a:schemeClr val="bg1"/>
              </a:solidFill>
              <a:ln w="9525">
                <a:solidFill>
                  <a:schemeClr val="accent1"/>
                </a:solidFill>
              </a:ln>
              <a:effectLst/>
            </c:spPr>
          </c:marker>
          <c:cat>
            <c:strRef>
              <c:f>ClientTrend!$C$13:$F$13</c:f>
              <c:strCache>
                <c:ptCount val="4"/>
                <c:pt idx="0">
                  <c:v> Apr-Jun </c:v>
                </c:pt>
                <c:pt idx="1">
                  <c:v> Jul-Sep </c:v>
                </c:pt>
                <c:pt idx="2">
                  <c:v> Oct-Dec </c:v>
                </c:pt>
                <c:pt idx="3">
                  <c:v> Jan-Mar </c:v>
                </c:pt>
              </c:strCache>
            </c:strRef>
          </c:cat>
          <c:val>
            <c:numRef>
              <c:f>ClientTrend!$C$14:$F$14</c:f>
              <c:numCache>
                <c:formatCode>_("$"* #,##0_);_("$"* \(#,##0\);_("$"* "-"_);_(@_)</c:formatCode>
                <c:ptCount val="4"/>
                <c:pt idx="0">
                  <c:v>0</c:v>
                </c:pt>
                <c:pt idx="1">
                  <c:v>0</c:v>
                </c:pt>
                <c:pt idx="2">
                  <c:v>0</c:v>
                </c:pt>
                <c:pt idx="3">
                  <c:v>0</c:v>
                </c:pt>
              </c:numCache>
            </c:numRef>
          </c:val>
          <c:smooth val="0"/>
          <c:extLst>
            <c:ext xmlns:c16="http://schemas.microsoft.com/office/drawing/2014/chart" uri="{C3380CC4-5D6E-409C-BE32-E72D297353CC}">
              <c16:uniqueId val="{00000000-59FB-422A-8F9D-D0F6C3FCCD2F}"/>
            </c:ext>
          </c:extLst>
        </c:ser>
        <c:ser>
          <c:idx val="1"/>
          <c:order val="1"/>
          <c:tx>
            <c:strRef>
              <c:f>ClientTrend!$B$15</c:f>
              <c:strCache>
                <c:ptCount val="1"/>
                <c:pt idx="0">
                  <c:v> 2023-2024 </c:v>
                </c:pt>
              </c:strCache>
            </c:strRef>
          </c:tx>
          <c:spPr>
            <a:ln w="28575" cap="rnd">
              <a:solidFill>
                <a:schemeClr val="accent2"/>
              </a:solidFill>
              <a:round/>
            </a:ln>
            <a:effectLst/>
          </c:spPr>
          <c:marker>
            <c:symbol val="circle"/>
            <c:size val="5"/>
            <c:spPr>
              <a:solidFill>
                <a:schemeClr val="bg1"/>
              </a:solidFill>
              <a:ln w="9525">
                <a:solidFill>
                  <a:schemeClr val="accent2"/>
                </a:solidFill>
              </a:ln>
              <a:effectLst/>
            </c:spPr>
          </c:marker>
          <c:cat>
            <c:strRef>
              <c:f>ClientTrend!$C$13:$F$13</c:f>
              <c:strCache>
                <c:ptCount val="4"/>
                <c:pt idx="0">
                  <c:v> Apr-Jun </c:v>
                </c:pt>
                <c:pt idx="1">
                  <c:v> Jul-Sep </c:v>
                </c:pt>
                <c:pt idx="2">
                  <c:v> Oct-Dec </c:v>
                </c:pt>
                <c:pt idx="3">
                  <c:v> Jan-Mar </c:v>
                </c:pt>
              </c:strCache>
            </c:strRef>
          </c:cat>
          <c:val>
            <c:numRef>
              <c:f>ClientTrend!$C$15:$F$15</c:f>
              <c:numCache>
                <c:formatCode>_("$"* #,##0_);_("$"* \(#,##0\);_("$"* "-"_);_(@_)</c:formatCode>
                <c:ptCount val="4"/>
                <c:pt idx="0">
                  <c:v>0</c:v>
                </c:pt>
                <c:pt idx="1">
                  <c:v>0</c:v>
                </c:pt>
                <c:pt idx="2">
                  <c:v>0</c:v>
                </c:pt>
                <c:pt idx="3">
                  <c:v>0</c:v>
                </c:pt>
              </c:numCache>
            </c:numRef>
          </c:val>
          <c:smooth val="0"/>
          <c:extLst>
            <c:ext xmlns:c16="http://schemas.microsoft.com/office/drawing/2014/chart" uri="{C3380CC4-5D6E-409C-BE32-E72D297353CC}">
              <c16:uniqueId val="{00000001-59FB-422A-8F9D-D0F6C3FCCD2F}"/>
            </c:ext>
          </c:extLst>
        </c:ser>
        <c:ser>
          <c:idx val="2"/>
          <c:order val="2"/>
          <c:tx>
            <c:strRef>
              <c:f>ClientTrend!$B$16</c:f>
              <c:strCache>
                <c:ptCount val="1"/>
                <c:pt idx="0">
                  <c:v> 2024-2025 </c:v>
                </c:pt>
              </c:strCache>
            </c:strRef>
          </c:tx>
          <c:spPr>
            <a:ln w="28575" cap="rnd">
              <a:solidFill>
                <a:srgbClr val="7030A0">
                  <a:alpha val="92000"/>
                </a:srgbClr>
              </a:solidFill>
              <a:round/>
            </a:ln>
            <a:effectLst/>
          </c:spPr>
          <c:marker>
            <c:symbol val="circle"/>
            <c:size val="5"/>
            <c:spPr>
              <a:solidFill>
                <a:schemeClr val="bg1"/>
              </a:solidFill>
              <a:ln w="9525">
                <a:solidFill>
                  <a:srgbClr val="7030A0">
                    <a:alpha val="97000"/>
                  </a:srgbClr>
                </a:solidFill>
              </a:ln>
              <a:effectLst/>
            </c:spPr>
          </c:marker>
          <c:cat>
            <c:strRef>
              <c:f>ClientTrend!$C$13:$F$13</c:f>
              <c:strCache>
                <c:ptCount val="4"/>
                <c:pt idx="0">
                  <c:v> Apr-Jun </c:v>
                </c:pt>
                <c:pt idx="1">
                  <c:v> Jul-Sep </c:v>
                </c:pt>
                <c:pt idx="2">
                  <c:v> Oct-Dec </c:v>
                </c:pt>
                <c:pt idx="3">
                  <c:v> Jan-Mar </c:v>
                </c:pt>
              </c:strCache>
            </c:strRef>
          </c:cat>
          <c:val>
            <c:numRef>
              <c:f>ClientTrend!$C$16:$F$16</c:f>
              <c:numCache>
                <c:formatCode>_("$"* #,##0_);_("$"* \(#,##0\);_("$"* "-"_);_(@_)</c:formatCode>
                <c:ptCount val="4"/>
                <c:pt idx="0">
                  <c:v>5374.18</c:v>
                </c:pt>
                <c:pt idx="1">
                  <c:v>0</c:v>
                </c:pt>
                <c:pt idx="2">
                  <c:v>0</c:v>
                </c:pt>
                <c:pt idx="3">
                  <c:v>0</c:v>
                </c:pt>
              </c:numCache>
            </c:numRef>
          </c:val>
          <c:smooth val="0"/>
          <c:extLst>
            <c:ext xmlns:c16="http://schemas.microsoft.com/office/drawing/2014/chart" uri="{C3380CC4-5D6E-409C-BE32-E72D297353CC}">
              <c16:uniqueId val="{00000002-59FB-422A-8F9D-D0F6C3FCCD2F}"/>
            </c:ext>
          </c:extLst>
        </c:ser>
        <c:dLbls>
          <c:showLegendKey val="0"/>
          <c:showVal val="0"/>
          <c:showCatName val="0"/>
          <c:showSerName val="0"/>
          <c:showPercent val="0"/>
          <c:showBubbleSize val="0"/>
        </c:dLbls>
        <c:marker val="1"/>
        <c:smooth val="0"/>
        <c:axId val="181713535"/>
        <c:axId val="181714495"/>
      </c:lineChart>
      <c:catAx>
        <c:axId val="18171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14495"/>
        <c:crosses val="autoZero"/>
        <c:auto val="1"/>
        <c:lblAlgn val="ctr"/>
        <c:lblOffset val="100"/>
        <c:noMultiLvlLbl val="0"/>
      </c:catAx>
      <c:valAx>
        <c:axId val="181714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 in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135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YoY Change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bg1"/>
              </a:solidFill>
              <a:ln w="9525">
                <a:solidFill>
                  <a:schemeClr val="accent1"/>
                </a:solidFill>
              </a:ln>
              <a:effectLst/>
            </c:spPr>
          </c:marker>
          <c:cat>
            <c:strRef>
              <c:f>ClientTrend!$Q$21:$R$21</c:f>
              <c:strCache>
                <c:ptCount val="2"/>
                <c:pt idx="0">
                  <c:v>YoY% 23</c:v>
                </c:pt>
                <c:pt idx="1">
                  <c:v>YoY% 24</c:v>
                </c:pt>
              </c:strCache>
            </c:strRef>
          </c:cat>
          <c:val>
            <c:numRef>
              <c:f>ClientTrend!$Q$22:$R$22</c:f>
              <c:numCache>
                <c:formatCode>0.00%</c:formatCode>
                <c:ptCount val="2"/>
                <c:pt idx="0">
                  <c:v>9.5803326524657137</c:v>
                </c:pt>
                <c:pt idx="1">
                  <c:v>0</c:v>
                </c:pt>
              </c:numCache>
            </c:numRef>
          </c:val>
          <c:smooth val="1"/>
          <c:extLst>
            <c:ext xmlns:c16="http://schemas.microsoft.com/office/drawing/2014/chart" uri="{C3380CC4-5D6E-409C-BE32-E72D297353CC}">
              <c16:uniqueId val="{00000000-1364-4A00-8AEC-448C37EF65BB}"/>
            </c:ext>
          </c:extLst>
        </c:ser>
        <c:dLbls>
          <c:showLegendKey val="0"/>
          <c:showVal val="0"/>
          <c:showCatName val="0"/>
          <c:showSerName val="0"/>
          <c:showPercent val="0"/>
          <c:showBubbleSize val="0"/>
        </c:dLbls>
        <c:marker val="1"/>
        <c:smooth val="0"/>
        <c:axId val="915988927"/>
        <c:axId val="915989887"/>
      </c:lineChart>
      <c:catAx>
        <c:axId val="91598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989887"/>
        <c:crosses val="autoZero"/>
        <c:auto val="1"/>
        <c:lblAlgn val="ctr"/>
        <c:lblOffset val="100"/>
        <c:noMultiLvlLbl val="0"/>
      </c:catAx>
      <c:valAx>
        <c:axId val="91598988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9889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House Accounts Vs. Brian Accounts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ClientTrend!$V$20</c:f>
              <c:strCache>
                <c:ptCount val="1"/>
                <c:pt idx="0">
                  <c:v>House</c:v>
                </c:pt>
              </c:strCache>
            </c:strRef>
          </c:tx>
          <c:spPr>
            <a:solidFill>
              <a:schemeClr val="accent1"/>
            </a:solidFill>
            <a:ln>
              <a:noFill/>
            </a:ln>
            <a:effectLst/>
          </c:spPr>
          <c:invertIfNegative val="0"/>
          <c:cat>
            <c:strRef>
              <c:f>ClientTrend!$W$19:$AA$19</c:f>
              <c:strCache>
                <c:ptCount val="5"/>
                <c:pt idx="0">
                  <c:v>Apr - Jun 23</c:v>
                </c:pt>
                <c:pt idx="1">
                  <c:v>Jul - Sep 23</c:v>
                </c:pt>
                <c:pt idx="2">
                  <c:v>Oct - Dec 23</c:v>
                </c:pt>
                <c:pt idx="3">
                  <c:v>Jan - Mar 24</c:v>
                </c:pt>
                <c:pt idx="4">
                  <c:v>Apr - Jun 24</c:v>
                </c:pt>
              </c:strCache>
            </c:strRef>
          </c:cat>
          <c:val>
            <c:numRef>
              <c:f>ClientTrend!$W$20:$AA$20</c:f>
              <c:numCache>
                <c:formatCode>[$$-409]#,##0.00</c:formatCode>
                <c:ptCount val="5"/>
                <c:pt idx="0">
                  <c:v>984704.61999999988</c:v>
                </c:pt>
                <c:pt idx="1">
                  <c:v>1136892.93</c:v>
                </c:pt>
                <c:pt idx="2">
                  <c:v>1289629.03</c:v>
                </c:pt>
                <c:pt idx="3">
                  <c:v>1373990.99</c:v>
                </c:pt>
                <c:pt idx="4">
                  <c:v>1829675.8599999996</c:v>
                </c:pt>
              </c:numCache>
            </c:numRef>
          </c:val>
          <c:extLst>
            <c:ext xmlns:c16="http://schemas.microsoft.com/office/drawing/2014/chart" uri="{C3380CC4-5D6E-409C-BE32-E72D297353CC}">
              <c16:uniqueId val="{00000000-B313-43D9-82D1-2199908D0772}"/>
            </c:ext>
          </c:extLst>
        </c:ser>
        <c:ser>
          <c:idx val="1"/>
          <c:order val="1"/>
          <c:tx>
            <c:strRef>
              <c:f>ClientTrend!$V$21</c:f>
              <c:strCache>
                <c:ptCount val="1"/>
                <c:pt idx="0">
                  <c:v>Brian</c:v>
                </c:pt>
              </c:strCache>
            </c:strRef>
          </c:tx>
          <c:spPr>
            <a:solidFill>
              <a:schemeClr val="accent2"/>
            </a:solidFill>
            <a:ln>
              <a:noFill/>
            </a:ln>
            <a:effectLst/>
          </c:spPr>
          <c:invertIfNegative val="0"/>
          <c:cat>
            <c:strRef>
              <c:f>ClientTrend!$W$19:$AA$19</c:f>
              <c:strCache>
                <c:ptCount val="5"/>
                <c:pt idx="0">
                  <c:v>Apr - Jun 23</c:v>
                </c:pt>
                <c:pt idx="1">
                  <c:v>Jul - Sep 23</c:v>
                </c:pt>
                <c:pt idx="2">
                  <c:v>Oct - Dec 23</c:v>
                </c:pt>
                <c:pt idx="3">
                  <c:v>Jan - Mar 24</c:v>
                </c:pt>
                <c:pt idx="4">
                  <c:v>Apr - Jun 24</c:v>
                </c:pt>
              </c:strCache>
            </c:strRef>
          </c:cat>
          <c:val>
            <c:numRef>
              <c:f>ClientTrend!$W$21:$AA$21</c:f>
              <c:numCache>
                <c:formatCode>[$$-409]#,##0.00</c:formatCode>
                <c:ptCount val="5"/>
                <c:pt idx="0">
                  <c:v>367603.69999999995</c:v>
                </c:pt>
                <c:pt idx="1">
                  <c:v>433048.39</c:v>
                </c:pt>
                <c:pt idx="2">
                  <c:v>481970.24000000005</c:v>
                </c:pt>
                <c:pt idx="3">
                  <c:v>511456.65</c:v>
                </c:pt>
                <c:pt idx="4">
                  <c:v>227377.25</c:v>
                </c:pt>
              </c:numCache>
            </c:numRef>
          </c:val>
          <c:extLst>
            <c:ext xmlns:c16="http://schemas.microsoft.com/office/drawing/2014/chart" uri="{C3380CC4-5D6E-409C-BE32-E72D297353CC}">
              <c16:uniqueId val="{00000001-B313-43D9-82D1-2199908D0772}"/>
            </c:ext>
          </c:extLst>
        </c:ser>
        <c:dLbls>
          <c:showLegendKey val="0"/>
          <c:showVal val="0"/>
          <c:showCatName val="0"/>
          <c:showSerName val="0"/>
          <c:showPercent val="0"/>
          <c:showBubbleSize val="0"/>
        </c:dLbls>
        <c:gapWidth val="150"/>
        <c:axId val="1846286672"/>
        <c:axId val="1846280912"/>
      </c:barChart>
      <c:lineChart>
        <c:grouping val="standard"/>
        <c:varyColors val="0"/>
        <c:ser>
          <c:idx val="2"/>
          <c:order val="2"/>
          <c:tx>
            <c:strRef>
              <c:f>ClientTrend!$V$22</c:f>
              <c:strCache>
                <c:ptCount val="1"/>
                <c:pt idx="0">
                  <c:v>YoY % House</c:v>
                </c:pt>
              </c:strCache>
            </c:strRef>
          </c:tx>
          <c:spPr>
            <a:ln w="28575" cap="rnd">
              <a:solidFill>
                <a:schemeClr val="accent3"/>
              </a:solidFill>
              <a:round/>
            </a:ln>
            <a:effectLst/>
          </c:spPr>
          <c:marker>
            <c:symbol val="none"/>
          </c:marker>
          <c:cat>
            <c:strRef>
              <c:f>ClientTrend!$W$19:$AA$19</c:f>
              <c:strCache>
                <c:ptCount val="5"/>
                <c:pt idx="0">
                  <c:v>Apr - Jun 23</c:v>
                </c:pt>
                <c:pt idx="1">
                  <c:v>Jul - Sep 23</c:v>
                </c:pt>
                <c:pt idx="2">
                  <c:v>Oct - Dec 23</c:v>
                </c:pt>
                <c:pt idx="3">
                  <c:v>Jan - Mar 24</c:v>
                </c:pt>
                <c:pt idx="4">
                  <c:v>Apr - Jun 24</c:v>
                </c:pt>
              </c:strCache>
            </c:strRef>
          </c:cat>
          <c:val>
            <c:numRef>
              <c:f>ClientTrend!$W$22:$AA$22</c:f>
              <c:numCache>
                <c:formatCode>0.00%</c:formatCode>
                <c:ptCount val="5"/>
                <c:pt idx="0" formatCode="General">
                  <c:v>0</c:v>
                </c:pt>
                <c:pt idx="1">
                  <c:v>0.15455224532205411</c:v>
                </c:pt>
                <c:pt idx="2">
                  <c:v>0.13434519291099831</c:v>
                </c:pt>
                <c:pt idx="3">
                  <c:v>6.5415680042500257E-2</c:v>
                </c:pt>
                <c:pt idx="4">
                  <c:v>0.33165055179874187</c:v>
                </c:pt>
              </c:numCache>
            </c:numRef>
          </c:val>
          <c:smooth val="0"/>
          <c:extLst>
            <c:ext xmlns:c16="http://schemas.microsoft.com/office/drawing/2014/chart" uri="{C3380CC4-5D6E-409C-BE32-E72D297353CC}">
              <c16:uniqueId val="{00000002-B313-43D9-82D1-2199908D0772}"/>
            </c:ext>
          </c:extLst>
        </c:ser>
        <c:ser>
          <c:idx val="3"/>
          <c:order val="3"/>
          <c:tx>
            <c:strRef>
              <c:f>ClientTrend!$V$23</c:f>
              <c:strCache>
                <c:ptCount val="1"/>
                <c:pt idx="0">
                  <c:v>YoY % Brian</c:v>
                </c:pt>
              </c:strCache>
            </c:strRef>
          </c:tx>
          <c:spPr>
            <a:ln w="28575" cap="rnd">
              <a:solidFill>
                <a:schemeClr val="accent4"/>
              </a:solidFill>
              <a:round/>
            </a:ln>
            <a:effectLst/>
          </c:spPr>
          <c:marker>
            <c:symbol val="none"/>
          </c:marker>
          <c:cat>
            <c:strRef>
              <c:f>ClientTrend!$W$19:$AA$19</c:f>
              <c:strCache>
                <c:ptCount val="5"/>
                <c:pt idx="0">
                  <c:v>Apr - Jun 23</c:v>
                </c:pt>
                <c:pt idx="1">
                  <c:v>Jul - Sep 23</c:v>
                </c:pt>
                <c:pt idx="2">
                  <c:v>Oct - Dec 23</c:v>
                </c:pt>
                <c:pt idx="3">
                  <c:v>Jan - Mar 24</c:v>
                </c:pt>
                <c:pt idx="4">
                  <c:v>Apr - Jun 24</c:v>
                </c:pt>
              </c:strCache>
            </c:strRef>
          </c:cat>
          <c:val>
            <c:numRef>
              <c:f>ClientTrend!$W$23:$AA$23</c:f>
              <c:numCache>
                <c:formatCode>0.00%</c:formatCode>
                <c:ptCount val="5"/>
                <c:pt idx="0" formatCode="General">
                  <c:v>0</c:v>
                </c:pt>
                <c:pt idx="1">
                  <c:v>0.17803055301130014</c:v>
                </c:pt>
                <c:pt idx="2">
                  <c:v>0.11297086221703777</c:v>
                </c:pt>
                <c:pt idx="3">
                  <c:v>6.1178901834270868E-2</c:v>
                </c:pt>
                <c:pt idx="4">
                  <c:v>-0.5554320195074206</c:v>
                </c:pt>
              </c:numCache>
            </c:numRef>
          </c:val>
          <c:smooth val="0"/>
          <c:extLst>
            <c:ext xmlns:c16="http://schemas.microsoft.com/office/drawing/2014/chart" uri="{C3380CC4-5D6E-409C-BE32-E72D297353CC}">
              <c16:uniqueId val="{00000003-B313-43D9-82D1-2199908D0772}"/>
            </c:ext>
          </c:extLst>
        </c:ser>
        <c:dLbls>
          <c:showLegendKey val="0"/>
          <c:showVal val="0"/>
          <c:showCatName val="0"/>
          <c:showSerName val="0"/>
          <c:showPercent val="0"/>
          <c:showBubbleSize val="0"/>
        </c:dLbls>
        <c:marker val="1"/>
        <c:smooth val="0"/>
        <c:axId val="1846283792"/>
        <c:axId val="1846270832"/>
      </c:lineChart>
      <c:catAx>
        <c:axId val="1846286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280912"/>
        <c:crosses val="autoZero"/>
        <c:auto val="1"/>
        <c:lblAlgn val="ctr"/>
        <c:lblOffset val="100"/>
        <c:noMultiLvlLbl val="0"/>
      </c:catAx>
      <c:valAx>
        <c:axId val="184628091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286672"/>
        <c:crosses val="autoZero"/>
        <c:crossBetween val="between"/>
      </c:valAx>
      <c:valAx>
        <c:axId val="1846270832"/>
        <c:scaling>
          <c:orientation val="minMax"/>
        </c:scaling>
        <c:delete val="0"/>
        <c:axPos val="r"/>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283792"/>
        <c:crosses val="max"/>
        <c:crossBetween val="between"/>
      </c:valAx>
      <c:catAx>
        <c:axId val="1846283792"/>
        <c:scaling>
          <c:orientation val="minMax"/>
        </c:scaling>
        <c:delete val="1"/>
        <c:axPos val="b"/>
        <c:numFmt formatCode="General" sourceLinked="1"/>
        <c:majorTickMark val="out"/>
        <c:minorTickMark val="none"/>
        <c:tickLblPos val="nextTo"/>
        <c:crossAx val="1846270832"/>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Billable Hours</c:v>
          </c:tx>
          <c:spPr>
            <a:solidFill>
              <a:schemeClr val="accent1"/>
            </a:solidFill>
            <a:ln>
              <a:solidFill>
                <a:schemeClr val="accent1">
                  <a:alpha val="94000"/>
                </a:schemeClr>
              </a:solidFill>
            </a:ln>
            <a:effectLst/>
          </c:spPr>
          <c:invertIfNegative val="0"/>
          <c:cat>
            <c:strRef>
              <c:f>'Nurse Hours'!$B$15:$M$15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'Nurse Hours'!$B$16:$M$16</c:f>
              <c:numCache>
                <c:formatCode>0.00</c:formatCode>
                <c:ptCount val="12"/>
                <c:pt idx="0">
                  <c:v>169.9</c:v>
                </c:pt>
                <c:pt idx="1">
                  <c:v>174.1</c:v>
                </c:pt>
                <c:pt idx="2">
                  <c:v>131.1</c:v>
                </c:pt>
                <c:pt idx="3">
                  <c:v>109.6</c:v>
                </c:pt>
                <c:pt idx="4">
                  <c:v>143.6</c:v>
                </c:pt>
                <c:pt idx="5">
                  <c:v>150.9</c:v>
                </c:pt>
                <c:pt idx="6">
                  <c:v>169.3</c:v>
                </c:pt>
                <c:pt idx="7">
                  <c:v>118</c:v>
                </c:pt>
                <c:pt idx="8">
                  <c:v>140.5</c:v>
                </c:pt>
                <c:pt idx="9">
                  <c:v>125.2</c:v>
                </c:pt>
                <c:pt idx="10">
                  <c:v>0</c:v>
                </c:pt>
                <c:pt idx="11">
                  <c:v>0</c:v>
                </c:pt>
              </c:numCache>
            </c:numRef>
          </c:val>
          <c:extLst>
            <c:ext xmlns:c16="http://schemas.microsoft.com/office/drawing/2014/chart" uri="{C3380CC4-5D6E-409C-BE32-E72D297353CC}">
              <c16:uniqueId val="{00000000-47E1-4A0F-B27B-51C85522AA6E}"/>
            </c:ext>
          </c:extLst>
        </c:ser>
        <c:dLbls>
          <c:showLegendKey val="0"/>
          <c:showVal val="0"/>
          <c:showCatName val="0"/>
          <c:showSerName val="0"/>
          <c:showPercent val="0"/>
          <c:showBubbleSize val="0"/>
        </c:dLbls>
        <c:gapWidth val="150"/>
        <c:axId val="1087106015"/>
        <c:axId val="1087106495"/>
      </c:barChart>
      <c:lineChart>
        <c:grouping val="standard"/>
        <c:varyColors val="0"/>
        <c:ser>
          <c:idx val="1"/>
          <c:order val="1"/>
          <c:tx>
            <c:v>Utilization</c:v>
          </c:tx>
          <c:spPr>
            <a:ln w="28575" cap="rnd">
              <a:solidFill>
                <a:schemeClr val="accent2"/>
              </a:solidFill>
              <a:round/>
            </a:ln>
            <a:effectLst/>
          </c:spPr>
          <c:marker>
            <c:symbol val="circle"/>
            <c:size val="5"/>
            <c:spPr>
              <a:solidFill>
                <a:schemeClr val="bg1"/>
              </a:solidFill>
              <a:ln w="9525">
                <a:solidFill>
                  <a:schemeClr val="accent2"/>
                </a:solidFill>
              </a:ln>
              <a:effectLst/>
            </c:spPr>
          </c:marker>
          <c:cat>
            <c:strRef>
              <c:f>'Nurse Hours'!$B$15:$M$15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'Nurse Hours'!$B$17:$M$17</c:f>
              <c:numCache>
                <c:formatCode>0.00%</c:formatCode>
                <c:ptCount val="12"/>
                <c:pt idx="0">
                  <c:v>0.92336956521739133</c:v>
                </c:pt>
                <c:pt idx="1">
                  <c:v>1.0363095238095237</c:v>
                </c:pt>
                <c:pt idx="2">
                  <c:v>0.78035714285714286</c:v>
                </c:pt>
                <c:pt idx="3">
                  <c:v>0.62272727272727268</c:v>
                </c:pt>
                <c:pt idx="4">
                  <c:v>0.78043478260869559</c:v>
                </c:pt>
                <c:pt idx="5">
                  <c:v>0.94312499999999999</c:v>
                </c:pt>
                <c:pt idx="6">
                  <c:v>0.92010869565217401</c:v>
                </c:pt>
                <c:pt idx="7">
                  <c:v>0.67045454545454541</c:v>
                </c:pt>
                <c:pt idx="8">
                  <c:v>0.83630952380952384</c:v>
                </c:pt>
                <c:pt idx="9">
                  <c:v>0.68043478260869572</c:v>
                </c:pt>
                <c:pt idx="10">
                  <c:v>0</c:v>
                </c:pt>
                <c:pt idx="11">
                  <c:v>0</c:v>
                </c:pt>
              </c:numCache>
            </c:numRef>
          </c:val>
          <c:smooth val="0"/>
          <c:extLst>
            <c:ext xmlns:c16="http://schemas.microsoft.com/office/drawing/2014/chart" uri="{C3380CC4-5D6E-409C-BE32-E72D297353CC}">
              <c16:uniqueId val="{00000001-47E1-4A0F-B27B-51C85522AA6E}"/>
            </c:ext>
          </c:extLst>
        </c:ser>
        <c:dLbls>
          <c:showLegendKey val="0"/>
          <c:showVal val="0"/>
          <c:showCatName val="0"/>
          <c:showSerName val="0"/>
          <c:showPercent val="0"/>
          <c:showBubbleSize val="0"/>
        </c:dLbls>
        <c:marker val="1"/>
        <c:smooth val="0"/>
        <c:axId val="1100665327"/>
        <c:axId val="804524495"/>
      </c:lineChart>
      <c:catAx>
        <c:axId val="108710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106495"/>
        <c:crosses val="autoZero"/>
        <c:auto val="1"/>
        <c:lblAlgn val="ctr"/>
        <c:lblOffset val="100"/>
        <c:noMultiLvlLbl val="0"/>
      </c:catAx>
      <c:valAx>
        <c:axId val="10871064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106015"/>
        <c:crosses val="autoZero"/>
        <c:crossBetween val="between"/>
      </c:valAx>
      <c:valAx>
        <c:axId val="80452449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665327"/>
        <c:crosses val="max"/>
        <c:crossBetween val="between"/>
      </c:valAx>
      <c:catAx>
        <c:axId val="1100665327"/>
        <c:scaling>
          <c:orientation val="minMax"/>
        </c:scaling>
        <c:delete val="1"/>
        <c:axPos val="b"/>
        <c:numFmt formatCode="General" sourceLinked="1"/>
        <c:majorTickMark val="out"/>
        <c:minorTickMark val="none"/>
        <c:tickLblPos val="nextTo"/>
        <c:crossAx val="80452449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Cases of a Nurse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Nurse Cases</c:v>
          </c:tx>
          <c:spPr>
            <a:solidFill>
              <a:schemeClr val="accent1"/>
            </a:solidFill>
            <a:ln>
              <a:noFill/>
            </a:ln>
            <a:effectLst/>
          </c:spPr>
          <c:invertIfNegative val="0"/>
          <c:cat>
            <c:strRef>
              <c:f>'Nurse Cases'!$B$17:$M$17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'Nurse Cases'!$B$18:$M$18</c:f>
              <c:numCache>
                <c:formatCode>General</c:formatCode>
                <c:ptCount val="12"/>
                <c:pt idx="0">
                  <c:v>5</c:v>
                </c:pt>
                <c:pt idx="1">
                  <c:v>7</c:v>
                </c:pt>
                <c:pt idx="2">
                  <c:v>6</c:v>
                </c:pt>
                <c:pt idx="3">
                  <c:v>1</c:v>
                </c:pt>
                <c:pt idx="4">
                  <c:v>0</c:v>
                </c:pt>
                <c:pt idx="5">
                  <c:v>4</c:v>
                </c:pt>
                <c:pt idx="6">
                  <c:v>3</c:v>
                </c:pt>
                <c:pt idx="7">
                  <c:v>4</c:v>
                </c:pt>
                <c:pt idx="8">
                  <c:v>4</c:v>
                </c:pt>
                <c:pt idx="9">
                  <c:v>1</c:v>
                </c:pt>
                <c:pt idx="10">
                  <c:v>21</c:v>
                </c:pt>
                <c:pt idx="11">
                  <c:v>0</c:v>
                </c:pt>
              </c:numCache>
            </c:numRef>
          </c:val>
          <c:extLst>
            <c:ext xmlns:c16="http://schemas.microsoft.com/office/drawing/2014/chart" uri="{C3380CC4-5D6E-409C-BE32-E72D297353CC}">
              <c16:uniqueId val="{00000001-B2B6-4E98-8E4D-D6747E36CB4D}"/>
            </c:ext>
          </c:extLst>
        </c:ser>
        <c:dLbls>
          <c:showLegendKey val="0"/>
          <c:showVal val="0"/>
          <c:showCatName val="0"/>
          <c:showSerName val="0"/>
          <c:showPercent val="0"/>
          <c:showBubbleSize val="0"/>
        </c:dLbls>
        <c:gapWidth val="102"/>
        <c:overlap val="-27"/>
        <c:axId val="186689032"/>
        <c:axId val="1362257416"/>
      </c:barChart>
      <c:catAx>
        <c:axId val="186689032"/>
        <c:scaling>
          <c:orientation val="minMax"/>
        </c:scaling>
        <c:delete val="0"/>
        <c:axPos val="b"/>
        <c:numFmt formatCode="General" sourceLinked="1"/>
        <c:majorTickMark val="none"/>
        <c:minorTickMark val="none"/>
        <c:tickLblPos val="nextTo"/>
        <c:spPr>
          <a:noFill/>
          <a:ln w="9525" cap="flat" cmpd="sng" algn="ctr">
            <a:solidFill>
              <a:srgbClr val="FFFFFF"/>
            </a:solidFill>
            <a:prstDash val="solid"/>
            <a:round/>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US"/>
          </a:p>
        </c:txPr>
        <c:crossAx val="1362257416"/>
        <c:crosses val="autoZero"/>
        <c:auto val="1"/>
        <c:lblAlgn val="ctr"/>
        <c:lblOffset val="100"/>
        <c:noMultiLvlLbl val="0"/>
      </c:catAx>
      <c:valAx>
        <c:axId val="1362257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866890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Nurse performance</c:v>
          </c:tx>
          <c:spPr>
            <a:solidFill>
              <a:schemeClr val="accent1"/>
            </a:solidFill>
            <a:ln>
              <a:noFill/>
            </a:ln>
            <a:effectLst/>
          </c:spPr>
          <c:invertIfNegative val="0"/>
          <c:cat>
            <c:strRef>
              <c:f>'Hours Per Case'!$B$16:$M$16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'Hours Per Case'!$B$17:$M$17</c:f>
              <c:numCache>
                <c:formatCode>0.00</c:formatCode>
                <c:ptCount val="12"/>
                <c:pt idx="0">
                  <c:v>10.955294117647059</c:v>
                </c:pt>
                <c:pt idx="1">
                  <c:v>12.484210526315788</c:v>
                </c:pt>
                <c:pt idx="2">
                  <c:v>9.8047619047619055</c:v>
                </c:pt>
                <c:pt idx="3">
                  <c:v>13.026315789473685</c:v>
                </c:pt>
                <c:pt idx="4">
                  <c:v>11.055</c:v>
                </c:pt>
                <c:pt idx="5">
                  <c:v>8.52</c:v>
                </c:pt>
                <c:pt idx="6">
                  <c:v>7.9333333333333336</c:v>
                </c:pt>
                <c:pt idx="7">
                  <c:v>7.4576923076923078</c:v>
                </c:pt>
                <c:pt idx="8">
                  <c:v>8.5214285714285705</c:v>
                </c:pt>
                <c:pt idx="9">
                  <c:v>8.9304347826086961</c:v>
                </c:pt>
                <c:pt idx="10">
                  <c:v>0</c:v>
                </c:pt>
                <c:pt idx="11">
                  <c:v>0</c:v>
                </c:pt>
              </c:numCache>
            </c:numRef>
          </c:val>
          <c:extLst>
            <c:ext xmlns:c16="http://schemas.microsoft.com/office/drawing/2014/chart" uri="{C3380CC4-5D6E-409C-BE32-E72D297353CC}">
              <c16:uniqueId val="{0000003E-801C-498F-952D-DB32E8197367}"/>
            </c:ext>
          </c:extLst>
        </c:ser>
        <c:dLbls>
          <c:showLegendKey val="0"/>
          <c:showVal val="0"/>
          <c:showCatName val="0"/>
          <c:showSerName val="0"/>
          <c:showPercent val="0"/>
          <c:showBubbleSize val="0"/>
        </c:dLbls>
        <c:gapWidth val="150"/>
        <c:axId val="1134858247"/>
        <c:axId val="1134860295"/>
      </c:barChart>
      <c:lineChart>
        <c:grouping val="standard"/>
        <c:varyColors val="0"/>
        <c:ser>
          <c:idx val="1"/>
          <c:order val="1"/>
          <c:tx>
            <c:v>Avg hours per Case</c:v>
          </c:tx>
          <c:spPr>
            <a:ln w="28575" cap="rnd">
              <a:solidFill>
                <a:schemeClr val="accent2"/>
              </a:solidFill>
              <a:round/>
            </a:ln>
            <a:effectLst/>
          </c:spPr>
          <c:marker>
            <c:symbol val="circle"/>
            <c:size val="5"/>
            <c:spPr>
              <a:solidFill>
                <a:srgbClr val="FFFFFF"/>
              </a:solidFill>
              <a:ln w="9525">
                <a:solidFill>
                  <a:srgbClr val="44546A"/>
                </a:solidFill>
                <a:prstDash val="solid"/>
              </a:ln>
              <a:effectLst/>
            </c:spPr>
          </c:marker>
          <c:cat>
            <c:strRef>
              <c:f>'Hours Per Case'!$B$16:$M$16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'Hours Per Case'!$B$18:$M$18</c:f>
              <c:numCache>
                <c:formatCode>#,##0.00</c:formatCode>
                <c:ptCount val="12"/>
                <c:pt idx="0">
                  <c:v>8.6062316176470581</c:v>
                </c:pt>
                <c:pt idx="1">
                  <c:v>9.2623869801084986</c:v>
                </c:pt>
                <c:pt idx="2">
                  <c:v>8.8749551166965901</c:v>
                </c:pt>
                <c:pt idx="3">
                  <c:v>9.5782500000000024</c:v>
                </c:pt>
                <c:pt idx="4">
                  <c:v>9.7105924596050279</c:v>
                </c:pt>
                <c:pt idx="5">
                  <c:v>9.1563922942206659</c:v>
                </c:pt>
                <c:pt idx="6">
                  <c:v>9.9159661016949148</c:v>
                </c:pt>
                <c:pt idx="7">
                  <c:v>9.5173841059602626</c:v>
                </c:pt>
                <c:pt idx="8">
                  <c:v>9.2441898527004884</c:v>
                </c:pt>
                <c:pt idx="9">
                  <c:v>9.787974683544304</c:v>
                </c:pt>
                <c:pt idx="10">
                  <c:v>0</c:v>
                </c:pt>
                <c:pt idx="11">
                  <c:v>0</c:v>
                </c:pt>
              </c:numCache>
            </c:numRef>
          </c:val>
          <c:smooth val="0"/>
          <c:extLst>
            <c:ext xmlns:c16="http://schemas.microsoft.com/office/drawing/2014/chart" uri="{C3380CC4-5D6E-409C-BE32-E72D297353CC}">
              <c16:uniqueId val="{00000040-801C-498F-952D-DB32E8197367}"/>
            </c:ext>
          </c:extLst>
        </c:ser>
        <c:dLbls>
          <c:showLegendKey val="0"/>
          <c:showVal val="0"/>
          <c:showCatName val="0"/>
          <c:showSerName val="0"/>
          <c:showPercent val="0"/>
          <c:showBubbleSize val="0"/>
        </c:dLbls>
        <c:marker val="1"/>
        <c:smooth val="0"/>
        <c:axId val="1134858247"/>
        <c:axId val="1134860295"/>
      </c:lineChart>
      <c:catAx>
        <c:axId val="1134858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860295"/>
        <c:crosses val="autoZero"/>
        <c:auto val="1"/>
        <c:lblAlgn val="ctr"/>
        <c:lblOffset val="100"/>
        <c:noMultiLvlLbl val="0"/>
      </c:catAx>
      <c:valAx>
        <c:axId val="11348602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858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Top Clients by Quarter</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Top Clients by Quarter</a:t>
          </a:r>
        </a:p>
      </cx:txPr>
    </cx:title>
    <cx:plotArea>
      <cx:plotAreaRegion>
        <cx:series layoutId="clusteredColumn" uniqueId="{C26698FF-892B-44F1-A20A-22C7B5B5FB6B}" formatIdx="0">
          <cx:dataId val="0"/>
          <cx:layoutPr>
            <cx:aggregation/>
          </cx:layoutPr>
          <cx:axisId val="1"/>
        </cx:series>
        <cx:series layoutId="paretoLine" ownerIdx="0" uniqueId="{F93E47CA-C06C-45CB-B895-94FA235BF3F5}" formatIdx="1">
          <cx:axisId val="2"/>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numFmt formatCode="#,##0" sourceLinked="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2">
        <cx:valScaling max="1" min="0"/>
        <cx:units unit="percentage"/>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spPr>
    <a:solidFill>
      <a:schemeClr val="bg1">
        <a:lumMod val="95000"/>
      </a:schemeClr>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_xlchart.v1.3</cx:f>
      </cx:numDim>
    </cx:data>
  </cx:chartData>
  <cx:chart>
    <cx:title pos="t" align="ctr" overlay="0">
      <cx:tx>
        <cx:txData>
          <cx:v>Utilization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Utilization</a:t>
          </a:r>
        </a:p>
      </cx:txPr>
    </cx:title>
    <cx:plotArea>
      <cx:plotAreaRegion>
        <cx:series layoutId="clusteredColumn" uniqueId="{D080E92E-61C1-4AA4-81F1-30E88088B9C7}">
          <cx:dataId val="0"/>
          <cx:layoutPr>
            <cx:aggregation/>
          </cx:layoutPr>
          <cx:axisId val="1"/>
        </cx:series>
        <cx:series layoutId="paretoLine" ownerIdx="0" uniqueId="{9B0F4D01-69F0-40B5-890E-AA8366EBE1A3}">
          <cx:axisId val="2"/>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2">
        <cx:valScaling max="1" min="0"/>
        <cx:units unit="percentage"/>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spPr>
    <a:solidFill>
      <a:schemeClr val="bg1">
        <a:lumMod val="95000"/>
      </a:schemeClr>
    </a:solid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_xlchart.v1.4</cx:f>
      </cx:strDim>
      <cx:numDim type="val">
        <cx:f dir="row">_xlchart.v1.5</cx:f>
      </cx:numDim>
    </cx:data>
  </cx:chartData>
  <cx:chart>
    <cx:title pos="t" align="ctr" overlay="0">
      <cx:tx>
        <cx:rich>
          <a:bodyPr spcFirstLastPara="1" vertOverflow="ellipsis" horzOverflow="overflow" wrap="square" lIns="0" tIns="0" rIns="0" bIns="0" anchor="ctr" anchorCtr="1"/>
          <a:lstStyle/>
          <a:p>
            <a:pPr algn="ctr" rtl="0">
              <a:defRPr/>
            </a:pPr>
            <a:r>
              <a:rPr lang="en-IN"/>
              <a:t>Nurse Case Assignment Overview</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1B904484-A284-4F80-90C7-D7E15AA787B1}">
          <cx:dataId val="0"/>
          <cx:layoutPr>
            <cx:aggregation/>
          </cx:layoutPr>
          <cx:axisId val="1"/>
        </cx:series>
        <cx:series layoutId="paretoLine" ownerIdx="0" uniqueId="{E06799C2-FE8A-4BDB-8AE7-9D99ABBE1557}">
          <cx:axisId val="2"/>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2">
        <cx:valScaling max="1" min="0"/>
        <cx:units unit="percentage"/>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spPr>
    <a:solidFill>
      <a:schemeClr val="bg1">
        <a:lumMod val="95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4.xml"/><Relationship Id="rId1" Type="http://schemas.openxmlformats.org/officeDocument/2006/relationships/image" Target="../media/image2.png"/><Relationship Id="rId5" Type="http://schemas.openxmlformats.org/officeDocument/2006/relationships/chart" Target="../charts/chart6.xml"/><Relationship Id="rId4"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7.xm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8.xm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34290</xdr:colOff>
      <xdr:row>2</xdr:row>
      <xdr:rowOff>108085</xdr:rowOff>
    </xdr:from>
    <xdr:to>
      <xdr:col>2</xdr:col>
      <xdr:colOff>65865</xdr:colOff>
      <xdr:row>5</xdr:row>
      <xdr:rowOff>1062</xdr:rowOff>
    </xdr:to>
    <xdr:pic>
      <xdr:nvPicPr>
        <xdr:cNvPr id="4" name="Picture 1" descr="A picture containing text, sign&#10;&#10;Description automatically generated">
          <a:extLst>
            <a:ext uri="{FF2B5EF4-FFF2-40B4-BE49-F238E27FC236}">
              <a16:creationId xmlns:a16="http://schemas.microsoft.com/office/drawing/2014/main" id="{785EF5F1-1749-4FE6-A0AF-1251156478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6152" y="432340"/>
          <a:ext cx="2814766" cy="379360"/>
        </a:xfrm>
        <a:prstGeom prst="rect">
          <a:avLst/>
        </a:prstGeom>
      </xdr:spPr>
    </xdr:pic>
    <xdr:clientData/>
  </xdr:twoCellAnchor>
  <xdr:twoCellAnchor>
    <xdr:from>
      <xdr:col>3</xdr:col>
      <xdr:colOff>389170</xdr:colOff>
      <xdr:row>100</xdr:row>
      <xdr:rowOff>13511</xdr:rowOff>
    </xdr:from>
    <xdr:to>
      <xdr:col>8</xdr:col>
      <xdr:colOff>493888</xdr:colOff>
      <xdr:row>113</xdr:row>
      <xdr:rowOff>67552</xdr:rowOff>
    </xdr:to>
    <xdr:graphicFrame macro="">
      <xdr:nvGraphicFramePr>
        <xdr:cNvPr id="7" name="Chart 1">
          <a:extLst>
            <a:ext uri="{FF2B5EF4-FFF2-40B4-BE49-F238E27FC236}">
              <a16:creationId xmlns:a16="http://schemas.microsoft.com/office/drawing/2014/main" id="{C183F35F-1A72-4582-839C-0F4EBC1F8BFA}"/>
            </a:ext>
            <a:ext uri="{147F2762-F138-4A5C-976F-8EAC2B608ADB}">
              <a16:predDERef xmlns:a16="http://schemas.microsoft.com/office/drawing/2014/main" pred="{785EF5F1-1749-4FE6-A0AF-1251156478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xdr:colOff>
      <xdr:row>99</xdr:row>
      <xdr:rowOff>182392</xdr:rowOff>
    </xdr:from>
    <xdr:to>
      <xdr:col>3</xdr:col>
      <xdr:colOff>47288</xdr:colOff>
      <xdr:row>113</xdr:row>
      <xdr:rowOff>54042</xdr:rowOff>
    </xdr:to>
    <xdr:graphicFrame macro="">
      <xdr:nvGraphicFramePr>
        <xdr:cNvPr id="6" name="Chart 2">
          <a:extLst>
            <a:ext uri="{FF2B5EF4-FFF2-40B4-BE49-F238E27FC236}">
              <a16:creationId xmlns:a16="http://schemas.microsoft.com/office/drawing/2014/main" id="{05A533F9-C425-4F73-9B40-24DCCE5104F4}"/>
            </a:ext>
            <a:ext uri="{147F2762-F138-4A5C-976F-8EAC2B608ADB}">
              <a16:predDERef xmlns:a16="http://schemas.microsoft.com/office/drawing/2014/main" pred="{C183F35F-1A72-4582-839C-0F4EBC1F8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67552</xdr:colOff>
      <xdr:row>100</xdr:row>
      <xdr:rowOff>47287</xdr:rowOff>
    </xdr:from>
    <xdr:to>
      <xdr:col>15</xdr:col>
      <xdr:colOff>202658</xdr:colOff>
      <xdr:row>113</xdr:row>
      <xdr:rowOff>74501</xdr:rowOff>
    </xdr:to>
    <xdr:graphicFrame macro="">
      <xdr:nvGraphicFramePr>
        <xdr:cNvPr id="8" name="Chart 5">
          <a:extLst>
            <a:ext uri="{FF2B5EF4-FFF2-40B4-BE49-F238E27FC236}">
              <a16:creationId xmlns:a16="http://schemas.microsoft.com/office/drawing/2014/main" id="{044BF74E-5996-4013-A5D6-CC6A038DC76F}"/>
            </a:ext>
            <a:ext uri="{147F2762-F138-4A5C-976F-8EAC2B608ADB}">
              <a16:predDERef xmlns:a16="http://schemas.microsoft.com/office/drawing/2014/main" pred="{05A533F9-C425-4F73-9B40-24DCCE510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239659</xdr:colOff>
      <xdr:row>2</xdr:row>
      <xdr:rowOff>151628</xdr:rowOff>
    </xdr:from>
    <xdr:to>
      <xdr:col>2</xdr:col>
      <xdr:colOff>1241799</xdr:colOff>
      <xdr:row>3</xdr:row>
      <xdr:rowOff>154863</xdr:rowOff>
    </xdr:to>
    <xdr:pic>
      <xdr:nvPicPr>
        <xdr:cNvPr id="4" name="Picture 3" descr="A picture containing text, sign&#10;&#10;Description automatically generated">
          <a:extLst>
            <a:ext uri="{FF2B5EF4-FFF2-40B4-BE49-F238E27FC236}">
              <a16:creationId xmlns:a16="http://schemas.microsoft.com/office/drawing/2014/main" id="{3C6A12BC-7D75-426B-33D6-530C499A55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3777" y="562510"/>
          <a:ext cx="2473958" cy="36742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129540</xdr:colOff>
      <xdr:row>8</xdr:row>
      <xdr:rowOff>7620</xdr:rowOff>
    </xdr:from>
    <xdr:to>
      <xdr:col>1</xdr:col>
      <xdr:colOff>312420</xdr:colOff>
      <xdr:row>9</xdr:row>
      <xdr:rowOff>7620</xdr:rowOff>
    </xdr:to>
    <xdr:sp macro="" textlink="">
      <xdr:nvSpPr>
        <xdr:cNvPr id="2" name="Oval 4">
          <a:extLst>
            <a:ext uri="{FF2B5EF4-FFF2-40B4-BE49-F238E27FC236}">
              <a16:creationId xmlns:a16="http://schemas.microsoft.com/office/drawing/2014/main" id="{1BF903B6-DF68-4FA7-9BA3-9B7D73D7F03C}"/>
            </a:ext>
          </a:extLst>
        </xdr:cNvPr>
        <xdr:cNvSpPr/>
      </xdr:nvSpPr>
      <xdr:spPr>
        <a:xfrm>
          <a:off x="205740" y="1874520"/>
          <a:ext cx="182880" cy="190500"/>
        </a:xfrm>
        <a:prstGeom prst="ellipse">
          <a:avLst/>
        </a:prstGeom>
        <a:solidFill>
          <a:schemeClr val="accent2"/>
        </a:solidFill>
        <a:ln>
          <a:solidFill>
            <a:schemeClr val="bg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marL="0" indent="0" algn="ctr"/>
          <a:r>
            <a:rPr lang="en-US" sz="1000">
              <a:solidFill>
                <a:schemeClr val="lt1"/>
              </a:solidFill>
              <a:latin typeface="Arial" panose="020B0604020202020204" pitchFamily="34" charset="0"/>
              <a:cs typeface="Arial" panose="020B0604020202020204" pitchFamily="34" charset="0"/>
            </a:rPr>
            <a:t>1</a:t>
          </a:r>
        </a:p>
      </xdr:txBody>
    </xdr:sp>
    <xdr:clientData/>
  </xdr:twoCellAnchor>
  <xdr:twoCellAnchor>
    <xdr:from>
      <xdr:col>1</xdr:col>
      <xdr:colOff>129540</xdr:colOff>
      <xdr:row>14</xdr:row>
      <xdr:rowOff>7620</xdr:rowOff>
    </xdr:from>
    <xdr:to>
      <xdr:col>1</xdr:col>
      <xdr:colOff>312420</xdr:colOff>
      <xdr:row>15</xdr:row>
      <xdr:rowOff>7620</xdr:rowOff>
    </xdr:to>
    <xdr:sp macro="" textlink="">
      <xdr:nvSpPr>
        <xdr:cNvPr id="6" name="Oval 5">
          <a:extLst>
            <a:ext uri="{FF2B5EF4-FFF2-40B4-BE49-F238E27FC236}">
              <a16:creationId xmlns:a16="http://schemas.microsoft.com/office/drawing/2014/main" id="{26F1AF60-838D-4DDB-A24D-E33231F7EF62}"/>
            </a:ext>
          </a:extLst>
        </xdr:cNvPr>
        <xdr:cNvSpPr/>
      </xdr:nvSpPr>
      <xdr:spPr>
        <a:xfrm>
          <a:off x="236220" y="1348740"/>
          <a:ext cx="182880" cy="198120"/>
        </a:xfrm>
        <a:prstGeom prst="ellipse">
          <a:avLst/>
        </a:prstGeom>
        <a:solidFill>
          <a:schemeClr val="accent2"/>
        </a:solidFill>
        <a:ln>
          <a:solidFill>
            <a:schemeClr val="bg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000">
              <a:latin typeface="Arial" panose="020B0604020202020204" pitchFamily="34" charset="0"/>
              <a:cs typeface="Arial" panose="020B0604020202020204" pitchFamily="34" charset="0"/>
            </a:rPr>
            <a:t>2</a:t>
          </a:r>
        </a:p>
      </xdr:txBody>
    </xdr:sp>
    <xdr:clientData/>
  </xdr:twoCellAnchor>
  <xdr:twoCellAnchor>
    <xdr:from>
      <xdr:col>1</xdr:col>
      <xdr:colOff>81915</xdr:colOff>
      <xdr:row>23</xdr:row>
      <xdr:rowOff>150495</xdr:rowOff>
    </xdr:from>
    <xdr:to>
      <xdr:col>1</xdr:col>
      <xdr:colOff>264795</xdr:colOff>
      <xdr:row>24</xdr:row>
      <xdr:rowOff>179070</xdr:rowOff>
    </xdr:to>
    <xdr:sp macro="" textlink="">
      <xdr:nvSpPr>
        <xdr:cNvPr id="3" name="Oval 6">
          <a:extLst>
            <a:ext uri="{FF2B5EF4-FFF2-40B4-BE49-F238E27FC236}">
              <a16:creationId xmlns:a16="http://schemas.microsoft.com/office/drawing/2014/main" id="{9A7BD0DB-5829-42F8-B9F1-CC6326C486AF}"/>
            </a:ext>
            <a:ext uri="{147F2762-F138-4A5C-976F-8EAC2B608ADB}">
              <a16:predDERef xmlns:a16="http://schemas.microsoft.com/office/drawing/2014/main" pred="{26F1AF60-838D-4DDB-A24D-E33231F7EF62}"/>
            </a:ext>
          </a:extLst>
        </xdr:cNvPr>
        <xdr:cNvSpPr/>
      </xdr:nvSpPr>
      <xdr:spPr>
        <a:xfrm>
          <a:off x="186690" y="3931920"/>
          <a:ext cx="182880" cy="190500"/>
        </a:xfrm>
        <a:prstGeom prst="ellipse">
          <a:avLst/>
        </a:prstGeom>
        <a:solidFill>
          <a:schemeClr val="accent2"/>
        </a:solidFill>
        <a:ln>
          <a:solidFill>
            <a:schemeClr val="bg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000">
              <a:latin typeface="Arial" panose="020B0604020202020204" pitchFamily="34" charset="0"/>
              <a:cs typeface="Arial" panose="020B0604020202020204" pitchFamily="34" charset="0"/>
            </a:rPr>
            <a:t>3</a:t>
          </a:r>
        </a:p>
      </xdr:txBody>
    </xdr:sp>
    <xdr:clientData/>
  </xdr:twoCellAnchor>
  <xdr:twoCellAnchor>
    <xdr:from>
      <xdr:col>1</xdr:col>
      <xdr:colOff>129540</xdr:colOff>
      <xdr:row>32</xdr:row>
      <xdr:rowOff>7620</xdr:rowOff>
    </xdr:from>
    <xdr:to>
      <xdr:col>1</xdr:col>
      <xdr:colOff>312420</xdr:colOff>
      <xdr:row>33</xdr:row>
      <xdr:rowOff>7620</xdr:rowOff>
    </xdr:to>
    <xdr:sp macro="" textlink="">
      <xdr:nvSpPr>
        <xdr:cNvPr id="8" name="Oval 7">
          <a:extLst>
            <a:ext uri="{FF2B5EF4-FFF2-40B4-BE49-F238E27FC236}">
              <a16:creationId xmlns:a16="http://schemas.microsoft.com/office/drawing/2014/main" id="{27F3DD8E-DC8A-4E33-A355-3C630BE17684}"/>
            </a:ext>
          </a:extLst>
        </xdr:cNvPr>
        <xdr:cNvSpPr/>
      </xdr:nvSpPr>
      <xdr:spPr>
        <a:xfrm>
          <a:off x="236220" y="4091940"/>
          <a:ext cx="182880" cy="198120"/>
        </a:xfrm>
        <a:prstGeom prst="ellipse">
          <a:avLst/>
        </a:prstGeom>
        <a:solidFill>
          <a:schemeClr val="accent2"/>
        </a:solidFill>
        <a:ln>
          <a:solidFill>
            <a:schemeClr val="bg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000">
              <a:latin typeface="Arial" panose="020B0604020202020204" pitchFamily="34" charset="0"/>
              <a:cs typeface="Arial" panose="020B0604020202020204" pitchFamily="34" charset="0"/>
            </a:rPr>
            <a:t>4</a:t>
          </a:r>
        </a:p>
      </xdr:txBody>
    </xdr:sp>
    <xdr:clientData/>
  </xdr:twoCellAnchor>
  <xdr:twoCellAnchor editAs="oneCell">
    <xdr:from>
      <xdr:col>1</xdr:col>
      <xdr:colOff>405765</xdr:colOff>
      <xdr:row>3</xdr:row>
      <xdr:rowOff>30480</xdr:rowOff>
    </xdr:from>
    <xdr:to>
      <xdr:col>3</xdr:col>
      <xdr:colOff>701536</xdr:colOff>
      <xdr:row>5</xdr:row>
      <xdr:rowOff>20112</xdr:rowOff>
    </xdr:to>
    <xdr:pic>
      <xdr:nvPicPr>
        <xdr:cNvPr id="4" name="Picture 3" descr="A picture containing text, sign&#10;&#10;Description automatically generated">
          <a:extLst>
            <a:ext uri="{FF2B5EF4-FFF2-40B4-BE49-F238E27FC236}">
              <a16:creationId xmlns:a16="http://schemas.microsoft.com/office/drawing/2014/main" id="{95B478E2-0BFA-44EE-B7AD-98DFDAF9DD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0540" y="544830"/>
          <a:ext cx="2118856" cy="323007"/>
        </a:xfrm>
        <a:prstGeom prst="rect">
          <a:avLst/>
        </a:prstGeom>
      </xdr:spPr>
    </xdr:pic>
    <xdr:clientData/>
  </xdr:twoCellAnchor>
  <xdr:twoCellAnchor editAs="oneCell">
    <xdr:from>
      <xdr:col>1</xdr:col>
      <xdr:colOff>285750</xdr:colOff>
      <xdr:row>41</xdr:row>
      <xdr:rowOff>95250</xdr:rowOff>
    </xdr:from>
    <xdr:to>
      <xdr:col>3</xdr:col>
      <xdr:colOff>587236</xdr:colOff>
      <xdr:row>42</xdr:row>
      <xdr:rowOff>60117</xdr:rowOff>
    </xdr:to>
    <xdr:pic>
      <xdr:nvPicPr>
        <xdr:cNvPr id="9" name="Picture 8" descr="A picture containing text, sign&#10;&#10;Description automatically generated">
          <a:extLst>
            <a:ext uri="{FF2B5EF4-FFF2-40B4-BE49-F238E27FC236}">
              <a16:creationId xmlns:a16="http://schemas.microsoft.com/office/drawing/2014/main" id="{B5588BD1-8740-4E58-98CB-85145236DD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0525" y="7239000"/>
          <a:ext cx="2116951" cy="32300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78105</xdr:colOff>
      <xdr:row>3</xdr:row>
      <xdr:rowOff>47625</xdr:rowOff>
    </xdr:from>
    <xdr:to>
      <xdr:col>2</xdr:col>
      <xdr:colOff>726301</xdr:colOff>
      <xdr:row>5</xdr:row>
      <xdr:rowOff>18207</xdr:rowOff>
    </xdr:to>
    <xdr:pic>
      <xdr:nvPicPr>
        <xdr:cNvPr id="4" name="Picture 3" descr="A picture containing text, sign&#10;&#10;Description automatically generated">
          <a:extLst>
            <a:ext uri="{FF2B5EF4-FFF2-40B4-BE49-F238E27FC236}">
              <a16:creationId xmlns:a16="http://schemas.microsoft.com/office/drawing/2014/main" id="{3100CD58-6B5D-45B5-AC8F-C42CE2F4D5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80" y="561975"/>
          <a:ext cx="2115046" cy="324912"/>
        </a:xfrm>
        <a:prstGeom prst="rect">
          <a:avLst/>
        </a:prstGeom>
      </xdr:spPr>
    </xdr:pic>
    <xdr:clientData/>
  </xdr:twoCellAnchor>
  <xdr:twoCellAnchor editAs="oneCell">
    <xdr:from>
      <xdr:col>1</xdr:col>
      <xdr:colOff>152400</xdr:colOff>
      <xdr:row>99</xdr:row>
      <xdr:rowOff>171450</xdr:rowOff>
    </xdr:from>
    <xdr:to>
      <xdr:col>2</xdr:col>
      <xdr:colOff>783451</xdr:colOff>
      <xdr:row>101</xdr:row>
      <xdr:rowOff>111552</xdr:rowOff>
    </xdr:to>
    <xdr:pic>
      <xdr:nvPicPr>
        <xdr:cNvPr id="5" name="Picture 4" descr="A picture containing text, sign&#10;&#10;Description automatically generated">
          <a:extLst>
            <a:ext uri="{FF2B5EF4-FFF2-40B4-BE49-F238E27FC236}">
              <a16:creationId xmlns:a16="http://schemas.microsoft.com/office/drawing/2014/main" id="{B6481E27-3075-46D2-A69C-7F7AF8EF654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7175" y="16306800"/>
          <a:ext cx="2094091" cy="3211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405765</xdr:colOff>
      <xdr:row>3</xdr:row>
      <xdr:rowOff>30480</xdr:rowOff>
    </xdr:from>
    <xdr:to>
      <xdr:col>2</xdr:col>
      <xdr:colOff>232906</xdr:colOff>
      <xdr:row>5</xdr:row>
      <xdr:rowOff>2967</xdr:rowOff>
    </xdr:to>
    <xdr:pic>
      <xdr:nvPicPr>
        <xdr:cNvPr id="2" name="Picture 1" descr="A picture containing text, sign&#10;&#10;Description automatically generated">
          <a:extLst>
            <a:ext uri="{FF2B5EF4-FFF2-40B4-BE49-F238E27FC236}">
              <a16:creationId xmlns:a16="http://schemas.microsoft.com/office/drawing/2014/main" id="{2F5733D5-1B25-4521-AA53-34E3332FFE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2445" y="533400"/>
          <a:ext cx="2120761" cy="3153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405765</xdr:colOff>
      <xdr:row>3</xdr:row>
      <xdr:rowOff>30480</xdr:rowOff>
    </xdr:from>
    <xdr:to>
      <xdr:col>2</xdr:col>
      <xdr:colOff>232906</xdr:colOff>
      <xdr:row>5</xdr:row>
      <xdr:rowOff>2967</xdr:rowOff>
    </xdr:to>
    <xdr:pic>
      <xdr:nvPicPr>
        <xdr:cNvPr id="2" name="Picture 1" descr="A picture containing text, sign&#10;&#10;Description automatically generated">
          <a:extLst>
            <a:ext uri="{FF2B5EF4-FFF2-40B4-BE49-F238E27FC236}">
              <a16:creationId xmlns:a16="http://schemas.microsoft.com/office/drawing/2014/main" id="{49FE0A95-5621-415F-88A1-6B0BF29161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1965" y="516255"/>
          <a:ext cx="2055991" cy="296337"/>
        </a:xfrm>
        <a:prstGeom prst="rect">
          <a:avLst/>
        </a:prstGeom>
      </xdr:spPr>
    </xdr:pic>
    <xdr:clientData/>
  </xdr:twoCellAnchor>
  <xdr:twoCellAnchor>
    <xdr:from>
      <xdr:col>3</xdr:col>
      <xdr:colOff>0</xdr:colOff>
      <xdr:row>12</xdr:row>
      <xdr:rowOff>419100</xdr:rowOff>
    </xdr:from>
    <xdr:to>
      <xdr:col>4</xdr:col>
      <xdr:colOff>28575</xdr:colOff>
      <xdr:row>12</xdr:row>
      <xdr:rowOff>428625</xdr:rowOff>
    </xdr:to>
    <xdr:cxnSp macro="">
      <xdr:nvCxnSpPr>
        <xdr:cNvPr id="8" name="Straight Arrow Connector 7">
          <a:extLst>
            <a:ext uri="{FF2B5EF4-FFF2-40B4-BE49-F238E27FC236}">
              <a16:creationId xmlns:a16="http://schemas.microsoft.com/office/drawing/2014/main" id="{B75FCF84-31DA-E0B4-7CAA-525B63274D4E}"/>
            </a:ext>
          </a:extLst>
        </xdr:cNvPr>
        <xdr:cNvCxnSpPr/>
      </xdr:nvCxnSpPr>
      <xdr:spPr>
        <a:xfrm>
          <a:off x="3352800" y="2362200"/>
          <a:ext cx="10763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1028700</xdr:colOff>
      <xdr:row>12</xdr:row>
      <xdr:rowOff>409575</xdr:rowOff>
    </xdr:from>
    <xdr:to>
      <xdr:col>6</xdr:col>
      <xdr:colOff>9525</xdr:colOff>
      <xdr:row>12</xdr:row>
      <xdr:rowOff>419100</xdr:rowOff>
    </xdr:to>
    <xdr:cxnSp macro="">
      <xdr:nvCxnSpPr>
        <xdr:cNvPr id="10" name="Straight Arrow Connector 9">
          <a:extLst>
            <a:ext uri="{FF2B5EF4-FFF2-40B4-BE49-F238E27FC236}">
              <a16:creationId xmlns:a16="http://schemas.microsoft.com/office/drawing/2014/main" id="{DD2E0F2E-57EF-41C7-92F2-D05E0F10C9ED}"/>
            </a:ext>
          </a:extLst>
        </xdr:cNvPr>
        <xdr:cNvCxnSpPr/>
      </xdr:nvCxnSpPr>
      <xdr:spPr>
        <a:xfrm>
          <a:off x="5429250" y="2352675"/>
          <a:ext cx="10763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12</xdr:row>
      <xdr:rowOff>390525</xdr:rowOff>
    </xdr:from>
    <xdr:to>
      <xdr:col>8</xdr:col>
      <xdr:colOff>38100</xdr:colOff>
      <xdr:row>12</xdr:row>
      <xdr:rowOff>400050</xdr:rowOff>
    </xdr:to>
    <xdr:cxnSp macro="">
      <xdr:nvCxnSpPr>
        <xdr:cNvPr id="11" name="Straight Arrow Connector 10">
          <a:extLst>
            <a:ext uri="{FF2B5EF4-FFF2-40B4-BE49-F238E27FC236}">
              <a16:creationId xmlns:a16="http://schemas.microsoft.com/office/drawing/2014/main" id="{EAABA41A-50DE-47D2-8D7F-5E9013EE5C74}"/>
            </a:ext>
          </a:extLst>
        </xdr:cNvPr>
        <xdr:cNvCxnSpPr/>
      </xdr:nvCxnSpPr>
      <xdr:spPr>
        <a:xfrm>
          <a:off x="7553325" y="2333625"/>
          <a:ext cx="10763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12</xdr:row>
      <xdr:rowOff>428625</xdr:rowOff>
    </xdr:from>
    <xdr:to>
      <xdr:col>10</xdr:col>
      <xdr:colOff>38100</xdr:colOff>
      <xdr:row>12</xdr:row>
      <xdr:rowOff>438150</xdr:rowOff>
    </xdr:to>
    <xdr:cxnSp macro="">
      <xdr:nvCxnSpPr>
        <xdr:cNvPr id="12" name="Straight Arrow Connector 11">
          <a:extLst>
            <a:ext uri="{FF2B5EF4-FFF2-40B4-BE49-F238E27FC236}">
              <a16:creationId xmlns:a16="http://schemas.microsoft.com/office/drawing/2014/main" id="{7CDA81BA-BBEA-4F5A-8DCB-9EBA8A7AC82E}"/>
            </a:ext>
          </a:extLst>
        </xdr:cNvPr>
        <xdr:cNvCxnSpPr/>
      </xdr:nvCxnSpPr>
      <xdr:spPr>
        <a:xfrm>
          <a:off x="9648825" y="2371725"/>
          <a:ext cx="10763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1038225</xdr:colOff>
      <xdr:row>12</xdr:row>
      <xdr:rowOff>438150</xdr:rowOff>
    </xdr:from>
    <xdr:to>
      <xdr:col>12</xdr:col>
      <xdr:colOff>19050</xdr:colOff>
      <xdr:row>12</xdr:row>
      <xdr:rowOff>447675</xdr:rowOff>
    </xdr:to>
    <xdr:cxnSp macro="">
      <xdr:nvCxnSpPr>
        <xdr:cNvPr id="13" name="Straight Arrow Connector 12">
          <a:extLst>
            <a:ext uri="{FF2B5EF4-FFF2-40B4-BE49-F238E27FC236}">
              <a16:creationId xmlns:a16="http://schemas.microsoft.com/office/drawing/2014/main" id="{7A540CC7-5AD8-4044-8CB3-9BA810B5F177}"/>
            </a:ext>
          </a:extLst>
        </xdr:cNvPr>
        <xdr:cNvCxnSpPr/>
      </xdr:nvCxnSpPr>
      <xdr:spPr>
        <a:xfrm>
          <a:off x="11725275" y="2381250"/>
          <a:ext cx="10763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182881</xdr:colOff>
      <xdr:row>2</xdr:row>
      <xdr:rowOff>129540</xdr:rowOff>
    </xdr:from>
    <xdr:to>
      <xdr:col>2</xdr:col>
      <xdr:colOff>1924051</xdr:colOff>
      <xdr:row>5</xdr:row>
      <xdr:rowOff>133606</xdr:rowOff>
    </xdr:to>
    <xdr:pic>
      <xdr:nvPicPr>
        <xdr:cNvPr id="39" name="Picture 3" descr="A picture containing text, sign&#10;&#10;Description automatically generated">
          <a:extLst>
            <a:ext uri="{FF2B5EF4-FFF2-40B4-BE49-F238E27FC236}">
              <a16:creationId xmlns:a16="http://schemas.microsoft.com/office/drawing/2014/main" id="{E3C10837-58A1-417C-A3FF-72A0733839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9081" y="464820"/>
          <a:ext cx="3520440" cy="49746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180975</xdr:colOff>
      <xdr:row>2</xdr:row>
      <xdr:rowOff>152400</xdr:rowOff>
    </xdr:from>
    <xdr:to>
      <xdr:col>2</xdr:col>
      <xdr:colOff>2377440</xdr:colOff>
      <xdr:row>5</xdr:row>
      <xdr:rowOff>38100</xdr:rowOff>
    </xdr:to>
    <xdr:pic>
      <xdr:nvPicPr>
        <xdr:cNvPr id="2" name="Picture 3" descr="A picture containing text, sign&#10;&#10;Description automatically generated">
          <a:extLst>
            <a:ext uri="{FF2B5EF4-FFF2-40B4-BE49-F238E27FC236}">
              <a16:creationId xmlns:a16="http://schemas.microsoft.com/office/drawing/2014/main" id="{68C4269D-7CF9-4536-B9C8-AD6BB1B1E9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0" y="485775"/>
          <a:ext cx="2653665" cy="37147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180975</xdr:colOff>
      <xdr:row>2</xdr:row>
      <xdr:rowOff>152400</xdr:rowOff>
    </xdr:from>
    <xdr:to>
      <xdr:col>3</xdr:col>
      <xdr:colOff>681990</xdr:colOff>
      <xdr:row>5</xdr:row>
      <xdr:rowOff>38100</xdr:rowOff>
    </xdr:to>
    <xdr:pic>
      <xdr:nvPicPr>
        <xdr:cNvPr id="2" name="Picture 3" descr="A picture containing text, sign&#10;&#10;Description automatically generated">
          <a:extLst>
            <a:ext uri="{FF2B5EF4-FFF2-40B4-BE49-F238E27FC236}">
              <a16:creationId xmlns:a16="http://schemas.microsoft.com/office/drawing/2014/main" id="{0F6F6BD1-F2F9-4B49-A2E4-53C4AA4055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7175" y="476250"/>
          <a:ext cx="2695575" cy="37147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237419</xdr:colOff>
      <xdr:row>2</xdr:row>
      <xdr:rowOff>289277</xdr:rowOff>
    </xdr:from>
    <xdr:to>
      <xdr:col>2</xdr:col>
      <xdr:colOff>409839</xdr:colOff>
      <xdr:row>4</xdr:row>
      <xdr:rowOff>254001</xdr:rowOff>
    </xdr:to>
    <xdr:pic>
      <xdr:nvPicPr>
        <xdr:cNvPr id="2" name="Picture 3" descr="A picture containing text, sign&#10;&#10;Description automatically generated">
          <a:extLst>
            <a:ext uri="{FF2B5EF4-FFF2-40B4-BE49-F238E27FC236}">
              <a16:creationId xmlns:a16="http://schemas.microsoft.com/office/drawing/2014/main" id="{EB5D4ECD-3659-4243-AE5D-674CD77DFA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6969" y="619477"/>
          <a:ext cx="2458420" cy="421924"/>
        </a:xfrm>
        <a:prstGeom prst="rect">
          <a:avLst/>
        </a:prstGeom>
      </xdr:spPr>
    </xdr:pic>
    <xdr:clientData/>
  </xdr:twoCellAnchor>
  <xdr:twoCellAnchor>
    <xdr:from>
      <xdr:col>0</xdr:col>
      <xdr:colOff>183171</xdr:colOff>
      <xdr:row>9</xdr:row>
      <xdr:rowOff>159156</xdr:rowOff>
    </xdr:from>
    <xdr:to>
      <xdr:col>6</xdr:col>
      <xdr:colOff>500672</xdr:colOff>
      <xdr:row>30</xdr:row>
      <xdr:rowOff>32156</xdr:rowOff>
    </xdr:to>
    <xdr:graphicFrame macro="">
      <xdr:nvGraphicFramePr>
        <xdr:cNvPr id="29" name="Chart 3">
          <a:extLst>
            <a:ext uri="{FF2B5EF4-FFF2-40B4-BE49-F238E27FC236}">
              <a16:creationId xmlns:a16="http://schemas.microsoft.com/office/drawing/2014/main" id="{1E2FA5D2-FD47-4D72-2F3F-98894C3475D0}"/>
            </a:ext>
            <a:ext uri="{147F2762-F138-4A5C-976F-8EAC2B608ADB}">
              <a16:predDERef xmlns:a16="http://schemas.microsoft.com/office/drawing/2014/main" pred="{EB5D4ECD-3659-4243-AE5D-674CD77DFA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707048</xdr:colOff>
      <xdr:row>9</xdr:row>
      <xdr:rowOff>154476</xdr:rowOff>
    </xdr:from>
    <xdr:to>
      <xdr:col>15</xdr:col>
      <xdr:colOff>1206500</xdr:colOff>
      <xdr:row>30</xdr:row>
      <xdr:rowOff>64857</xdr:rowOff>
    </xdr:to>
    <mc:AlternateContent xmlns:mc="http://schemas.openxmlformats.org/markup-compatibility/2006">
      <mc:Choice xmlns:cx1="http://schemas.microsoft.com/office/drawing/2015/9/8/chartex" Requires="cx1">
        <xdr:graphicFrame macro="">
          <xdr:nvGraphicFramePr>
            <xdr:cNvPr id="32" name="Chart 7">
              <a:extLst>
                <a:ext uri="{FF2B5EF4-FFF2-40B4-BE49-F238E27FC236}">
                  <a16:creationId xmlns:a16="http://schemas.microsoft.com/office/drawing/2014/main" id="{99CAF01D-4CF9-2127-CAF4-CA87E61FCEF6}"/>
                </a:ext>
                <a:ext uri="{147F2762-F138-4A5C-976F-8EAC2B608ADB}">
                  <a16:predDERef xmlns:a16="http://schemas.microsoft.com/office/drawing/2014/main" pred="{1E2FA5D2-FD47-4D72-2F3F-98894C3475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774598" y="1875326"/>
              <a:ext cx="7509852" cy="337748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968374</xdr:colOff>
      <xdr:row>9</xdr:row>
      <xdr:rowOff>142874</xdr:rowOff>
    </xdr:from>
    <xdr:to>
      <xdr:col>21</xdr:col>
      <xdr:colOff>87313</xdr:colOff>
      <xdr:row>29</xdr:row>
      <xdr:rowOff>92605</xdr:rowOff>
    </xdr:to>
    <xdr:graphicFrame macro="">
      <xdr:nvGraphicFramePr>
        <xdr:cNvPr id="35" name="Chart 2">
          <a:extLst>
            <a:ext uri="{FF2B5EF4-FFF2-40B4-BE49-F238E27FC236}">
              <a16:creationId xmlns:a16="http://schemas.microsoft.com/office/drawing/2014/main" id="{FE3A388E-2290-D751-5D23-4AFAB66DB01F}"/>
            </a:ext>
            <a:ext uri="{147F2762-F138-4A5C-976F-8EAC2B608ADB}">
              <a16:predDERef xmlns:a16="http://schemas.microsoft.com/office/drawing/2014/main" pred="{99CAF01D-4CF9-2127-CAF4-CA87E61FCE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83340</xdr:colOff>
      <xdr:row>10</xdr:row>
      <xdr:rowOff>39688</xdr:rowOff>
    </xdr:from>
    <xdr:to>
      <xdr:col>30</xdr:col>
      <xdr:colOff>158749</xdr:colOff>
      <xdr:row>29</xdr:row>
      <xdr:rowOff>103190</xdr:rowOff>
    </xdr:to>
    <xdr:graphicFrame macro="">
      <xdr:nvGraphicFramePr>
        <xdr:cNvPr id="45" name="Chart 5">
          <a:extLst>
            <a:ext uri="{FF2B5EF4-FFF2-40B4-BE49-F238E27FC236}">
              <a16:creationId xmlns:a16="http://schemas.microsoft.com/office/drawing/2014/main" id="{4B5AB867-5995-EE52-BE4D-7EEB497530D0}"/>
            </a:ext>
            <a:ext uri="{147F2762-F138-4A5C-976F-8EAC2B608ADB}">
              <a16:predDERef xmlns:a16="http://schemas.microsoft.com/office/drawing/2014/main" pred="{FE3A388E-2290-D751-5D23-4AFAB66DB0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145720</xdr:colOff>
      <xdr:row>2</xdr:row>
      <xdr:rowOff>36187</xdr:rowOff>
    </xdr:from>
    <xdr:to>
      <xdr:col>4</xdr:col>
      <xdr:colOff>665635</xdr:colOff>
      <xdr:row>5</xdr:row>
      <xdr:rowOff>131108</xdr:rowOff>
    </xdr:to>
    <xdr:pic>
      <xdr:nvPicPr>
        <xdr:cNvPr id="2" name="Picture 3" descr="A picture containing text, sign&#10;&#10;Description automatically generated">
          <a:extLst>
            <a:ext uri="{FF2B5EF4-FFF2-40B4-BE49-F238E27FC236}">
              <a16:creationId xmlns:a16="http://schemas.microsoft.com/office/drawing/2014/main" id="{B64940F2-5CC1-4B81-B71C-6A32611F59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6220" y="379087"/>
          <a:ext cx="4073102" cy="613081"/>
        </a:xfrm>
        <a:prstGeom prst="rect">
          <a:avLst/>
        </a:prstGeom>
      </xdr:spPr>
    </xdr:pic>
    <xdr:clientData/>
  </xdr:twoCellAnchor>
  <xdr:twoCellAnchor>
    <xdr:from>
      <xdr:col>0</xdr:col>
      <xdr:colOff>-352425</xdr:colOff>
      <xdr:row>0</xdr:row>
      <xdr:rowOff>-1819275</xdr:rowOff>
    </xdr:from>
    <xdr:to>
      <xdr:col>0</xdr:col>
      <xdr:colOff>-352425</xdr:colOff>
      <xdr:row>0</xdr:row>
      <xdr:rowOff>-1819275</xdr:rowOff>
    </xdr:to>
    <xdr:sp macro="" textlink="">
      <xdr:nvSpPr>
        <xdr:cNvPr id="3" name="TextBox 2">
          <a:extLst>
            <a:ext uri="{FF2B5EF4-FFF2-40B4-BE49-F238E27FC236}">
              <a16:creationId xmlns:a16="http://schemas.microsoft.com/office/drawing/2014/main" id="{1521E6C6-302D-46C2-B5B2-C9A9F0CAADCA}"/>
            </a:ext>
            <a:ext uri="{147F2762-F138-4A5C-976F-8EAC2B608ADB}">
              <a16:predDERef xmlns:a16="http://schemas.microsoft.com/office/drawing/2014/main" pred="{132A82F0-DA31-32B7-A647-6FFCD7B394ED}"/>
            </a:ext>
          </a:extLst>
        </xdr:cNvPr>
        <xdr:cNvSpPr txBox="1"/>
      </xdr:nvSpPr>
      <xdr:spPr>
        <a:xfrm>
          <a:off x="-352425" y="-1819275"/>
          <a:ext cx="0" cy="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Hours Summary and Utilizatio</a:t>
          </a:r>
        </a:p>
      </xdr:txBody>
    </xdr:sp>
    <xdr:clientData/>
  </xdr:twoCellAnchor>
  <xdr:twoCellAnchor>
    <xdr:from>
      <xdr:col>0</xdr:col>
      <xdr:colOff>-352425</xdr:colOff>
      <xdr:row>0</xdr:row>
      <xdr:rowOff>-1085850</xdr:rowOff>
    </xdr:from>
    <xdr:to>
      <xdr:col>0</xdr:col>
      <xdr:colOff>-352425</xdr:colOff>
      <xdr:row>0</xdr:row>
      <xdr:rowOff>-1085850</xdr:rowOff>
    </xdr:to>
    <xdr:sp macro="" textlink="">
      <xdr:nvSpPr>
        <xdr:cNvPr id="5" name="TextBox 4">
          <a:extLst>
            <a:ext uri="{FF2B5EF4-FFF2-40B4-BE49-F238E27FC236}">
              <a16:creationId xmlns:a16="http://schemas.microsoft.com/office/drawing/2014/main" id="{5BA7A796-1A0D-35D5-862C-64219F55CD36}"/>
            </a:ext>
            <a:ext uri="{147F2762-F138-4A5C-976F-8EAC2B608ADB}">
              <a16:predDERef xmlns:a16="http://schemas.microsoft.com/office/drawing/2014/main" pred="{1521E6C6-302D-46C2-B5B2-C9A9F0CAADCA}"/>
            </a:ext>
          </a:extLst>
        </xdr:cNvPr>
        <xdr:cNvSpPr txBox="1"/>
      </xdr:nvSpPr>
      <xdr:spPr>
        <a:xfrm>
          <a:off x="-352425" y="-1085850"/>
          <a:ext cx="0" cy="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Hours Summary and Utilization</a:t>
          </a:r>
          <a:endParaRPr lang="en-US" sz="1100" b="0" i="0" u="none" strike="noStrike">
            <a:solidFill>
              <a:srgbClr val="000000"/>
            </a:solidFill>
            <a:latin typeface="+mn-lt"/>
            <a:ea typeface="+mn-lt"/>
            <a:cs typeface="+mn-lt"/>
          </a:endParaRPr>
        </a:p>
        <a:p>
          <a:pPr marL="0" indent="0" algn="l"/>
          <a:endParaRPr lang="en-US" sz="1100">
            <a:latin typeface="+mn-lt"/>
            <a:ea typeface="+mn-lt"/>
            <a:cs typeface="+mn-lt"/>
          </a:endParaRPr>
        </a:p>
      </xdr:txBody>
    </xdr:sp>
    <xdr:clientData/>
  </xdr:twoCellAnchor>
  <xdr:twoCellAnchor>
    <xdr:from>
      <xdr:col>0</xdr:col>
      <xdr:colOff>185459</xdr:colOff>
      <xdr:row>12</xdr:row>
      <xdr:rowOff>90884</xdr:rowOff>
    </xdr:from>
    <xdr:to>
      <xdr:col>13</xdr:col>
      <xdr:colOff>41367</xdr:colOff>
      <xdr:row>32</xdr:row>
      <xdr:rowOff>130771</xdr:rowOff>
    </xdr:to>
    <xdr:graphicFrame macro="">
      <xdr:nvGraphicFramePr>
        <xdr:cNvPr id="7" name="Chart 13">
          <a:extLst>
            <a:ext uri="{FF2B5EF4-FFF2-40B4-BE49-F238E27FC236}">
              <a16:creationId xmlns:a16="http://schemas.microsoft.com/office/drawing/2014/main" id="{D7B4AABB-6F7A-A18D-722B-A74DE7CF2C27}"/>
            </a:ext>
            <a:ext uri="{147F2762-F138-4A5C-976F-8EAC2B608ADB}">
              <a16:predDERef xmlns:a16="http://schemas.microsoft.com/office/drawing/2014/main" pred="{5BA7A796-1A0D-35D5-862C-64219F55CD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324509</xdr:colOff>
      <xdr:row>12</xdr:row>
      <xdr:rowOff>137407</xdr:rowOff>
    </xdr:from>
    <xdr:to>
      <xdr:col>31</xdr:col>
      <xdr:colOff>732670</xdr:colOff>
      <xdr:row>33</xdr:row>
      <xdr:rowOff>18380</xdr:rowOff>
    </xdr:to>
    <mc:AlternateContent xmlns:mc="http://schemas.openxmlformats.org/markup-compatibility/2006">
      <mc:Choice xmlns:cx1="http://schemas.microsoft.com/office/drawing/2015/9/8/chartex" Requires="cx1">
        <xdr:graphicFrame macro="">
          <xdr:nvGraphicFramePr>
            <xdr:cNvPr id="6" name="Chart 6">
              <a:extLst>
                <a:ext uri="{FF2B5EF4-FFF2-40B4-BE49-F238E27FC236}">
                  <a16:creationId xmlns:a16="http://schemas.microsoft.com/office/drawing/2014/main" id="{D0363E4D-2017-5950-5EA5-278AEFEC4E8B}"/>
                </a:ext>
                <a:ext uri="{147F2762-F138-4A5C-976F-8EAC2B608ADB}">
                  <a16:predDERef xmlns:a16="http://schemas.microsoft.com/office/drawing/2014/main" pred="{D7B4AABB-6F7A-A18D-722B-A74DE7CF2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805809" y="2017007"/>
              <a:ext cx="9507711" cy="35322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145720</xdr:colOff>
      <xdr:row>2</xdr:row>
      <xdr:rowOff>36187</xdr:rowOff>
    </xdr:from>
    <xdr:to>
      <xdr:col>4</xdr:col>
      <xdr:colOff>630437</xdr:colOff>
      <xdr:row>5</xdr:row>
      <xdr:rowOff>131108</xdr:rowOff>
    </xdr:to>
    <xdr:pic>
      <xdr:nvPicPr>
        <xdr:cNvPr id="2" name="Picture 3" descr="A picture containing text, sign&#10;&#10;Description automatically generated">
          <a:extLst>
            <a:ext uri="{FF2B5EF4-FFF2-40B4-BE49-F238E27FC236}">
              <a16:creationId xmlns:a16="http://schemas.microsoft.com/office/drawing/2014/main" id="{BF7A273C-4C00-4EA9-8F7E-3EDB39BB90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6220" y="369562"/>
          <a:ext cx="4073102" cy="609271"/>
        </a:xfrm>
        <a:prstGeom prst="rect">
          <a:avLst/>
        </a:prstGeom>
      </xdr:spPr>
    </xdr:pic>
    <xdr:clientData/>
  </xdr:twoCellAnchor>
  <xdr:twoCellAnchor>
    <xdr:from>
      <xdr:col>0</xdr:col>
      <xdr:colOff>192859</xdr:colOff>
      <xdr:row>13</xdr:row>
      <xdr:rowOff>32385</xdr:rowOff>
    </xdr:from>
    <xdr:to>
      <xdr:col>13</xdr:col>
      <xdr:colOff>36286</xdr:colOff>
      <xdr:row>31</xdr:row>
      <xdr:rowOff>99786</xdr:rowOff>
    </xdr:to>
    <xdr:graphicFrame macro="">
      <xdr:nvGraphicFramePr>
        <xdr:cNvPr id="11" name="Chart 10">
          <a:extLst>
            <a:ext uri="{FF2B5EF4-FFF2-40B4-BE49-F238E27FC236}">
              <a16:creationId xmlns:a16="http://schemas.microsoft.com/office/drawing/2014/main" id="{85B67C91-A2DD-6799-4560-37320A05522B}"/>
            </a:ext>
            <a:ext uri="{147F2762-F138-4A5C-976F-8EAC2B608ADB}">
              <a16:predDERef xmlns:a16="http://schemas.microsoft.com/office/drawing/2014/main" pred="{BF7A273C-4C00-4EA9-8F7E-3EDB39BB9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9072</xdr:colOff>
      <xdr:row>13</xdr:row>
      <xdr:rowOff>0</xdr:rowOff>
    </xdr:from>
    <xdr:to>
      <xdr:col>22</xdr:col>
      <xdr:colOff>867834</xdr:colOff>
      <xdr:row>31</xdr:row>
      <xdr:rowOff>36286</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214D603-B904-DEA0-5802-9C61C474A2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487072" y="2197100"/>
              <a:ext cx="9183612" cy="302713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145720</xdr:colOff>
      <xdr:row>2</xdr:row>
      <xdr:rowOff>36187</xdr:rowOff>
    </xdr:from>
    <xdr:to>
      <xdr:col>4</xdr:col>
      <xdr:colOff>225307</xdr:colOff>
      <xdr:row>5</xdr:row>
      <xdr:rowOff>134918</xdr:rowOff>
    </xdr:to>
    <xdr:pic>
      <xdr:nvPicPr>
        <xdr:cNvPr id="2" name="Picture 3" descr="A picture containing text, sign&#10;&#10;Description automatically generated">
          <a:extLst>
            <a:ext uri="{FF2B5EF4-FFF2-40B4-BE49-F238E27FC236}">
              <a16:creationId xmlns:a16="http://schemas.microsoft.com/office/drawing/2014/main" id="{4D1C6367-6509-43A5-83BA-F7D5CA4BE0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6220" y="379087"/>
          <a:ext cx="4073102" cy="609271"/>
        </a:xfrm>
        <a:prstGeom prst="rect">
          <a:avLst/>
        </a:prstGeom>
      </xdr:spPr>
    </xdr:pic>
    <xdr:clientData/>
  </xdr:twoCellAnchor>
  <xdr:twoCellAnchor>
    <xdr:from>
      <xdr:col>0</xdr:col>
      <xdr:colOff>152400</xdr:colOff>
      <xdr:row>12</xdr:row>
      <xdr:rowOff>142875</xdr:rowOff>
    </xdr:from>
    <xdr:to>
      <xdr:col>13</xdr:col>
      <xdr:colOff>819150</xdr:colOff>
      <xdr:row>31</xdr:row>
      <xdr:rowOff>133350</xdr:rowOff>
    </xdr:to>
    <xdr:graphicFrame macro="">
      <xdr:nvGraphicFramePr>
        <xdr:cNvPr id="4" name="Chart 3">
          <a:extLst>
            <a:ext uri="{FF2B5EF4-FFF2-40B4-BE49-F238E27FC236}">
              <a16:creationId xmlns:a16="http://schemas.microsoft.com/office/drawing/2014/main" id="{869B168E-728F-0375-6169-9DA3EB8BD959}"/>
            </a:ext>
            <a:ext uri="{147F2762-F138-4A5C-976F-8EAC2B608ADB}">
              <a16:predDERef xmlns:a16="http://schemas.microsoft.com/office/drawing/2014/main" pred="{4D1C6367-6509-43A5-83BA-F7D5CA4BE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145720</xdr:colOff>
      <xdr:row>2</xdr:row>
      <xdr:rowOff>36187</xdr:rowOff>
    </xdr:from>
    <xdr:to>
      <xdr:col>2</xdr:col>
      <xdr:colOff>2039792</xdr:colOff>
      <xdr:row>5</xdr:row>
      <xdr:rowOff>131108</xdr:rowOff>
    </xdr:to>
    <xdr:pic>
      <xdr:nvPicPr>
        <xdr:cNvPr id="2" name="Picture 3" descr="A picture containing text, sign&#10;&#10;Description automatically generated">
          <a:extLst>
            <a:ext uri="{FF2B5EF4-FFF2-40B4-BE49-F238E27FC236}">
              <a16:creationId xmlns:a16="http://schemas.microsoft.com/office/drawing/2014/main" id="{2A1AD7E4-022D-4DE5-A904-B2840B35D0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8277" y="364136"/>
          <a:ext cx="4112553" cy="58113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rian Stanton" id="{E9016B75-EB81-4B97-91DA-75E2F84ED7D1}" userId="S::bstanton@choicescm.com::02d3b2f0-77c4-4f2a-baeb-45ce0a815ea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0919FAC-02D2-4132-99A9-999678A0F911}" name="Table8" displayName="Table8" ref="B9:F31" totalsRowShown="0">
  <autoFilter ref="B9:F31" xr:uid="{20919FAC-02D2-4132-99A9-999678A0F911}"/>
  <tableColumns count="5">
    <tableColumn id="1" xr3:uid="{C668F1AF-33F6-4DC2-8A04-FED66618D28F}" name="Item Needed "/>
    <tableColumn id="2" xr3:uid="{40947FA0-2DB2-43E0-88C9-A56DA31B69DD}" name="Resonsible"/>
    <tableColumn id="3" xr3:uid="{A84F7882-5AEA-4014-80CB-835494BBE1CF}" name="By When?" dataDxfId="549"/>
    <tableColumn id="4" xr3:uid="{5A262463-89E2-4C14-969D-952C25C25E41}" name="Status"/>
    <tableColumn id="5" xr3:uid="{012BA028-88BB-4C46-BB8B-865E2FF12C37}" name="Answer or Attachment"/>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C4A45D5-5A6C-43A7-BE69-22B5D1D7F4FF}" name="Table7" displayName="Table7" ref="B9:L34" totalsRowShown="0" headerRowDxfId="548" dataDxfId="546" headerRowBorderDxfId="547">
  <autoFilter ref="B9:L34" xr:uid="{7C4A45D5-5A6C-43A7-BE69-22B5D1D7F4FF}">
    <filterColumn colId="5">
      <filters>
        <filter val="Stanton"/>
      </filters>
    </filterColumn>
  </autoFilter>
  <tableColumns count="11">
    <tableColumn id="1" xr3:uid="{EE5B4D8E-F5AD-4E66-9FF2-849BE7789D74}" name="#" dataDxfId="545"/>
    <tableColumn id="2" xr3:uid="{0C9F74E3-C19F-45FA-A2C6-2A8363FF6304}" name="Strategic Objective" dataDxfId="544"/>
    <tableColumn id="3" xr3:uid="{27318EA9-9C66-469D-A3BF-1FF504DB1717}" name="Initiative #" dataDxfId="543"/>
    <tableColumn id="11" xr3:uid="{A29B3DD5-CC6D-463C-BFB6-0409859C8D53}" name="Status" dataDxfId="542"/>
    <tableColumn id="4" xr3:uid="{1D345221-E191-4980-9A73-68BB4E4A00AA}" name="Initiative" dataDxfId="541"/>
    <tableColumn id="5" xr3:uid="{03F5E696-A168-4D04-9559-8F27D7719BEB}" name="Sponsor" dataDxfId="540"/>
    <tableColumn id="6" xr3:uid="{9BA8DFCB-0E94-4E71-A116-09D02770FC82}" name="KPI" dataDxfId="539"/>
    <tableColumn id="7" xr3:uid="{25DFADA9-D1EF-4DD1-A5F5-CA122F28B3B6}" name="Goal" dataDxfId="538"/>
    <tableColumn id="8" xr3:uid="{C834BA7A-D28A-4AA7-983D-F0AE7BC20CFC}" name="2024" dataDxfId="537"/>
    <tableColumn id="9" xr3:uid="{A26EFB7F-5120-4DAB-A25F-ED817BFE3438}" name="2025" dataDxfId="536"/>
    <tableColumn id="10" xr3:uid="{290ED321-CAF2-4410-94B5-FF59CD73C34E}" name="2026" dataDxfId="535"/>
  </tableColumns>
  <tableStyleInfo name="TableStyleMedium3"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085023-FD13-4084-99B1-E7283DCC1BDF}" name="Table3" displayName="Table3" ref="B9:L18" totalsRowShown="0" headerRowDxfId="534" dataDxfId="533" tableBorderDxfId="532">
  <autoFilter ref="B9:L18" xr:uid="{8B085023-FD13-4084-99B1-E7283DCC1BD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4" xr3:uid="{C7770520-24E7-486E-B7A6-1E742D99AABF}" name="#" dataDxfId="531"/>
    <tableColumn id="1" xr3:uid="{0ABFAC3B-6C24-449D-81CB-8B845D0688DA}" name="Company Name" dataDxfId="530"/>
    <tableColumn id="6" xr3:uid="{9B56FF7E-0903-44E7-8DAF-ED5E8F2ACED5}" name="Contact Person" dataDxfId="529"/>
    <tableColumn id="2" xr3:uid="{2C7A92E7-C716-4470-AA0F-CCC2944E289D}" name="Website" dataDxfId="528"/>
    <tableColumn id="5" xr3:uid="{53913422-1961-4244-9F23-477145EEC70C}" name="Progress" dataDxfId="527"/>
    <tableColumn id="14" xr3:uid="{788F6517-8C9E-4857-81E8-E6E1E4777EF7}" name="Zip Code" dataDxfId="526"/>
    <tableColumn id="7" xr3:uid="{AE709260-902B-4341-B09B-38EA7447B529}" name="Process" dataDxfId="525"/>
    <tableColumn id="8" xr3:uid="{78738879-163A-4782-8E5D-C0EEFFCA477F}" name="Pricing" dataDxfId="524"/>
    <tableColumn id="9" xr3:uid="{40C8C71F-FB9D-493C-B49C-CA2347ED303E}" name="Timeline" dataDxfId="523"/>
    <tableColumn id="12" xr3:uid="{1531B6EE-07CC-47DC-99FE-F2F775DE29AF}" name="Contacts" dataDxfId="522"/>
    <tableColumn id="3" xr3:uid="{672F5D54-A74B-4480-BC3C-DEFB70FB2D15}" name="Key Term" dataDxfId="521"/>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C42736-CDF5-4DE3-B29A-1923ABB43A91}" name="tbl_Responsible" displayName="tbl_Responsible" ref="B2:B15" totalsRowShown="0">
  <autoFilter ref="B2:B15" xr:uid="{35C42736-CDF5-4DE3-B29A-1923ABB43A91}"/>
  <sortState xmlns:xlrd2="http://schemas.microsoft.com/office/spreadsheetml/2017/richdata2" ref="B3:B15">
    <sortCondition ref="B3:B15"/>
  </sortState>
  <tableColumns count="1">
    <tableColumn id="1" xr3:uid="{9CD19321-03A2-4053-B361-6B3093CACBAE}" name="Responsible"/>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A767B7-CBDA-41C8-8004-DCB58604342B}" name="tbl_Accountable" displayName="tbl_Accountable" ref="D2:D13" totalsRowShown="0">
  <autoFilter ref="D2:D13" xr:uid="{48A767B7-CBDA-41C8-8004-DCB58604342B}"/>
  <sortState xmlns:xlrd2="http://schemas.microsoft.com/office/spreadsheetml/2017/richdata2" ref="D3:D10">
    <sortCondition ref="D3:D10"/>
  </sortState>
  <tableColumns count="1">
    <tableColumn id="1" xr3:uid="{BD358B89-8133-43D2-8268-46900AD92A61}" name="Accountabl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ED66BA6-6F2C-4382-BA80-1C9CF5397586}" name="tbl_Status" displayName="tbl_Status" ref="F2:F5" totalsRowShown="0" dataDxfId="520">
  <autoFilter ref="F2:F5" xr:uid="{4ED66BA6-6F2C-4382-BA80-1C9CF5397586}"/>
  <tableColumns count="1">
    <tableColumn id="1" xr3:uid="{7B3987BD-A96F-4089-AB59-57067B1CCB37}" name="STATUS" dataDxfId="519"/>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0EB430C-DAD8-4241-AFEE-4735997473B7}" name="Clients" displayName="Clients" ref="B35:P104" totalsRowCount="1" headerRowDxfId="518" dataDxfId="516" headerRowBorderDxfId="517">
  <tableColumns count="15">
    <tableColumn id="1" xr3:uid="{5CD1C16E-35CE-480D-A6D4-8CCF6FFB727C}" name="Clients" totalsRowLabel="Total" dataDxfId="515" totalsRowDxfId="514"/>
    <tableColumn id="15" xr3:uid="{ABAFAB11-621C-4E8A-B347-1A9FFE0A9D45}" name="Account" dataDxfId="513" totalsRowDxfId="512"/>
    <tableColumn id="6" xr3:uid="{FCAEC98B-2B4F-44E2-BC36-5D8CC0EFE187}" name="Apr - Jun 22" totalsRowFunction="sum" dataDxfId="511" totalsRowDxfId="510"/>
    <tableColumn id="7" xr3:uid="{A4F21743-0F68-4C87-A341-9B892EFFAB6D}" name="Jul - Sep 22" totalsRowFunction="sum" dataDxfId="509" totalsRowDxfId="508"/>
    <tableColumn id="8" xr3:uid="{5A52E34E-9BB3-4458-8553-939BF61980A0}" name="Oct - Dec 22" totalsRowFunction="sum" dataDxfId="507" totalsRowDxfId="506"/>
    <tableColumn id="9" xr3:uid="{39942B07-7677-42BC-97D7-705CB89E0972}" name="Jan - Mar 23" totalsRowFunction="sum" dataDxfId="505" totalsRowDxfId="504"/>
    <tableColumn id="10" xr3:uid="{8F5CF1C4-B6F8-4FBC-B51E-9D77F7E21829}" name="Apr - Jun 23" totalsRowFunction="sum" dataDxfId="503" totalsRowDxfId="502"/>
    <tableColumn id="11" xr3:uid="{5BD9A14B-5487-48E5-9AC3-F8DFDAAE3E61}" name="Jul - Sep 23" totalsRowFunction="sum" dataDxfId="501" totalsRowDxfId="500"/>
    <tableColumn id="12" xr3:uid="{B42A96F2-0112-43CB-8BEA-3B496E63D953}" name="Oct - Dec 23" totalsRowFunction="sum" dataDxfId="499" totalsRowDxfId="498"/>
    <tableColumn id="13" xr3:uid="{1C6DA05C-8DEC-4DF7-A81D-ECE3617EA3DD}" name="Jan - Mar 24" totalsRowFunction="sum" dataDxfId="497" totalsRowDxfId="496"/>
    <tableColumn id="14" xr3:uid="{45A527D7-BDEB-4E9C-B5C6-FCB7E97E85AF}" name="Apr - Jun 24" totalsRowFunction="sum" dataDxfId="495" totalsRowDxfId="494"/>
    <tableColumn id="16" xr3:uid="{5131C132-09FD-43E4-B1A9-D6DE874DD4BD}" name="Jul - Sep 24" dataDxfId="493" totalsRowDxfId="492"/>
    <tableColumn id="17" xr3:uid="{D620173A-0BAA-4021-9222-9D98DA6B062F}" name="Oct - Dec 24" dataDxfId="491" totalsRowDxfId="490"/>
    <tableColumn id="18" xr3:uid="{522704C9-2A20-4306-A51B-8217192787B4}" name="Jan - Mar 25" dataDxfId="489" totalsRowDxfId="488"/>
    <tableColumn id="2" xr3:uid="{2520E455-EC7B-4BD2-9195-952AD2276600}" name="2023-2024" dataDxfId="487" totalsRowDxfId="486"/>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444C86C-420E-41D4-9A7A-14F08B81338F}" name="YoY_change" displayName="YoY_change" ref="R35:U104" totalsRowCount="1" headerRowDxfId="485" headerRowBorderDxfId="484">
  <tableColumns count="4">
    <tableColumn id="1" xr3:uid="{3977B9CF-2D5E-4642-8CAE-91EFD5598D86}" name="YoY 23" totalsRowFunction="sum" dataDxfId="483" totalsRowDxfId="482">
      <calculatedColumnFormula>SUM(Clients[[#This Row],[Apr - Jun 23]:[Jan - Mar 24]])-SUM(Clients[[#This Row],[Apr - Jun 22]:[Jan - Mar 23]])</calculatedColumnFormula>
    </tableColumn>
    <tableColumn id="2" xr3:uid="{AC269DEF-23F8-4B5E-803E-A62BABA115DE}" name="YoY% 23" totalsRowFunction="average" dataDxfId="481" totalsRowDxfId="480" dataCellStyle="Percent">
      <calculatedColumnFormula>IFERROR(R36/SUM(Clients[[#This Row],[Apr - Jun 22]:[Jan - Mar 23]]),0)</calculatedColumnFormula>
    </tableColumn>
    <tableColumn id="3" xr3:uid="{26D27FA7-8A5B-436E-9431-149F11A035E4}" name="YoY 24" totalsRowFunction="sum" dataDxfId="479" totalsRowDxfId="478"/>
    <tableColumn id="4" xr3:uid="{DB99E0CD-58F5-4343-95B8-FEFA6A0AF618}" name="YoY% 24" totalsRowFunction="average" dataDxfId="477" totalsRowDxfId="476" dataCellStyle="Percent"/>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A192623-9D7F-4BB7-91CE-D7698E5EAA48}" name="RegularHours_type1" displayName="RegularHours_type1" ref="B37:R87" totalsRowCount="1" headerRowDxfId="475" dataDxfId="473" totalsRowDxfId="471" headerRowBorderDxfId="474" tableBorderDxfId="472">
  <tableColumns count="17">
    <tableColumn id="1" xr3:uid="{3D89135A-27CF-4B6E-B75D-451658921F0E}" name="Nurse" totalsRowLabel="Total" totalsRowDxfId="470"/>
    <tableColumn id="2" xr3:uid="{1DA299ED-D4EC-4D20-9014-7D485C171219}" name="Program" dataDxfId="469" totalsRowDxfId="468"/>
    <tableColumn id="3" xr3:uid="{98795248-5EF2-4DA2-9542-1ECD7651952E}" name="Status" dataDxfId="467" totalsRowDxfId="466"/>
    <tableColumn id="4" xr3:uid="{1A86C454-A925-45B3-8177-271248D834CA}" name="Month -&gt;" dataDxfId="465" totalsRowDxfId="464"/>
    <tableColumn id="5" xr3:uid="{1BBBA7D5-B40D-44DC-92E8-EF5EEB8B69ED}" name="Jan" totalsRowFunction="sum" dataDxfId="463" totalsRowDxfId="462"/>
    <tableColumn id="6" xr3:uid="{693D9430-1908-4041-AAF3-4C72FFD191D7}" name="Feb" totalsRowFunction="sum" dataDxfId="461" totalsRowDxfId="460"/>
    <tableColumn id="7" xr3:uid="{32F37659-E317-4559-B705-085E4E9739CF}" name="Mar" totalsRowFunction="sum" dataDxfId="459" totalsRowDxfId="458"/>
    <tableColumn id="8" xr3:uid="{8E33993D-EEE4-4E63-9EBF-06C60EFD0F07}" name="Apr" totalsRowFunction="sum" dataDxfId="457" totalsRowDxfId="456"/>
    <tableColumn id="9" xr3:uid="{281091E2-A508-440E-A427-30F817B2F189}" name="May" totalsRowFunction="sum" dataDxfId="455" totalsRowDxfId="454"/>
    <tableColumn id="10" xr3:uid="{40F26059-78A8-4BEE-9DCF-3D9C86DED994}" name="Jun" totalsRowFunction="sum" dataDxfId="453" totalsRowDxfId="452"/>
    <tableColumn id="11" xr3:uid="{E72F253C-6EFC-4C3E-B97A-49FDDC5DCBFC}" name="July" totalsRowFunction="sum" dataDxfId="451" totalsRowDxfId="450"/>
    <tableColumn id="12" xr3:uid="{01992100-F0D9-4131-B406-C54765CC9853}" name="Aug" totalsRowFunction="sum" dataDxfId="449" totalsRowDxfId="448"/>
    <tableColumn id="13" xr3:uid="{C0F6B2DA-40E4-4890-BD53-55C2EFEB3700}" name="Sep" totalsRowFunction="sum" dataDxfId="447" totalsRowDxfId="446"/>
    <tableColumn id="14" xr3:uid="{2067004B-CF4A-4D9F-A198-38E195A61FD9}" name="Oct" totalsRowFunction="sum" dataDxfId="445" totalsRowDxfId="444"/>
    <tableColumn id="15" xr3:uid="{054A14E5-4112-4B04-BF0C-0F1AA9AD2E2B}" name="Nov" totalsRowFunction="sum" dataDxfId="443" totalsRowDxfId="442"/>
    <tableColumn id="16" xr3:uid="{08D3803E-41B0-453B-A7C6-713F501FF50A}" name="Dec" totalsRowFunction="sum" dataDxfId="441" totalsRowDxfId="440"/>
    <tableColumn id="17" xr3:uid="{29A4D468-34E9-4387-97D5-73E9968D2891}" name="YTD" totalsRowFunction="sum" dataDxfId="439" totalsRowDxfId="43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DDAC9A7-05E7-44A4-B193-4581B4E0A002}" name="EIPHours_Type1" displayName="EIPHours_Type1" ref="B98:R107" totalsRowCount="1" headerRowDxfId="437" dataDxfId="435" headerRowBorderDxfId="436">
  <autoFilter ref="B98:R106" xr:uid="{23A2C3D0-1739-4761-A2BA-981B05B8AB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485A2A1-B0A6-47D3-B487-DCD28761C3DC}" name="Nurse" totalsRowLabel="Total" dataDxfId="434" totalsRowDxfId="433"/>
    <tableColumn id="2" xr3:uid="{88683158-C90D-43DA-82A7-489C4E3E8A29}" name="Program" dataDxfId="432" totalsRowDxfId="431"/>
    <tableColumn id="3" xr3:uid="{85567CA5-1AA4-4B7F-992A-074538073FB9}" name="Status" dataDxfId="430" totalsRowDxfId="429"/>
    <tableColumn id="4" xr3:uid="{D0FB65A0-B2E6-4F53-8A90-0B22F00B8734}" name="Month -&gt;" dataDxfId="428" totalsRowDxfId="427"/>
    <tableColumn id="5" xr3:uid="{EF40B327-D355-4505-9C82-45085131C810}" name="Jan" totalsRowFunction="custom" totalsRowDxfId="426">
      <totalsRowFormula>ReportingDashboard!F53+ReportingDashboard!F57</totalsRowFormula>
    </tableColumn>
    <tableColumn id="6" xr3:uid="{CD2EC243-DA89-4F0C-9D40-50551BA91C2C}" name="Feb" totalsRowFunction="custom" totalsRowDxfId="425">
      <totalsRowFormula>ReportingDashboard!G53+ReportingDashboard!G57</totalsRowFormula>
    </tableColumn>
    <tableColumn id="7" xr3:uid="{865BA917-36EB-4748-B915-D2FCF6D2B7E4}" name="Mar" totalsRowFunction="custom" totalsRowDxfId="424">
      <totalsRowFormula>ReportingDashboard!H53+ReportingDashboard!H57</totalsRowFormula>
    </tableColumn>
    <tableColumn id="8" xr3:uid="{1F13A83D-C7D6-443D-AD26-0F7E8B888046}" name="Apr" totalsRowFunction="custom" totalsRowDxfId="423">
      <totalsRowFormula>ReportingDashboard!I53+ReportingDashboard!I57</totalsRowFormula>
    </tableColumn>
    <tableColumn id="9" xr3:uid="{498D4216-C7D8-45C9-8747-9750A3512764}" name="May" totalsRowFunction="custom" totalsRowDxfId="422">
      <totalsRowFormula>ReportingDashboard!J53+ReportingDashboard!J57</totalsRowFormula>
    </tableColumn>
    <tableColumn id="10" xr3:uid="{E53BD18C-A15F-4826-A8AB-36C6C5C8F0CD}" name="Jun" totalsRowFunction="custom" totalsRowDxfId="421">
      <totalsRowFormula>ReportingDashboard!K53+ReportingDashboard!K57</totalsRowFormula>
    </tableColumn>
    <tableColumn id="11" xr3:uid="{887E065A-1012-4B8A-8DC0-D002F4D4EEC9}" name="July" totalsRowFunction="custom" totalsRowDxfId="420">
      <totalsRowFormula>ReportingDashboard!L53+ReportingDashboard!L57</totalsRowFormula>
    </tableColumn>
    <tableColumn id="12" xr3:uid="{4A2A5889-767E-4925-8044-9DF1CFE4F8AB}" name="Aug" totalsRowFunction="custom" totalsRowDxfId="419">
      <totalsRowFormula>ReportingDashboard!M53+ReportingDashboard!M57</totalsRowFormula>
    </tableColumn>
    <tableColumn id="13" xr3:uid="{D9B9A42D-7DAA-4930-B6D7-55A7C334949C}" name="Sep" totalsRowFunction="custom" totalsRowDxfId="418">
      <totalsRowFormula>ReportingDashboard!N53+ReportingDashboard!N57</totalsRowFormula>
    </tableColumn>
    <tableColumn id="14" xr3:uid="{E27415AD-3540-4F35-BDA4-5AABAA5A3660}" name="Oct" totalsRowFunction="custom" totalsRowDxfId="417">
      <totalsRowFormula>ReportingDashboard!O53+ReportingDashboard!O57</totalsRowFormula>
    </tableColumn>
    <tableColumn id="15" xr3:uid="{1ACC3A10-6DB9-42AC-8BAA-0F3F68E7DDB0}" name="Nov" totalsRowFunction="custom" totalsRowDxfId="416">
      <totalsRowFormula>ReportingDashboard!P53+ReportingDashboard!P57</totalsRowFormula>
    </tableColumn>
    <tableColumn id="16" xr3:uid="{6B691B12-B0DE-42F5-B18D-1D7A3571FB38}" name="Dec" totalsRowFunction="custom" totalsRowDxfId="415">
      <totalsRowFormula>ReportingDashboard!Q53+ReportingDashboard!Q57</totalsRowFormula>
    </tableColumn>
    <tableColumn id="17" xr3:uid="{53D12103-0840-4B74-8447-BAB19090EDD1}" name="YTD" totalsRowFunction="sum" dataDxfId="414" totalsRowDxfId="413">
      <calculatedColumnFormula>SUM('Nurse Hours'!$F99:$Q99)</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8E22835-9D10-419F-A885-53B1FC6AC3F4}" name="NC_hours_type1" displayName="NC_hours_type1" ref="B120:R125" totalsRowCount="1" headerRowDxfId="412" dataDxfId="410" headerRowBorderDxfId="411">
  <autoFilter ref="B120:R124" xr:uid="{98E22835-9D10-419F-A885-53B1FC6AC3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51DACC7-B324-48FF-9C2D-748CA6EA20E5}" name="Nurse" totalsRowLabel="Total" dataDxfId="409" totalsRowDxfId="408"/>
    <tableColumn id="2" xr3:uid="{7C9C087C-A368-4AA0-874A-04D487BA78C8}" name="Program" dataDxfId="407" totalsRowDxfId="406"/>
    <tableColumn id="3" xr3:uid="{6CD3CD21-85C8-4DCC-A279-99B89BC22C02}" name="Status" dataDxfId="405" totalsRowDxfId="404"/>
    <tableColumn id="4" xr3:uid="{BA45DE25-8D1B-4965-8EB0-75D63060DBE2}" name="Month -&gt;" dataDxfId="403" totalsRowDxfId="402"/>
    <tableColumn id="5" xr3:uid="{342362BD-BFE1-427F-8AC5-FD175CC7F20B}" name="Jan" totalsRowFunction="sum" dataDxfId="401" totalsRowDxfId="400"/>
    <tableColumn id="6" xr3:uid="{24D47942-B790-4F61-9063-A1E60D88DBB8}" name="Feb" totalsRowFunction="sum" dataDxfId="399" totalsRowDxfId="398"/>
    <tableColumn id="7" xr3:uid="{ED1FBD6E-0801-4982-A50D-05A4CACC73F4}" name="Mar" totalsRowFunction="sum" dataDxfId="397" totalsRowDxfId="396"/>
    <tableColumn id="8" xr3:uid="{2E34A84F-AD87-4668-8A77-6BF2961F351F}" name="Apr" totalsRowFunction="sum" dataDxfId="395" totalsRowDxfId="394"/>
    <tableColumn id="9" xr3:uid="{BBF85FEF-08C5-4F1D-9F83-E224904DBFC2}" name="May" totalsRowFunction="sum" dataDxfId="393" totalsRowDxfId="392"/>
    <tableColumn id="10" xr3:uid="{EBA6149C-9085-4C00-941E-4FF291BD6959}" name="Jun" totalsRowFunction="sum" dataDxfId="391" totalsRowDxfId="390"/>
    <tableColumn id="11" xr3:uid="{08072A03-8114-413A-9576-1D267137871E}" name="July" totalsRowFunction="sum" dataDxfId="389" totalsRowDxfId="388"/>
    <tableColumn id="12" xr3:uid="{FBC2F6B9-3F38-45C6-BC6C-9FECA9B0EFE5}" name="Aug" totalsRowFunction="sum" dataDxfId="387" totalsRowDxfId="386"/>
    <tableColumn id="13" xr3:uid="{3565757B-E087-49D0-B88E-9D41360F3151}" name="Sep" totalsRowFunction="sum" dataDxfId="385" totalsRowDxfId="384"/>
    <tableColumn id="14" xr3:uid="{54BA661E-F9A7-484B-8F44-7D5529B0E190}" name="Oct" totalsRowFunction="sum" dataDxfId="383" totalsRowDxfId="382"/>
    <tableColumn id="15" xr3:uid="{FCCB0D03-9019-4597-B77D-6B7493DF7781}" name="Nov" totalsRowFunction="sum" dataDxfId="381" totalsRowDxfId="380"/>
    <tableColumn id="16" xr3:uid="{CC4A6ABE-74FE-469D-962B-099D2E1F278C}" name="Dec" totalsRowFunction="sum" dataDxfId="379" totalsRowDxfId="378"/>
    <tableColumn id="17" xr3:uid="{057E2CB7-D92A-41FE-B5FB-3E107CF3BBC6}" name="YTD" totalsRowFunction="sum" dataDxfId="377" totalsRowDxfId="376">
      <calculatedColumnFormula>SUM('Nurse Hours'!$F121:$Q121)</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C70893-8A3B-4E29-A88D-C3FD18464425}" name="Regular_cases_jan" displayName="Regular_cases_jan" ref="B36:F86" totalsRowCount="1" headerRowDxfId="375" totalsRowDxfId="373" tableBorderDxfId="374" totalsRowBorderDxfId="372">
  <autoFilter ref="B36:F85" xr:uid="{3E9E99B9-CFB6-45C3-A9C4-14DC971F2AF0}">
    <filterColumn colId="0" hiddenButton="1"/>
    <filterColumn colId="1" hiddenButton="1"/>
    <filterColumn colId="2" hiddenButton="1"/>
    <filterColumn colId="3" hiddenButton="1"/>
    <filterColumn colId="4" hiddenButton="1"/>
  </autoFilter>
  <tableColumns count="5">
    <tableColumn id="1" xr3:uid="{23D0F964-0554-41EB-89BB-052B55EB767C}" name="Nurse" totalsRowLabel="Total" dataDxfId="371" totalsRowDxfId="370"/>
    <tableColumn id="2" xr3:uid="{790DD371-F7EE-48DD-A825-6E4ADBC78A79}" name="BOM Cases" totalsRowFunction="custom" dataDxfId="369" totalsRowDxfId="368">
      <totalsRowFormula>SUBTOTAL(109,C37:C85)</totalsRowFormula>
    </tableColumn>
    <tableColumn id="3" xr3:uid="{353E7F77-4D04-40C4-BBD7-170E993887BB}" name="New Cases" totalsRowFunction="custom" dataDxfId="367" totalsRowDxfId="366">
      <totalsRowFormula>SUBTOTAL(109,D37:D85)</totalsRowFormula>
    </tableColumn>
    <tableColumn id="4" xr3:uid="{CBAD1BC6-2498-4C59-9EDA-FE82C29F67ED}" name="Closed Cases" totalsRowFunction="custom" dataDxfId="365" totalsRowDxfId="364">
      <calculatedColumnFormula>SUM(C37:D37)-F37</calculatedColumnFormula>
      <totalsRowFormula>SUBTOTAL(109,E37:E85)</totalsRowFormula>
    </tableColumn>
    <tableColumn id="5" xr3:uid="{D2BD2C8F-CF7D-4B97-B363-02DAB772DB64}" name="EOM Cases" totalsRowFunction="sum" dataDxfId="363" totalsRowDxfId="36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69959FB-9FEA-4279-9864-D6C912316779}" name="Regular_cases_feb" displayName="Regular_cases_feb" ref="G36:J86" totalsRowCount="1" headerRowDxfId="361" dataDxfId="360" totalsRowDxfId="358" tableBorderDxfId="359" totalsRowBorderDxfId="357">
  <autoFilter ref="G36:J85" xr:uid="{A05B3D7A-F109-4EE2-B276-53431845EC7B}">
    <filterColumn colId="0" hiddenButton="1"/>
    <filterColumn colId="1" hiddenButton="1"/>
    <filterColumn colId="2" hiddenButton="1"/>
    <filterColumn colId="3" hiddenButton="1"/>
  </autoFilter>
  <tableColumns count="4">
    <tableColumn id="1" xr3:uid="{96BEE213-52DD-464D-9620-F213EFD0016F}" name="BOM Cases" totalsRowFunction="custom" dataDxfId="356" totalsRowDxfId="355">
      <calculatedColumnFormula>Regular_cases_jan[[#This Row],[EOM Cases]]</calculatedColumnFormula>
      <totalsRowFormula>SUBTOTAL(109,G37:G85)</totalsRowFormula>
    </tableColumn>
    <tableColumn id="2" xr3:uid="{B6932AC1-196D-4B06-BDD1-53DAC8683C0C}" name="New Cases" totalsRowFunction="custom" dataDxfId="354" totalsRowDxfId="353">
      <totalsRowFormula>SUBTOTAL(109,H37:H85)</totalsRowFormula>
    </tableColumn>
    <tableColumn id="3" xr3:uid="{53370041-589A-4B63-ADA1-CAFD824BC7ED}" name="Closed Cases" totalsRowFunction="custom" totalsRowDxfId="352">
      <calculatedColumnFormula>SUM(G37:H37)-J37</calculatedColumnFormula>
      <totalsRowFormula>SUBTOTAL(109,I37:I85)</totalsRowFormula>
    </tableColumn>
    <tableColumn id="4" xr3:uid="{9760805F-771F-481F-990E-07F20B41C9FD}" name="EOM Cases" totalsRowFunction="custom" dataDxfId="351" totalsRowDxfId="350">
      <totalsRowFormula>SUBTOTAL(109,J37:J85)</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705AD9E5-085E-4437-909D-02860166B70E}" name="Regular_cases_mar" displayName="Regular_cases_mar" ref="K36:N86" totalsRowCount="1" headerRowDxfId="349" dataDxfId="348" totalsRowDxfId="346" tableBorderDxfId="347" totalsRowBorderDxfId="345">
  <autoFilter ref="K36:N85" xr:uid="{A3681D2A-8650-486B-95FE-202B6AD531E8}">
    <filterColumn colId="0" hiddenButton="1"/>
    <filterColumn colId="1" hiddenButton="1"/>
    <filterColumn colId="2" hiddenButton="1"/>
    <filterColumn colId="3" hiddenButton="1"/>
  </autoFilter>
  <tableColumns count="4">
    <tableColumn id="1" xr3:uid="{7F52B628-A438-4162-AEC1-2352DBC557B6}" name="BOM Cases" totalsRowFunction="custom" dataDxfId="344" totalsRowDxfId="343">
      <calculatedColumnFormula>Regular_cases_feb[[#This Row],[EOM Cases]]</calculatedColumnFormula>
      <totalsRowFormula>SUBTOTAL(109,K37:K85)</totalsRowFormula>
    </tableColumn>
    <tableColumn id="2" xr3:uid="{2C756911-025D-4944-847F-CCFBD053C0DC}" name="New Cases" totalsRowFunction="custom" dataDxfId="342" totalsRowDxfId="341">
      <totalsRowFormula>SUBTOTAL(109,L37:L85)</totalsRowFormula>
    </tableColumn>
    <tableColumn id="3" xr3:uid="{F84CE8A0-4A4E-406C-AAE3-F8BA11EAAC1D}" name="Closed Cases" totalsRowFunction="custom" totalsRowDxfId="340">
      <calculatedColumnFormula>SUM(K37:L37)-N37</calculatedColumnFormula>
      <totalsRowFormula>SUBTOTAL(109,M37:M85)</totalsRowFormula>
    </tableColumn>
    <tableColumn id="4" xr3:uid="{B6E5BB4E-7FA0-4D38-A1B1-104E1D8818DE}" name="EOM Cases" totalsRowFunction="custom" dataDxfId="339" totalsRowDxfId="338">
      <totalsRowFormula>SUBTOTAL(109,N37:N85)</totalsRow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9D9FAE96-4E34-46B7-BD76-24D18AE14E55}" name="Eip_cases_jan" displayName="Eip_cases_jan" ref="AZ36:BC86" totalsRowCount="1" headerRowDxfId="337" dataDxfId="336" totalsRowDxfId="334" tableBorderDxfId="335" totalsRowBorderDxfId="333">
  <autoFilter ref="AZ36:BC85" xr:uid="{0401828C-7F6F-42A4-80B1-DC6115983D8E}">
    <filterColumn colId="0" hiddenButton="1"/>
    <filterColumn colId="1" hiddenButton="1"/>
    <filterColumn colId="2" hiddenButton="1"/>
    <filterColumn colId="3" hiddenButton="1"/>
  </autoFilter>
  <tableColumns count="4">
    <tableColumn id="2" xr3:uid="{5152DB51-645D-449F-89A3-B05723A0858C}" name="BOM Cases" totalsRowFunction="custom" dataDxfId="332" totalsRowDxfId="331">
      <totalsRowFormula>SUBTOTAL(109,AZ37:AZ85)</totalsRowFormula>
    </tableColumn>
    <tableColumn id="3" xr3:uid="{E62ABF68-DDF1-4FCD-8F58-B5DF6879C938}" name="New Cases" totalsRowFunction="custom" dataDxfId="330" totalsRowDxfId="329">
      <totalsRowFormula>SUBTOTAL(109,BA37:BA85)</totalsRowFormula>
    </tableColumn>
    <tableColumn id="4" xr3:uid="{8FB1952E-00D7-4E6D-A781-C8000AFF2E68}" name="Closed Cases" totalsRowFunction="custom" dataDxfId="328" totalsRowDxfId="327">
      <calculatedColumnFormula>SUM(AZ37:BA37)-BC37</calculatedColumnFormula>
      <totalsRowFormula>SUBTOTAL(109,BB37:BB85)</totalsRowFormula>
    </tableColumn>
    <tableColumn id="5" xr3:uid="{7B9A06FA-5A6D-4618-856E-473230D64427}" name="EOM Cases" totalsRowFunction="sum" dataDxfId="326" totalsRowDxfId="325"/>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75C066A3-1104-4914-B619-2B58BA58290C}" name="Eip_cases_feb" displayName="Eip_cases_feb" ref="BD36:BG86" totalsRowCount="1" headerRowDxfId="324" dataDxfId="323" totalsRowDxfId="321" tableBorderDxfId="322" totalsRowBorderDxfId="320">
  <autoFilter ref="BD36:BG85" xr:uid="{13B65C37-F276-45DD-9C26-01B2D20518B1}">
    <filterColumn colId="0" hiddenButton="1"/>
    <filterColumn colId="1" hiddenButton="1"/>
    <filterColumn colId="2" hiddenButton="1"/>
    <filterColumn colId="3" hiddenButton="1"/>
  </autoFilter>
  <tableColumns count="4">
    <tableColumn id="1" xr3:uid="{969A47D2-EBE2-42DD-89F1-9AACE0CA82ED}" name="BOM Cases" totalsRowFunction="custom" dataDxfId="319" totalsRowDxfId="318">
      <calculatedColumnFormula>Eip_cases_jan[[#This Row],[EOM Cases]]</calculatedColumnFormula>
      <totalsRowFormula>SUBTOTAL(109,BD37:BD85)</totalsRowFormula>
    </tableColumn>
    <tableColumn id="2" xr3:uid="{5AC70842-F491-4063-ACF1-02F4CF25B21D}" name="New Cases" totalsRowFunction="custom" dataDxfId="317" totalsRowDxfId="316">
      <totalsRowFormula>SUBTOTAL(109,BE37:BE85)</totalsRowFormula>
    </tableColumn>
    <tableColumn id="3" xr3:uid="{D05A6A68-49C4-4A6B-8EC4-E3D9B1B5DAC4}" name="Closed Cases" totalsRowFunction="custom" dataDxfId="315" totalsRowDxfId="314">
      <calculatedColumnFormula>SUM(BD37:BE37)-BG37</calculatedColumnFormula>
      <totalsRowFormula>SUBTOTAL(109,BF37:BF85)</totalsRowFormula>
    </tableColumn>
    <tableColumn id="4" xr3:uid="{A6DB139D-AF38-498A-9CEF-8491F4C3A0CA}" name="EOM Cases" totalsRowFunction="custom" dataDxfId="313" totalsRowDxfId="312">
      <totalsRowFormula>SUBTOTAL(109,BG37:BG85)</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697C52CF-E9E1-4C85-BCD6-2F546F821411}" name="Eip_cases_mar" displayName="Eip_cases_mar" ref="BH36:BK86" totalsRowCount="1" headerRowDxfId="311" dataDxfId="310" totalsRowDxfId="308" tableBorderDxfId="309" totalsRowBorderDxfId="307">
  <autoFilter ref="BH36:BK85" xr:uid="{31B72595-7AEE-43E9-A34F-C601735F9C31}">
    <filterColumn colId="0" hiddenButton="1"/>
    <filterColumn colId="1" hiddenButton="1"/>
    <filterColumn colId="2" hiddenButton="1"/>
    <filterColumn colId="3" hiddenButton="1"/>
  </autoFilter>
  <tableColumns count="4">
    <tableColumn id="1" xr3:uid="{4B474ACE-B4C2-4BE6-89AB-536AB361C840}" name="BOM Cases" totalsRowFunction="custom" dataDxfId="306" totalsRowDxfId="305">
      <calculatedColumnFormula>Eip_cases_feb[[#This Row],[EOM Cases]]</calculatedColumnFormula>
      <totalsRowFormula>SUBTOTAL(109,BH37:BH85)</totalsRowFormula>
    </tableColumn>
    <tableColumn id="2" xr3:uid="{DF7AC140-C192-4BDD-9FAB-7602329B7ECB}" name="New Cases" totalsRowFunction="custom" dataDxfId="304" totalsRowDxfId="303">
      <totalsRowFormula>SUBTOTAL(109,BI37:BI85)</totalsRowFormula>
    </tableColumn>
    <tableColumn id="3" xr3:uid="{04CFA261-C4CB-4892-8108-A52644825A41}" name="Closed Cases" totalsRowFunction="custom" dataDxfId="302" totalsRowDxfId="301">
      <calculatedColumnFormula>SUM(BH37:BI37)-BK37</calculatedColumnFormula>
      <totalsRowFormula>SUBTOTAL(109,BJ37:BJ85)</totalsRowFormula>
    </tableColumn>
    <tableColumn id="4" xr3:uid="{1C801F90-B263-4755-9C54-EF9D9A9666B1}" name="EOM Cases" totalsRowFunction="custom" dataDxfId="300" totalsRowDxfId="299">
      <totalsRowFormula>SUBTOTAL(109,BK37:BK85)</totalsRow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4397910A-623D-4A90-847F-32B0958C2FD3}" name="Regular_cases_apr" displayName="Regular_cases_apr" ref="O36:R86" totalsRowCount="1" headerRowDxfId="298" dataDxfId="297" totalsRowDxfId="295" tableBorderDxfId="296" totalsRowBorderDxfId="294">
  <autoFilter ref="O36:R85" xr:uid="{3976C9DF-7141-45EA-A700-F6C14AC9939E}">
    <filterColumn colId="0" hiddenButton="1"/>
    <filterColumn colId="1" hiddenButton="1"/>
    <filterColumn colId="2" hiddenButton="1"/>
    <filterColumn colId="3" hiddenButton="1"/>
  </autoFilter>
  <tableColumns count="4">
    <tableColumn id="1" xr3:uid="{34B77563-4F0C-4B06-8579-CF16864236B9}" name="BOM Cases" totalsRowFunction="custom" dataDxfId="293" totalsRowDxfId="292">
      <calculatedColumnFormula>Regular_cases_mar[[#This Row],[EOM Cases]]</calculatedColumnFormula>
      <totalsRowFormula>SUBTOTAL(109,O37:O85)</totalsRowFormula>
    </tableColumn>
    <tableColumn id="2" xr3:uid="{7434CE2A-EB8B-4F5D-AF4D-4D7FA1E6F2F1}" name="New Cases" totalsRowFunction="custom" dataDxfId="291" totalsRowDxfId="290">
      <totalsRowFormula>SUBTOTAL(109,P37:P85)</totalsRowFormula>
    </tableColumn>
    <tableColumn id="3" xr3:uid="{B7CA5C5B-2DA7-4E23-8015-C28DB68AAAC2}" name="Closed Cases" totalsRowFunction="custom" totalsRowDxfId="289">
      <calculatedColumnFormula>SUM(O37:P37)-R37</calculatedColumnFormula>
      <totalsRowFormula>SUBTOTAL(109,Q37:Q85)</totalsRowFormula>
    </tableColumn>
    <tableColumn id="4" xr3:uid="{75E65B48-E9C0-4B6F-949C-3A5A5BC58380}" name="EOM Cases" totalsRowFunction="custom" dataDxfId="288" totalsRowDxfId="287">
      <totalsRowFormula>SUBTOTAL(109,R37:R85)</totalsRow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FB1031-8122-4898-A57F-B29C71452C06}" name="Regular_cases_may" displayName="Regular_cases_may" ref="S36:V86" totalsRowCount="1" headerRowDxfId="286" totalsRowDxfId="284" tableBorderDxfId="285" totalsRowBorderDxfId="283">
  <autoFilter ref="S36:V85" xr:uid="{54DB1C2E-1214-4EC2-A552-B36B65476950}">
    <filterColumn colId="0" hiddenButton="1"/>
    <filterColumn colId="1" hiddenButton="1"/>
    <filterColumn colId="2" hiddenButton="1"/>
    <filterColumn colId="3" hiddenButton="1"/>
  </autoFilter>
  <tableColumns count="4">
    <tableColumn id="1" xr3:uid="{C1C01C07-904A-4BCF-B0C9-097228AEBA0A}" name="BOM Cases" totalsRowFunction="custom" totalsRowDxfId="282">
      <calculatedColumnFormula>Regular_cases_apr[[#This Row],[EOM Cases]]</calculatedColumnFormula>
      <totalsRowFormula>SUBTOTAL(109,S37:S85)</totalsRowFormula>
    </tableColumn>
    <tableColumn id="2" xr3:uid="{298F0998-1172-4A54-BF22-51F4C30735B7}" name="New Cases" totalsRowFunction="custom" dataDxfId="281" totalsRowDxfId="280">
      <totalsRowFormula>SUBTOTAL(109,T37:T85)</totalsRowFormula>
    </tableColumn>
    <tableColumn id="3" xr3:uid="{07F5DF84-5945-4720-8E67-71CBA5C2D442}" name="Closed Cases" totalsRowFunction="custom" totalsRowDxfId="279">
      <calculatedColumnFormula>SUM(S37:T37)-V37</calculatedColumnFormula>
      <totalsRowFormula>SUBTOTAL(109,U37:U85)</totalsRowFormula>
    </tableColumn>
    <tableColumn id="4" xr3:uid="{D16FB617-9171-4F3B-9A68-3BAA43D75226}" name="EOM Cases" totalsRowFunction="custom" dataDxfId="278" totalsRowDxfId="277">
      <totalsRowFormula>SUBTOTAL(109,V37:V85)</totalsRow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58DFCA1D-C551-4E30-BBBD-06F722681975}" name="Regular_cases_jun" displayName="Regular_cases_jun" ref="W36:Z86" totalsRowCount="1" headerRowDxfId="276" totalsRowDxfId="274" tableBorderDxfId="275" totalsRowBorderDxfId="273">
  <autoFilter ref="W36:Z85" xr:uid="{5326FD4B-EA72-441E-A4C0-FAEA41F3D266}">
    <filterColumn colId="0" hiddenButton="1"/>
    <filterColumn colId="1" hiddenButton="1"/>
    <filterColumn colId="2" hiddenButton="1"/>
    <filterColumn colId="3" hiddenButton="1"/>
  </autoFilter>
  <tableColumns count="4">
    <tableColumn id="1" xr3:uid="{0835D07D-0AA9-4EEB-8A5B-51F31F365463}" name="BOM Cases" totalsRowFunction="custom" totalsRowDxfId="272">
      <calculatedColumnFormula>Regular_cases_may[[#This Row],[EOM Cases]]</calculatedColumnFormula>
      <totalsRowFormula>SUBTOTAL(109,W37:W85)</totalsRowFormula>
    </tableColumn>
    <tableColumn id="2" xr3:uid="{C8561D71-4315-48E7-A745-C3E19C52E46D}" name="New Cases" totalsRowFunction="custom" dataDxfId="271" totalsRowDxfId="270">
      <totalsRowFormula>SUBTOTAL(109,X37:X85)</totalsRowFormula>
    </tableColumn>
    <tableColumn id="3" xr3:uid="{C66E004E-EABF-4225-B008-505254EB1F98}" name="Closed Cases" totalsRowFunction="custom" totalsRowDxfId="269">
      <calculatedColumnFormula>SUM(W37:X37)-Z37</calculatedColumnFormula>
      <totalsRowFormula>SUBTOTAL(109,Y37:Y85)</totalsRowFormula>
    </tableColumn>
    <tableColumn id="4" xr3:uid="{10675DF9-9217-47D7-979B-E5494E557CFE}" name="EOM Cases" totalsRowFunction="custom" dataDxfId="268" totalsRowDxfId="267">
      <totalsRowFormula>SUBTOTAL(109,Z37:Z85)</totalsRow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F8C70E5-E92C-4ACA-A468-171DA31E2C7A}" name="Regular_cases_jul" displayName="Regular_cases_jul" ref="AA36:AD86" totalsRowCount="1" headerRowDxfId="266" dataDxfId="265" totalsRowDxfId="263" tableBorderDxfId="264">
  <autoFilter ref="AA36:AD85" xr:uid="{E17F7AB7-738F-4462-823D-CB862BE46EF5}">
    <filterColumn colId="0" hiddenButton="1"/>
    <filterColumn colId="1" hiddenButton="1"/>
    <filterColumn colId="2" hiddenButton="1"/>
    <filterColumn colId="3" hiddenButton="1"/>
  </autoFilter>
  <tableColumns count="4">
    <tableColumn id="1" xr3:uid="{73000CEB-E253-425C-BDA4-ED4BBC8930DB}" name="BOM Cases" totalsRowFunction="custom" dataDxfId="262" totalsRowDxfId="261">
      <calculatedColumnFormula>Regular_cases_jun[[#This Row],[EOM Cases]]</calculatedColumnFormula>
      <totalsRowFormula>SUBTOTAL(109,AA37:AA85)</totalsRowFormula>
    </tableColumn>
    <tableColumn id="2" xr3:uid="{1249D6B9-E98B-4F5C-9EF2-2B08AB4A7B92}" name="New Cases" totalsRowFunction="custom" dataDxfId="260" totalsRowDxfId="259">
      <totalsRowFormula>SUBTOTAL(109,AB37:AB85)</totalsRowFormula>
    </tableColumn>
    <tableColumn id="3" xr3:uid="{5C5D6F7B-B636-482F-BDCB-500C0810EDE7}" name="Closed Cases" totalsRowFunction="custom" dataDxfId="258" totalsRowDxfId="257">
      <calculatedColumnFormula>SUM(AA37:AB37)-AD37</calculatedColumnFormula>
      <totalsRowFormula>SUBTOTAL(109,AC37:AC85)</totalsRowFormula>
    </tableColumn>
    <tableColumn id="4" xr3:uid="{35B0147B-9862-4F72-A6D3-3FBFA00589C4}" name="EOM Cases" totalsRowFunction="custom" dataDxfId="256" totalsRowDxfId="255">
      <totalsRowFormula>SUBTOTAL(109,AD37:AD85)</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67AF08B-3FBE-4600-B9F2-DC3EE2AEF702}" name="Regular_cases_Aug" displayName="Regular_cases_Aug" ref="AE36:AH86" totalsRowCount="1" headerRowDxfId="254" dataDxfId="253" totalsRowDxfId="251" tableBorderDxfId="252">
  <autoFilter ref="AE36:AH85" xr:uid="{7C047A9A-08AF-45E0-9669-1FAE7F4DA5A6}">
    <filterColumn colId="0" hiddenButton="1"/>
    <filterColumn colId="1" hiddenButton="1"/>
    <filterColumn colId="2" hiddenButton="1"/>
    <filterColumn colId="3" hiddenButton="1"/>
  </autoFilter>
  <tableColumns count="4">
    <tableColumn id="1" xr3:uid="{25C489C5-8E17-4C0C-BAAB-4F3EB8AAFFA3}" name="BOM Cases" totalsRowFunction="custom" dataDxfId="250" totalsRowDxfId="249">
      <calculatedColumnFormula>Regular_cases_jul[[#This Row],[EOM Cases]]</calculatedColumnFormula>
      <totalsRowFormula>SUBTOTAL(109,AE37:AE85)</totalsRowFormula>
    </tableColumn>
    <tableColumn id="2" xr3:uid="{02BE4D25-0D45-4042-873B-BCEFAD6B764A}" name="New Cases" totalsRowFunction="custom" dataDxfId="248" totalsRowDxfId="247">
      <totalsRowFormula>SUBTOTAL(109,AF37:AF85)</totalsRowFormula>
    </tableColumn>
    <tableColumn id="3" xr3:uid="{3281C1B8-B2C3-417E-A042-57FE9D1AFBC9}" name="Closed Cases" totalsRowFunction="custom" dataDxfId="246" totalsRowDxfId="245">
      <calculatedColumnFormula>SUM(AE37:AF37)-AH37</calculatedColumnFormula>
      <totalsRowFormula>SUBTOTAL(109,AG37:AG85)</totalsRowFormula>
    </tableColumn>
    <tableColumn id="4" xr3:uid="{2BE03D62-128F-46B9-B6C7-950CB1580346}" name="EOM Cases" totalsRowFunction="custom" dataDxfId="244" totalsRowDxfId="243">
      <totalsRowFormula>SUBTOTAL(109,AH37:AH85)</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A73AA6A8-C133-4D08-BBBE-53E1D726D400}" name="Regular_cases_Sep" displayName="Regular_cases_Sep" ref="AI36:AL86" totalsRowCount="1" headerRowDxfId="242" dataDxfId="241" totalsRowDxfId="239" tableBorderDxfId="240">
  <autoFilter ref="AI36:AL85" xr:uid="{70C9698A-942B-422B-B60A-46AD489F6518}">
    <filterColumn colId="0" hiddenButton="1"/>
    <filterColumn colId="1" hiddenButton="1"/>
    <filterColumn colId="2" hiddenButton="1"/>
    <filterColumn colId="3" hiddenButton="1"/>
  </autoFilter>
  <tableColumns count="4">
    <tableColumn id="1" xr3:uid="{AF1C2DA1-A4E1-4DD1-B622-C6EF48AE5CD1}" name="BOM Cases" totalsRowFunction="custom" dataDxfId="238" totalsRowDxfId="237">
      <calculatedColumnFormula>Regular_cases_Aug[[#This Row],[EOM Cases]]</calculatedColumnFormula>
      <totalsRowFormula>SUBTOTAL(109,AI37:AI85)</totalsRowFormula>
    </tableColumn>
    <tableColumn id="2" xr3:uid="{3C1AEEEF-3BC1-4E69-8B37-EEDB41155E41}" name="New Cases" totalsRowFunction="custom" dataDxfId="236" totalsRowDxfId="235">
      <totalsRowFormula>SUBTOTAL(109,AJ37:AJ85)</totalsRowFormula>
    </tableColumn>
    <tableColumn id="3" xr3:uid="{2D70CEEE-306D-4F5F-B491-8B21BCF02B78}" name="Closed Cases" totalsRowFunction="custom" dataDxfId="234" totalsRowDxfId="233">
      <calculatedColumnFormula>SUM(AI37:AJ37)-AL37</calculatedColumnFormula>
      <totalsRowFormula>SUBTOTAL(109,AK37:AK85)</totalsRowFormula>
    </tableColumn>
    <tableColumn id="4" xr3:uid="{B6DF5364-1AEF-4DBA-A8C4-24D217C51C1F}" name="EOM Cases" totalsRowFunction="custom" dataDxfId="232" totalsRowDxfId="231">
      <totalsRowFormula>SUBTOTAL(109,AL37:AL85)</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15FDFAC-B7FD-4D2F-BAC2-C9A759EEA97C}" name="Regular_cases_Oct" displayName="Regular_cases_Oct" ref="AM36:AP86" totalsRowCount="1" headerRowDxfId="230" dataDxfId="229" totalsRowDxfId="227" tableBorderDxfId="228">
  <autoFilter ref="AM36:AP85" xr:uid="{382EDC5E-D707-4A19-916D-E1429459BFD9}">
    <filterColumn colId="0" hiddenButton="1"/>
    <filterColumn colId="1" hiddenButton="1"/>
    <filterColumn colId="2" hiddenButton="1"/>
    <filterColumn colId="3" hiddenButton="1"/>
  </autoFilter>
  <tableColumns count="4">
    <tableColumn id="1" xr3:uid="{67EAEEB6-41B1-47F3-BA44-87BDB32CD6E9}" name="BOM Cases" totalsRowFunction="custom" dataDxfId="226" totalsRowDxfId="225">
      <calculatedColumnFormula>Regular_cases_Sep[[#This Row],[EOM Cases]]</calculatedColumnFormula>
      <totalsRowFormula>SUBTOTAL(109,AM37:AM85)</totalsRowFormula>
    </tableColumn>
    <tableColumn id="2" xr3:uid="{0F010E6E-7742-4BE3-853C-3D88F6528E99}" name="New Cases" totalsRowFunction="custom" dataDxfId="224" totalsRowDxfId="223">
      <totalsRowFormula>SUBTOTAL(109,AN37:AN85)</totalsRowFormula>
    </tableColumn>
    <tableColumn id="3" xr3:uid="{0F61CC1B-06FE-4E8B-9243-FB2271BDBFD6}" name="Closed Cases" totalsRowFunction="custom" dataDxfId="222" totalsRowDxfId="221">
      <calculatedColumnFormula>SUM(AM37:AN37)-AP37</calculatedColumnFormula>
      <totalsRowFormula>SUBTOTAL(109,AO37:AO85)</totalsRowFormula>
    </tableColumn>
    <tableColumn id="4" xr3:uid="{7B6D5DC9-DEF2-4D56-A4BD-FE05CCF78045}" name="EOM Cases" totalsRowFunction="custom" dataDxfId="220" totalsRowDxfId="219">
      <totalsRowFormula>SUBTOTAL(109,AP37:AP85)</totalsRowFormula>
    </tableColumn>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E5277381-A527-4234-9FF8-CC84086B27B1}" name="Regular_cases_Nov" displayName="Regular_cases_Nov" ref="AQ36:AT86" totalsRowCount="1" headerRowDxfId="218" dataDxfId="217" totalsRowDxfId="215" tableBorderDxfId="216">
  <autoFilter ref="AQ36:AT85" xr:uid="{9DCDBA6F-8926-487C-85EF-B2F9614CD469}">
    <filterColumn colId="0" hiddenButton="1"/>
    <filterColumn colId="1" hiddenButton="1"/>
    <filterColumn colId="2" hiddenButton="1"/>
    <filterColumn colId="3" hiddenButton="1"/>
  </autoFilter>
  <tableColumns count="4">
    <tableColumn id="1" xr3:uid="{9FA9070D-EB95-4885-A170-347B97862B6D}" name="BOM Cases" totalsRowFunction="custom" dataDxfId="214" totalsRowDxfId="213">
      <calculatedColumnFormula>Regular_cases_Oct[[#This Row],[EOM Cases]]</calculatedColumnFormula>
      <totalsRowFormula>SUBTOTAL(109,AQ37:AQ85)</totalsRowFormula>
    </tableColumn>
    <tableColumn id="2" xr3:uid="{CABE01F2-698D-43F0-AA92-C0B7F24E176D}" name="New Cases" totalsRowFunction="custom" dataDxfId="212" totalsRowDxfId="211">
      <totalsRowFormula>SUBTOTAL(109,AR37:AR85)</totalsRowFormula>
    </tableColumn>
    <tableColumn id="3" xr3:uid="{5A004497-8CFB-4691-A286-3EA55294818E}" name="Closed Cases" totalsRowFunction="custom" dataDxfId="210" totalsRowDxfId="209">
      <calculatedColumnFormula>SUM(AQ37:AR37)-AT37</calculatedColumnFormula>
      <totalsRowFormula>SUBTOTAL(109,AS37:AS85)</totalsRowFormula>
    </tableColumn>
    <tableColumn id="4" xr3:uid="{DCB2027B-46D8-4433-AFED-F74FA41264A3}" name="EOM Cases" totalsRowFunction="custom" dataDxfId="208" totalsRowDxfId="207">
      <totalsRowFormula>SUBTOTAL(109,AT37:AT85)</totalsRowFormula>
    </tableColumn>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48DDB171-B411-4081-B0F0-3D51113DC454}" name="Regular_cases_Dec" displayName="Regular_cases_Dec" ref="AU36:AX86" totalsRowCount="1" headerRowDxfId="206" dataDxfId="205" totalsRowDxfId="203" tableBorderDxfId="204">
  <autoFilter ref="AU36:AX85" xr:uid="{417ACBDA-9455-4C55-AC62-F591CDE44259}">
    <filterColumn colId="0" hiddenButton="1"/>
    <filterColumn colId="1" hiddenButton="1"/>
    <filterColumn colId="2" hiddenButton="1"/>
    <filterColumn colId="3" hiddenButton="1"/>
  </autoFilter>
  <tableColumns count="4">
    <tableColumn id="1" xr3:uid="{11F481F8-F08B-4EBE-9E4A-9B6EB8F7681B}" name="BOM Cases" totalsRowFunction="custom" dataDxfId="202" totalsRowDxfId="201">
      <calculatedColumnFormula>Regular_cases_Nov[[#This Row],[EOM Cases]]</calculatedColumnFormula>
      <totalsRowFormula>SUBTOTAL(109,AU37:AU85)</totalsRowFormula>
    </tableColumn>
    <tableColumn id="2" xr3:uid="{5CEE6D26-900C-4605-93C4-C673CE1AB64A}" name="New Cases" totalsRowFunction="custom" dataDxfId="200" totalsRowDxfId="199">
      <totalsRowFormula>SUBTOTAL(109,AV37:AV85)</totalsRowFormula>
    </tableColumn>
    <tableColumn id="3" xr3:uid="{15543F51-552E-4918-8615-44942D845CC9}" name="Closed Cases" totalsRowFunction="custom" dataDxfId="198" totalsRowDxfId="197">
      <calculatedColumnFormula>SUM(AU37:AV37)-AX37</calculatedColumnFormula>
      <totalsRowFormula>SUBTOTAL(109,AW37:AW85)</totalsRowFormula>
    </tableColumn>
    <tableColumn id="4" xr3:uid="{4864F83B-3A98-4B20-B1A1-E5A0AF37A1B0}" name="EOM Cases" totalsRowFunction="custom" dataDxfId="196" totalsRowDxfId="195">
      <totalsRowFormula>SUBTOTAL(109,AX37:AX85)</totalsRowFormula>
    </tableColumn>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A41D8865-7D06-41E9-88FF-68D3A090475E}" name="Eip_cases_Apr" displayName="Eip_cases_Apr" ref="BL36:BO86" totalsRowCount="1" headerRowDxfId="194" dataDxfId="193" totalsRowDxfId="191" tableBorderDxfId="192" totalsRowBorderDxfId="190">
  <autoFilter ref="BL36:BO85" xr:uid="{605324FD-07A3-484E-8603-B8A23EF19783}">
    <filterColumn colId="0" hiddenButton="1"/>
    <filterColumn colId="1" hiddenButton="1"/>
    <filterColumn colId="2" hiddenButton="1"/>
    <filterColumn colId="3" hiddenButton="1"/>
  </autoFilter>
  <tableColumns count="4">
    <tableColumn id="1" xr3:uid="{AA41E970-E52D-418B-896C-B7B93321256C}" name="BOM Cases" totalsRowFunction="custom" dataDxfId="189" totalsRowDxfId="188">
      <calculatedColumnFormula>Eip_cases_mar[[#This Row],[EOM Cases]]</calculatedColumnFormula>
      <totalsRowFormula>SUBTOTAL(109,BL37:BL85)</totalsRowFormula>
    </tableColumn>
    <tableColumn id="2" xr3:uid="{624A7939-8C59-4566-A1E5-2D6BB9FB110D}" name="New Cases" totalsRowFunction="custom" dataDxfId="187" totalsRowDxfId="186">
      <totalsRowFormula>SUBTOTAL(109,BM37:BM85)</totalsRowFormula>
    </tableColumn>
    <tableColumn id="3" xr3:uid="{4A1DEF16-FD73-46AA-8BD4-A17692FCD8F6}" name="Closed Cases" totalsRowFunction="custom" dataDxfId="185" totalsRowDxfId="184">
      <calculatedColumnFormula>SUM(BL37:BM37)-BO37</calculatedColumnFormula>
      <totalsRowFormula>SUBTOTAL(109,BN37:BN85)</totalsRowFormula>
    </tableColumn>
    <tableColumn id="4" xr3:uid="{EC657AC5-FA51-4210-8CB2-DB3FE5D30BAC}" name="EOM Cases" totalsRowFunction="custom" dataDxfId="183" totalsRowDxfId="182">
      <totalsRowFormula>SUBTOTAL(109,BO37:BO85)</totalsRowFormula>
    </tableColumn>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EC4EBAB8-0905-4B5E-A692-023784BD4782}" name="Eip_cases_May" displayName="Eip_cases_May" ref="BP36:BS86" totalsRowCount="1" headerRowDxfId="181" dataDxfId="180" totalsRowDxfId="178" tableBorderDxfId="179" totalsRowBorderDxfId="177">
  <autoFilter ref="BP36:BS85" xr:uid="{75EB5F24-8A8C-4E62-9EA3-AAF062C775A8}">
    <filterColumn colId="0" hiddenButton="1"/>
    <filterColumn colId="1" hiddenButton="1"/>
    <filterColumn colId="2" hiddenButton="1"/>
    <filterColumn colId="3" hiddenButton="1"/>
  </autoFilter>
  <tableColumns count="4">
    <tableColumn id="1" xr3:uid="{47B3DCBE-7298-4596-AA17-89EEE1F917D9}" name="BOM Cases" totalsRowFunction="custom" dataDxfId="176" totalsRowDxfId="175">
      <calculatedColumnFormula>Eip_cases_Apr[[#This Row],[EOM Cases]]</calculatedColumnFormula>
      <totalsRowFormula>SUBTOTAL(109,BP37:BP85)</totalsRowFormula>
    </tableColumn>
    <tableColumn id="2" xr3:uid="{A6A53B6A-5B62-4C6A-B5AF-BCC7D22B58FB}" name="New Cases" totalsRowFunction="custom" dataDxfId="174" totalsRowDxfId="173">
      <totalsRowFormula>SUBTOTAL(109,BQ37:BQ85)</totalsRowFormula>
    </tableColumn>
    <tableColumn id="3" xr3:uid="{7D116986-A959-47FB-BFA9-4ED0E0388850}" name="Closed Cases" totalsRowFunction="custom" dataDxfId="172" totalsRowDxfId="171">
      <calculatedColumnFormula>SUM(BP37:BQ37)-BS37</calculatedColumnFormula>
      <totalsRowFormula>SUBTOTAL(109,BR37:BR85)</totalsRowFormula>
    </tableColumn>
    <tableColumn id="4" xr3:uid="{8A115294-59C9-4585-88D5-82DBF063C9F4}" name="EOM Cases" totalsRowFunction="custom" dataDxfId="170" totalsRowDxfId="169">
      <totalsRowFormula>SUBTOTAL(109,BS37:BS85)</totalsRowFormula>
    </tableColumn>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88574108-7040-4D3D-A5F3-369D6353B80F}" name="Eip_cases_Jun" displayName="Eip_cases_Jun" ref="BT36:BW86" totalsRowCount="1" headerRowDxfId="168" dataDxfId="167" totalsRowDxfId="165" tableBorderDxfId="166" totalsRowBorderDxfId="164">
  <autoFilter ref="BT36:BW85" xr:uid="{B662BFD9-CA0F-40BB-B491-C5D961A9EDF7}">
    <filterColumn colId="0" hiddenButton="1"/>
    <filterColumn colId="1" hiddenButton="1"/>
    <filterColumn colId="2" hiddenButton="1"/>
    <filterColumn colId="3" hiddenButton="1"/>
  </autoFilter>
  <tableColumns count="4">
    <tableColumn id="1" xr3:uid="{A5F0BFF4-4118-44CF-ADBE-B34C9F33800C}" name="BOM Cases" totalsRowFunction="custom" dataDxfId="163" totalsRowDxfId="162">
      <calculatedColumnFormula>Eip_cases_May[[#This Row],[EOM Cases]]</calculatedColumnFormula>
      <totalsRowFormula>SUBTOTAL(109,BT37:BT85)</totalsRowFormula>
    </tableColumn>
    <tableColumn id="2" xr3:uid="{EFD101AC-9E0F-4D22-B2AD-64099EAF402B}" name="New Cases" totalsRowFunction="custom" dataDxfId="161" totalsRowDxfId="160">
      <totalsRowFormula>SUBTOTAL(109,BU37:BU85)</totalsRowFormula>
    </tableColumn>
    <tableColumn id="3" xr3:uid="{9515BEBB-726F-4142-BEAE-27CC519DDCD8}" name="Closed Cases" totalsRowFunction="custom" dataDxfId="159" totalsRowDxfId="158">
      <calculatedColumnFormula>SUM(BT37:BU37)-BW37</calculatedColumnFormula>
      <totalsRowFormula>SUBTOTAL(109,BV37:BV85)</totalsRowFormula>
    </tableColumn>
    <tableColumn id="4" xr3:uid="{245FA50F-0330-4FF0-977C-01D85F8FA416}" name="EOM Cases" totalsRowFunction="custom" dataDxfId="157" totalsRowDxfId="156">
      <totalsRowFormula>SUBTOTAL(109,BW37:BW85)</totalsRowFormula>
    </tableColumn>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2E31A44A-7101-4D35-BBE2-543ECA93EF6C}" name="Eip_cases_Jul" displayName="Eip_cases_Jul" ref="BX36:CA86" totalsRowCount="1" headerRowDxfId="155" dataDxfId="154" totalsRowDxfId="152" tableBorderDxfId="153" totalsRowBorderDxfId="151">
  <autoFilter ref="BX36:CA85" xr:uid="{2C3B9D8C-B0F9-44E5-8E4A-D9240BF552C7}">
    <filterColumn colId="0" hiddenButton="1"/>
    <filterColumn colId="1" hiddenButton="1"/>
    <filterColumn colId="2" hiddenButton="1"/>
    <filterColumn colId="3" hiddenButton="1"/>
  </autoFilter>
  <tableColumns count="4">
    <tableColumn id="1" xr3:uid="{F22F8B13-C861-4DB8-B481-DC66420CF5DE}" name="BOM Cases" totalsRowFunction="custom" dataDxfId="150" totalsRowDxfId="149">
      <calculatedColumnFormula>Eip_cases_Jun[[#This Row],[EOM Cases]]</calculatedColumnFormula>
      <totalsRowFormula>SUBTOTAL(109,BX37:BX85)</totalsRowFormula>
    </tableColumn>
    <tableColumn id="2" xr3:uid="{6EF05423-7A11-419F-B8BC-B28C027D257F}" name="New Cases" totalsRowFunction="custom" dataDxfId="148" totalsRowDxfId="147">
      <totalsRowFormula>SUBTOTAL(109,BY37:BY85)</totalsRowFormula>
    </tableColumn>
    <tableColumn id="3" xr3:uid="{B62729D7-8676-41CC-A347-8EA0137F69AD}" name="Closed Cases" totalsRowFunction="custom" dataDxfId="146" totalsRowDxfId="145">
      <calculatedColumnFormula>SUM(BX37:BY37)-CA37</calculatedColumnFormula>
      <totalsRowFormula>SUBTOTAL(109,BZ37:BZ85)</totalsRowFormula>
    </tableColumn>
    <tableColumn id="4" xr3:uid="{6EFC9CE5-BF75-4461-B602-9518E13A15C6}" name="EOM Cases" totalsRowFunction="custom" dataDxfId="144" totalsRowDxfId="143">
      <totalsRowFormula>SUBTOTAL(109,CA37:CA85)</totalsRowFormula>
    </tableColumn>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00B2251-1813-4FB4-A8FC-D43BD410D0F2}" name="Eip_cases_Aug" displayName="Eip_cases_Aug" ref="CB36:CE86" totalsRowCount="1" headerRowDxfId="142" dataDxfId="141" totalsRowDxfId="139" tableBorderDxfId="140" totalsRowBorderDxfId="138">
  <autoFilter ref="CB36:CE85" xr:uid="{C14A55FC-8EFC-4BA5-9B92-AB6662D3EFCF}">
    <filterColumn colId="0" hiddenButton="1"/>
    <filterColumn colId="1" hiddenButton="1"/>
    <filterColumn colId="2" hiddenButton="1"/>
    <filterColumn colId="3" hiddenButton="1"/>
  </autoFilter>
  <tableColumns count="4">
    <tableColumn id="1" xr3:uid="{E51DA8E8-CB4D-47E3-807F-5942631C736A}" name="BOM Cases" totalsRowFunction="custom" dataDxfId="137" totalsRowDxfId="136">
      <calculatedColumnFormula>Eip_cases_Jul[[#This Row],[EOM Cases]]</calculatedColumnFormula>
      <totalsRowFormula>SUBTOTAL(109,CB37:CB85)</totalsRowFormula>
    </tableColumn>
    <tableColumn id="2" xr3:uid="{004EE119-6C7B-4A27-816D-0854B7FBA9F5}" name="New Cases" totalsRowFunction="custom" dataDxfId="135" totalsRowDxfId="134">
      <totalsRowFormula>SUBTOTAL(109,CC37:CC85)</totalsRowFormula>
    </tableColumn>
    <tableColumn id="3" xr3:uid="{0E8AA3AC-0307-42DC-A34A-4A02BF384170}" name="Closed Cases" totalsRowFunction="custom" dataDxfId="133" totalsRowDxfId="132">
      <calculatedColumnFormula>SUM(CB37:CC37)-CE37</calculatedColumnFormula>
      <totalsRowFormula>SUBTOTAL(109,CD37:CD85)</totalsRowFormula>
    </tableColumn>
    <tableColumn id="4" xr3:uid="{F3275D3D-45F7-4A44-8A7E-510CC7872D89}" name="EOM Cases" totalsRowFunction="custom" dataDxfId="131" totalsRowDxfId="130">
      <totalsRowFormula>SUBTOTAL(109,CE37:CE85)</totalsRowFormula>
    </tableColumn>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F36BB036-C976-44C9-A43A-D8F6FC14111B}" name="Eip_cases_Sep" displayName="Eip_cases_Sep" ref="CF36:CI86" totalsRowCount="1" headerRowDxfId="129" dataDxfId="128" totalsRowDxfId="126" tableBorderDxfId="127">
  <autoFilter ref="CF36:CI85" xr:uid="{12C22F65-CFE3-4847-B4A9-444595A86AF9}">
    <filterColumn colId="0" hiddenButton="1"/>
    <filterColumn colId="1" hiddenButton="1"/>
    <filterColumn colId="2" hiddenButton="1"/>
    <filterColumn colId="3" hiddenButton="1"/>
  </autoFilter>
  <tableColumns count="4">
    <tableColumn id="1" xr3:uid="{A52FE892-256F-4535-AB5C-60A8FF23142A}" name="BOM Cases" totalsRowFunction="custom" dataDxfId="125" totalsRowDxfId="124">
      <calculatedColumnFormula>Eip_cases_Aug[[#This Row],[EOM Cases]]</calculatedColumnFormula>
      <totalsRowFormula>SUBTOTAL(109,CF37:CF85)</totalsRowFormula>
    </tableColumn>
    <tableColumn id="2" xr3:uid="{AB32B324-2F17-40C8-B3B2-AF09CDE4941A}" name="New Cases" totalsRowFunction="custom" dataDxfId="123" totalsRowDxfId="122">
      <totalsRowFormula>SUBTOTAL(109,CG37:CG85)</totalsRowFormula>
    </tableColumn>
    <tableColumn id="3" xr3:uid="{18A2309A-195F-46DE-8077-FBBFFDAA4025}" name="Closed Cases" totalsRowFunction="custom" dataDxfId="121" totalsRowDxfId="120">
      <calculatedColumnFormula>SUM(CF37:CG37)-CI37</calculatedColumnFormula>
      <totalsRowFormula>SUBTOTAL(109,CH37:CH85)</totalsRowFormula>
    </tableColumn>
    <tableColumn id="4" xr3:uid="{8D1503BE-1733-42FE-8E3E-7D90EEAC252D}" name="EOM Cases" totalsRowFunction="custom" dataDxfId="119" totalsRowDxfId="118">
      <totalsRowFormula>SUBTOTAL(109,CI37:CI85)</totalsRowFormula>
    </tableColumn>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FAE641D9-B32A-4C9F-A732-9AC766DDB00D}" name="Eip_cases_Oct" displayName="Eip_cases_Oct" ref="CJ36:CM86" totalsRowCount="1" headerRowDxfId="117" dataDxfId="116" totalsRowDxfId="114" tableBorderDxfId="115">
  <autoFilter ref="CJ36:CM85" xr:uid="{0B05339D-3849-4316-A43C-3A1CCAFC0A79}">
    <filterColumn colId="0" hiddenButton="1"/>
    <filterColumn colId="1" hiddenButton="1"/>
    <filterColumn colId="2" hiddenButton="1"/>
    <filterColumn colId="3" hiddenButton="1"/>
  </autoFilter>
  <tableColumns count="4">
    <tableColumn id="1" xr3:uid="{FB748EC5-6C91-40FF-B725-547FD86656BC}" name="BOM Cases" totalsRowFunction="custom" dataDxfId="113" totalsRowDxfId="112">
      <calculatedColumnFormula>Eip_cases_Sep[[#This Row],[EOM Cases]]</calculatedColumnFormula>
      <totalsRowFormula>SUBTOTAL(109,CJ37:CJ85)</totalsRowFormula>
    </tableColumn>
    <tableColumn id="2" xr3:uid="{8E39F7D2-3C0C-418A-A654-3E90D7DA98C0}" name="New Cases" totalsRowFunction="custom" dataDxfId="111" totalsRowDxfId="110">
      <totalsRowFormula>SUBTOTAL(109,CK37:CK85)</totalsRowFormula>
    </tableColumn>
    <tableColumn id="3" xr3:uid="{3A0C5506-A32B-4B55-AC87-6A1161F56AE5}" name="Closed Cases" totalsRowFunction="custom" dataDxfId="109" totalsRowDxfId="108">
      <calculatedColumnFormula>SUM(CJ37:CK37)-CM37</calculatedColumnFormula>
      <totalsRowFormula>SUBTOTAL(109,CL37:CL85)</totalsRowFormula>
    </tableColumn>
    <tableColumn id="4" xr3:uid="{ABC8F222-1CF7-4A50-9643-40879898B730}" name="EOM Cases" totalsRowFunction="custom" dataDxfId="107" totalsRowDxfId="106">
      <totalsRowFormula>SUBTOTAL(109,CM37:CM85)</totalsRowFormula>
    </tableColumn>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E74774DA-A58D-43F7-86DC-614EEB52D0CF}" name="Eip_cases_Nov" displayName="Eip_cases_Nov" ref="CN36:CQ86" totalsRowCount="1" headerRowDxfId="105" dataDxfId="104" totalsRowDxfId="102" tableBorderDxfId="103" totalsRowBorderDxfId="101">
  <autoFilter ref="CN36:CQ85" xr:uid="{B626654C-4E5D-4419-80D1-2B256583A59F}">
    <filterColumn colId="0" hiddenButton="1"/>
    <filterColumn colId="1" hiddenButton="1"/>
    <filterColumn colId="2" hiddenButton="1"/>
    <filterColumn colId="3" hiddenButton="1"/>
  </autoFilter>
  <tableColumns count="4">
    <tableColumn id="1" xr3:uid="{FEB37C15-1A91-4E30-AFCD-C6B2306FFEB1}" name="BOM Cases" totalsRowFunction="custom" dataDxfId="100" totalsRowDxfId="99">
      <calculatedColumnFormula>Eip_cases_Oct[[#This Row],[EOM Cases]]</calculatedColumnFormula>
      <totalsRowFormula>SUBTOTAL(109,CN37:CN85)</totalsRowFormula>
    </tableColumn>
    <tableColumn id="2" xr3:uid="{F1D1CA99-DE35-445C-A16F-C7AB20371B8F}" name="New Cases" totalsRowFunction="custom" dataDxfId="98" totalsRowDxfId="97">
      <totalsRowFormula>SUBTOTAL(109,CO37:CO85)</totalsRowFormula>
    </tableColumn>
    <tableColumn id="3" xr3:uid="{EB971F76-5E75-4CC9-987C-54D1D27E2489}" name="Closed Cases" totalsRowFunction="custom" dataDxfId="96" totalsRowDxfId="95">
      <calculatedColumnFormula>SUM(CN37:CO37)-CQ37</calculatedColumnFormula>
      <totalsRowFormula>SUBTOTAL(109,CP37:CP85)</totalsRowFormula>
    </tableColumn>
    <tableColumn id="4" xr3:uid="{CDC8631B-89E1-4FA3-913F-03D9E30A1EAF}" name="EOM Cases" totalsRowFunction="custom" dataDxfId="94" totalsRowDxfId="93">
      <totalsRowFormula>SUBTOTAL(109,CQ37:CQ85)</totalsRowFormula>
    </tableColumn>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92BDFBD1-AD52-48A7-8289-D55304FCD997}" name="Eip_cases_Dec" displayName="Eip_cases_Dec" ref="CR36:CU86" totalsRowCount="1" headerRowDxfId="92" dataDxfId="91" totalsRowDxfId="89" tableBorderDxfId="90" totalsRowBorderDxfId="88">
  <autoFilter ref="CR36:CU85" xr:uid="{5C670D02-0BE7-4DFA-AFC5-EF59CECE6A1B}">
    <filterColumn colId="0" hiddenButton="1"/>
    <filterColumn colId="1" hiddenButton="1"/>
    <filterColumn colId="2" hiddenButton="1"/>
    <filterColumn colId="3" hiddenButton="1"/>
  </autoFilter>
  <tableColumns count="4">
    <tableColumn id="1" xr3:uid="{4643818A-A4B9-44CD-9C83-7E32594D3282}" name="BOM Cases" totalsRowFunction="custom" dataDxfId="87" totalsRowDxfId="86">
      <calculatedColumnFormula>Eip_cases_Nov[[#This Row],[EOM Cases]]</calculatedColumnFormula>
      <totalsRowFormula>SUBTOTAL(109,CR37:CR85)</totalsRowFormula>
    </tableColumn>
    <tableColumn id="2" xr3:uid="{370893C8-A454-4A9F-A170-2A4DC54CC7EC}" name="New Cases" totalsRowFunction="custom" dataDxfId="85" totalsRowDxfId="84">
      <totalsRowFormula>SUBTOTAL(109,CS37:CS85)</totalsRowFormula>
    </tableColumn>
    <tableColumn id="3" xr3:uid="{370F2FA1-0B9D-4779-AAF6-E6A863E34916}" name="Closed Cases" totalsRowFunction="custom" dataDxfId="83" totalsRowDxfId="82">
      <calculatedColumnFormula>SUM(CR37:CS37)-CU37</calculatedColumnFormula>
      <totalsRowFormula>SUBTOTAL(109,CT37:CT85)</totalsRowFormula>
    </tableColumn>
    <tableColumn id="4" xr3:uid="{9D8DF24E-2D87-4A5A-8542-8F0B056DF9FA}" name="EOM Cases" totalsRowFunction="custom" dataDxfId="81" totalsRowDxfId="80">
      <totalsRowFormula>SUBTOTAL(109,CU37:CU85)</totalsRow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6D6EA7B-4360-406A-BE56-05B98342598A}" name="Hour_Per_Case" displayName="Hour_Per_Case" ref="B36:N85" headerRowDxfId="79" dataDxfId="77" totalsRowDxfId="75" headerRowBorderDxfId="78" tableBorderDxfId="76">
  <autoFilter ref="B36:N85" xr:uid="{46D6EA7B-4360-406A-BE56-05B98342598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939127D2-C342-4D4D-A713-0A198AF21CE6}" name="Nurse" totalsRowLabel="Total" dataDxfId="74" totalsRowDxfId="73">
      <calculatedColumnFormula>'Nurse Hours'!B38</calculatedColumnFormula>
    </tableColumn>
    <tableColumn id="2" xr3:uid="{4B74D71E-87CD-485A-AD6B-1304088C4478}" name="Jan" totalsRowFunction="average" dataDxfId="72" totalsRowDxfId="71">
      <calculatedColumnFormula>IFERROR(VLOOKUP($B37,RegularHours_type1[[Nurse]:[Dec]],5,0)/VLOOKUP($B37,'Nurse Cases'!$B$37:$AX$76,5,0),0)</calculatedColumnFormula>
    </tableColumn>
    <tableColumn id="3" xr3:uid="{70A374CA-26F9-4C60-AE3C-2D1D371C1250}" name="Feb" totalsRowFunction="average" dataDxfId="70" totalsRowDxfId="69"/>
    <tableColumn id="4" xr3:uid="{A67A4C6E-3727-4AF2-A617-6756036712BA}" name="Mar" totalsRowFunction="average" dataDxfId="68" totalsRowDxfId="67"/>
    <tableColumn id="5" xr3:uid="{7A0DE7C1-5F83-46E5-8055-6B907F576F42}" name="Apr" totalsRowFunction="custom" dataDxfId="66" totalsRowDxfId="65">
      <calculatedColumnFormula>IFERROR(VLOOKUP($B37,RegularHours_type1[[Nurse]:[Dec]],8,0)/VLOOKUP($B37,'Nurse Cases'!$B$37:$AX$76,17,0),0)</calculatedColumnFormula>
      <totalsRowFormula>SUBTOTAL(109,F37:F85)</totalsRowFormula>
    </tableColumn>
    <tableColumn id="6" xr3:uid="{0E8E0393-BC4D-4070-97B7-D863D046CFC0}" name="May" totalsRowFunction="custom" dataDxfId="64" totalsRowDxfId="63">
      <calculatedColumnFormula>IFERROR(VLOOKUP($B37,RegularHours_type1[[Nurse]:[Dec]],9,0)/VLOOKUP($B37,'Nurse Cases'!$B$37:$AX$76,21,0),0)</calculatedColumnFormula>
      <totalsRowFormula>SUBTOTAL(109,G37:G85)</totalsRowFormula>
    </tableColumn>
    <tableColumn id="7" xr3:uid="{F2059025-06F4-4A3D-A0FC-C3B2A992D1B0}" name="Jun" totalsRowFunction="custom" dataDxfId="62" totalsRowDxfId="61">
      <calculatedColumnFormula>IFERROR(VLOOKUP($B37,RegularHours_type1[[Nurse]:[Dec]],10,0)/VLOOKUP($B37,'Nurse Cases'!$B$37:$AX$76,25,0),0)</calculatedColumnFormula>
      <totalsRowFormula>SUBTOTAL(109,H37:H85)</totalsRowFormula>
    </tableColumn>
    <tableColumn id="8" xr3:uid="{7F13A3B1-FC31-4A0F-9A1F-EEAE826D072D}" name="Jul" totalsRowFunction="custom" dataDxfId="60" totalsRowDxfId="59">
      <calculatedColumnFormula>IFERROR(VLOOKUP($B37,RegularHours_type1[[Nurse]:[Dec]],11,0)/VLOOKUP($B37,'Nurse Cases'!$B$37:$AX$76,29,0),0)</calculatedColumnFormula>
      <totalsRowFormula>SUBTOTAL(109,I37:I85)</totalsRowFormula>
    </tableColumn>
    <tableColumn id="9" xr3:uid="{D6B0E663-8D35-461E-AABF-C70F54BA3282}" name="Aug" totalsRowFunction="custom" dataDxfId="58" totalsRowDxfId="57">
      <calculatedColumnFormula>IFERROR(VLOOKUP($B37,RegularHours_type1[[Nurse]:[Dec]],12,0)/VLOOKUP($B37,'Nurse Cases'!$B$37:$AX$76,33,0),0)</calculatedColumnFormula>
      <totalsRowFormula>SUBTOTAL(109,J37:J85)</totalsRowFormula>
    </tableColumn>
    <tableColumn id="10" xr3:uid="{9DF278E4-D0D6-4BB2-87BF-A2D13832E55D}" name="Sep " totalsRowFunction="custom" dataDxfId="56" totalsRowDxfId="55">
      <calculatedColumnFormula>IFERROR(VLOOKUP($B37,RegularHours_type1[[Nurse]:[Dec]],13,0)/VLOOKUP($B37,'Nurse Cases'!$B$37:$AX$76,37,0),0)</calculatedColumnFormula>
      <totalsRowFormula>SUBTOTAL(109,K37:K85)</totalsRowFormula>
    </tableColumn>
    <tableColumn id="11" xr3:uid="{000B535C-70F4-44E0-B2C6-AFAA6FA3D06A}" name="Oct" totalsRowFunction="custom" dataDxfId="54" totalsRowDxfId="53">
      <calculatedColumnFormula>IFERROR(VLOOKUP($B37,RegularHours_type1[[Nurse]:[Dec]],14,0)/VLOOKUP($B37,'Nurse Cases'!$B$37:$AX$76,41,0),0)</calculatedColumnFormula>
      <totalsRowFormula>SUBTOTAL(109,L37:L85)</totalsRowFormula>
    </tableColumn>
    <tableColumn id="12" xr3:uid="{A39E7F5E-41A8-4D4E-994E-61CDFAA13F34}" name="Nov" totalsRowFunction="custom" dataDxfId="52" totalsRowDxfId="51">
      <calculatedColumnFormula>IFERROR(VLOOKUP($B37,RegularHours_type1[[Nurse]:[Dec]],15,0)/VLOOKUP($B37,'Nurse Cases'!$B$37:$AX$76,45,0),0)</calculatedColumnFormula>
      <totalsRowFormula>SUBTOTAL(109,M37:M85)</totalsRowFormula>
    </tableColumn>
    <tableColumn id="13" xr3:uid="{A4C2461C-8C63-4D9C-98E2-9C3B96A087C8}" name="Dec" totalsRowFunction="custom" dataDxfId="50" totalsRowDxfId="49">
      <calculatedColumnFormula>IFERROR(VLOOKUP($B37,RegularHours_type1[[Nurse]:[Dec]],16,0)/VLOOKUP($B37,'Nurse Cases'!$B$37:$AX$76,49,0),0)</calculatedColumnFormula>
      <totalsRowFormula>SUBTOTAL(109,N37:N85)</totalsRow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F9797F-6B80-433F-9008-C919E6CFC9D7}" name="Table1" displayName="Table1" ref="B10:J115" totalsRowShown="0" headerRowDxfId="48" dataDxfId="47" tableBorderDxfId="46">
  <autoFilter ref="B10:J115" xr:uid="{FCF9797F-6B80-433F-9008-C919E6CFC9D7}">
    <filterColumn colId="8">
      <filters>
        <filter val="In Progress"/>
      </filters>
    </filterColumn>
  </autoFilter>
  <tableColumns count="9">
    <tableColumn id="1" xr3:uid="{62547BC2-9281-41D8-82B5-2406D1FA9A5E}" name="Project" dataDxfId="45"/>
    <tableColumn id="2" xr3:uid="{8A69B90A-9A43-48BA-928C-B4CF32D76A6E}" name="Task" dataDxfId="44"/>
    <tableColumn id="6" xr3:uid="{27992A88-86CD-40F7-84B5-5EEE4DD6B0A8}" name="Priority" dataDxfId="43"/>
    <tableColumn id="3" xr3:uid="{F39F05F9-F82B-46EE-9A4C-9EE5E9E1CF01}" name="Date Opened" dataDxfId="42"/>
    <tableColumn id="4" xr3:uid="{0F7153AA-8CA8-4AB0-BEB8-BEF2E1ED3E31}" name="Due Date" dataDxfId="41"/>
    <tableColumn id="9" xr3:uid="{52367160-A654-487D-A1D4-28E8E137EA7D}" name="Date Closed" dataDxfId="40"/>
    <tableColumn id="7" xr3:uid="{8C4CC579-C619-48A5-B1CA-56EBF01AD139}" name="Next Steps" dataDxfId="39"/>
    <tableColumn id="8" xr3:uid="{1367B45C-DA34-47D1-BD86-8250DBCD0420}" name="Next Step Owner" dataDxfId="38"/>
    <tableColumn id="5" xr3:uid="{4E60AA68-80D0-4A42-A32B-51E9C516458E}" name="Status" dataDxfId="37"/>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42" dT="2024-09-16T15:38:19.05" personId="{E9016B75-EB81-4B97-91DA-75E2F84ED7D1}" id="{BF55915B-C3AC-448C-A851-4BC75FC50FA2}">
    <text>8/11 Lori/Sutter, ICS, Steve Smetana
8/12 Sedwick CSU Team Lunch
8/13Luch with COS and SJC.  Stewardship with SJC
8/14 Dinner with Mountain F and Sue
8/15 Golden Gate RIMS w/ Kaiser and Liberty Mutual
8/16 CSO Stewardship
8/16 VICA Bowling with SRMA and Pac Coast
8/19 Sutter Virtual Review
8/21 Interview NCM Candidate
8/21 Meet with Rolling Green
8/21 LA RIMS Event
8/22 PARMA Chapter Meeting
8/22 Happy hour with Intercare &amp; KLH
8/22 Dinner/Snacks with KLH &amp; Non Profits United
8/27 Yuba County EIP Call
8/29 Meet with CFO Now Zoom
8/29 Kids Chance Fundraiser Zoom</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8" Type="http://schemas.openxmlformats.org/officeDocument/2006/relationships/hyperlink" Target="https://goscanstrong.com/" TargetMode="External"/><Relationship Id="rId3" Type="http://schemas.openxmlformats.org/officeDocument/2006/relationships/hyperlink" Target="https://drmscanning.com/" TargetMode="External"/><Relationship Id="rId7" Type="http://schemas.openxmlformats.org/officeDocument/2006/relationships/hyperlink" Target="https://www.riversidedocumentscanning.com/" TargetMode="External"/><Relationship Id="rId2" Type="http://schemas.openxmlformats.org/officeDocument/2006/relationships/hyperlink" Target="https://www.ironmountain.com/" TargetMode="External"/><Relationship Id="rId1" Type="http://schemas.openxmlformats.org/officeDocument/2006/relationships/hyperlink" Target="https://www.pacific-records.com/" TargetMode="External"/><Relationship Id="rId6" Type="http://schemas.openxmlformats.org/officeDocument/2006/relationships/hyperlink" Target="https://www.fresnoscanningservices.com/" TargetMode="External"/><Relationship Id="rId11" Type="http://schemas.openxmlformats.org/officeDocument/2006/relationships/table" Target="../tables/table3.xml"/><Relationship Id="rId5" Type="http://schemas.openxmlformats.org/officeDocument/2006/relationships/hyperlink" Target="https://corodata.com/" TargetMode="External"/><Relationship Id="rId10" Type="http://schemas.openxmlformats.org/officeDocument/2006/relationships/drawing" Target="../drawings/drawing9.xml"/><Relationship Id="rId4" Type="http://schemas.openxmlformats.org/officeDocument/2006/relationships/hyperlink" Target="https://www.ladocumentscanning.com/" TargetMode="External"/><Relationship Id="rId9" Type="http://schemas.openxmlformats.org/officeDocument/2006/relationships/hyperlink" Target="https://vitalrecordscontrol.com/l" TargetMode="Externa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7.bin"/><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10.xml"/><Relationship Id="rId1" Type="http://schemas.openxmlformats.org/officeDocument/2006/relationships/printerSettings" Target="../printerSettings/printerSettings8.bin"/><Relationship Id="rId4"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1.xml"/><Relationship Id="rId1" Type="http://schemas.openxmlformats.org/officeDocument/2006/relationships/printerSettings" Target="../printerSettings/printerSettings9.bin"/><Relationship Id="rId5" Type="http://schemas.openxmlformats.org/officeDocument/2006/relationships/table" Target="../tables/table11.xml"/><Relationship Id="rId4"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17.xml"/><Relationship Id="rId13" Type="http://schemas.openxmlformats.org/officeDocument/2006/relationships/table" Target="../tables/table22.xml"/><Relationship Id="rId18" Type="http://schemas.openxmlformats.org/officeDocument/2006/relationships/table" Target="../tables/table27.xml"/><Relationship Id="rId26" Type="http://schemas.openxmlformats.org/officeDocument/2006/relationships/table" Target="../tables/table35.xml"/><Relationship Id="rId3" Type="http://schemas.openxmlformats.org/officeDocument/2006/relationships/table" Target="../tables/table12.xml"/><Relationship Id="rId21" Type="http://schemas.openxmlformats.org/officeDocument/2006/relationships/table" Target="../tables/table30.xml"/><Relationship Id="rId7" Type="http://schemas.openxmlformats.org/officeDocument/2006/relationships/table" Target="../tables/table16.xml"/><Relationship Id="rId12" Type="http://schemas.openxmlformats.org/officeDocument/2006/relationships/table" Target="../tables/table21.xml"/><Relationship Id="rId17" Type="http://schemas.openxmlformats.org/officeDocument/2006/relationships/table" Target="../tables/table26.xml"/><Relationship Id="rId25" Type="http://schemas.openxmlformats.org/officeDocument/2006/relationships/table" Target="../tables/table34.xml"/><Relationship Id="rId2" Type="http://schemas.openxmlformats.org/officeDocument/2006/relationships/drawing" Target="../drawings/drawing12.xml"/><Relationship Id="rId16" Type="http://schemas.openxmlformats.org/officeDocument/2006/relationships/table" Target="../tables/table25.xml"/><Relationship Id="rId20" Type="http://schemas.openxmlformats.org/officeDocument/2006/relationships/table" Target="../tables/table29.xml"/><Relationship Id="rId1" Type="http://schemas.openxmlformats.org/officeDocument/2006/relationships/printerSettings" Target="../printerSettings/printerSettings10.bin"/><Relationship Id="rId6" Type="http://schemas.openxmlformats.org/officeDocument/2006/relationships/table" Target="../tables/table15.xml"/><Relationship Id="rId11" Type="http://schemas.openxmlformats.org/officeDocument/2006/relationships/table" Target="../tables/table20.xml"/><Relationship Id="rId24" Type="http://schemas.openxmlformats.org/officeDocument/2006/relationships/table" Target="../tables/table33.xml"/><Relationship Id="rId5" Type="http://schemas.openxmlformats.org/officeDocument/2006/relationships/table" Target="../tables/table14.xml"/><Relationship Id="rId15" Type="http://schemas.openxmlformats.org/officeDocument/2006/relationships/table" Target="../tables/table24.xml"/><Relationship Id="rId23" Type="http://schemas.openxmlformats.org/officeDocument/2006/relationships/table" Target="../tables/table32.xml"/><Relationship Id="rId10" Type="http://schemas.openxmlformats.org/officeDocument/2006/relationships/table" Target="../tables/table19.xml"/><Relationship Id="rId19" Type="http://schemas.openxmlformats.org/officeDocument/2006/relationships/table" Target="../tables/table28.xml"/><Relationship Id="rId4" Type="http://schemas.openxmlformats.org/officeDocument/2006/relationships/table" Target="../tables/table13.xml"/><Relationship Id="rId9" Type="http://schemas.openxmlformats.org/officeDocument/2006/relationships/table" Target="../tables/table18.xml"/><Relationship Id="rId14" Type="http://schemas.openxmlformats.org/officeDocument/2006/relationships/table" Target="../tables/table23.xml"/><Relationship Id="rId22" Type="http://schemas.openxmlformats.org/officeDocument/2006/relationships/table" Target="../tables/table31.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08487-DC33-44EE-8AC8-0B41B7FC736A}">
  <sheetPr codeName="Sheet1">
    <pageSetUpPr fitToPage="1"/>
  </sheetPr>
  <dimension ref="A2:Q100"/>
  <sheetViews>
    <sheetView showGridLines="0" topLeftCell="B31" zoomScale="90" zoomScaleNormal="90" workbookViewId="0">
      <selection activeCell="F40" sqref="F40:O43"/>
    </sheetView>
  </sheetViews>
  <sheetFormatPr defaultColWidth="0" defaultRowHeight="12.75" customHeight="1" x14ac:dyDescent="0.3"/>
  <cols>
    <col min="1" max="1" width="2" style="140" customWidth="1"/>
    <col min="2" max="2" width="39.81640625" style="140" customWidth="1"/>
    <col min="3" max="3" width="10.453125" style="140" customWidth="1"/>
    <col min="4" max="4" width="12.81640625" style="140" customWidth="1"/>
    <col min="5" max="5" width="10.453125" style="140" customWidth="1"/>
    <col min="6" max="6" width="11" style="140" customWidth="1"/>
    <col min="7" max="7" width="9.81640625" style="140" bestFit="1" customWidth="1"/>
    <col min="8" max="11" width="9.54296875" style="140" bestFit="1" customWidth="1"/>
    <col min="12" max="12" width="11.54296875" style="140" customWidth="1"/>
    <col min="13" max="13" width="10.1796875" style="140" customWidth="1"/>
    <col min="14" max="15" width="10.54296875" style="140" customWidth="1"/>
    <col min="16" max="16" width="10" style="140" customWidth="1"/>
    <col min="17" max="17" width="10.26953125" style="140" customWidth="1"/>
    <col min="18" max="16384" width="8.81640625" style="140" hidden="1"/>
  </cols>
  <sheetData>
    <row r="2" spans="1:17" ht="13" x14ac:dyDescent="0.3">
      <c r="B2" s="219"/>
      <c r="C2" s="219"/>
      <c r="D2" s="220"/>
      <c r="E2" s="221"/>
      <c r="F2" s="219"/>
      <c r="G2" s="222"/>
      <c r="H2" s="219"/>
      <c r="I2" s="223"/>
      <c r="J2" s="223"/>
      <c r="K2" s="219"/>
      <c r="L2" s="219"/>
      <c r="M2" s="219"/>
      <c r="N2" s="219"/>
      <c r="O2" s="219"/>
      <c r="P2" s="219"/>
      <c r="Q2" s="219"/>
    </row>
    <row r="3" spans="1:17" ht="13.4" customHeight="1" x14ac:dyDescent="0.3">
      <c r="B3" s="219"/>
      <c r="C3" s="219"/>
      <c r="D3" s="224"/>
      <c r="E3" s="225"/>
      <c r="F3" s="225"/>
      <c r="G3" s="219"/>
      <c r="H3" s="225"/>
      <c r="I3" s="225"/>
      <c r="J3" s="225"/>
      <c r="K3" s="225"/>
      <c r="L3" s="225"/>
      <c r="M3" s="219"/>
      <c r="N3" s="219"/>
      <c r="O3" s="219"/>
      <c r="P3" s="219"/>
      <c r="Q3" s="219"/>
    </row>
    <row r="4" spans="1:17" ht="13.4" customHeight="1" x14ac:dyDescent="0.3">
      <c r="B4" s="219"/>
      <c r="C4" s="219"/>
      <c r="D4" s="224"/>
      <c r="E4" s="875" t="s">
        <v>0</v>
      </c>
      <c r="F4" s="875"/>
      <c r="G4" s="875"/>
      <c r="H4" s="875"/>
      <c r="I4" s="875"/>
      <c r="J4" s="875"/>
      <c r="K4" s="875"/>
      <c r="L4" s="875"/>
      <c r="M4" s="875"/>
      <c r="N4" s="225"/>
      <c r="O4" s="225"/>
      <c r="P4" s="225"/>
      <c r="Q4" s="225"/>
    </row>
    <row r="5" spans="1:17" ht="13.4" customHeight="1" x14ac:dyDescent="0.3">
      <c r="B5" s="219"/>
      <c r="C5" s="219"/>
      <c r="D5" s="224"/>
      <c r="E5" s="875"/>
      <c r="F5" s="875"/>
      <c r="G5" s="875"/>
      <c r="H5" s="875"/>
      <c r="I5" s="875"/>
      <c r="J5" s="875"/>
      <c r="K5" s="875"/>
      <c r="L5" s="875"/>
      <c r="M5" s="875"/>
      <c r="N5" s="225"/>
      <c r="O5" s="225"/>
      <c r="P5" s="225"/>
      <c r="Q5" s="225"/>
    </row>
    <row r="6" spans="1:17" ht="13.4" customHeight="1" x14ac:dyDescent="0.3">
      <c r="B6" s="219"/>
      <c r="C6" s="219"/>
      <c r="D6" s="224"/>
      <c r="E6" s="875"/>
      <c r="F6" s="875"/>
      <c r="G6" s="875"/>
      <c r="H6" s="875"/>
      <c r="I6" s="875"/>
      <c r="J6" s="875"/>
      <c r="K6" s="875"/>
      <c r="L6" s="875"/>
      <c r="M6" s="875"/>
      <c r="N6" s="225"/>
      <c r="O6" s="225"/>
      <c r="P6" s="225"/>
      <c r="Q6" s="225"/>
    </row>
    <row r="7" spans="1:17" ht="13" x14ac:dyDescent="0.3">
      <c r="B7" s="219"/>
      <c r="C7" s="219"/>
      <c r="D7" s="220"/>
      <c r="E7" s="221"/>
      <c r="F7" s="219"/>
      <c r="G7" s="222"/>
      <c r="H7" s="219"/>
      <c r="I7" s="496"/>
      <c r="J7" s="223"/>
      <c r="K7" s="219"/>
      <c r="L7" s="219"/>
      <c r="M7" s="219"/>
      <c r="N7" s="219"/>
      <c r="O7" s="219"/>
      <c r="P7" s="219"/>
      <c r="Q7" s="219"/>
    </row>
    <row r="8" spans="1:17" ht="12.75" customHeight="1" x14ac:dyDescent="0.3">
      <c r="C8" s="588"/>
      <c r="D8" s="588"/>
      <c r="L8" s="854">
        <f>0.32*1500000</f>
        <v>480000</v>
      </c>
    </row>
    <row r="9" spans="1:17" ht="21" x14ac:dyDescent="0.5">
      <c r="B9" s="880" t="s">
        <v>1</v>
      </c>
      <c r="C9" s="880"/>
      <c r="D9" s="880"/>
      <c r="E9" s="880"/>
      <c r="F9" s="880"/>
      <c r="G9" s="880"/>
      <c r="H9" s="880"/>
      <c r="I9" s="880"/>
      <c r="J9" s="880"/>
      <c r="K9" s="880"/>
      <c r="L9" s="880"/>
      <c r="M9" s="880"/>
      <c r="N9" s="880"/>
      <c r="O9" s="880"/>
      <c r="P9" s="880"/>
      <c r="Q9" s="880"/>
    </row>
    <row r="10" spans="1:17" ht="8.15" customHeight="1" x14ac:dyDescent="0.3"/>
    <row r="11" spans="1:17" ht="13" x14ac:dyDescent="0.3">
      <c r="D11" s="226" t="s">
        <v>2</v>
      </c>
      <c r="E11" s="226" t="s">
        <v>3</v>
      </c>
      <c r="F11" s="227">
        <v>45322</v>
      </c>
      <c r="G11" s="227">
        <f>EOMONTH(F11,1)</f>
        <v>45351</v>
      </c>
      <c r="H11" s="227">
        <f t="shared" ref="H11:Q11" si="0">EOMONTH(G11,1)</f>
        <v>45382</v>
      </c>
      <c r="I11" s="227">
        <f t="shared" si="0"/>
        <v>45412</v>
      </c>
      <c r="J11" s="227">
        <f t="shared" si="0"/>
        <v>45443</v>
      </c>
      <c r="K11" s="227">
        <f t="shared" si="0"/>
        <v>45473</v>
      </c>
      <c r="L11" s="227">
        <f t="shared" si="0"/>
        <v>45504</v>
      </c>
      <c r="M11" s="227">
        <f t="shared" si="0"/>
        <v>45535</v>
      </c>
      <c r="N11" s="227">
        <f t="shared" si="0"/>
        <v>45565</v>
      </c>
      <c r="O11" s="227">
        <f t="shared" si="0"/>
        <v>45596</v>
      </c>
      <c r="P11" s="227">
        <f t="shared" si="0"/>
        <v>45626</v>
      </c>
      <c r="Q11" s="227">
        <f t="shared" si="0"/>
        <v>45657</v>
      </c>
    </row>
    <row r="12" spans="1:17" ht="13" x14ac:dyDescent="0.3">
      <c r="B12" s="218" t="s">
        <v>4</v>
      </c>
      <c r="C12" s="524" t="s">
        <v>5</v>
      </c>
      <c r="D12" s="877"/>
      <c r="E12" s="877"/>
      <c r="F12" s="877"/>
      <c r="G12" s="877"/>
      <c r="H12" s="877"/>
      <c r="I12" s="877"/>
      <c r="J12" s="877"/>
      <c r="K12" s="877"/>
      <c r="L12" s="877"/>
      <c r="M12" s="877"/>
      <c r="N12" s="877"/>
      <c r="O12" s="877"/>
      <c r="P12" s="877"/>
      <c r="Q12" s="878"/>
    </row>
    <row r="13" spans="1:17" s="530" customFormat="1" ht="13" x14ac:dyDescent="0.3">
      <c r="A13" s="140"/>
      <c r="B13" s="147" t="s">
        <v>6</v>
      </c>
      <c r="C13" s="535" t="s">
        <v>7</v>
      </c>
      <c r="D13" s="536">
        <f>5801919.82/12</f>
        <v>483493.31833333336</v>
      </c>
      <c r="E13" s="528">
        <f>(1.1)*D13</f>
        <v>531842.65016666672</v>
      </c>
      <c r="F13" s="529">
        <v>593114.1</v>
      </c>
      <c r="G13" s="529">
        <v>650200.25</v>
      </c>
      <c r="H13" s="529">
        <v>598007.12</v>
      </c>
      <c r="I13" s="529">
        <v>680325.51</v>
      </c>
      <c r="J13" s="529">
        <v>652747.07999999996</v>
      </c>
      <c r="K13" s="529">
        <v>681904.68</v>
      </c>
      <c r="L13" s="529">
        <v>671378</v>
      </c>
      <c r="M13" s="529">
        <v>753064.5</v>
      </c>
      <c r="N13" s="529">
        <v>761921.62</v>
      </c>
      <c r="O13" s="529">
        <v>767419.49</v>
      </c>
      <c r="P13" s="529"/>
      <c r="Q13" s="529"/>
    </row>
    <row r="14" spans="1:17" ht="13" x14ac:dyDescent="0.3">
      <c r="B14" s="149" t="s">
        <v>8</v>
      </c>
      <c r="C14" s="214" t="s">
        <v>7</v>
      </c>
      <c r="D14" s="537">
        <f>3911744.67/12</f>
        <v>325978.72249999997</v>
      </c>
      <c r="E14" s="531">
        <f>E13-E15</f>
        <v>319105.59010000003</v>
      </c>
      <c r="F14" s="181">
        <v>334032.83</v>
      </c>
      <c r="G14" s="181">
        <v>310421.59000000003</v>
      </c>
      <c r="H14" s="181">
        <v>338743.25</v>
      </c>
      <c r="I14" s="181">
        <v>336505.51</v>
      </c>
      <c r="J14" s="181">
        <v>363747.75</v>
      </c>
      <c r="K14" s="181">
        <v>379132.7</v>
      </c>
      <c r="L14" s="181">
        <v>385372.39</v>
      </c>
      <c r="M14" s="181">
        <v>403383.48</v>
      </c>
      <c r="N14" s="181">
        <v>404515.33</v>
      </c>
      <c r="O14" s="181">
        <v>470192.07</v>
      </c>
      <c r="P14" s="181"/>
      <c r="Q14" s="181"/>
    </row>
    <row r="15" spans="1:17" ht="13" x14ac:dyDescent="0.3">
      <c r="B15" s="149" t="s">
        <v>9</v>
      </c>
      <c r="C15" s="214" t="s">
        <v>7</v>
      </c>
      <c r="D15" s="537">
        <f>D13-D14</f>
        <v>157514.59583333338</v>
      </c>
      <c r="E15" s="531">
        <f>E16*E13</f>
        <v>212737.06006666669</v>
      </c>
      <c r="F15" s="181">
        <f>F13-F14</f>
        <v>259081.26999999996</v>
      </c>
      <c r="G15" s="181">
        <f>G13-G14</f>
        <v>339778.66</v>
      </c>
      <c r="H15" s="181">
        <f>H13-H14</f>
        <v>259263.87</v>
      </c>
      <c r="I15" s="181">
        <f>I13-I14</f>
        <v>343820</v>
      </c>
      <c r="J15" s="181">
        <f>J13-J14</f>
        <v>288999.32999999996</v>
      </c>
      <c r="K15" s="181">
        <v>302771.98</v>
      </c>
      <c r="L15" s="181">
        <f>L13-L14</f>
        <v>286005.61</v>
      </c>
      <c r="M15" s="181">
        <f>M13-M14</f>
        <v>349681.02</v>
      </c>
      <c r="N15" s="181">
        <f t="shared" ref="N15:Q15" si="1">N13-N14</f>
        <v>357406.29</v>
      </c>
      <c r="O15" s="181">
        <f t="shared" si="1"/>
        <v>297227.42</v>
      </c>
      <c r="P15" s="181">
        <f t="shared" si="1"/>
        <v>0</v>
      </c>
      <c r="Q15" s="181">
        <f t="shared" si="1"/>
        <v>0</v>
      </c>
    </row>
    <row r="16" spans="1:17" ht="13" x14ac:dyDescent="0.3">
      <c r="B16" s="149" t="s">
        <v>10</v>
      </c>
      <c r="C16" s="214" t="s">
        <v>7</v>
      </c>
      <c r="D16" s="538">
        <f>D15/D13</f>
        <v>0.32578443147116787</v>
      </c>
      <c r="E16" s="195">
        <v>0.4</v>
      </c>
      <c r="F16" s="182">
        <f t="shared" ref="F16:L16" si="2">F15/F13</f>
        <v>0.43681522661491268</v>
      </c>
      <c r="G16" s="182">
        <f t="shared" si="2"/>
        <v>0.52257540657666612</v>
      </c>
      <c r="H16" s="182">
        <f t="shared" si="2"/>
        <v>0.43354646011572573</v>
      </c>
      <c r="I16" s="182">
        <f t="shared" si="2"/>
        <v>0.50537572815695242</v>
      </c>
      <c r="J16" s="182">
        <f t="shared" si="2"/>
        <v>0.44274319848355348</v>
      </c>
      <c r="K16" s="182">
        <f t="shared" si="2"/>
        <v>0.44400924187820495</v>
      </c>
      <c r="L16" s="182">
        <f t="shared" si="2"/>
        <v>0.42599788792602677</v>
      </c>
      <c r="M16" s="182">
        <f>M15/M13</f>
        <v>0.46434405021083852</v>
      </c>
      <c r="N16" s="182">
        <f>N15/N13</f>
        <v>0.46908537652468763</v>
      </c>
      <c r="O16" s="182">
        <f>O15/O13</f>
        <v>0.38730762493405008</v>
      </c>
      <c r="P16" s="182"/>
      <c r="Q16" s="182"/>
    </row>
    <row r="17" spans="1:17" ht="13" x14ac:dyDescent="0.3">
      <c r="B17" s="149" t="s">
        <v>11</v>
      </c>
      <c r="C17" s="214" t="s">
        <v>7</v>
      </c>
      <c r="D17" s="539">
        <f>855714.27/12</f>
        <v>71309.522500000006</v>
      </c>
      <c r="E17" s="531">
        <f>E15-E18</f>
        <v>95731.677030000006</v>
      </c>
      <c r="F17" s="181">
        <v>122891.99</v>
      </c>
      <c r="G17" s="181">
        <v>162580.76</v>
      </c>
      <c r="H17" s="181">
        <f>192678.11+16.66</f>
        <v>192694.77</v>
      </c>
      <c r="I17" s="181">
        <v>183016.58</v>
      </c>
      <c r="J17" s="181">
        <v>203485.2</v>
      </c>
      <c r="K17" s="181">
        <v>190478.22</v>
      </c>
      <c r="L17" s="181">
        <v>187039.04</v>
      </c>
      <c r="M17" s="181">
        <v>163083.39000000001</v>
      </c>
      <c r="N17" s="181">
        <v>191795.69</v>
      </c>
      <c r="O17" s="181">
        <v>173617.69</v>
      </c>
      <c r="P17" s="181"/>
      <c r="Q17" s="181"/>
    </row>
    <row r="18" spans="1:17" ht="13" x14ac:dyDescent="0.3">
      <c r="B18" s="149" t="s">
        <v>12</v>
      </c>
      <c r="C18" s="214" t="s">
        <v>7</v>
      </c>
      <c r="D18" s="537">
        <f>D15-D17</f>
        <v>86205.073333333377</v>
      </c>
      <c r="E18" s="531">
        <f>E19*E13</f>
        <v>117005.38303666668</v>
      </c>
      <c r="F18" s="181">
        <f t="shared" ref="F18:M18" si="3">F15-F17</f>
        <v>136189.27999999997</v>
      </c>
      <c r="G18" s="181">
        <f t="shared" si="3"/>
        <v>177197.89999999997</v>
      </c>
      <c r="H18" s="181">
        <f t="shared" si="3"/>
        <v>66569.100000000006</v>
      </c>
      <c r="I18" s="181">
        <f t="shared" si="3"/>
        <v>160803.42000000001</v>
      </c>
      <c r="J18" s="181">
        <f t="shared" si="3"/>
        <v>85514.129999999946</v>
      </c>
      <c r="K18" s="181">
        <f t="shared" si="3"/>
        <v>112293.75999999998</v>
      </c>
      <c r="L18" s="181">
        <f t="shared" si="3"/>
        <v>98966.569999999978</v>
      </c>
      <c r="M18" s="181">
        <f t="shared" si="3"/>
        <v>186597.63</v>
      </c>
      <c r="N18" s="181">
        <f>N15-N17</f>
        <v>165610.59999999998</v>
      </c>
      <c r="O18" s="181">
        <f>O15-O17</f>
        <v>123609.72999999998</v>
      </c>
      <c r="P18" s="181"/>
      <c r="Q18" s="181"/>
    </row>
    <row r="19" spans="1:17" ht="13" x14ac:dyDescent="0.3">
      <c r="B19" s="149" t="s">
        <v>13</v>
      </c>
      <c r="C19" s="214" t="s">
        <v>7</v>
      </c>
      <c r="D19" s="538">
        <f>D18/D13</f>
        <v>0.17829630744535185</v>
      </c>
      <c r="E19" s="195">
        <v>0.22</v>
      </c>
      <c r="F19" s="182">
        <f t="shared" ref="F19:M19" si="4">F18/F13</f>
        <v>0.22961733669794729</v>
      </c>
      <c r="G19" s="182">
        <f t="shared" si="4"/>
        <v>0.27252819419863339</v>
      </c>
      <c r="H19" s="182">
        <f t="shared" si="4"/>
        <v>0.11131823982296399</v>
      </c>
      <c r="I19" s="182">
        <f t="shared" si="4"/>
        <v>0.23636247301677693</v>
      </c>
      <c r="J19" s="182">
        <f t="shared" si="4"/>
        <v>0.13100653012496041</v>
      </c>
      <c r="K19" s="182">
        <f t="shared" si="4"/>
        <v>0.16467662313154965</v>
      </c>
      <c r="L19" s="182">
        <f t="shared" si="4"/>
        <v>0.14740812180321664</v>
      </c>
      <c r="M19" s="182">
        <f t="shared" si="4"/>
        <v>0.24778439297032326</v>
      </c>
      <c r="N19" s="182">
        <f>N18/N13</f>
        <v>0.21735910315814372</v>
      </c>
      <c r="O19" s="182">
        <f>O18/O13</f>
        <v>0.161071919088216</v>
      </c>
      <c r="P19" s="182"/>
      <c r="Q19" s="182"/>
    </row>
    <row r="20" spans="1:17" s="534" customFormat="1" ht="13" x14ac:dyDescent="0.3">
      <c r="A20" s="140"/>
      <c r="B20" s="151" t="s">
        <v>14</v>
      </c>
      <c r="C20" s="532" t="s">
        <v>7</v>
      </c>
      <c r="D20" s="540" t="s">
        <v>15</v>
      </c>
      <c r="E20" s="533" t="s">
        <v>15</v>
      </c>
      <c r="F20" s="541">
        <f t="shared" ref="F20:I20" si="5">IFERROR(F13/F83,0)</f>
        <v>130.69368912784805</v>
      </c>
      <c r="G20" s="541">
        <f t="shared" si="5"/>
        <v>130.70928152138953</v>
      </c>
      <c r="H20" s="541">
        <f t="shared" si="5"/>
        <v>129.30163246772904</v>
      </c>
      <c r="I20" s="541">
        <f t="shared" si="5"/>
        <v>132.7412608288457</v>
      </c>
      <c r="J20" s="541">
        <f t="shared" ref="J20:O20" si="6">IFERROR(J13/J83,0)</f>
        <v>116.30651960871654</v>
      </c>
      <c r="K20" s="541">
        <f t="shared" si="6"/>
        <v>122.25991573285523</v>
      </c>
      <c r="L20" s="541">
        <f t="shared" si="6"/>
        <v>109.28443532897091</v>
      </c>
      <c r="M20" s="541">
        <f t="shared" si="6"/>
        <v>123.497736888714</v>
      </c>
      <c r="N20" s="541">
        <f t="shared" si="6"/>
        <v>129.22248566873577</v>
      </c>
      <c r="O20" s="541">
        <f t="shared" si="6"/>
        <v>124.68836661413228</v>
      </c>
      <c r="P20" s="541"/>
      <c r="Q20" s="541"/>
    </row>
    <row r="21" spans="1:17" ht="13" x14ac:dyDescent="0.3">
      <c r="B21" s="525" t="s">
        <v>16</v>
      </c>
      <c r="C21" s="512" t="s">
        <v>5</v>
      </c>
      <c r="D21" s="879"/>
      <c r="E21" s="879"/>
      <c r="F21" s="526">
        <v>45322</v>
      </c>
      <c r="G21" s="527">
        <f>EOMONTH(F21,1)</f>
        <v>45351</v>
      </c>
      <c r="H21" s="527">
        <f t="shared" ref="H21" si="7">EOMONTH(G21,1)</f>
        <v>45382</v>
      </c>
      <c r="I21" s="527">
        <f t="shared" ref="I21" si="8">EOMONTH(H21,1)</f>
        <v>45412</v>
      </c>
      <c r="J21" s="527">
        <f t="shared" ref="J21" si="9">EOMONTH(I21,1)</f>
        <v>45443</v>
      </c>
      <c r="K21" s="527">
        <f t="shared" ref="K21" si="10">EOMONTH(J21,1)</f>
        <v>45473</v>
      </c>
      <c r="L21" s="527">
        <f t="shared" ref="L21" si="11">EOMONTH(K21,1)</f>
        <v>45504</v>
      </c>
      <c r="M21" s="527">
        <f t="shared" ref="M21" si="12">EOMONTH(L21,1)</f>
        <v>45535</v>
      </c>
      <c r="N21" s="527">
        <f t="shared" ref="N21" si="13">EOMONTH(M21,1)</f>
        <v>45565</v>
      </c>
      <c r="O21" s="527">
        <f t="shared" ref="O21" si="14">EOMONTH(N21,1)</f>
        <v>45596</v>
      </c>
      <c r="P21" s="527">
        <f t="shared" ref="P21" si="15">EOMONTH(O21,1)</f>
        <v>45626</v>
      </c>
      <c r="Q21" s="527">
        <f t="shared" ref="Q21" si="16">EOMONTH(P21,1)</f>
        <v>45657</v>
      </c>
    </row>
    <row r="22" spans="1:17" ht="13" x14ac:dyDescent="0.3">
      <c r="B22" s="228" t="s">
        <v>17</v>
      </c>
      <c r="C22" s="153" t="s">
        <v>18</v>
      </c>
      <c r="D22" s="229"/>
      <c r="E22" s="229"/>
      <c r="F22" s="230">
        <v>53835</v>
      </c>
      <c r="G22" s="230">
        <v>57946</v>
      </c>
      <c r="H22" s="231">
        <v>22788</v>
      </c>
      <c r="I22" s="231">
        <v>64465.52</v>
      </c>
      <c r="J22" s="231">
        <v>49153</v>
      </c>
      <c r="K22" s="231">
        <v>27534.15</v>
      </c>
      <c r="L22" s="231">
        <v>18058.560000000001</v>
      </c>
      <c r="M22" s="231">
        <v>0</v>
      </c>
      <c r="N22" s="231">
        <v>81462</v>
      </c>
      <c r="O22" s="231">
        <v>7519</v>
      </c>
      <c r="P22" s="231" t="s">
        <v>19</v>
      </c>
      <c r="Q22" s="232" t="s">
        <v>19</v>
      </c>
    </row>
    <row r="23" spans="1:17" ht="13" x14ac:dyDescent="0.3">
      <c r="B23" s="233" t="s">
        <v>20</v>
      </c>
      <c r="C23" s="153" t="s">
        <v>18</v>
      </c>
      <c r="D23" s="229"/>
      <c r="E23" s="229"/>
      <c r="F23" s="230">
        <v>401886</v>
      </c>
      <c r="G23" s="230">
        <v>478531</v>
      </c>
      <c r="H23" s="231">
        <v>427989</v>
      </c>
      <c r="I23" s="231">
        <v>447884.19</v>
      </c>
      <c r="J23" s="231">
        <v>387262</v>
      </c>
      <c r="K23" s="231">
        <v>536368.99</v>
      </c>
      <c r="L23" s="231">
        <v>448914.65</v>
      </c>
      <c r="M23" s="231">
        <v>531662</v>
      </c>
      <c r="N23" s="231">
        <v>440068</v>
      </c>
      <c r="O23" s="231">
        <v>529923</v>
      </c>
      <c r="P23" s="231" t="s">
        <v>19</v>
      </c>
      <c r="Q23" s="232" t="s">
        <v>19</v>
      </c>
    </row>
    <row r="24" spans="1:17" ht="13" x14ac:dyDescent="0.3">
      <c r="B24" s="228" t="s">
        <v>21</v>
      </c>
      <c r="C24" s="153" t="s">
        <v>18</v>
      </c>
      <c r="D24" s="229"/>
      <c r="E24" s="229"/>
      <c r="F24" s="230">
        <v>77343</v>
      </c>
      <c r="G24" s="230">
        <v>79677</v>
      </c>
      <c r="H24" s="231">
        <v>100153</v>
      </c>
      <c r="I24" s="231">
        <v>70371.509999999995</v>
      </c>
      <c r="J24" s="231">
        <v>95736</v>
      </c>
      <c r="K24" s="231">
        <v>112244.17</v>
      </c>
      <c r="L24" s="231">
        <v>115483.76</v>
      </c>
      <c r="M24" s="231">
        <v>119569</v>
      </c>
      <c r="N24" s="231">
        <v>165846</v>
      </c>
      <c r="O24" s="231">
        <v>110033</v>
      </c>
      <c r="P24" s="231" t="s">
        <v>19</v>
      </c>
      <c r="Q24" s="232" t="s">
        <v>19</v>
      </c>
    </row>
    <row r="25" spans="1:17" ht="13" x14ac:dyDescent="0.3">
      <c r="B25" s="228" t="s">
        <v>22</v>
      </c>
      <c r="C25" s="153" t="s">
        <v>18</v>
      </c>
      <c r="D25" s="229"/>
      <c r="E25" s="229"/>
      <c r="F25" s="230">
        <v>32987</v>
      </c>
      <c r="G25" s="230">
        <v>23881</v>
      </c>
      <c r="H25" s="231">
        <v>14772</v>
      </c>
      <c r="I25" s="231">
        <v>20321.25</v>
      </c>
      <c r="J25" s="231">
        <v>6600</v>
      </c>
      <c r="K25" s="231">
        <v>28389.5</v>
      </c>
      <c r="L25" s="231">
        <v>28457.24</v>
      </c>
      <c r="M25" s="231">
        <v>74236</v>
      </c>
      <c r="N25" s="231">
        <v>43309</v>
      </c>
      <c r="O25" s="231">
        <v>89549</v>
      </c>
      <c r="P25" s="231" t="s">
        <v>19</v>
      </c>
      <c r="Q25" s="232" t="s">
        <v>19</v>
      </c>
    </row>
    <row r="26" spans="1:17" ht="13" x14ac:dyDescent="0.3">
      <c r="B26" s="228" t="s">
        <v>23</v>
      </c>
      <c r="C26" s="153" t="s">
        <v>18</v>
      </c>
      <c r="D26" s="234"/>
      <c r="E26" s="234"/>
      <c r="F26" s="230">
        <v>7845</v>
      </c>
      <c r="G26" s="235">
        <v>3126</v>
      </c>
      <c r="H26" s="231">
        <v>3438</v>
      </c>
      <c r="I26" s="231">
        <v>984</v>
      </c>
      <c r="J26" s="231">
        <v>6294</v>
      </c>
      <c r="K26" s="231">
        <v>4525.76</v>
      </c>
      <c r="L26" s="231">
        <v>7289.76</v>
      </c>
      <c r="M26" s="231">
        <v>22600</v>
      </c>
      <c r="N26" s="231">
        <v>37474</v>
      </c>
      <c r="O26" s="231">
        <v>46214</v>
      </c>
      <c r="P26" s="231"/>
      <c r="Q26" s="232"/>
    </row>
    <row r="27" spans="1:17" ht="13" x14ac:dyDescent="0.3">
      <c r="B27" s="215" t="s">
        <v>24</v>
      </c>
      <c r="C27" s="257"/>
      <c r="D27" s="260"/>
      <c r="E27" s="260"/>
      <c r="F27" s="258">
        <f>SUM(F22:F26)</f>
        <v>573896</v>
      </c>
      <c r="G27" s="237">
        <f>SUM(G22:G26)</f>
        <v>643161</v>
      </c>
      <c r="H27" s="236">
        <f t="shared" ref="H27:Q27" si="17">SUM(H22:H26)</f>
        <v>569140</v>
      </c>
      <c r="I27" s="236">
        <f t="shared" si="17"/>
        <v>604026.47</v>
      </c>
      <c r="J27" s="236">
        <f t="shared" si="17"/>
        <v>545045</v>
      </c>
      <c r="K27" s="236">
        <f t="shared" si="17"/>
        <v>709062.57000000007</v>
      </c>
      <c r="L27" s="236">
        <f t="shared" si="17"/>
        <v>618203.97</v>
      </c>
      <c r="M27" s="236">
        <f t="shared" si="17"/>
        <v>748067</v>
      </c>
      <c r="N27" s="236">
        <f t="shared" si="17"/>
        <v>768159</v>
      </c>
      <c r="O27" s="236">
        <f t="shared" si="17"/>
        <v>783238</v>
      </c>
      <c r="P27" s="236">
        <f t="shared" si="17"/>
        <v>0</v>
      </c>
      <c r="Q27" s="236">
        <f t="shared" si="17"/>
        <v>0</v>
      </c>
    </row>
    <row r="28" spans="1:17" ht="13" x14ac:dyDescent="0.3">
      <c r="B28" s="218" t="s">
        <v>25</v>
      </c>
      <c r="C28" s="217"/>
      <c r="D28" s="162"/>
      <c r="E28" s="162"/>
      <c r="F28" s="203">
        <v>44957</v>
      </c>
      <c r="G28" s="203">
        <f t="shared" ref="G28:Q28" si="18">EOMONTH(F28,1)</f>
        <v>44985</v>
      </c>
      <c r="H28" s="203">
        <f t="shared" si="18"/>
        <v>45016</v>
      </c>
      <c r="I28" s="203">
        <f t="shared" si="18"/>
        <v>45046</v>
      </c>
      <c r="J28" s="203">
        <f t="shared" si="18"/>
        <v>45077</v>
      </c>
      <c r="K28" s="203">
        <f t="shared" si="18"/>
        <v>45107</v>
      </c>
      <c r="L28" s="203">
        <f t="shared" si="18"/>
        <v>45138</v>
      </c>
      <c r="M28" s="203">
        <f t="shared" si="18"/>
        <v>45169</v>
      </c>
      <c r="N28" s="203">
        <f t="shared" si="18"/>
        <v>45199</v>
      </c>
      <c r="O28" s="203">
        <f t="shared" si="18"/>
        <v>45230</v>
      </c>
      <c r="P28" s="203">
        <f t="shared" si="18"/>
        <v>45260</v>
      </c>
      <c r="Q28" s="203">
        <f t="shared" si="18"/>
        <v>45291</v>
      </c>
    </row>
    <row r="29" spans="1:17" ht="13" x14ac:dyDescent="0.3">
      <c r="B29" s="238" t="s">
        <v>6</v>
      </c>
      <c r="C29" s="194" t="s">
        <v>7</v>
      </c>
      <c r="D29" s="159"/>
      <c r="E29" s="159"/>
      <c r="F29" s="155">
        <v>392895.7</v>
      </c>
      <c r="G29" s="155">
        <v>408865.1</v>
      </c>
      <c r="H29" s="155">
        <v>420865.44</v>
      </c>
      <c r="I29" s="566">
        <v>431524.85</v>
      </c>
      <c r="J29" s="566">
        <v>443858.35</v>
      </c>
      <c r="K29" s="155">
        <v>444902</v>
      </c>
      <c r="L29" s="155">
        <v>449982.9</v>
      </c>
      <c r="M29" s="155">
        <v>518084.07</v>
      </c>
      <c r="N29" s="155">
        <v>563636.76</v>
      </c>
      <c r="O29" s="155">
        <v>587663.32999999996</v>
      </c>
      <c r="P29" s="155">
        <v>587936.27</v>
      </c>
      <c r="Q29" s="155">
        <v>551704</v>
      </c>
    </row>
    <row r="30" spans="1:17" ht="13" x14ac:dyDescent="0.3">
      <c r="B30" s="233" t="s">
        <v>8</v>
      </c>
      <c r="C30" s="153" t="s">
        <v>7</v>
      </c>
      <c r="D30" s="159"/>
      <c r="E30" s="159"/>
      <c r="F30" s="155">
        <v>316203.46999999997</v>
      </c>
      <c r="G30" s="155">
        <v>310226.02</v>
      </c>
      <c r="H30" s="155">
        <v>319920.24</v>
      </c>
      <c r="I30" s="561">
        <v>338177.05</v>
      </c>
      <c r="J30" s="155">
        <v>366408.64</v>
      </c>
      <c r="K30" s="155">
        <v>341461.98</v>
      </c>
      <c r="L30" s="155">
        <v>359320.32000000001</v>
      </c>
      <c r="M30" s="155">
        <v>390324.41</v>
      </c>
      <c r="N30" s="155">
        <v>388696.95</v>
      </c>
      <c r="O30" s="155">
        <v>396957.65</v>
      </c>
      <c r="P30" s="155">
        <v>371790.65</v>
      </c>
      <c r="Q30" s="155">
        <v>374152.55</v>
      </c>
    </row>
    <row r="31" spans="1:17" ht="13" x14ac:dyDescent="0.3">
      <c r="B31" s="228" t="s">
        <v>9</v>
      </c>
      <c r="C31" s="153" t="s">
        <v>7</v>
      </c>
      <c r="D31" s="159"/>
      <c r="E31" s="159"/>
      <c r="F31" s="155">
        <f t="shared" ref="F31:K31" si="19">F29-F30</f>
        <v>76692.23000000004</v>
      </c>
      <c r="G31" s="155">
        <f t="shared" si="19"/>
        <v>98639.079999999958</v>
      </c>
      <c r="H31" s="155">
        <f t="shared" si="19"/>
        <v>100945.20000000001</v>
      </c>
      <c r="I31" s="155">
        <f t="shared" si="19"/>
        <v>93347.799999999988</v>
      </c>
      <c r="J31" s="155">
        <f t="shared" si="19"/>
        <v>77449.709999999963</v>
      </c>
      <c r="K31" s="155">
        <f t="shared" si="19"/>
        <v>103440.02000000002</v>
      </c>
      <c r="L31" s="155">
        <f>L29-L30</f>
        <v>90662.580000000016</v>
      </c>
      <c r="M31" s="155">
        <f t="shared" ref="M31:Q31" si="20">M29-M30</f>
        <v>127759.66000000003</v>
      </c>
      <c r="N31" s="155">
        <f t="shared" si="20"/>
        <v>174939.81</v>
      </c>
      <c r="O31" s="155">
        <f t="shared" si="20"/>
        <v>190705.67999999993</v>
      </c>
      <c r="P31" s="155">
        <f t="shared" si="20"/>
        <v>216145.62</v>
      </c>
      <c r="Q31" s="155">
        <f t="shared" si="20"/>
        <v>177551.45</v>
      </c>
    </row>
    <row r="32" spans="1:17" ht="13" x14ac:dyDescent="0.3">
      <c r="B32" s="228" t="s">
        <v>10</v>
      </c>
      <c r="C32" s="153" t="s">
        <v>7</v>
      </c>
      <c r="D32" s="160"/>
      <c r="E32" s="160"/>
      <c r="F32" s="156">
        <f t="shared" ref="F32:Q32" si="21">F31/F29</f>
        <v>0.19519742771427642</v>
      </c>
      <c r="G32" s="156">
        <f t="shared" si="21"/>
        <v>0.24125091625575273</v>
      </c>
      <c r="H32" s="156">
        <f t="shared" si="21"/>
        <v>0.2398514831723888</v>
      </c>
      <c r="I32" s="156">
        <f t="shared" si="21"/>
        <v>0.21632079821127334</v>
      </c>
      <c r="J32" s="156">
        <f t="shared" si="21"/>
        <v>0.17449195221853991</v>
      </c>
      <c r="K32" s="156">
        <f t="shared" si="21"/>
        <v>0.23250068554423226</v>
      </c>
      <c r="L32" s="156">
        <f t="shared" si="21"/>
        <v>0.20148005624213722</v>
      </c>
      <c r="M32" s="156">
        <f t="shared" si="21"/>
        <v>0.24660024771655309</v>
      </c>
      <c r="N32" s="156">
        <f t="shared" si="21"/>
        <v>0.31037686399304404</v>
      </c>
      <c r="O32" s="156">
        <f t="shared" si="21"/>
        <v>0.32451519477997709</v>
      </c>
      <c r="P32" s="156">
        <f t="shared" si="21"/>
        <v>0.36763443765767334</v>
      </c>
      <c r="Q32" s="156">
        <f t="shared" si="21"/>
        <v>0.32182374969186378</v>
      </c>
    </row>
    <row r="33" spans="2:17" ht="13" x14ac:dyDescent="0.3">
      <c r="B33" s="228" t="s">
        <v>11</v>
      </c>
      <c r="C33" s="153" t="s">
        <v>7</v>
      </c>
      <c r="D33" s="159"/>
      <c r="E33" s="159"/>
      <c r="F33" s="155">
        <v>55877.36</v>
      </c>
      <c r="G33" s="155">
        <v>50596.15</v>
      </c>
      <c r="H33" s="155">
        <v>82350.320000000007</v>
      </c>
      <c r="I33" s="155">
        <f>72797.15+10.02</f>
        <v>72807.17</v>
      </c>
      <c r="J33" s="155">
        <v>77701.45</v>
      </c>
      <c r="K33" s="155">
        <v>79404.100000000006</v>
      </c>
      <c r="L33" s="155">
        <v>85767.19</v>
      </c>
      <c r="M33" s="155">
        <v>68304.490000000005</v>
      </c>
      <c r="N33" s="155">
        <v>80307</v>
      </c>
      <c r="O33" s="155">
        <v>77888.86</v>
      </c>
      <c r="P33" s="155">
        <v>81819.39</v>
      </c>
      <c r="Q33" s="155">
        <v>116940.83</v>
      </c>
    </row>
    <row r="34" spans="2:17" ht="13" x14ac:dyDescent="0.3">
      <c r="B34" s="228" t="s">
        <v>12</v>
      </c>
      <c r="C34" s="153" t="s">
        <v>7</v>
      </c>
      <c r="D34" s="159"/>
      <c r="E34" s="159"/>
      <c r="F34" s="155">
        <f t="shared" ref="F34:Q34" si="22">F31-F33</f>
        <v>20814.870000000039</v>
      </c>
      <c r="G34" s="155">
        <f t="shared" si="22"/>
        <v>48042.929999999957</v>
      </c>
      <c r="H34" s="155">
        <f t="shared" si="22"/>
        <v>18594.880000000005</v>
      </c>
      <c r="I34" s="155">
        <f t="shared" si="22"/>
        <v>20540.62999999999</v>
      </c>
      <c r="J34" s="155">
        <f t="shared" si="22"/>
        <v>-251.74000000003434</v>
      </c>
      <c r="K34" s="155">
        <f t="shared" si="22"/>
        <v>24035.920000000013</v>
      </c>
      <c r="L34" s="155">
        <f t="shared" si="22"/>
        <v>4895.390000000014</v>
      </c>
      <c r="M34" s="155">
        <f t="shared" si="22"/>
        <v>59455.170000000027</v>
      </c>
      <c r="N34" s="155">
        <f t="shared" si="22"/>
        <v>94632.81</v>
      </c>
      <c r="O34" s="155">
        <f t="shared" si="22"/>
        <v>112816.81999999993</v>
      </c>
      <c r="P34" s="155">
        <f t="shared" si="22"/>
        <v>134326.22999999998</v>
      </c>
      <c r="Q34" s="155">
        <f t="shared" si="22"/>
        <v>60610.62000000001</v>
      </c>
    </row>
    <row r="35" spans="2:17" ht="13" x14ac:dyDescent="0.3">
      <c r="B35" s="239" t="s">
        <v>13</v>
      </c>
      <c r="C35" s="154" t="s">
        <v>7</v>
      </c>
      <c r="D35" s="161"/>
      <c r="E35" s="161"/>
      <c r="F35" s="157">
        <f t="shared" ref="F35:L35" si="23">F34/F29</f>
        <v>5.29781058942616E-2</v>
      </c>
      <c r="G35" s="157">
        <f t="shared" si="23"/>
        <v>0.11750313245126562</v>
      </c>
      <c r="H35" s="157">
        <f t="shared" si="23"/>
        <v>4.4182482648135721E-2</v>
      </c>
      <c r="I35" s="157">
        <f t="shared" si="23"/>
        <v>4.7600109240522284E-2</v>
      </c>
      <c r="J35" s="157">
        <f t="shared" si="23"/>
        <v>-5.6716292483859857E-4</v>
      </c>
      <c r="K35" s="157">
        <f t="shared" si="23"/>
        <v>5.402520105551338E-2</v>
      </c>
      <c r="L35" s="157">
        <f t="shared" si="23"/>
        <v>1.0879057848642723E-2</v>
      </c>
      <c r="M35" s="157">
        <f t="shared" ref="M35:Q35" si="24">M34/M29</f>
        <v>0.11475969527493873</v>
      </c>
      <c r="N35" s="157">
        <f t="shared" si="24"/>
        <v>0.1678968028983773</v>
      </c>
      <c r="O35" s="157">
        <f t="shared" si="24"/>
        <v>0.19197525903139123</v>
      </c>
      <c r="P35" s="157">
        <f t="shared" si="24"/>
        <v>0.22847073204039611</v>
      </c>
      <c r="Q35" s="157">
        <f t="shared" si="24"/>
        <v>0.10986075866769139</v>
      </c>
    </row>
    <row r="36" spans="2:17" ht="9" customHeight="1" x14ac:dyDescent="0.3">
      <c r="B36" s="240"/>
      <c r="C36" s="214"/>
      <c r="D36" s="241"/>
      <c r="E36" s="241"/>
      <c r="F36" s="242"/>
      <c r="G36" s="242"/>
      <c r="H36" s="243"/>
      <c r="I36" s="243"/>
      <c r="J36" s="243"/>
      <c r="K36" s="243"/>
      <c r="L36" s="243"/>
      <c r="M36" s="243"/>
      <c r="N36" s="243"/>
      <c r="O36" s="243"/>
      <c r="P36" s="243"/>
      <c r="Q36" s="243"/>
    </row>
    <row r="37" spans="2:17" ht="21" x14ac:dyDescent="0.5">
      <c r="B37" s="880" t="s">
        <v>26</v>
      </c>
      <c r="C37" s="880"/>
      <c r="D37" s="880"/>
      <c r="E37" s="880"/>
      <c r="F37" s="880"/>
      <c r="G37" s="880"/>
      <c r="H37" s="880"/>
      <c r="I37" s="880"/>
      <c r="J37" s="880"/>
      <c r="K37" s="880"/>
      <c r="L37" s="880"/>
      <c r="M37" s="880"/>
      <c r="N37" s="880"/>
      <c r="O37" s="880"/>
      <c r="P37" s="880"/>
      <c r="Q37" s="880"/>
    </row>
    <row r="38" spans="2:17" ht="6" customHeight="1" x14ac:dyDescent="0.3">
      <c r="B38" s="240"/>
      <c r="C38" s="214"/>
      <c r="D38" s="241"/>
      <c r="E38" s="241"/>
      <c r="F38" s="242"/>
      <c r="G38" s="242"/>
      <c r="H38" s="243"/>
      <c r="I38" s="243"/>
      <c r="J38" s="243"/>
      <c r="K38" s="243"/>
      <c r="L38" s="243"/>
      <c r="M38" s="243"/>
      <c r="N38" s="243"/>
      <c r="O38" s="243"/>
      <c r="P38" s="243"/>
      <c r="Q38" s="243"/>
    </row>
    <row r="39" spans="2:17" ht="13" x14ac:dyDescent="0.3">
      <c r="B39" s="193" t="s">
        <v>27</v>
      </c>
      <c r="C39" s="146" t="s">
        <v>5</v>
      </c>
      <c r="D39" s="226" t="s">
        <v>2</v>
      </c>
      <c r="E39" s="226" t="s">
        <v>3</v>
      </c>
      <c r="F39" s="227">
        <v>45322</v>
      </c>
      <c r="G39" s="227">
        <f>EOMONTH(F39,1)</f>
        <v>45351</v>
      </c>
      <c r="H39" s="227">
        <f t="shared" ref="H39" si="25">EOMONTH(G39,1)</f>
        <v>45382</v>
      </c>
      <c r="I39" s="227">
        <f t="shared" ref="I39" si="26">EOMONTH(H39,1)</f>
        <v>45412</v>
      </c>
      <c r="J39" s="227">
        <f t="shared" ref="J39" si="27">EOMONTH(I39,1)</f>
        <v>45443</v>
      </c>
      <c r="K39" s="227">
        <f t="shared" ref="K39" si="28">EOMONTH(J39,1)</f>
        <v>45473</v>
      </c>
      <c r="L39" s="227">
        <f t="shared" ref="L39" si="29">EOMONTH(K39,1)</f>
        <v>45504</v>
      </c>
      <c r="M39" s="227">
        <f t="shared" ref="M39" si="30">EOMONTH(L39,1)</f>
        <v>45535</v>
      </c>
      <c r="N39" s="227">
        <f t="shared" ref="N39" si="31">EOMONTH(M39,1)</f>
        <v>45565</v>
      </c>
      <c r="O39" s="227">
        <f t="shared" ref="O39" si="32">EOMONTH(N39,1)</f>
        <v>45596</v>
      </c>
      <c r="P39" s="227">
        <f t="shared" ref="P39" si="33">EOMONTH(O39,1)</f>
        <v>45626</v>
      </c>
      <c r="Q39" s="227">
        <f t="shared" ref="Q39" si="34">EOMONTH(P39,1)</f>
        <v>45657</v>
      </c>
    </row>
    <row r="40" spans="2:17" ht="13" x14ac:dyDescent="0.3">
      <c r="B40" s="149" t="s">
        <v>28</v>
      </c>
      <c r="C40" s="150" t="s">
        <v>29</v>
      </c>
      <c r="D40" s="196">
        <v>0</v>
      </c>
      <c r="E40" s="196">
        <v>2</v>
      </c>
      <c r="F40" s="189">
        <v>1</v>
      </c>
      <c r="G40" s="189">
        <v>1</v>
      </c>
      <c r="H40" s="189">
        <v>3</v>
      </c>
      <c r="I40" s="189">
        <v>3</v>
      </c>
      <c r="J40" s="189">
        <v>3</v>
      </c>
      <c r="K40" s="189">
        <v>3</v>
      </c>
      <c r="L40" s="189">
        <v>4</v>
      </c>
      <c r="M40" s="189">
        <v>4</v>
      </c>
      <c r="N40" s="189">
        <v>3</v>
      </c>
      <c r="O40" s="189">
        <v>3</v>
      </c>
      <c r="P40" s="189"/>
      <c r="Q40" s="190"/>
    </row>
    <row r="41" spans="2:17" ht="13" x14ac:dyDescent="0.3">
      <c r="B41" s="149" t="s">
        <v>30</v>
      </c>
      <c r="C41" s="150" t="s">
        <v>29</v>
      </c>
      <c r="D41" s="196">
        <v>0</v>
      </c>
      <c r="E41" s="196">
        <v>1</v>
      </c>
      <c r="F41" s="184">
        <v>0</v>
      </c>
      <c r="G41" s="184">
        <v>0</v>
      </c>
      <c r="H41" s="184">
        <v>0</v>
      </c>
      <c r="I41" s="184">
        <v>1</v>
      </c>
      <c r="J41" s="184">
        <v>1</v>
      </c>
      <c r="K41" s="184">
        <v>1</v>
      </c>
      <c r="L41" s="184">
        <v>1</v>
      </c>
      <c r="M41" s="184">
        <v>1</v>
      </c>
      <c r="N41" s="184">
        <v>1</v>
      </c>
      <c r="O41" s="184">
        <v>1</v>
      </c>
      <c r="P41" s="184"/>
      <c r="Q41" s="164"/>
    </row>
    <row r="42" spans="2:17" ht="13" x14ac:dyDescent="0.3">
      <c r="B42" s="149" t="s">
        <v>31</v>
      </c>
      <c r="C42" s="150" t="s">
        <v>29</v>
      </c>
      <c r="D42" s="197">
        <v>0</v>
      </c>
      <c r="E42" s="197"/>
      <c r="F42" s="184">
        <v>2</v>
      </c>
      <c r="G42" s="184">
        <v>7</v>
      </c>
      <c r="H42" s="184">
        <v>3</v>
      </c>
      <c r="I42" s="184">
        <v>3</v>
      </c>
      <c r="J42" s="184">
        <v>1</v>
      </c>
      <c r="K42" s="184">
        <v>11</v>
      </c>
      <c r="L42" s="184">
        <v>10</v>
      </c>
      <c r="M42" s="184">
        <v>15</v>
      </c>
      <c r="N42" s="184">
        <v>11</v>
      </c>
      <c r="O42" s="184">
        <v>5</v>
      </c>
      <c r="P42" s="184"/>
      <c r="Q42" s="164"/>
    </row>
    <row r="43" spans="2:17" ht="13" x14ac:dyDescent="0.3">
      <c r="B43" s="149" t="s">
        <v>32</v>
      </c>
      <c r="C43" s="150" t="s">
        <v>29</v>
      </c>
      <c r="D43" s="197">
        <v>0</v>
      </c>
      <c r="E43" s="197">
        <v>2</v>
      </c>
      <c r="F43" s="184">
        <v>3</v>
      </c>
      <c r="G43" s="184">
        <v>2</v>
      </c>
      <c r="H43" s="184">
        <v>2</v>
      </c>
      <c r="I43" s="184">
        <v>2</v>
      </c>
      <c r="J43" s="184">
        <v>4</v>
      </c>
      <c r="K43" s="184">
        <v>2</v>
      </c>
      <c r="L43" s="184">
        <v>4</v>
      </c>
      <c r="M43" s="184">
        <v>5</v>
      </c>
      <c r="N43" s="184">
        <v>4</v>
      </c>
      <c r="O43" s="184">
        <v>2</v>
      </c>
      <c r="P43" s="184"/>
      <c r="Q43" s="164"/>
    </row>
    <row r="44" spans="2:17" ht="13" x14ac:dyDescent="0.3">
      <c r="B44" s="188" t="s">
        <v>33</v>
      </c>
      <c r="C44" s="191" t="s">
        <v>29</v>
      </c>
      <c r="D44" s="198">
        <v>81.400000000000006</v>
      </c>
      <c r="E44" s="199">
        <f>(1.15)*D44</f>
        <v>93.61</v>
      </c>
      <c r="F44" s="192">
        <v>91</v>
      </c>
      <c r="G44" s="192">
        <v>95</v>
      </c>
      <c r="H44" s="192">
        <v>83</v>
      </c>
      <c r="I44" s="192">
        <v>93</v>
      </c>
      <c r="J44" s="192">
        <v>67</v>
      </c>
      <c r="K44" s="192">
        <v>84</v>
      </c>
      <c r="L44" s="192">
        <v>98</v>
      </c>
      <c r="M44" s="192">
        <v>102</v>
      </c>
      <c r="N44" s="192">
        <v>92</v>
      </c>
      <c r="O44" s="192">
        <v>110</v>
      </c>
      <c r="P44" s="192"/>
      <c r="Q44" s="183"/>
    </row>
    <row r="45" spans="2:17" ht="6" customHeight="1" x14ac:dyDescent="0.3">
      <c r="D45" s="141"/>
      <c r="E45" s="141"/>
      <c r="F45" s="141"/>
      <c r="G45" s="141"/>
      <c r="H45" s="141"/>
      <c r="I45" s="141"/>
      <c r="J45" s="141"/>
      <c r="K45" s="141"/>
      <c r="L45" s="141"/>
      <c r="M45" s="141"/>
      <c r="N45" s="141"/>
      <c r="O45" s="141"/>
      <c r="P45" s="141"/>
      <c r="Q45" s="141"/>
    </row>
    <row r="46" spans="2:17" ht="13" x14ac:dyDescent="0.3">
      <c r="B46" s="163" t="s">
        <v>34</v>
      </c>
      <c r="C46" s="158" t="s">
        <v>5</v>
      </c>
      <c r="D46" s="226" t="s">
        <v>2</v>
      </c>
      <c r="E46" s="226" t="s">
        <v>3</v>
      </c>
      <c r="F46" s="227">
        <v>45322</v>
      </c>
      <c r="G46" s="227">
        <f>EOMONTH(F46,1)</f>
        <v>45351</v>
      </c>
      <c r="H46" s="227">
        <f t="shared" ref="H46" si="35">EOMONTH(G46,1)</f>
        <v>45382</v>
      </c>
      <c r="I46" s="227">
        <f t="shared" ref="I46" si="36">EOMONTH(H46,1)</f>
        <v>45412</v>
      </c>
      <c r="J46" s="227">
        <f t="shared" ref="J46" si="37">EOMONTH(I46,1)</f>
        <v>45443</v>
      </c>
      <c r="K46" s="227">
        <f t="shared" ref="K46" si="38">EOMONTH(J46,1)</f>
        <v>45473</v>
      </c>
      <c r="L46" s="227">
        <f t="shared" ref="L46" si="39">EOMONTH(K46,1)</f>
        <v>45504</v>
      </c>
      <c r="M46" s="227">
        <f t="shared" ref="M46" si="40">EOMONTH(L46,1)</f>
        <v>45535</v>
      </c>
      <c r="N46" s="227">
        <f t="shared" ref="N46" si="41">EOMONTH(M46,1)</f>
        <v>45565</v>
      </c>
      <c r="O46" s="227">
        <f t="shared" ref="O46" si="42">EOMONTH(N46,1)</f>
        <v>45596</v>
      </c>
      <c r="P46" s="227">
        <f t="shared" ref="P46" si="43">EOMONTH(O46,1)</f>
        <v>45626</v>
      </c>
      <c r="Q46" s="227">
        <f t="shared" ref="Q46" si="44">EOMONTH(P46,1)</f>
        <v>45657</v>
      </c>
    </row>
    <row r="47" spans="2:17" ht="13" x14ac:dyDescent="0.3">
      <c r="B47" s="166" t="s">
        <v>35</v>
      </c>
      <c r="C47" s="250"/>
      <c r="D47" s="250"/>
      <c r="E47" s="250"/>
      <c r="F47" s="251"/>
      <c r="G47" s="251"/>
      <c r="H47" s="251"/>
      <c r="I47" s="251"/>
      <c r="J47" s="251"/>
      <c r="K47" s="251"/>
      <c r="L47" s="251"/>
      <c r="M47" s="251"/>
      <c r="N47" s="251"/>
      <c r="O47" s="251"/>
      <c r="P47" s="251"/>
      <c r="Q47" s="251"/>
    </row>
    <row r="48" spans="2:17" ht="13" x14ac:dyDescent="0.3">
      <c r="B48" s="149" t="s">
        <v>36</v>
      </c>
      <c r="C48" s="153" t="s">
        <v>29</v>
      </c>
      <c r="D48" s="200">
        <v>2.7</v>
      </c>
      <c r="E48" s="253">
        <f>D48*1.1</f>
        <v>2.9700000000000006</v>
      </c>
      <c r="F48" s="254">
        <v>2</v>
      </c>
      <c r="G48" s="254">
        <v>2</v>
      </c>
      <c r="H48" s="254">
        <v>4</v>
      </c>
      <c r="I48" s="254">
        <v>4</v>
      </c>
      <c r="J48" s="254">
        <v>3</v>
      </c>
      <c r="K48" s="254">
        <v>3</v>
      </c>
      <c r="L48" s="254">
        <v>3</v>
      </c>
      <c r="M48" s="254">
        <v>3</v>
      </c>
      <c r="N48" s="254">
        <v>3</v>
      </c>
      <c r="O48" s="254">
        <v>5</v>
      </c>
      <c r="P48" s="254"/>
      <c r="Q48" s="254"/>
    </row>
    <row r="49" spans="1:17" ht="13" x14ac:dyDescent="0.3">
      <c r="B49" s="149" t="s">
        <v>37</v>
      </c>
      <c r="C49" s="153" t="s">
        <v>29</v>
      </c>
      <c r="D49" s="200">
        <v>1.63</v>
      </c>
      <c r="E49" s="253">
        <f>D49*1.1</f>
        <v>1.7929999999999999</v>
      </c>
      <c r="F49" s="142">
        <v>2</v>
      </c>
      <c r="G49" s="142">
        <v>2</v>
      </c>
      <c r="H49" s="142">
        <v>6</v>
      </c>
      <c r="I49" s="142">
        <v>5</v>
      </c>
      <c r="J49" s="142">
        <v>5</v>
      </c>
      <c r="K49" s="142">
        <v>6</v>
      </c>
      <c r="L49" s="142">
        <v>5</v>
      </c>
      <c r="M49" s="142">
        <v>5</v>
      </c>
      <c r="N49" s="142">
        <v>5</v>
      </c>
      <c r="O49" s="142">
        <v>5</v>
      </c>
      <c r="P49" s="142"/>
      <c r="Q49" s="142"/>
    </row>
    <row r="50" spans="1:17" ht="13" x14ac:dyDescent="0.3">
      <c r="B50" s="149" t="s">
        <v>38</v>
      </c>
      <c r="C50" s="153" t="s">
        <v>29</v>
      </c>
      <c r="D50" s="200">
        <v>11.8</v>
      </c>
      <c r="E50" s="253">
        <f>(1.1)*D50</f>
        <v>12.980000000000002</v>
      </c>
      <c r="F50" s="142">
        <v>11</v>
      </c>
      <c r="G50" s="142">
        <v>13</v>
      </c>
      <c r="H50" s="142">
        <v>21</v>
      </c>
      <c r="I50" s="142">
        <v>16</v>
      </c>
      <c r="J50" s="142">
        <v>12</v>
      </c>
      <c r="K50" s="142">
        <v>10</v>
      </c>
      <c r="L50" s="142">
        <v>14</v>
      </c>
      <c r="M50" s="142">
        <v>12</v>
      </c>
      <c r="N50" s="142">
        <v>14</v>
      </c>
      <c r="O50" s="142">
        <v>11</v>
      </c>
      <c r="P50" s="142"/>
      <c r="Q50" s="142"/>
    </row>
    <row r="51" spans="1:17" ht="13" x14ac:dyDescent="0.3">
      <c r="B51" s="263" t="s">
        <v>39</v>
      </c>
      <c r="C51" s="216"/>
      <c r="D51" s="216"/>
      <c r="E51" s="216"/>
      <c r="F51" s="264"/>
      <c r="G51" s="265"/>
      <c r="H51" s="265"/>
      <c r="I51" s="265"/>
      <c r="J51" s="265"/>
      <c r="K51" s="265"/>
      <c r="L51" s="265"/>
      <c r="M51" s="265"/>
      <c r="N51" s="265"/>
      <c r="O51" s="265"/>
      <c r="P51" s="265"/>
      <c r="Q51" s="265"/>
    </row>
    <row r="52" spans="1:17" ht="13" x14ac:dyDescent="0.3">
      <c r="B52" s="149" t="s">
        <v>40</v>
      </c>
      <c r="C52" s="153"/>
      <c r="D52" s="200"/>
      <c r="E52" s="200"/>
      <c r="F52" s="142"/>
      <c r="G52" s="142"/>
      <c r="H52" s="142"/>
      <c r="I52" s="142"/>
      <c r="J52" s="142"/>
      <c r="K52" s="142"/>
      <c r="L52" s="142"/>
      <c r="M52" s="142"/>
      <c r="N52" s="142"/>
      <c r="O52" s="142"/>
      <c r="P52" s="142"/>
      <c r="Q52" s="142"/>
    </row>
    <row r="53" spans="1:17" ht="13" x14ac:dyDescent="0.3">
      <c r="B53" s="252" t="s">
        <v>41</v>
      </c>
      <c r="C53" s="153" t="s">
        <v>42</v>
      </c>
      <c r="D53" s="200">
        <v>84.8</v>
      </c>
      <c r="E53" s="253">
        <f>(1.1)*D53</f>
        <v>93.28</v>
      </c>
      <c r="F53" s="142">
        <v>114</v>
      </c>
      <c r="G53" s="142">
        <v>152</v>
      </c>
      <c r="H53" s="142">
        <v>158</v>
      </c>
      <c r="I53" s="142">
        <v>227.3</v>
      </c>
      <c r="J53" s="142">
        <v>242.8</v>
      </c>
      <c r="K53" s="142">
        <v>206</v>
      </c>
      <c r="L53" s="142">
        <v>131.80000000000001</v>
      </c>
      <c r="M53" s="142">
        <v>253.2</v>
      </c>
      <c r="N53" s="142">
        <v>192.5</v>
      </c>
      <c r="O53" s="142">
        <v>269</v>
      </c>
      <c r="P53" s="142"/>
      <c r="Q53" s="142"/>
    </row>
    <row r="54" spans="1:17" ht="13" x14ac:dyDescent="0.3">
      <c r="B54" s="252" t="s">
        <v>43</v>
      </c>
      <c r="C54" s="153" t="s">
        <v>42</v>
      </c>
      <c r="D54" s="200"/>
      <c r="E54" s="200"/>
      <c r="F54" s="142">
        <v>15</v>
      </c>
      <c r="G54" s="142">
        <v>14</v>
      </c>
      <c r="H54" s="142">
        <v>22</v>
      </c>
      <c r="I54" s="142">
        <v>27</v>
      </c>
      <c r="J54" s="142">
        <v>30</v>
      </c>
      <c r="K54" s="142">
        <v>25</v>
      </c>
      <c r="L54" s="142">
        <v>20</v>
      </c>
      <c r="M54" s="142">
        <v>26</v>
      </c>
      <c r="N54" s="142">
        <v>24</v>
      </c>
      <c r="O54" s="142">
        <v>30</v>
      </c>
      <c r="P54" s="142"/>
      <c r="Q54" s="142"/>
    </row>
    <row r="55" spans="1:17" s="256" customFormat="1" ht="13" x14ac:dyDescent="0.3">
      <c r="A55" s="140"/>
      <c r="B55" s="266" t="s">
        <v>44</v>
      </c>
      <c r="C55" s="257"/>
      <c r="D55" s="216"/>
      <c r="E55" s="216"/>
      <c r="F55" s="268">
        <f>IFERROR(F53/F54,"")</f>
        <v>7.6</v>
      </c>
      <c r="G55" s="269">
        <f t="shared" ref="G55:Q55" si="45">IFERROR(G53/G54,"")</f>
        <v>10.857142857142858</v>
      </c>
      <c r="H55" s="269">
        <f t="shared" si="45"/>
        <v>7.1818181818181817</v>
      </c>
      <c r="I55" s="269">
        <f t="shared" si="45"/>
        <v>8.4185185185185194</v>
      </c>
      <c r="J55" s="269">
        <f t="shared" si="45"/>
        <v>8.0933333333333337</v>
      </c>
      <c r="K55" s="269">
        <f t="shared" si="45"/>
        <v>8.24</v>
      </c>
      <c r="L55" s="269">
        <f t="shared" si="45"/>
        <v>6.5900000000000007</v>
      </c>
      <c r="M55" s="269">
        <f t="shared" si="45"/>
        <v>9.7384615384615376</v>
      </c>
      <c r="N55" s="269">
        <f t="shared" si="45"/>
        <v>8.0208333333333339</v>
      </c>
      <c r="O55" s="269">
        <f t="shared" si="45"/>
        <v>8.9666666666666668</v>
      </c>
      <c r="P55" s="269" t="str">
        <f t="shared" si="45"/>
        <v/>
      </c>
      <c r="Q55" s="269" t="str">
        <f t="shared" si="45"/>
        <v/>
      </c>
    </row>
    <row r="56" spans="1:17" ht="13" x14ac:dyDescent="0.3">
      <c r="B56" s="149" t="s">
        <v>45</v>
      </c>
      <c r="C56" s="153"/>
      <c r="D56" s="200"/>
      <c r="E56" s="200"/>
      <c r="F56" s="142"/>
      <c r="G56" s="142"/>
      <c r="H56" s="142"/>
      <c r="I56" s="142"/>
      <c r="J56" s="142"/>
      <c r="K56" s="142"/>
      <c r="L56" s="142"/>
      <c r="M56" s="142"/>
      <c r="N56" s="142"/>
      <c r="O56" s="142"/>
      <c r="P56" s="142"/>
      <c r="Q56" s="142"/>
    </row>
    <row r="57" spans="1:17" ht="13" x14ac:dyDescent="0.3">
      <c r="B57" s="252" t="s">
        <v>41</v>
      </c>
      <c r="C57" s="153" t="s">
        <v>42</v>
      </c>
      <c r="D57" s="200">
        <v>150</v>
      </c>
      <c r="E57" s="200">
        <v>170</v>
      </c>
      <c r="F57" s="142">
        <v>177.8</v>
      </c>
      <c r="G57" s="142">
        <v>225.1</v>
      </c>
      <c r="H57" s="142">
        <v>141.5</v>
      </c>
      <c r="I57" s="142">
        <v>262.3</v>
      </c>
      <c r="J57" s="142">
        <v>186.2</v>
      </c>
      <c r="K57" s="142">
        <v>260</v>
      </c>
      <c r="L57" s="142">
        <v>280.60000000000002</v>
      </c>
      <c r="M57" s="142">
        <v>273.10000000000002</v>
      </c>
      <c r="N57" s="142">
        <v>299.5</v>
      </c>
      <c r="O57" s="142">
        <v>258</v>
      </c>
      <c r="P57" s="142"/>
      <c r="Q57" s="142"/>
    </row>
    <row r="58" spans="1:17" ht="13" x14ac:dyDescent="0.3">
      <c r="B58" s="252" t="s">
        <v>43</v>
      </c>
      <c r="C58" s="153" t="s">
        <v>42</v>
      </c>
      <c r="D58" s="200"/>
      <c r="E58" s="200"/>
      <c r="F58" s="142">
        <v>30</v>
      </c>
      <c r="G58" s="142">
        <v>32</v>
      </c>
      <c r="H58" s="142">
        <v>23</v>
      </c>
      <c r="I58" s="142">
        <v>37</v>
      </c>
      <c r="J58" s="142">
        <v>32</v>
      </c>
      <c r="K58" s="142">
        <v>40</v>
      </c>
      <c r="L58" s="142">
        <v>45</v>
      </c>
      <c r="M58" s="142">
        <v>43</v>
      </c>
      <c r="N58" s="142">
        <v>43</v>
      </c>
      <c r="O58" s="142">
        <v>38</v>
      </c>
      <c r="P58" s="142"/>
      <c r="Q58" s="142"/>
    </row>
    <row r="59" spans="1:17" ht="13" x14ac:dyDescent="0.3">
      <c r="B59" s="266" t="s">
        <v>44</v>
      </c>
      <c r="C59" s="261"/>
      <c r="D59" s="261"/>
      <c r="E59" s="261"/>
      <c r="F59" s="268">
        <f>IFERROR(F57/F58,"")</f>
        <v>5.9266666666666667</v>
      </c>
      <c r="G59" s="269">
        <f t="shared" ref="G59" si="46">IFERROR(G57/G58,"")</f>
        <v>7.0343749999999998</v>
      </c>
      <c r="H59" s="269">
        <f t="shared" ref="H59" si="47">IFERROR(H57/H58,"")</f>
        <v>6.1521739130434785</v>
      </c>
      <c r="I59" s="269">
        <f t="shared" ref="I59" si="48">IFERROR(I57/I58,"")</f>
        <v>7.0891891891891898</v>
      </c>
      <c r="J59" s="269">
        <f t="shared" ref="J59" si="49">IFERROR(J57/J58,"")</f>
        <v>5.8187499999999996</v>
      </c>
      <c r="K59" s="269">
        <f t="shared" ref="K59" si="50">IFERROR(K57/K58,"")</f>
        <v>6.5</v>
      </c>
      <c r="L59" s="269">
        <f t="shared" ref="L59" si="51">IFERROR(L57/L58,"")</f>
        <v>6.235555555555556</v>
      </c>
      <c r="M59" s="269">
        <f t="shared" ref="M59" si="52">IFERROR(M57/M58,"")</f>
        <v>6.3511627906976749</v>
      </c>
      <c r="N59" s="269">
        <f t="shared" ref="N59" si="53">IFERROR(N57/N58,"")</f>
        <v>6.9651162790697674</v>
      </c>
      <c r="O59" s="269">
        <f t="shared" ref="O59" si="54">IFERROR(O57/O58,"")</f>
        <v>6.7894736842105265</v>
      </c>
      <c r="P59" s="269" t="str">
        <f t="shared" ref="P59" si="55">IFERROR(P57/P58,"")</f>
        <v/>
      </c>
      <c r="Q59" s="269" t="str">
        <f t="shared" ref="Q59" si="56">IFERROR(Q57/Q58,"")</f>
        <v/>
      </c>
    </row>
    <row r="60" spans="1:17" ht="13" x14ac:dyDescent="0.3">
      <c r="B60" s="149" t="s">
        <v>46</v>
      </c>
      <c r="C60" s="153"/>
      <c r="D60" s="200"/>
      <c r="E60" s="200"/>
      <c r="F60" s="142"/>
      <c r="G60" s="142"/>
      <c r="H60" s="142"/>
      <c r="I60" s="142"/>
      <c r="J60" s="142"/>
      <c r="K60" s="142"/>
      <c r="L60" s="142"/>
      <c r="M60" s="142"/>
      <c r="N60" s="142"/>
      <c r="O60" s="142"/>
      <c r="P60" s="142"/>
      <c r="Q60" s="142"/>
    </row>
    <row r="61" spans="1:17" ht="13" x14ac:dyDescent="0.3">
      <c r="B61" s="252" t="s">
        <v>47</v>
      </c>
      <c r="C61" s="153" t="s">
        <v>42</v>
      </c>
      <c r="D61" s="200"/>
      <c r="E61" s="200"/>
      <c r="F61" s="142">
        <v>15</v>
      </c>
      <c r="G61" s="142">
        <v>25</v>
      </c>
      <c r="H61" s="142">
        <v>34</v>
      </c>
      <c r="I61" s="142">
        <v>37</v>
      </c>
      <c r="J61" s="142">
        <v>33</v>
      </c>
      <c r="K61" s="142">
        <v>25</v>
      </c>
      <c r="L61" s="142">
        <v>27</v>
      </c>
      <c r="M61" s="142">
        <v>23</v>
      </c>
      <c r="N61" s="142">
        <v>28</v>
      </c>
      <c r="O61" s="142">
        <v>25</v>
      </c>
      <c r="P61" s="142"/>
      <c r="Q61" s="142"/>
    </row>
    <row r="62" spans="1:17" ht="13" x14ac:dyDescent="0.3">
      <c r="B62" s="252" t="s">
        <v>48</v>
      </c>
      <c r="C62" s="153" t="s">
        <v>42</v>
      </c>
      <c r="D62" s="200"/>
      <c r="E62" s="200"/>
      <c r="F62" s="142">
        <v>31</v>
      </c>
      <c r="G62" s="142">
        <v>29</v>
      </c>
      <c r="H62" s="142">
        <v>35</v>
      </c>
      <c r="I62" s="142">
        <v>35</v>
      </c>
      <c r="J62" s="142">
        <v>38</v>
      </c>
      <c r="K62" s="142">
        <v>42</v>
      </c>
      <c r="L62" s="142">
        <v>38</v>
      </c>
      <c r="M62" s="142">
        <v>36</v>
      </c>
      <c r="N62" s="142">
        <v>37</v>
      </c>
      <c r="O62" s="142">
        <v>34</v>
      </c>
      <c r="P62" s="142"/>
      <c r="Q62" s="142"/>
    </row>
    <row r="63" spans="1:17" ht="13" x14ac:dyDescent="0.3">
      <c r="B63" s="262" t="s">
        <v>49</v>
      </c>
      <c r="C63" s="261"/>
      <c r="D63" s="261"/>
      <c r="E63" s="261"/>
      <c r="F63" s="259">
        <f>F61+F62</f>
        <v>46</v>
      </c>
      <c r="G63" s="255">
        <f t="shared" ref="G63:Q63" si="57">G61+G62</f>
        <v>54</v>
      </c>
      <c r="H63" s="255">
        <f t="shared" si="57"/>
        <v>69</v>
      </c>
      <c r="I63" s="255">
        <f t="shared" si="57"/>
        <v>72</v>
      </c>
      <c r="J63" s="255">
        <f t="shared" si="57"/>
        <v>71</v>
      </c>
      <c r="K63" s="255">
        <f t="shared" si="57"/>
        <v>67</v>
      </c>
      <c r="L63" s="255">
        <f t="shared" si="57"/>
        <v>65</v>
      </c>
      <c r="M63" s="255">
        <f t="shared" si="57"/>
        <v>59</v>
      </c>
      <c r="N63" s="255">
        <f t="shared" si="57"/>
        <v>65</v>
      </c>
      <c r="O63" s="255">
        <f t="shared" si="57"/>
        <v>59</v>
      </c>
      <c r="P63" s="255">
        <f t="shared" si="57"/>
        <v>0</v>
      </c>
      <c r="Q63" s="255">
        <f t="shared" si="57"/>
        <v>0</v>
      </c>
    </row>
    <row r="64" spans="1:17" ht="4.4000000000000004" customHeight="1" x14ac:dyDescent="0.3"/>
    <row r="65" spans="2:17" ht="23.5" x14ac:dyDescent="0.55000000000000004">
      <c r="B65" s="876" t="s">
        <v>50</v>
      </c>
      <c r="C65" s="876"/>
      <c r="D65" s="876"/>
      <c r="E65" s="876"/>
      <c r="F65" s="876"/>
      <c r="G65" s="876"/>
      <c r="H65" s="876"/>
      <c r="I65" s="876"/>
      <c r="J65" s="876"/>
      <c r="K65" s="876"/>
      <c r="L65" s="876"/>
      <c r="M65" s="876"/>
      <c r="N65" s="876"/>
      <c r="O65" s="876"/>
      <c r="P65" s="876"/>
      <c r="Q65" s="876"/>
    </row>
    <row r="66" spans="2:17" ht="5.5" customHeight="1" x14ac:dyDescent="0.3"/>
    <row r="67" spans="2:17" ht="13" x14ac:dyDescent="0.3">
      <c r="B67" s="166" t="s">
        <v>51</v>
      </c>
      <c r="C67" s="146" t="s">
        <v>5</v>
      </c>
      <c r="D67" s="226" t="s">
        <v>2</v>
      </c>
      <c r="E67" s="226" t="s">
        <v>3</v>
      </c>
      <c r="F67" s="227">
        <v>45322</v>
      </c>
      <c r="G67" s="227">
        <f>EOMONTH(F67,1)</f>
        <v>45351</v>
      </c>
      <c r="H67" s="227">
        <f t="shared" ref="H67" si="58">EOMONTH(G67,1)</f>
        <v>45382</v>
      </c>
      <c r="I67" s="227">
        <f t="shared" ref="I67" si="59">EOMONTH(H67,1)</f>
        <v>45412</v>
      </c>
      <c r="J67" s="227">
        <f t="shared" ref="J67" si="60">EOMONTH(I67,1)</f>
        <v>45443</v>
      </c>
      <c r="K67" s="227">
        <f t="shared" ref="K67" si="61">EOMONTH(J67,1)</f>
        <v>45473</v>
      </c>
      <c r="L67" s="227">
        <f t="shared" ref="L67" si="62">EOMONTH(K67,1)</f>
        <v>45504</v>
      </c>
      <c r="M67" s="227">
        <f t="shared" ref="M67" si="63">EOMONTH(L67,1)</f>
        <v>45535</v>
      </c>
      <c r="N67" s="227">
        <f t="shared" ref="N67" si="64">EOMONTH(M67,1)</f>
        <v>45565</v>
      </c>
      <c r="O67" s="227">
        <f t="shared" ref="O67" si="65">EOMONTH(N67,1)</f>
        <v>45596</v>
      </c>
      <c r="P67" s="227">
        <f t="shared" ref="P67" si="66">EOMONTH(O67,1)</f>
        <v>45626</v>
      </c>
      <c r="Q67" s="227">
        <f t="shared" ref="Q67" si="67">EOMONTH(P67,1)</f>
        <v>45657</v>
      </c>
    </row>
    <row r="68" spans="2:17" ht="13" x14ac:dyDescent="0.3">
      <c r="B68" s="147" t="s">
        <v>52</v>
      </c>
      <c r="C68" s="148" t="s">
        <v>53</v>
      </c>
      <c r="D68" s="195">
        <v>0.62</v>
      </c>
      <c r="E68" s="201">
        <v>0.8</v>
      </c>
      <c r="F68" s="144">
        <v>0.74</v>
      </c>
      <c r="G68" s="144">
        <v>0.66</v>
      </c>
      <c r="H68" s="144">
        <v>0.84</v>
      </c>
      <c r="I68" s="562">
        <v>0.79</v>
      </c>
      <c r="J68" s="717">
        <v>0.85</v>
      </c>
      <c r="K68" s="717">
        <v>0.87</v>
      </c>
      <c r="L68" s="717"/>
      <c r="M68" s="717"/>
      <c r="N68" s="717"/>
      <c r="O68" s="717"/>
      <c r="P68" s="717"/>
      <c r="Q68" s="717"/>
    </row>
    <row r="69" spans="2:17" ht="13" x14ac:dyDescent="0.3">
      <c r="B69" s="149" t="s">
        <v>54</v>
      </c>
      <c r="C69" s="150" t="s">
        <v>53</v>
      </c>
      <c r="D69" s="195">
        <v>0.28999999999999998</v>
      </c>
      <c r="E69" s="201">
        <v>0.8</v>
      </c>
      <c r="F69" s="144">
        <v>0.51</v>
      </c>
      <c r="G69" s="144">
        <v>0.35</v>
      </c>
      <c r="H69" s="144">
        <v>0.35</v>
      </c>
      <c r="I69" s="562">
        <v>0.52</v>
      </c>
      <c r="J69" s="717">
        <v>0.44</v>
      </c>
      <c r="K69" s="717">
        <v>0.64</v>
      </c>
      <c r="L69" s="717"/>
      <c r="M69" s="717"/>
      <c r="N69" s="717"/>
      <c r="O69" s="717"/>
      <c r="P69" s="717"/>
      <c r="Q69" s="717"/>
    </row>
    <row r="70" spans="2:17" ht="13" x14ac:dyDescent="0.3">
      <c r="B70" s="149" t="s">
        <v>55</v>
      </c>
      <c r="C70" s="150" t="s">
        <v>53</v>
      </c>
      <c r="D70" s="195" t="s">
        <v>56</v>
      </c>
      <c r="E70" s="201">
        <v>0.8</v>
      </c>
      <c r="F70" s="144">
        <v>0.3</v>
      </c>
      <c r="G70" s="144">
        <v>0.31</v>
      </c>
      <c r="H70" s="144">
        <v>0.33</v>
      </c>
      <c r="I70" s="562">
        <v>0.32</v>
      </c>
      <c r="J70" s="717">
        <v>0.37</v>
      </c>
      <c r="K70" s="717">
        <v>0.41</v>
      </c>
      <c r="L70" s="717"/>
      <c r="M70" s="717"/>
      <c r="N70" s="717"/>
      <c r="O70" s="717"/>
      <c r="P70" s="717"/>
      <c r="Q70" s="717"/>
    </row>
    <row r="71" spans="2:17" ht="13" x14ac:dyDescent="0.3">
      <c r="B71" s="149" t="s">
        <v>57</v>
      </c>
      <c r="C71" s="150" t="s">
        <v>53</v>
      </c>
      <c r="D71" s="195" t="s">
        <v>56</v>
      </c>
      <c r="E71" s="202">
        <v>30</v>
      </c>
      <c r="F71" s="164">
        <v>30</v>
      </c>
      <c r="G71" s="164">
        <v>27</v>
      </c>
      <c r="H71" s="164">
        <v>26</v>
      </c>
      <c r="I71" s="164">
        <v>17</v>
      </c>
      <c r="J71" s="790">
        <v>21</v>
      </c>
      <c r="K71" s="790">
        <v>24</v>
      </c>
      <c r="L71" s="791"/>
      <c r="M71" s="791"/>
      <c r="N71" s="791"/>
      <c r="O71" s="791"/>
      <c r="P71" s="791"/>
      <c r="Q71" s="791"/>
    </row>
    <row r="72" spans="2:17" ht="13" x14ac:dyDescent="0.3">
      <c r="B72" s="149" t="s">
        <v>58</v>
      </c>
      <c r="C72" s="150" t="s">
        <v>53</v>
      </c>
      <c r="D72" s="195" t="s">
        <v>56</v>
      </c>
      <c r="E72" s="201">
        <v>0.8</v>
      </c>
      <c r="F72" s="144">
        <v>0.3</v>
      </c>
      <c r="G72" s="144">
        <v>0.18</v>
      </c>
      <c r="H72" s="144">
        <v>0.17</v>
      </c>
      <c r="I72" s="562">
        <v>0.26</v>
      </c>
      <c r="J72" s="717">
        <v>0.23</v>
      </c>
      <c r="K72" s="717">
        <v>0.27</v>
      </c>
      <c r="L72" s="717"/>
      <c r="M72" s="717"/>
      <c r="N72" s="717"/>
      <c r="O72" s="717"/>
      <c r="P72" s="717"/>
      <c r="Q72" s="717"/>
    </row>
    <row r="73" spans="2:17" ht="13" x14ac:dyDescent="0.3">
      <c r="B73" s="149" t="s">
        <v>59</v>
      </c>
      <c r="C73" s="150" t="s">
        <v>53</v>
      </c>
      <c r="D73" s="195">
        <v>0.19</v>
      </c>
      <c r="E73" s="201">
        <v>0.75</v>
      </c>
      <c r="F73" s="144">
        <v>0.6</v>
      </c>
      <c r="G73" s="144">
        <v>0.59</v>
      </c>
      <c r="H73" s="144">
        <v>0.57999999999999996</v>
      </c>
      <c r="I73" s="562">
        <v>0.55000000000000004</v>
      </c>
      <c r="J73" s="717">
        <v>0.65</v>
      </c>
      <c r="K73" s="717">
        <v>0.59</v>
      </c>
      <c r="L73" s="717"/>
      <c r="M73" s="717"/>
      <c r="N73" s="717"/>
      <c r="O73" s="717"/>
      <c r="P73" s="717"/>
      <c r="Q73" s="717"/>
    </row>
    <row r="74" spans="2:17" ht="13" x14ac:dyDescent="0.3">
      <c r="B74" s="149" t="s">
        <v>60</v>
      </c>
      <c r="C74" s="150" t="s">
        <v>53</v>
      </c>
      <c r="D74" s="195" t="s">
        <v>56</v>
      </c>
      <c r="E74" s="201"/>
      <c r="F74" s="144">
        <v>7.0000000000000007E-2</v>
      </c>
      <c r="G74" s="144">
        <v>0.05</v>
      </c>
      <c r="H74" s="144">
        <v>0.08</v>
      </c>
      <c r="I74" s="144">
        <v>0.09</v>
      </c>
      <c r="J74" s="717">
        <v>0.06</v>
      </c>
      <c r="K74" s="717">
        <v>0.1</v>
      </c>
      <c r="L74" s="717"/>
      <c r="M74" s="717"/>
      <c r="N74" s="717"/>
      <c r="O74" s="717"/>
      <c r="P74" s="717"/>
      <c r="Q74" s="717"/>
    </row>
    <row r="75" spans="2:17" ht="13" x14ac:dyDescent="0.3">
      <c r="B75" s="149" t="s">
        <v>61</v>
      </c>
      <c r="C75" s="150" t="s">
        <v>53</v>
      </c>
      <c r="D75" s="195" t="s">
        <v>56</v>
      </c>
      <c r="E75" s="201"/>
      <c r="F75" s="144">
        <v>0.15</v>
      </c>
      <c r="G75" s="144">
        <v>0.18</v>
      </c>
      <c r="H75" s="144">
        <v>0.13</v>
      </c>
      <c r="I75" s="144">
        <v>0.15</v>
      </c>
      <c r="J75" s="717">
        <v>0.13</v>
      </c>
      <c r="K75" s="717">
        <v>0.2</v>
      </c>
      <c r="L75" s="717"/>
      <c r="M75" s="717"/>
      <c r="N75" s="717"/>
      <c r="O75" s="717"/>
      <c r="P75" s="717"/>
      <c r="Q75" s="717"/>
    </row>
    <row r="76" spans="2:17" ht="13" x14ac:dyDescent="0.3">
      <c r="B76" s="149" t="s">
        <v>62</v>
      </c>
      <c r="C76" s="150" t="s">
        <v>53</v>
      </c>
      <c r="D76" s="195">
        <v>0.28000000000000003</v>
      </c>
      <c r="E76" s="201">
        <v>0.1</v>
      </c>
      <c r="F76" s="144">
        <v>0.16</v>
      </c>
      <c r="G76" s="144">
        <v>0.16</v>
      </c>
      <c r="H76" s="144">
        <v>0.16</v>
      </c>
      <c r="I76" s="144">
        <v>0.21</v>
      </c>
      <c r="J76" s="717">
        <v>0.17</v>
      </c>
      <c r="K76" s="717">
        <v>0.11</v>
      </c>
      <c r="L76" s="717"/>
      <c r="M76" s="717"/>
      <c r="N76" s="717"/>
      <c r="O76" s="717"/>
      <c r="P76" s="717"/>
      <c r="Q76" s="717"/>
    </row>
    <row r="77" spans="2:17" s="244" customFormat="1" ht="12" customHeight="1" x14ac:dyDescent="0.3">
      <c r="B77" s="151" t="s">
        <v>63</v>
      </c>
      <c r="C77" s="152"/>
      <c r="D77" s="165" t="s">
        <v>63</v>
      </c>
      <c r="E77" s="143" t="s">
        <v>63</v>
      </c>
      <c r="F77" s="145"/>
      <c r="G77" s="143"/>
      <c r="H77" s="143"/>
      <c r="I77" s="143"/>
      <c r="J77" s="143"/>
      <c r="K77" s="143"/>
      <c r="L77" s="143"/>
      <c r="M77" s="143"/>
      <c r="N77" s="143"/>
      <c r="O77" s="143"/>
      <c r="P77" s="143"/>
      <c r="Q77" s="143"/>
    </row>
    <row r="78" spans="2:17" ht="13" x14ac:dyDescent="0.3">
      <c r="B78" s="140" t="s">
        <v>63</v>
      </c>
    </row>
    <row r="79" spans="2:17" ht="13" x14ac:dyDescent="0.3">
      <c r="B79" s="209" t="s">
        <v>64</v>
      </c>
      <c r="C79" s="210" t="s">
        <v>5</v>
      </c>
      <c r="D79" s="226" t="s">
        <v>2</v>
      </c>
      <c r="E79" s="226" t="s">
        <v>3</v>
      </c>
      <c r="F79" s="227">
        <v>45322</v>
      </c>
      <c r="G79" s="227">
        <f>EOMONTH(F79,1)</f>
        <v>45351</v>
      </c>
      <c r="H79" s="227">
        <f t="shared" ref="H79" si="68">EOMONTH(G79,1)</f>
        <v>45382</v>
      </c>
      <c r="I79" s="227">
        <f t="shared" ref="I79" si="69">EOMONTH(H79,1)</f>
        <v>45412</v>
      </c>
      <c r="J79" s="227">
        <f t="shared" ref="J79" si="70">EOMONTH(I79,1)</f>
        <v>45443</v>
      </c>
      <c r="K79" s="227">
        <f t="shared" ref="K79" si="71">EOMONTH(J79,1)</f>
        <v>45473</v>
      </c>
      <c r="L79" s="227">
        <f t="shared" ref="L79" si="72">EOMONTH(K79,1)</f>
        <v>45504</v>
      </c>
      <c r="M79" s="227">
        <f t="shared" ref="M79" si="73">EOMONTH(L79,1)</f>
        <v>45535</v>
      </c>
      <c r="N79" s="227">
        <f t="shared" ref="N79" si="74">EOMONTH(M79,1)</f>
        <v>45565</v>
      </c>
      <c r="O79" s="227">
        <f t="shared" ref="O79" si="75">EOMONTH(N79,1)</f>
        <v>45596</v>
      </c>
      <c r="P79" s="227">
        <f t="shared" ref="P79" si="76">EOMONTH(O79,1)</f>
        <v>45626</v>
      </c>
      <c r="Q79" s="227">
        <f t="shared" ref="Q79" si="77">EOMONTH(P79,1)</f>
        <v>45657</v>
      </c>
    </row>
    <row r="80" spans="2:17" ht="13" x14ac:dyDescent="0.3">
      <c r="B80" s="207" t="s">
        <v>65</v>
      </c>
      <c r="C80" s="153" t="s">
        <v>42</v>
      </c>
      <c r="D80" s="276"/>
      <c r="E80" s="277"/>
      <c r="F80" s="270">
        <v>0</v>
      </c>
      <c r="G80" s="270">
        <v>0</v>
      </c>
      <c r="H80" s="565">
        <v>0</v>
      </c>
      <c r="I80" s="565">
        <v>0</v>
      </c>
      <c r="J80" s="271">
        <v>1.4</v>
      </c>
      <c r="K80" s="271">
        <v>0</v>
      </c>
      <c r="L80" s="271">
        <v>0</v>
      </c>
      <c r="M80" s="271">
        <v>0</v>
      </c>
      <c r="N80" s="271">
        <v>0</v>
      </c>
      <c r="O80" s="271">
        <v>0</v>
      </c>
      <c r="P80" s="271"/>
      <c r="Q80" s="271"/>
    </row>
    <row r="81" spans="2:17" ht="13" x14ac:dyDescent="0.3">
      <c r="B81" s="207" t="s">
        <v>66</v>
      </c>
      <c r="C81" s="153" t="s">
        <v>42</v>
      </c>
      <c r="D81" s="276"/>
      <c r="E81" s="277"/>
      <c r="F81" s="270">
        <v>20.8</v>
      </c>
      <c r="G81" s="270">
        <v>32.9</v>
      </c>
      <c r="H81" s="565">
        <v>31.7</v>
      </c>
      <c r="I81" s="565">
        <v>20.7</v>
      </c>
      <c r="J81" s="271">
        <v>32</v>
      </c>
      <c r="K81" s="271">
        <v>24.4</v>
      </c>
      <c r="L81" s="271">
        <v>18.2</v>
      </c>
      <c r="M81" s="271">
        <v>18.7</v>
      </c>
      <c r="N81" s="271">
        <v>13.7</v>
      </c>
      <c r="O81" s="271">
        <v>14.7</v>
      </c>
      <c r="P81" s="271"/>
      <c r="Q81" s="271"/>
    </row>
    <row r="82" spans="2:17" ht="13" x14ac:dyDescent="0.3">
      <c r="B82" s="267" t="s">
        <v>67</v>
      </c>
      <c r="C82" s="153" t="s">
        <v>42</v>
      </c>
      <c r="D82" s="276"/>
      <c r="E82" s="277"/>
      <c r="F82" s="272">
        <v>8</v>
      </c>
      <c r="G82" s="273">
        <v>8.3000000000000007</v>
      </c>
      <c r="H82" s="565">
        <v>8.3000000000000007</v>
      </c>
      <c r="I82" s="565">
        <v>8.8000000000000007</v>
      </c>
      <c r="J82" s="271">
        <v>8.5</v>
      </c>
      <c r="K82" s="271">
        <v>9</v>
      </c>
      <c r="L82" s="271">
        <v>8.6</v>
      </c>
      <c r="M82" s="271">
        <v>8.6999999999999993</v>
      </c>
      <c r="N82" s="271">
        <v>8.9</v>
      </c>
      <c r="O82" s="274">
        <v>8.6</v>
      </c>
      <c r="P82" s="275"/>
      <c r="Q82" s="271"/>
    </row>
    <row r="83" spans="2:17" ht="13" x14ac:dyDescent="0.3">
      <c r="B83" s="208" t="s">
        <v>68</v>
      </c>
      <c r="C83" s="153" t="s">
        <v>7</v>
      </c>
      <c r="D83" s="276">
        <v>4200</v>
      </c>
      <c r="E83" s="277">
        <v>5000</v>
      </c>
      <c r="F83" s="272">
        <v>4538.2</v>
      </c>
      <c r="G83" s="273">
        <v>4974.3999999999996</v>
      </c>
      <c r="H83" s="565">
        <v>4624.8999999999996</v>
      </c>
      <c r="I83" s="565">
        <v>5125.2</v>
      </c>
      <c r="J83" s="271">
        <f>('Nurse Hours'!AL87+NC_hours_type1[[#Totals],[May]])</f>
        <v>5612.3000000000011</v>
      </c>
      <c r="K83" s="271">
        <f>'Nurse Hours'!AM87+NC_hours_type1[[#Totals],[Jun]]</f>
        <v>5577.5</v>
      </c>
      <c r="L83" s="271">
        <f>'Nurse Hours'!AN87+NC_hours_type1[[#Totals],[July]]</f>
        <v>6143.4000000000005</v>
      </c>
      <c r="M83" s="271">
        <f>'Nurse Hours'!AO87+NC_hours_type1[[#Totals],[Aug]]</f>
        <v>6097.7999999999984</v>
      </c>
      <c r="N83" s="271">
        <f>'Nurse Hours'!AP87+NC_hours_type1[[#Totals],[Sep]]</f>
        <v>5896.2000000000016</v>
      </c>
      <c r="O83" s="271">
        <f>'Nurse Hours'!AQ87+NC_hours_type1[[#Totals],[Oct]]</f>
        <v>6154.7000000000007</v>
      </c>
      <c r="P83" s="271">
        <f>'Nurse Hours'!AR87+NC_hours_type1[[#Totals],[Nov]]</f>
        <v>0</v>
      </c>
      <c r="Q83" s="271">
        <f>'Nurse Hours'!AS87+NC_hours_type1[[#Totals],[Dec]]</f>
        <v>0</v>
      </c>
    </row>
    <row r="84" spans="2:17" ht="13" x14ac:dyDescent="0.3">
      <c r="B84" s="208" t="s">
        <v>43</v>
      </c>
      <c r="C84" s="153" t="s">
        <v>42</v>
      </c>
      <c r="D84" s="276"/>
      <c r="E84" s="277"/>
      <c r="F84" s="272">
        <v>568</v>
      </c>
      <c r="G84" s="273">
        <v>596</v>
      </c>
      <c r="H84" s="565">
        <v>557</v>
      </c>
      <c r="I84" s="565">
        <v>582</v>
      </c>
      <c r="J84" s="271">
        <v>580</v>
      </c>
      <c r="K84" s="271">
        <v>569</v>
      </c>
      <c r="L84" s="271">
        <v>593</v>
      </c>
      <c r="M84" s="271">
        <v>632</v>
      </c>
      <c r="N84" s="271">
        <v>624</v>
      </c>
      <c r="O84" s="271">
        <v>648</v>
      </c>
      <c r="P84" s="271"/>
      <c r="Q84" s="271"/>
    </row>
    <row r="85" spans="2:17" ht="13" x14ac:dyDescent="0.3">
      <c r="B85" s="266" t="s">
        <v>44</v>
      </c>
      <c r="C85" s="261"/>
      <c r="D85" s="261"/>
      <c r="E85" s="261"/>
      <c r="F85" s="268">
        <f t="shared" ref="F85:Q85" si="78">IFERROR(F83/F84,"")</f>
        <v>7.9897887323943655</v>
      </c>
      <c r="G85" s="269">
        <f t="shared" si="78"/>
        <v>8.3463087248322143</v>
      </c>
      <c r="H85" s="269">
        <f t="shared" si="78"/>
        <v>8.3032315978456008</v>
      </c>
      <c r="I85" s="269">
        <f t="shared" si="78"/>
        <v>8.8061855670103082</v>
      </c>
      <c r="J85" s="269">
        <f>IFERROR(J83/J84,"")</f>
        <v>9.6763793103448297</v>
      </c>
      <c r="K85" s="269">
        <f t="shared" si="78"/>
        <v>9.8022847100175738</v>
      </c>
      <c r="L85" s="269">
        <f t="shared" si="78"/>
        <v>10.359865092748736</v>
      </c>
      <c r="M85" s="269">
        <f t="shared" si="78"/>
        <v>9.6484177215189852</v>
      </c>
      <c r="N85" s="269">
        <f t="shared" si="78"/>
        <v>9.4490384615384642</v>
      </c>
      <c r="O85" s="269">
        <f t="shared" si="78"/>
        <v>9.4979938271604958</v>
      </c>
      <c r="P85" s="269" t="str">
        <f t="shared" si="78"/>
        <v/>
      </c>
      <c r="Q85" s="269" t="str">
        <f t="shared" si="78"/>
        <v/>
      </c>
    </row>
    <row r="86" spans="2:17" s="246" customFormat="1" ht="4.4000000000000004" customHeight="1" x14ac:dyDescent="0.3">
      <c r="B86" s="140"/>
      <c r="C86" s="140"/>
      <c r="D86" s="140"/>
      <c r="E86" s="140"/>
      <c r="F86" s="140"/>
      <c r="G86" s="140"/>
      <c r="H86" s="140"/>
      <c r="I86" s="140"/>
      <c r="J86" s="140"/>
      <c r="K86" s="140"/>
      <c r="L86" s="140"/>
      <c r="M86" s="140"/>
      <c r="N86" s="140"/>
      <c r="O86" s="140"/>
      <c r="P86" s="140"/>
      <c r="Q86" s="140"/>
    </row>
    <row r="87" spans="2:17" ht="13" x14ac:dyDescent="0.3">
      <c r="B87" s="211" t="s">
        <v>69</v>
      </c>
      <c r="C87" s="212" t="s">
        <v>5</v>
      </c>
      <c r="D87" s="226" t="s">
        <v>2</v>
      </c>
      <c r="E87" s="226" t="s">
        <v>3</v>
      </c>
      <c r="F87" s="227">
        <v>45322</v>
      </c>
      <c r="G87" s="227">
        <f>EOMONTH(F87,1)</f>
        <v>45351</v>
      </c>
      <c r="H87" s="227">
        <f t="shared" ref="H87" si="79">EOMONTH(G87,1)</f>
        <v>45382</v>
      </c>
      <c r="I87" s="227">
        <f t="shared" ref="I87" si="80">EOMONTH(H87,1)</f>
        <v>45412</v>
      </c>
      <c r="J87" s="227">
        <f t="shared" ref="J87" si="81">EOMONTH(I87,1)</f>
        <v>45443</v>
      </c>
      <c r="K87" s="227">
        <f t="shared" ref="K87" si="82">EOMONTH(J87,1)</f>
        <v>45473</v>
      </c>
      <c r="L87" s="227">
        <f t="shared" ref="L87" si="83">EOMONTH(K87,1)</f>
        <v>45504</v>
      </c>
      <c r="M87" s="227">
        <f t="shared" ref="M87" si="84">EOMONTH(L87,1)</f>
        <v>45535</v>
      </c>
      <c r="N87" s="227">
        <f t="shared" ref="N87" si="85">EOMONTH(M87,1)</f>
        <v>45565</v>
      </c>
      <c r="O87" s="227">
        <f t="shared" ref="O87" si="86">EOMONTH(N87,1)</f>
        <v>45596</v>
      </c>
      <c r="P87" s="227">
        <f t="shared" ref="P87" si="87">EOMONTH(O87,1)</f>
        <v>45626</v>
      </c>
      <c r="Q87" s="227">
        <f t="shared" ref="Q87" si="88">EOMONTH(P87,1)</f>
        <v>45657</v>
      </c>
    </row>
    <row r="88" spans="2:17" ht="13" x14ac:dyDescent="0.3">
      <c r="B88" s="206" t="s">
        <v>70</v>
      </c>
      <c r="C88" s="153" t="s">
        <v>42</v>
      </c>
      <c r="D88" s="195"/>
      <c r="E88" s="201"/>
      <c r="F88" s="245">
        <v>300</v>
      </c>
      <c r="G88" s="245">
        <v>305</v>
      </c>
      <c r="H88" s="563">
        <v>304</v>
      </c>
      <c r="I88" s="563">
        <v>295</v>
      </c>
      <c r="J88" s="245">
        <v>292</v>
      </c>
      <c r="K88" s="245">
        <v>291</v>
      </c>
      <c r="L88" s="245">
        <v>295</v>
      </c>
      <c r="M88" s="245">
        <v>302</v>
      </c>
      <c r="N88" s="245">
        <v>304</v>
      </c>
      <c r="O88" s="245">
        <v>312</v>
      </c>
      <c r="P88" s="245"/>
      <c r="Q88" s="247"/>
    </row>
    <row r="89" spans="2:17" ht="13" x14ac:dyDescent="0.3">
      <c r="B89" s="206" t="s">
        <v>71</v>
      </c>
      <c r="C89" s="153" t="s">
        <v>42</v>
      </c>
      <c r="D89" s="195"/>
      <c r="E89" s="201"/>
      <c r="F89" s="245">
        <v>16</v>
      </c>
      <c r="G89" s="245">
        <v>20</v>
      </c>
      <c r="H89" s="563">
        <v>22</v>
      </c>
      <c r="I89" s="563">
        <v>21</v>
      </c>
      <c r="J89" s="245">
        <v>20</v>
      </c>
      <c r="K89" s="245">
        <v>19</v>
      </c>
      <c r="L89" s="245">
        <v>17</v>
      </c>
      <c r="M89" s="245">
        <v>20</v>
      </c>
      <c r="N89" s="245">
        <v>29</v>
      </c>
      <c r="O89" s="245">
        <v>35</v>
      </c>
      <c r="P89" s="245"/>
      <c r="Q89" s="247"/>
    </row>
    <row r="90" spans="2:17" ht="13" x14ac:dyDescent="0.3">
      <c r="B90" s="206" t="s">
        <v>72</v>
      </c>
      <c r="C90" s="153" t="s">
        <v>42</v>
      </c>
      <c r="D90" s="195"/>
      <c r="E90" s="202"/>
      <c r="F90" s="245">
        <v>122</v>
      </c>
      <c r="G90" s="245">
        <v>128</v>
      </c>
      <c r="H90" s="563">
        <v>139</v>
      </c>
      <c r="I90" s="563">
        <v>148</v>
      </c>
      <c r="J90" s="245">
        <v>150</v>
      </c>
      <c r="K90" s="245">
        <v>154</v>
      </c>
      <c r="L90" s="245">
        <v>165</v>
      </c>
      <c r="M90" s="245">
        <v>175</v>
      </c>
      <c r="N90" s="245">
        <v>174</v>
      </c>
      <c r="O90" s="754">
        <v>176</v>
      </c>
      <c r="P90" s="755"/>
      <c r="Q90" s="247"/>
    </row>
    <row r="91" spans="2:17" ht="13" x14ac:dyDescent="0.3">
      <c r="B91" s="206" t="s">
        <v>73</v>
      </c>
      <c r="C91" s="153" t="s">
        <v>42</v>
      </c>
      <c r="D91" s="195"/>
      <c r="E91" s="201"/>
      <c r="F91" s="245">
        <v>12</v>
      </c>
      <c r="G91" s="245">
        <v>14</v>
      </c>
      <c r="H91" s="563">
        <v>14</v>
      </c>
      <c r="I91" s="563">
        <v>16</v>
      </c>
      <c r="J91" s="245">
        <v>15</v>
      </c>
      <c r="K91" s="245">
        <v>14</v>
      </c>
      <c r="L91" s="245">
        <v>12</v>
      </c>
      <c r="M91" s="245">
        <v>8</v>
      </c>
      <c r="N91" s="245">
        <v>9</v>
      </c>
      <c r="O91" s="754">
        <v>9</v>
      </c>
      <c r="P91" s="755"/>
      <c r="Q91" s="247"/>
    </row>
    <row r="92" spans="2:17" ht="13" x14ac:dyDescent="0.3">
      <c r="B92" s="206" t="s">
        <v>74</v>
      </c>
      <c r="C92" s="153" t="s">
        <v>42</v>
      </c>
      <c r="D92" s="195"/>
      <c r="E92" s="201"/>
      <c r="F92" s="245">
        <v>57</v>
      </c>
      <c r="G92" s="245">
        <v>47</v>
      </c>
      <c r="H92" s="563">
        <v>44</v>
      </c>
      <c r="I92" s="563">
        <v>47</v>
      </c>
      <c r="J92" s="245">
        <v>49</v>
      </c>
      <c r="K92" s="245">
        <v>56</v>
      </c>
      <c r="L92" s="245">
        <v>68</v>
      </c>
      <c r="M92" s="245">
        <v>64</v>
      </c>
      <c r="N92" s="245">
        <v>63</v>
      </c>
      <c r="O92" s="245">
        <v>62</v>
      </c>
      <c r="P92" s="245"/>
      <c r="Q92" s="247"/>
    </row>
    <row r="93" spans="2:17" ht="13" x14ac:dyDescent="0.3">
      <c r="B93" s="206" t="s">
        <v>75</v>
      </c>
      <c r="C93" s="153" t="s">
        <v>42</v>
      </c>
      <c r="D93" s="205"/>
      <c r="E93" s="213"/>
      <c r="F93" s="247">
        <v>1</v>
      </c>
      <c r="G93" s="247">
        <v>1</v>
      </c>
      <c r="H93" s="564">
        <v>2</v>
      </c>
      <c r="I93" s="564">
        <v>0</v>
      </c>
      <c r="J93" s="247">
        <v>1</v>
      </c>
      <c r="K93" s="247">
        <v>1</v>
      </c>
      <c r="L93" s="247">
        <v>1</v>
      </c>
      <c r="M93" s="247">
        <v>4</v>
      </c>
      <c r="N93" s="247">
        <v>3</v>
      </c>
      <c r="O93" s="247">
        <v>2</v>
      </c>
      <c r="P93" s="247"/>
      <c r="Q93" s="247"/>
    </row>
    <row r="94" spans="2:17" ht="13" x14ac:dyDescent="0.3">
      <c r="B94" s="206" t="s">
        <v>76</v>
      </c>
      <c r="C94" s="153" t="s">
        <v>42</v>
      </c>
      <c r="D94" s="195"/>
      <c r="E94" s="201"/>
      <c r="F94" s="245">
        <v>16</v>
      </c>
      <c r="G94" s="245">
        <v>18</v>
      </c>
      <c r="H94" s="563">
        <v>16</v>
      </c>
      <c r="I94" s="563">
        <v>15</v>
      </c>
      <c r="J94" s="245">
        <v>14</v>
      </c>
      <c r="K94" s="245">
        <v>16</v>
      </c>
      <c r="L94" s="245">
        <v>15</v>
      </c>
      <c r="M94" s="245">
        <v>13</v>
      </c>
      <c r="N94" s="245">
        <v>12</v>
      </c>
      <c r="O94" s="245">
        <v>15</v>
      </c>
      <c r="P94" s="245"/>
      <c r="Q94" s="247"/>
    </row>
    <row r="95" spans="2:17" ht="13" x14ac:dyDescent="0.3">
      <c r="B95" s="206" t="s">
        <v>77</v>
      </c>
      <c r="C95" s="153" t="s">
        <v>42</v>
      </c>
      <c r="D95" s="195"/>
      <c r="E95" s="201"/>
      <c r="F95" s="245">
        <v>12</v>
      </c>
      <c r="G95" s="245">
        <v>10</v>
      </c>
      <c r="H95" s="563">
        <v>8</v>
      </c>
      <c r="I95" s="563">
        <v>9</v>
      </c>
      <c r="J95" s="245">
        <v>9</v>
      </c>
      <c r="K95" s="245">
        <v>9</v>
      </c>
      <c r="L95" s="245">
        <v>9</v>
      </c>
      <c r="M95" s="245">
        <v>8</v>
      </c>
      <c r="N95" s="245">
        <v>7</v>
      </c>
      <c r="O95" s="245">
        <v>8</v>
      </c>
      <c r="P95" s="245"/>
      <c r="Q95" s="247"/>
    </row>
    <row r="96" spans="2:17" ht="13" x14ac:dyDescent="0.3">
      <c r="B96" s="206" t="s">
        <v>78</v>
      </c>
      <c r="C96" s="153" t="s">
        <v>42</v>
      </c>
      <c r="D96" s="195"/>
      <c r="E96" s="202"/>
      <c r="F96" s="245">
        <v>3</v>
      </c>
      <c r="G96" s="245">
        <v>6</v>
      </c>
      <c r="H96" s="563">
        <v>4</v>
      </c>
      <c r="I96" s="563">
        <v>6</v>
      </c>
      <c r="J96" s="245">
        <v>4</v>
      </c>
      <c r="K96" s="245">
        <v>6</v>
      </c>
      <c r="L96" s="245">
        <v>5</v>
      </c>
      <c r="M96" s="245">
        <v>6</v>
      </c>
      <c r="N96" s="245">
        <v>9</v>
      </c>
      <c r="O96" s="754">
        <v>10</v>
      </c>
      <c r="P96" s="755"/>
      <c r="Q96" s="247"/>
    </row>
    <row r="97" spans="2:17" ht="13" x14ac:dyDescent="0.3">
      <c r="B97" s="206" t="s">
        <v>79</v>
      </c>
      <c r="C97" s="153" t="s">
        <v>42</v>
      </c>
      <c r="D97" s="195"/>
      <c r="E97" s="201"/>
      <c r="F97" s="245">
        <v>1</v>
      </c>
      <c r="G97" s="245">
        <v>0</v>
      </c>
      <c r="H97" s="563">
        <v>0</v>
      </c>
      <c r="I97" s="563">
        <v>0</v>
      </c>
      <c r="J97" s="245">
        <v>0</v>
      </c>
      <c r="K97" s="245">
        <v>1</v>
      </c>
      <c r="L97" s="245">
        <v>0</v>
      </c>
      <c r="M97" s="245">
        <v>2</v>
      </c>
      <c r="N97" s="245">
        <v>0</v>
      </c>
      <c r="O97" s="754">
        <v>1</v>
      </c>
      <c r="P97" s="755"/>
      <c r="Q97" s="247"/>
    </row>
    <row r="98" spans="2:17" ht="13" x14ac:dyDescent="0.3">
      <c r="B98" s="206" t="s">
        <v>80</v>
      </c>
      <c r="C98" s="153" t="s">
        <v>42</v>
      </c>
      <c r="D98" s="195"/>
      <c r="E98" s="201"/>
      <c r="F98" s="245">
        <v>4</v>
      </c>
      <c r="G98" s="245">
        <v>4</v>
      </c>
      <c r="H98" s="563">
        <v>4</v>
      </c>
      <c r="I98" s="563">
        <v>3</v>
      </c>
      <c r="J98" s="245">
        <v>3</v>
      </c>
      <c r="K98" s="245">
        <v>4</v>
      </c>
      <c r="L98" s="245">
        <v>3</v>
      </c>
      <c r="M98" s="245">
        <v>2</v>
      </c>
      <c r="N98" s="245">
        <v>1</v>
      </c>
      <c r="O98" s="245">
        <v>2</v>
      </c>
      <c r="P98" s="245"/>
      <c r="Q98" s="247"/>
    </row>
    <row r="99" spans="2:17" ht="13" x14ac:dyDescent="0.3">
      <c r="B99" s="855" t="s">
        <v>81</v>
      </c>
      <c r="C99" s="261"/>
      <c r="D99" s="261"/>
      <c r="E99" s="261"/>
      <c r="F99" s="259">
        <f>SUM(F88:F98)</f>
        <v>544</v>
      </c>
      <c r="G99" s="259">
        <f t="shared" ref="G99:Q99" si="89">SUM(G88:G98)</f>
        <v>553</v>
      </c>
      <c r="H99" s="259">
        <f t="shared" si="89"/>
        <v>557</v>
      </c>
      <c r="I99" s="259">
        <f t="shared" si="89"/>
        <v>560</v>
      </c>
      <c r="J99" s="259">
        <f t="shared" si="89"/>
        <v>557</v>
      </c>
      <c r="K99" s="259">
        <f t="shared" si="89"/>
        <v>571</v>
      </c>
      <c r="L99" s="259">
        <f t="shared" si="89"/>
        <v>590</v>
      </c>
      <c r="M99" s="259">
        <f t="shared" si="89"/>
        <v>604</v>
      </c>
      <c r="N99" s="259">
        <f t="shared" si="89"/>
        <v>611</v>
      </c>
      <c r="O99" s="259">
        <f t="shared" si="89"/>
        <v>632</v>
      </c>
      <c r="P99" s="259">
        <f t="shared" si="89"/>
        <v>0</v>
      </c>
      <c r="Q99" s="259">
        <f t="shared" si="89"/>
        <v>0</v>
      </c>
    </row>
    <row r="100" spans="2:17" ht="14.5" x14ac:dyDescent="0.35">
      <c r="B100" s="248"/>
      <c r="C100" s="249"/>
      <c r="D100" s="249"/>
      <c r="E100" s="249"/>
      <c r="F100" s="249"/>
      <c r="G100" s="249"/>
      <c r="H100" s="249"/>
      <c r="I100" s="249"/>
      <c r="J100" s="249"/>
      <c r="K100" s="249"/>
      <c r="L100" s="249"/>
      <c r="M100" s="249"/>
      <c r="N100" s="249"/>
    </row>
  </sheetData>
  <mergeCells count="6">
    <mergeCell ref="E4:M6"/>
    <mergeCell ref="B65:Q65"/>
    <mergeCell ref="D12:Q12"/>
    <mergeCell ref="D21:E21"/>
    <mergeCell ref="B9:Q9"/>
    <mergeCell ref="B37:Q37"/>
  </mergeCells>
  <conditionalFormatting sqref="F68:H68 J68:Q68">
    <cfRule type="expression" dxfId="36" priority="23">
      <formula>F68&lt;$E$68</formula>
    </cfRule>
  </conditionalFormatting>
  <conditionalFormatting sqref="F69:H69 J69:Q69">
    <cfRule type="expression" dxfId="35" priority="22">
      <formula>F69&lt;$E$69</formula>
    </cfRule>
  </conditionalFormatting>
  <conditionalFormatting sqref="F70:H70 J70:Q70">
    <cfRule type="expression" dxfId="34" priority="21">
      <formula>F70&lt;$E$70</formula>
    </cfRule>
  </conditionalFormatting>
  <conditionalFormatting sqref="F72:H72 J72:Q72">
    <cfRule type="expression" dxfId="33" priority="20">
      <formula>F72&lt;$E$72</formula>
    </cfRule>
  </conditionalFormatting>
  <conditionalFormatting sqref="F73:H73 J73:Q73">
    <cfRule type="expression" dxfId="32" priority="18">
      <formula>F73&lt;$E$73</formula>
    </cfRule>
  </conditionalFormatting>
  <conditionalFormatting sqref="F13:Q13">
    <cfRule type="expression" dxfId="31" priority="26">
      <formula>F13&lt;$E$13</formula>
    </cfRule>
  </conditionalFormatting>
  <conditionalFormatting sqref="F16:Q16">
    <cfRule type="expression" dxfId="30" priority="25">
      <formula>F16&lt;$E$16</formula>
    </cfRule>
  </conditionalFormatting>
  <conditionalFormatting sqref="F19:Q20">
    <cfRule type="expression" dxfId="29" priority="1">
      <formula>F19&lt;$E$19</formula>
    </cfRule>
  </conditionalFormatting>
  <conditionalFormatting sqref="F40:Q40">
    <cfRule type="expression" dxfId="28" priority="24">
      <formula>F40&lt;$E$40</formula>
    </cfRule>
  </conditionalFormatting>
  <conditionalFormatting sqref="F41:Q42">
    <cfRule type="expression" dxfId="27" priority="10">
      <formula>F41&lt;$E$41</formula>
    </cfRule>
  </conditionalFormatting>
  <conditionalFormatting sqref="F43:Q43">
    <cfRule type="expression" dxfId="26" priority="9">
      <formula>F43&lt;$E$43</formula>
    </cfRule>
  </conditionalFormatting>
  <conditionalFormatting sqref="F44:Q44">
    <cfRule type="expression" dxfId="25" priority="11">
      <formula>F44&lt;$E$44</formula>
    </cfRule>
  </conditionalFormatting>
  <conditionalFormatting sqref="F48:Q48">
    <cfRule type="expression" dxfId="24" priority="12">
      <formula>F48&lt;$E$48</formula>
    </cfRule>
  </conditionalFormatting>
  <conditionalFormatting sqref="F49:Q49">
    <cfRule type="expression" dxfId="23" priority="14">
      <formula>F49&lt;$E$49</formula>
    </cfRule>
  </conditionalFormatting>
  <conditionalFormatting sqref="F50:Q50">
    <cfRule type="expression" dxfId="22" priority="15">
      <formula>F50&lt;$E$50</formula>
    </cfRule>
  </conditionalFormatting>
  <conditionalFormatting sqref="F53:Q53">
    <cfRule type="expression" dxfId="21" priority="4">
      <formula>F53&lt;$E$53</formula>
    </cfRule>
  </conditionalFormatting>
  <conditionalFormatting sqref="F57:Q57">
    <cfRule type="expression" dxfId="20" priority="3">
      <formula>F57&lt;$E$57</formula>
    </cfRule>
  </conditionalFormatting>
  <conditionalFormatting sqref="F71:Q71">
    <cfRule type="expression" dxfId="19" priority="19">
      <formula>F71&lt;$E$71</formula>
    </cfRule>
  </conditionalFormatting>
  <conditionalFormatting sqref="F75:Q75">
    <cfRule type="expression" dxfId="18" priority="17">
      <formula>F75&lt;$E$75</formula>
    </cfRule>
  </conditionalFormatting>
  <conditionalFormatting sqref="F76:Q76">
    <cfRule type="expression" dxfId="17" priority="16">
      <formula>F76&lt;$E$76</formula>
    </cfRule>
  </conditionalFormatting>
  <conditionalFormatting sqref="F83:Q83">
    <cfRule type="expression" dxfId="16" priority="2">
      <formula>F83&lt;=$E$83</formula>
    </cfRule>
  </conditionalFormatting>
  <pageMargins left="0.7" right="0.7" top="0.75" bottom="0.75" header="0.3" footer="0.3"/>
  <pageSetup scale="69" fitToHeight="0" orientation="landscape" r:id="rId1"/>
  <ignoredErrors>
    <ignoredError sqref="E15 E18" formula="1"/>
    <ignoredError sqref="F27 F99" formulaRange="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D5D86-AE62-454A-AF6B-389DBC3C955C}">
  <sheetPr codeName="Sheet4">
    <pageSetUpPr fitToPage="1"/>
  </sheetPr>
  <dimension ref="A2:O107"/>
  <sheetViews>
    <sheetView showGridLines="0" topLeftCell="A35" zoomScaleNormal="100" workbookViewId="0">
      <selection activeCell="F35" sqref="F35"/>
    </sheetView>
  </sheetViews>
  <sheetFormatPr defaultColWidth="0" defaultRowHeight="12.5" x14ac:dyDescent="0.25"/>
  <cols>
    <col min="1" max="1" width="3.1796875" customWidth="1"/>
    <col min="2" max="2" width="21.453125" style="29" customWidth="1"/>
    <col min="3" max="3" width="21.453125" customWidth="1"/>
    <col min="4" max="4" width="63.81640625" style="34" customWidth="1"/>
    <col min="5" max="5" width="18.1796875" style="29" customWidth="1"/>
    <col min="6" max="6" width="14.81640625" customWidth="1"/>
    <col min="7" max="7" width="20.81640625" style="36" customWidth="1"/>
    <col min="8" max="8" width="18.453125" style="36" customWidth="1"/>
    <col min="9" max="9" width="4.81640625" customWidth="1"/>
    <col min="10" max="10" width="6" customWidth="1"/>
    <col min="11" max="12" width="8.81640625" hidden="1" customWidth="1"/>
    <col min="13" max="15" width="0" hidden="1" customWidth="1"/>
    <col min="16" max="16384" width="8.81640625" hidden="1"/>
  </cols>
  <sheetData>
    <row r="2" spans="2:9" ht="18.649999999999999" customHeight="1" x14ac:dyDescent="0.25">
      <c r="B2" s="92"/>
      <c r="C2" s="90"/>
      <c r="D2" s="91"/>
      <c r="E2" s="92"/>
      <c r="F2" s="90"/>
      <c r="G2" s="93"/>
      <c r="H2" s="93"/>
      <c r="I2" s="90"/>
    </row>
    <row r="3" spans="2:9" ht="28" x14ac:dyDescent="0.25">
      <c r="B3" s="92"/>
      <c r="C3" s="90"/>
      <c r="D3" s="881" t="s">
        <v>82</v>
      </c>
      <c r="E3" s="881"/>
      <c r="F3" s="881"/>
      <c r="G3" s="881"/>
      <c r="H3" s="881"/>
      <c r="I3" s="94"/>
    </row>
    <row r="4" spans="2:9" ht="18.649999999999999" customHeight="1" x14ac:dyDescent="0.25">
      <c r="B4" s="92"/>
      <c r="C4" s="90"/>
      <c r="D4" s="881"/>
      <c r="E4" s="881"/>
      <c r="F4" s="881"/>
      <c r="G4" s="881"/>
      <c r="H4" s="881"/>
      <c r="I4" s="94"/>
    </row>
    <row r="5" spans="2:9" ht="16.399999999999999" customHeight="1" x14ac:dyDescent="0.25">
      <c r="B5" s="92"/>
      <c r="C5" s="90"/>
      <c r="D5" s="881"/>
      <c r="E5" s="881"/>
      <c r="F5" s="881"/>
      <c r="G5" s="881"/>
      <c r="H5" s="881"/>
      <c r="I5" s="94"/>
    </row>
    <row r="6" spans="2:9" ht="9.65" customHeight="1" x14ac:dyDescent="0.25">
      <c r="B6" s="92"/>
      <c r="C6" s="90"/>
      <c r="D6" s="881"/>
      <c r="E6" s="881"/>
      <c r="F6" s="881"/>
      <c r="G6" s="881"/>
      <c r="H6" s="881"/>
      <c r="I6" s="94"/>
    </row>
    <row r="7" spans="2:9" ht="9.65" customHeight="1" x14ac:dyDescent="0.25">
      <c r="B7" s="92"/>
      <c r="C7" s="90"/>
      <c r="D7" s="91"/>
      <c r="E7" s="92"/>
      <c r="F7" s="90"/>
      <c r="G7" s="93"/>
      <c r="H7" s="93"/>
      <c r="I7" s="90"/>
    </row>
    <row r="9" spans="2:9" ht="18" x14ac:dyDescent="0.25">
      <c r="B9" s="893" t="s">
        <v>83</v>
      </c>
      <c r="C9" s="893"/>
      <c r="D9" s="894"/>
      <c r="E9" s="895" t="s">
        <v>84</v>
      </c>
      <c r="F9" s="893"/>
      <c r="G9" s="895" t="s">
        <v>85</v>
      </c>
      <c r="H9" s="893"/>
    </row>
    <row r="10" spans="2:9" ht="14" x14ac:dyDescent="0.25">
      <c r="B10" s="98" t="s">
        <v>86</v>
      </c>
      <c r="C10" s="95" t="s">
        <v>87</v>
      </c>
      <c r="D10" s="96" t="s">
        <v>88</v>
      </c>
      <c r="E10" s="97" t="s">
        <v>89</v>
      </c>
      <c r="F10" s="97" t="s">
        <v>90</v>
      </c>
      <c r="G10" s="97" t="s">
        <v>91</v>
      </c>
      <c r="H10" s="97" t="s">
        <v>92</v>
      </c>
    </row>
    <row r="11" spans="2:9" x14ac:dyDescent="0.25">
      <c r="B11" s="896" t="s">
        <v>93</v>
      </c>
      <c r="C11" s="886" t="s">
        <v>94</v>
      </c>
      <c r="D11" s="85" t="s">
        <v>95</v>
      </c>
      <c r="E11" s="40">
        <v>45292</v>
      </c>
      <c r="F11" s="40">
        <v>45351</v>
      </c>
      <c r="G11" s="41" t="s">
        <v>29</v>
      </c>
      <c r="H11" s="41" t="s">
        <v>96</v>
      </c>
    </row>
    <row r="12" spans="2:9" x14ac:dyDescent="0.25">
      <c r="B12" s="896"/>
      <c r="C12" s="886"/>
      <c r="D12" s="85" t="s">
        <v>97</v>
      </c>
      <c r="E12" s="40">
        <v>45322</v>
      </c>
      <c r="F12" s="40">
        <v>45373</v>
      </c>
      <c r="G12" s="41" t="s">
        <v>29</v>
      </c>
      <c r="H12" s="41" t="s">
        <v>96</v>
      </c>
    </row>
    <row r="13" spans="2:9" x14ac:dyDescent="0.25">
      <c r="B13" s="896"/>
      <c r="C13" s="886"/>
      <c r="D13" s="85" t="s">
        <v>98</v>
      </c>
      <c r="E13" s="40">
        <v>45352</v>
      </c>
      <c r="F13" s="40">
        <v>45382</v>
      </c>
      <c r="G13" s="41" t="s">
        <v>99</v>
      </c>
      <c r="H13" s="41" t="s">
        <v>29</v>
      </c>
    </row>
    <row r="14" spans="2:9" x14ac:dyDescent="0.25">
      <c r="B14" s="896"/>
      <c r="C14" s="886"/>
      <c r="D14" s="85" t="s">
        <v>100</v>
      </c>
      <c r="E14" s="40">
        <v>45383</v>
      </c>
      <c r="F14" s="40">
        <v>45442</v>
      </c>
      <c r="G14" s="41" t="s">
        <v>29</v>
      </c>
      <c r="H14" s="41" t="s">
        <v>96</v>
      </c>
    </row>
    <row r="15" spans="2:9" x14ac:dyDescent="0.25">
      <c r="B15" s="896"/>
      <c r="C15" s="886"/>
      <c r="D15" s="85" t="s">
        <v>101</v>
      </c>
      <c r="E15" s="40">
        <v>45444</v>
      </c>
      <c r="F15" s="40">
        <v>45657</v>
      </c>
      <c r="G15" s="41" t="s">
        <v>29</v>
      </c>
      <c r="H15" s="41" t="s">
        <v>96</v>
      </c>
    </row>
    <row r="16" spans="2:9" x14ac:dyDescent="0.25">
      <c r="B16" s="896"/>
      <c r="C16" s="886"/>
      <c r="D16" s="85" t="s">
        <v>102</v>
      </c>
      <c r="E16" s="40">
        <v>45444</v>
      </c>
      <c r="F16" s="40">
        <v>45657</v>
      </c>
      <c r="G16" s="41" t="s">
        <v>29</v>
      </c>
      <c r="H16" s="41" t="s">
        <v>96</v>
      </c>
    </row>
    <row r="17" spans="2:8" x14ac:dyDescent="0.25">
      <c r="B17" s="896"/>
      <c r="C17" s="886"/>
      <c r="D17" s="85" t="s">
        <v>103</v>
      </c>
      <c r="E17" s="40">
        <v>45322</v>
      </c>
      <c r="F17" s="40">
        <v>45366</v>
      </c>
      <c r="G17" s="41" t="s">
        <v>29</v>
      </c>
      <c r="H17" s="41" t="s">
        <v>96</v>
      </c>
    </row>
    <row r="18" spans="2:8" x14ac:dyDescent="0.25">
      <c r="B18" s="896"/>
      <c r="C18" s="886"/>
      <c r="D18" s="85" t="s">
        <v>104</v>
      </c>
      <c r="E18" s="40">
        <v>45383</v>
      </c>
      <c r="F18" s="40">
        <v>45565</v>
      </c>
      <c r="G18" s="41" t="s">
        <v>53</v>
      </c>
      <c r="H18" s="41" t="s">
        <v>29</v>
      </c>
    </row>
    <row r="19" spans="2:8" x14ac:dyDescent="0.25">
      <c r="B19" s="897"/>
      <c r="C19" s="887"/>
      <c r="D19" s="85" t="s">
        <v>105</v>
      </c>
      <c r="E19" s="40">
        <v>45566</v>
      </c>
      <c r="F19" s="40">
        <v>45657</v>
      </c>
      <c r="G19" s="41" t="s">
        <v>53</v>
      </c>
      <c r="H19" s="41" t="s">
        <v>29</v>
      </c>
    </row>
    <row r="20" spans="2:8" x14ac:dyDescent="0.25">
      <c r="B20" s="898" t="s">
        <v>106</v>
      </c>
      <c r="C20" s="892" t="s">
        <v>107</v>
      </c>
      <c r="D20" s="48" t="s">
        <v>108</v>
      </c>
      <c r="E20" s="49">
        <v>45292</v>
      </c>
      <c r="F20" s="49">
        <v>45351</v>
      </c>
      <c r="G20" s="50" t="s">
        <v>109</v>
      </c>
      <c r="H20" s="50" t="s">
        <v>96</v>
      </c>
    </row>
    <row r="21" spans="2:8" x14ac:dyDescent="0.25">
      <c r="B21" s="888"/>
      <c r="C21" s="890"/>
      <c r="D21" s="35" t="s">
        <v>110</v>
      </c>
      <c r="E21" s="86">
        <v>45352</v>
      </c>
      <c r="F21" s="86">
        <v>45473</v>
      </c>
      <c r="G21" s="42" t="s">
        <v>29</v>
      </c>
      <c r="H21" s="42" t="s">
        <v>96</v>
      </c>
    </row>
    <row r="22" spans="2:8" x14ac:dyDescent="0.25">
      <c r="B22" s="888"/>
      <c r="C22" s="890"/>
      <c r="D22" s="35" t="s">
        <v>111</v>
      </c>
      <c r="E22" s="86">
        <v>45444</v>
      </c>
      <c r="F22" s="86">
        <v>45657</v>
      </c>
      <c r="G22" s="42" t="s">
        <v>29</v>
      </c>
      <c r="H22" s="42" t="s">
        <v>96</v>
      </c>
    </row>
    <row r="23" spans="2:8" x14ac:dyDescent="0.25">
      <c r="B23" s="888"/>
      <c r="C23" s="890"/>
      <c r="D23" s="35" t="s">
        <v>112</v>
      </c>
      <c r="E23" s="86">
        <v>45536</v>
      </c>
      <c r="F23" s="86">
        <v>45565</v>
      </c>
      <c r="G23" s="42" t="s">
        <v>29</v>
      </c>
      <c r="H23" s="42" t="s">
        <v>96</v>
      </c>
    </row>
    <row r="24" spans="2:8" x14ac:dyDescent="0.25">
      <c r="B24" s="888"/>
      <c r="C24" s="890"/>
      <c r="D24" s="35" t="s">
        <v>113</v>
      </c>
      <c r="E24" s="86">
        <v>45444</v>
      </c>
      <c r="F24" s="86">
        <v>45657</v>
      </c>
      <c r="G24" s="42" t="s">
        <v>29</v>
      </c>
      <c r="H24" s="42" t="s">
        <v>96</v>
      </c>
    </row>
    <row r="25" spans="2:8" x14ac:dyDescent="0.25">
      <c r="B25" s="888"/>
      <c r="C25" s="890"/>
      <c r="D25" s="35" t="s">
        <v>114</v>
      </c>
      <c r="E25" s="86">
        <v>45352</v>
      </c>
      <c r="F25" s="86">
        <v>45382</v>
      </c>
      <c r="G25" s="42" t="s">
        <v>53</v>
      </c>
      <c r="H25" s="42" t="s">
        <v>29</v>
      </c>
    </row>
    <row r="26" spans="2:8" x14ac:dyDescent="0.25">
      <c r="B26" s="888"/>
      <c r="C26" s="890"/>
      <c r="D26" s="35" t="s">
        <v>115</v>
      </c>
      <c r="E26" s="86">
        <v>45383</v>
      </c>
      <c r="F26" s="86">
        <v>45412</v>
      </c>
      <c r="G26" s="42" t="s">
        <v>53</v>
      </c>
      <c r="H26" s="42" t="s">
        <v>29</v>
      </c>
    </row>
    <row r="27" spans="2:8" x14ac:dyDescent="0.25">
      <c r="B27" s="888"/>
      <c r="C27" s="890"/>
      <c r="D27" s="35" t="s">
        <v>116</v>
      </c>
      <c r="E27" s="86">
        <v>45413</v>
      </c>
      <c r="F27" s="86">
        <v>45443</v>
      </c>
      <c r="G27" s="42" t="s">
        <v>53</v>
      </c>
      <c r="H27" s="42" t="s">
        <v>29</v>
      </c>
    </row>
    <row r="28" spans="2:8" x14ac:dyDescent="0.25">
      <c r="B28" s="888"/>
      <c r="C28" s="890"/>
      <c r="D28" s="35" t="s">
        <v>117</v>
      </c>
      <c r="E28" s="86">
        <v>45413</v>
      </c>
      <c r="F28" s="86">
        <v>45443</v>
      </c>
      <c r="G28" s="42" t="s">
        <v>29</v>
      </c>
      <c r="H28" s="42" t="s">
        <v>96</v>
      </c>
    </row>
    <row r="29" spans="2:8" x14ac:dyDescent="0.25">
      <c r="B29" s="888"/>
      <c r="C29" s="890"/>
      <c r="D29" s="35" t="s">
        <v>118</v>
      </c>
      <c r="E29" s="86">
        <v>45292</v>
      </c>
      <c r="F29" s="86">
        <v>45351</v>
      </c>
      <c r="G29" s="42" t="s">
        <v>29</v>
      </c>
      <c r="H29" s="42" t="s">
        <v>96</v>
      </c>
    </row>
    <row r="30" spans="2:8" x14ac:dyDescent="0.25">
      <c r="B30" s="889"/>
      <c r="C30" s="891"/>
      <c r="D30" s="51" t="s">
        <v>119</v>
      </c>
      <c r="E30" s="52">
        <v>45383</v>
      </c>
      <c r="F30" s="52">
        <v>45413</v>
      </c>
      <c r="G30" s="53" t="s">
        <v>29</v>
      </c>
      <c r="H30" s="53" t="s">
        <v>96</v>
      </c>
    </row>
    <row r="31" spans="2:8" x14ac:dyDescent="0.25">
      <c r="B31" s="882" t="s">
        <v>120</v>
      </c>
      <c r="C31" s="885" t="s">
        <v>121</v>
      </c>
      <c r="D31" s="637" t="s">
        <v>122</v>
      </c>
      <c r="E31" s="55">
        <v>45413</v>
      </c>
      <c r="F31" s="55">
        <v>45443</v>
      </c>
      <c r="G31" s="56" t="s">
        <v>29</v>
      </c>
      <c r="H31" s="56" t="s">
        <v>96</v>
      </c>
    </row>
    <row r="32" spans="2:8" x14ac:dyDescent="0.25">
      <c r="B32" s="883"/>
      <c r="C32" s="886"/>
      <c r="D32" s="638" t="s">
        <v>123</v>
      </c>
      <c r="E32" s="87">
        <v>45444</v>
      </c>
      <c r="F32" s="87">
        <v>45473</v>
      </c>
      <c r="G32" s="41" t="s">
        <v>29</v>
      </c>
      <c r="H32" s="41" t="s">
        <v>96</v>
      </c>
    </row>
    <row r="33" spans="2:8" x14ac:dyDescent="0.25">
      <c r="B33" s="883"/>
      <c r="C33" s="886"/>
      <c r="D33" s="638" t="s">
        <v>124</v>
      </c>
      <c r="E33" s="87">
        <v>45444</v>
      </c>
      <c r="F33" s="87">
        <v>45473</v>
      </c>
      <c r="G33" s="41" t="s">
        <v>29</v>
      </c>
      <c r="H33" s="41" t="s">
        <v>96</v>
      </c>
    </row>
    <row r="34" spans="2:8" x14ac:dyDescent="0.25">
      <c r="B34" s="883"/>
      <c r="C34" s="886"/>
      <c r="D34" s="638" t="s">
        <v>125</v>
      </c>
      <c r="E34" s="87">
        <v>45444</v>
      </c>
      <c r="F34" s="87">
        <v>45473</v>
      </c>
      <c r="G34" s="41" t="s">
        <v>29</v>
      </c>
      <c r="H34" s="41" t="s">
        <v>96</v>
      </c>
    </row>
    <row r="35" spans="2:8" x14ac:dyDescent="0.25">
      <c r="B35" s="883"/>
      <c r="C35" s="886"/>
      <c r="D35" s="638" t="s">
        <v>126</v>
      </c>
      <c r="E35" s="87">
        <v>45474</v>
      </c>
      <c r="F35" s="87">
        <v>45504</v>
      </c>
      <c r="G35" s="41" t="s">
        <v>29</v>
      </c>
      <c r="H35" s="41" t="s">
        <v>96</v>
      </c>
    </row>
    <row r="36" spans="2:8" x14ac:dyDescent="0.25">
      <c r="B36" s="884"/>
      <c r="C36" s="887"/>
      <c r="D36" s="639" t="s">
        <v>127</v>
      </c>
      <c r="E36" s="57">
        <v>45474</v>
      </c>
      <c r="F36" s="57">
        <v>45504</v>
      </c>
      <c r="G36" s="47" t="s">
        <v>29</v>
      </c>
      <c r="H36" s="47" t="s">
        <v>96</v>
      </c>
    </row>
    <row r="37" spans="2:8" x14ac:dyDescent="0.25">
      <c r="B37" s="888" t="s">
        <v>128</v>
      </c>
      <c r="C37" s="890" t="s">
        <v>129</v>
      </c>
      <c r="D37" s="35" t="s">
        <v>130</v>
      </c>
      <c r="E37" s="86">
        <v>45323</v>
      </c>
      <c r="F37" s="86">
        <v>45351</v>
      </c>
      <c r="G37" s="42" t="s">
        <v>109</v>
      </c>
      <c r="H37" s="42" t="s">
        <v>96</v>
      </c>
    </row>
    <row r="38" spans="2:8" x14ac:dyDescent="0.25">
      <c r="B38" s="888"/>
      <c r="C38" s="890"/>
      <c r="D38" s="35" t="s">
        <v>131</v>
      </c>
      <c r="E38" s="86">
        <v>45292</v>
      </c>
      <c r="F38" s="86">
        <v>45382</v>
      </c>
      <c r="G38" s="42" t="s">
        <v>132</v>
      </c>
      <c r="H38" s="42" t="s">
        <v>96</v>
      </c>
    </row>
    <row r="39" spans="2:8" x14ac:dyDescent="0.25">
      <c r="B39" s="888"/>
      <c r="C39" s="890"/>
      <c r="D39" s="35" t="s">
        <v>133</v>
      </c>
      <c r="E39" s="86">
        <v>45292</v>
      </c>
      <c r="F39" s="86">
        <v>45382</v>
      </c>
      <c r="G39" s="42" t="s">
        <v>132</v>
      </c>
      <c r="H39" s="42" t="s">
        <v>96</v>
      </c>
    </row>
    <row r="40" spans="2:8" x14ac:dyDescent="0.25">
      <c r="B40" s="888"/>
      <c r="C40" s="890"/>
      <c r="D40" s="35" t="s">
        <v>134</v>
      </c>
      <c r="E40" s="86">
        <v>45323</v>
      </c>
      <c r="F40" s="86">
        <v>45351</v>
      </c>
      <c r="G40" s="42" t="s">
        <v>132</v>
      </c>
      <c r="H40" s="42" t="s">
        <v>109</v>
      </c>
    </row>
    <row r="41" spans="2:8" ht="25" x14ac:dyDescent="0.25">
      <c r="B41" s="888"/>
      <c r="C41" s="890"/>
      <c r="D41" s="35" t="s">
        <v>135</v>
      </c>
      <c r="E41" s="86">
        <v>45323</v>
      </c>
      <c r="F41" s="86">
        <v>45352</v>
      </c>
      <c r="G41" s="42" t="s">
        <v>53</v>
      </c>
      <c r="H41" s="42" t="s">
        <v>109</v>
      </c>
    </row>
    <row r="42" spans="2:8" x14ac:dyDescent="0.25">
      <c r="B42" s="888"/>
      <c r="C42" s="890"/>
      <c r="D42" s="35" t="s">
        <v>136</v>
      </c>
      <c r="E42" s="86">
        <v>45352</v>
      </c>
      <c r="F42" s="86">
        <v>45444</v>
      </c>
      <c r="G42" s="42" t="s">
        <v>109</v>
      </c>
      <c r="H42" s="42" t="s">
        <v>96</v>
      </c>
    </row>
    <row r="43" spans="2:8" x14ac:dyDescent="0.25">
      <c r="B43" s="888"/>
      <c r="C43" s="890"/>
      <c r="D43" s="35" t="s">
        <v>137</v>
      </c>
      <c r="E43" s="86">
        <v>45352</v>
      </c>
      <c r="F43" s="86">
        <v>45444</v>
      </c>
      <c r="G43" s="42" t="s">
        <v>109</v>
      </c>
      <c r="H43" s="42" t="s">
        <v>96</v>
      </c>
    </row>
    <row r="44" spans="2:8" x14ac:dyDescent="0.25">
      <c r="B44" s="888"/>
      <c r="C44" s="890"/>
      <c r="D44" s="35" t="s">
        <v>138</v>
      </c>
      <c r="E44" s="86">
        <v>45444</v>
      </c>
      <c r="F44" s="86">
        <v>45473</v>
      </c>
      <c r="G44" s="42" t="s">
        <v>109</v>
      </c>
      <c r="H44" s="42" t="s">
        <v>96</v>
      </c>
    </row>
    <row r="45" spans="2:8" x14ac:dyDescent="0.25">
      <c r="B45" s="888"/>
      <c r="C45" s="890"/>
      <c r="D45" s="35" t="s">
        <v>139</v>
      </c>
      <c r="E45" s="86">
        <v>45444</v>
      </c>
      <c r="F45" s="86">
        <v>45657</v>
      </c>
      <c r="G45" s="42" t="s">
        <v>109</v>
      </c>
      <c r="H45" s="42" t="s">
        <v>96</v>
      </c>
    </row>
    <row r="46" spans="2:8" x14ac:dyDescent="0.25">
      <c r="B46" s="888"/>
      <c r="C46" s="890"/>
      <c r="D46" s="35" t="s">
        <v>140</v>
      </c>
      <c r="E46" s="86">
        <v>45474</v>
      </c>
      <c r="F46" s="86">
        <v>45536</v>
      </c>
      <c r="G46" s="42" t="s">
        <v>109</v>
      </c>
      <c r="H46" s="42" t="s">
        <v>96</v>
      </c>
    </row>
    <row r="47" spans="2:8" x14ac:dyDescent="0.25">
      <c r="B47" s="888"/>
      <c r="C47" s="890"/>
      <c r="D47" s="35" t="s">
        <v>140</v>
      </c>
      <c r="E47" s="86">
        <v>45474</v>
      </c>
      <c r="F47" s="86">
        <v>45536</v>
      </c>
      <c r="G47" s="42" t="s">
        <v>109</v>
      </c>
      <c r="H47" s="42" t="s">
        <v>96</v>
      </c>
    </row>
    <row r="48" spans="2:8" x14ac:dyDescent="0.25">
      <c r="B48" s="888"/>
      <c r="C48" s="891"/>
      <c r="D48" s="35" t="s">
        <v>140</v>
      </c>
      <c r="E48" s="86">
        <v>45474</v>
      </c>
      <c r="F48" s="86">
        <v>45536</v>
      </c>
      <c r="G48" s="42" t="s">
        <v>109</v>
      </c>
      <c r="H48" s="42" t="s">
        <v>96</v>
      </c>
    </row>
    <row r="49" spans="2:8" x14ac:dyDescent="0.25">
      <c r="B49" s="882" t="s">
        <v>141</v>
      </c>
      <c r="C49" s="885" t="s">
        <v>142</v>
      </c>
      <c r="D49" s="54" t="s">
        <v>143</v>
      </c>
      <c r="E49" s="55">
        <v>45292</v>
      </c>
      <c r="F49" s="55">
        <v>45412</v>
      </c>
      <c r="G49" s="56" t="s">
        <v>109</v>
      </c>
      <c r="H49" s="56" t="s">
        <v>96</v>
      </c>
    </row>
    <row r="50" spans="2:8" x14ac:dyDescent="0.25">
      <c r="B50" s="883"/>
      <c r="C50" s="886"/>
      <c r="D50" s="85" t="s">
        <v>144</v>
      </c>
      <c r="E50" s="87">
        <v>45383</v>
      </c>
      <c r="F50" s="87">
        <v>45412</v>
      </c>
      <c r="G50" s="41" t="s">
        <v>109</v>
      </c>
      <c r="H50" s="41" t="s">
        <v>96</v>
      </c>
    </row>
    <row r="51" spans="2:8" x14ac:dyDescent="0.25">
      <c r="B51" s="883"/>
      <c r="C51" s="886"/>
      <c r="D51" s="85" t="s">
        <v>145</v>
      </c>
      <c r="E51" s="87">
        <v>45413</v>
      </c>
      <c r="F51" s="87">
        <v>45473</v>
      </c>
      <c r="G51" s="41" t="s">
        <v>109</v>
      </c>
      <c r="H51" s="41" t="s">
        <v>96</v>
      </c>
    </row>
    <row r="52" spans="2:8" x14ac:dyDescent="0.25">
      <c r="B52" s="883"/>
      <c r="C52" s="886"/>
      <c r="D52" s="85" t="s">
        <v>146</v>
      </c>
      <c r="E52" s="87">
        <v>45474</v>
      </c>
      <c r="F52" s="87">
        <v>45504</v>
      </c>
      <c r="G52" s="41" t="s">
        <v>109</v>
      </c>
      <c r="H52" s="41" t="s">
        <v>96</v>
      </c>
    </row>
    <row r="53" spans="2:8" x14ac:dyDescent="0.25">
      <c r="B53" s="883"/>
      <c r="C53" s="886"/>
      <c r="D53" s="85" t="s">
        <v>147</v>
      </c>
      <c r="E53" s="87">
        <v>45505</v>
      </c>
      <c r="F53" s="87">
        <v>45657</v>
      </c>
      <c r="G53" s="41" t="s">
        <v>109</v>
      </c>
      <c r="H53" s="41" t="s">
        <v>96</v>
      </c>
    </row>
    <row r="54" spans="2:8" x14ac:dyDescent="0.25">
      <c r="B54" s="883"/>
      <c r="C54" s="886"/>
      <c r="D54" s="85" t="s">
        <v>140</v>
      </c>
      <c r="E54" s="87">
        <v>45444</v>
      </c>
      <c r="F54" s="87">
        <v>45657</v>
      </c>
      <c r="G54" s="41" t="s">
        <v>109</v>
      </c>
      <c r="H54" s="41" t="s">
        <v>96</v>
      </c>
    </row>
    <row r="55" spans="2:8" x14ac:dyDescent="0.25">
      <c r="B55" s="884"/>
      <c r="C55" s="887"/>
      <c r="D55" s="46" t="s">
        <v>140</v>
      </c>
      <c r="E55" s="87">
        <v>45444</v>
      </c>
      <c r="F55" s="87">
        <v>45657</v>
      </c>
      <c r="G55" s="41" t="s">
        <v>109</v>
      </c>
      <c r="H55" s="41" t="s">
        <v>96</v>
      </c>
    </row>
    <row r="56" spans="2:8" x14ac:dyDescent="0.25">
      <c r="B56" s="898" t="s">
        <v>148</v>
      </c>
      <c r="C56" s="892" t="s">
        <v>149</v>
      </c>
      <c r="D56" s="48" t="s">
        <v>150</v>
      </c>
      <c r="E56" s="49">
        <v>45292</v>
      </c>
      <c r="F56" s="49">
        <v>45350</v>
      </c>
      <c r="G56" s="50" t="s">
        <v>151</v>
      </c>
      <c r="H56" s="50" t="s">
        <v>96</v>
      </c>
    </row>
    <row r="57" spans="2:8" x14ac:dyDescent="0.25">
      <c r="B57" s="888"/>
      <c r="C57" s="890"/>
      <c r="D57" s="35" t="s">
        <v>152</v>
      </c>
      <c r="E57" s="86">
        <v>45323</v>
      </c>
      <c r="F57" s="86">
        <v>45382</v>
      </c>
      <c r="G57" s="42" t="s">
        <v>151</v>
      </c>
      <c r="H57" s="42" t="s">
        <v>96</v>
      </c>
    </row>
    <row r="58" spans="2:8" x14ac:dyDescent="0.25">
      <c r="B58" s="888"/>
      <c r="C58" s="890"/>
      <c r="D58" s="35" t="s">
        <v>153</v>
      </c>
      <c r="E58" s="86">
        <v>45382</v>
      </c>
      <c r="F58" s="86">
        <v>45412</v>
      </c>
      <c r="G58" s="42" t="s">
        <v>151</v>
      </c>
      <c r="H58" s="42" t="s">
        <v>96</v>
      </c>
    </row>
    <row r="59" spans="2:8" x14ac:dyDescent="0.25">
      <c r="B59" s="888"/>
      <c r="C59" s="890"/>
      <c r="D59" s="35" t="s">
        <v>154</v>
      </c>
      <c r="E59" s="86">
        <v>45413</v>
      </c>
      <c r="F59" s="86">
        <v>45444</v>
      </c>
      <c r="G59" s="42" t="s">
        <v>151</v>
      </c>
      <c r="H59" s="42" t="s">
        <v>96</v>
      </c>
    </row>
    <row r="60" spans="2:8" x14ac:dyDescent="0.25">
      <c r="B60" s="888"/>
      <c r="C60" s="890"/>
      <c r="D60" s="35" t="s">
        <v>155</v>
      </c>
      <c r="E60" s="86">
        <v>45413</v>
      </c>
      <c r="F60" s="86">
        <v>45504</v>
      </c>
      <c r="G60" s="42" t="s">
        <v>151</v>
      </c>
      <c r="H60" s="42" t="s">
        <v>96</v>
      </c>
    </row>
    <row r="61" spans="2:8" x14ac:dyDescent="0.25">
      <c r="B61" s="888"/>
      <c r="C61" s="890"/>
      <c r="D61" s="35" t="s">
        <v>156</v>
      </c>
      <c r="E61" s="86">
        <v>45444</v>
      </c>
      <c r="F61" s="86">
        <v>45534</v>
      </c>
      <c r="G61" s="42" t="s">
        <v>151</v>
      </c>
      <c r="H61" s="42" t="s">
        <v>96</v>
      </c>
    </row>
    <row r="62" spans="2:8" x14ac:dyDescent="0.25">
      <c r="B62" s="888"/>
      <c r="C62" s="890"/>
      <c r="D62" s="35" t="s">
        <v>157</v>
      </c>
      <c r="E62" s="86">
        <v>45444</v>
      </c>
      <c r="F62" s="86">
        <v>45534</v>
      </c>
      <c r="G62" s="42" t="s">
        <v>151</v>
      </c>
      <c r="H62" s="42" t="s">
        <v>96</v>
      </c>
    </row>
    <row r="63" spans="2:8" x14ac:dyDescent="0.25">
      <c r="B63" s="888"/>
      <c r="C63" s="890"/>
      <c r="D63" s="35" t="s">
        <v>158</v>
      </c>
      <c r="E63" s="86">
        <v>45536</v>
      </c>
      <c r="F63" s="86">
        <v>45565</v>
      </c>
      <c r="G63" s="42" t="s">
        <v>151</v>
      </c>
      <c r="H63" s="42" t="s">
        <v>96</v>
      </c>
    </row>
    <row r="64" spans="2:8" x14ac:dyDescent="0.25">
      <c r="B64" s="888"/>
      <c r="C64" s="890"/>
      <c r="D64" s="35" t="s">
        <v>159</v>
      </c>
      <c r="E64" s="86">
        <v>45566</v>
      </c>
      <c r="F64" s="86">
        <v>45596</v>
      </c>
      <c r="G64" s="42" t="s">
        <v>151</v>
      </c>
      <c r="H64" s="42" t="s">
        <v>96</v>
      </c>
    </row>
    <row r="65" spans="2:8" x14ac:dyDescent="0.25">
      <c r="B65" s="888"/>
      <c r="C65" s="890"/>
      <c r="D65" s="35" t="s">
        <v>160</v>
      </c>
      <c r="E65" s="86">
        <v>45566</v>
      </c>
      <c r="F65" s="86">
        <v>45596</v>
      </c>
      <c r="G65" s="42" t="s">
        <v>151</v>
      </c>
      <c r="H65" s="42" t="s">
        <v>96</v>
      </c>
    </row>
    <row r="66" spans="2:8" x14ac:dyDescent="0.25">
      <c r="B66" s="888"/>
      <c r="C66" s="890"/>
      <c r="D66" s="35" t="s">
        <v>161</v>
      </c>
      <c r="E66" s="86">
        <v>45627</v>
      </c>
      <c r="F66" s="86">
        <v>45657</v>
      </c>
      <c r="G66" s="42" t="s">
        <v>151</v>
      </c>
      <c r="H66" s="42" t="s">
        <v>96</v>
      </c>
    </row>
    <row r="67" spans="2:8" x14ac:dyDescent="0.25">
      <c r="B67" s="888"/>
      <c r="C67" s="890"/>
      <c r="D67" s="35" t="s">
        <v>140</v>
      </c>
      <c r="E67" s="86">
        <v>45627</v>
      </c>
      <c r="F67" s="86">
        <v>45657</v>
      </c>
      <c r="G67" s="42" t="s">
        <v>151</v>
      </c>
      <c r="H67" s="42" t="s">
        <v>96</v>
      </c>
    </row>
    <row r="68" spans="2:8" x14ac:dyDescent="0.25">
      <c r="B68" s="888"/>
      <c r="C68" s="890"/>
      <c r="D68" s="35" t="s">
        <v>140</v>
      </c>
      <c r="E68" s="86">
        <v>45627</v>
      </c>
      <c r="F68" s="86">
        <v>45657</v>
      </c>
      <c r="G68" s="42" t="s">
        <v>151</v>
      </c>
      <c r="H68" s="42" t="s">
        <v>96</v>
      </c>
    </row>
    <row r="69" spans="2:8" x14ac:dyDescent="0.25">
      <c r="B69" s="888"/>
      <c r="C69" s="890"/>
      <c r="D69" s="35" t="s">
        <v>140</v>
      </c>
      <c r="E69" s="86">
        <v>45627</v>
      </c>
      <c r="F69" s="86">
        <v>45657</v>
      </c>
      <c r="G69" s="42" t="s">
        <v>151</v>
      </c>
      <c r="H69" s="42" t="s">
        <v>96</v>
      </c>
    </row>
    <row r="70" spans="2:8" x14ac:dyDescent="0.25">
      <c r="B70" s="888"/>
      <c r="C70" s="890"/>
      <c r="D70" s="35" t="s">
        <v>140</v>
      </c>
      <c r="E70" s="86">
        <v>45627</v>
      </c>
      <c r="F70" s="86">
        <v>45657</v>
      </c>
      <c r="G70" s="42" t="s">
        <v>151</v>
      </c>
      <c r="H70" s="42" t="s">
        <v>96</v>
      </c>
    </row>
    <row r="71" spans="2:8" x14ac:dyDescent="0.25">
      <c r="B71" s="888"/>
      <c r="C71" s="890"/>
      <c r="D71" s="35" t="s">
        <v>140</v>
      </c>
      <c r="E71" s="86">
        <v>45627</v>
      </c>
      <c r="F71" s="86">
        <v>45657</v>
      </c>
      <c r="G71" s="42" t="s">
        <v>151</v>
      </c>
      <c r="H71" s="42" t="s">
        <v>96</v>
      </c>
    </row>
    <row r="72" spans="2:8" x14ac:dyDescent="0.25">
      <c r="B72" s="888"/>
      <c r="C72" s="890"/>
      <c r="D72" s="35" t="s">
        <v>140</v>
      </c>
      <c r="E72" s="86">
        <v>45627</v>
      </c>
      <c r="F72" s="86">
        <v>45657</v>
      </c>
      <c r="G72" s="42" t="s">
        <v>151</v>
      </c>
      <c r="H72" s="42" t="s">
        <v>96</v>
      </c>
    </row>
    <row r="73" spans="2:8" x14ac:dyDescent="0.25">
      <c r="B73" s="888"/>
      <c r="C73" s="890"/>
      <c r="D73" s="35" t="s">
        <v>140</v>
      </c>
      <c r="E73" s="86">
        <v>45627</v>
      </c>
      <c r="F73" s="86">
        <v>45657</v>
      </c>
      <c r="G73" s="42" t="s">
        <v>151</v>
      </c>
      <c r="H73" s="42" t="s">
        <v>96</v>
      </c>
    </row>
    <row r="74" spans="2:8" x14ac:dyDescent="0.25">
      <c r="B74" s="882" t="s">
        <v>162</v>
      </c>
      <c r="C74" s="885" t="s">
        <v>163</v>
      </c>
      <c r="D74" s="54" t="s">
        <v>164</v>
      </c>
      <c r="E74" s="55">
        <v>45292</v>
      </c>
      <c r="F74" s="55">
        <v>45412</v>
      </c>
      <c r="G74" s="56" t="s">
        <v>18</v>
      </c>
      <c r="H74" s="56" t="s">
        <v>96</v>
      </c>
    </row>
    <row r="75" spans="2:8" x14ac:dyDescent="0.25">
      <c r="B75" s="883"/>
      <c r="C75" s="886"/>
      <c r="D75" s="85" t="s">
        <v>165</v>
      </c>
      <c r="E75" s="87">
        <v>45397</v>
      </c>
      <c r="F75" s="87">
        <v>45443</v>
      </c>
      <c r="G75" s="41" t="s">
        <v>109</v>
      </c>
      <c r="H75" s="41" t="s">
        <v>96</v>
      </c>
    </row>
    <row r="76" spans="2:8" x14ac:dyDescent="0.25">
      <c r="B76" s="883"/>
      <c r="C76" s="886"/>
      <c r="D76" s="85" t="s">
        <v>166</v>
      </c>
      <c r="E76" s="87">
        <v>45397</v>
      </c>
      <c r="F76" s="87">
        <v>45443</v>
      </c>
      <c r="G76" s="41" t="s">
        <v>99</v>
      </c>
      <c r="H76" s="41" t="s">
        <v>96</v>
      </c>
    </row>
    <row r="77" spans="2:8" x14ac:dyDescent="0.25">
      <c r="B77" s="883"/>
      <c r="C77" s="886"/>
      <c r="D77" s="85" t="s">
        <v>167</v>
      </c>
      <c r="E77" s="87">
        <v>45397</v>
      </c>
      <c r="F77" s="87">
        <v>45443</v>
      </c>
      <c r="G77" s="41" t="s">
        <v>151</v>
      </c>
      <c r="H77" s="41" t="s">
        <v>96</v>
      </c>
    </row>
    <row r="78" spans="2:8" x14ac:dyDescent="0.25">
      <c r="B78" s="883"/>
      <c r="C78" s="886"/>
      <c r="D78" s="85" t="s">
        <v>168</v>
      </c>
      <c r="E78" s="87">
        <v>45397</v>
      </c>
      <c r="F78" s="87">
        <v>45443</v>
      </c>
      <c r="G78" s="41" t="s">
        <v>18</v>
      </c>
      <c r="H78" s="41" t="s">
        <v>96</v>
      </c>
    </row>
    <row r="79" spans="2:8" x14ac:dyDescent="0.25">
      <c r="B79" s="883"/>
      <c r="C79" s="886"/>
      <c r="D79" s="85" t="s">
        <v>169</v>
      </c>
      <c r="E79" s="87">
        <v>45401</v>
      </c>
      <c r="F79" s="87">
        <v>45504</v>
      </c>
      <c r="G79" s="41" t="s">
        <v>18</v>
      </c>
      <c r="H79" s="41" t="s">
        <v>96</v>
      </c>
    </row>
    <row r="80" spans="2:8" x14ac:dyDescent="0.25">
      <c r="B80" s="883"/>
      <c r="C80" s="886"/>
      <c r="D80" s="85" t="s">
        <v>170</v>
      </c>
      <c r="E80" s="87">
        <v>45504</v>
      </c>
      <c r="F80" s="87">
        <v>45535</v>
      </c>
      <c r="G80" s="41" t="s">
        <v>96</v>
      </c>
      <c r="H80" s="41" t="s">
        <v>96</v>
      </c>
    </row>
    <row r="81" spans="2:8" x14ac:dyDescent="0.25">
      <c r="B81" s="883"/>
      <c r="C81" s="886"/>
      <c r="D81" s="85" t="s">
        <v>171</v>
      </c>
      <c r="E81" s="87">
        <v>45536</v>
      </c>
      <c r="F81" s="87">
        <v>45565</v>
      </c>
      <c r="G81" s="41" t="s">
        <v>99</v>
      </c>
      <c r="H81" s="41" t="s">
        <v>96</v>
      </c>
    </row>
    <row r="82" spans="2:8" x14ac:dyDescent="0.25">
      <c r="B82" s="884"/>
      <c r="C82" s="887"/>
      <c r="D82" s="46" t="s">
        <v>172</v>
      </c>
      <c r="E82" s="57">
        <v>45566</v>
      </c>
      <c r="F82" s="57">
        <v>45596</v>
      </c>
      <c r="G82" s="47" t="s">
        <v>109</v>
      </c>
      <c r="H82" s="47" t="s">
        <v>96</v>
      </c>
    </row>
    <row r="83" spans="2:8" x14ac:dyDescent="0.25">
      <c r="B83" s="888" t="s">
        <v>173</v>
      </c>
      <c r="C83" s="890" t="s">
        <v>174</v>
      </c>
      <c r="D83" s="35" t="s">
        <v>175</v>
      </c>
      <c r="E83" s="86">
        <v>45292</v>
      </c>
      <c r="F83" s="86">
        <v>45382</v>
      </c>
      <c r="G83" s="42" t="s">
        <v>99</v>
      </c>
      <c r="H83" s="42" t="s">
        <v>96</v>
      </c>
    </row>
    <row r="84" spans="2:8" x14ac:dyDescent="0.25">
      <c r="B84" s="888"/>
      <c r="C84" s="890"/>
      <c r="D84" s="35" t="s">
        <v>176</v>
      </c>
      <c r="E84" s="86">
        <v>45292</v>
      </c>
      <c r="F84" s="86">
        <v>45382</v>
      </c>
      <c r="G84" s="42" t="s">
        <v>18</v>
      </c>
      <c r="H84" s="42" t="s">
        <v>99</v>
      </c>
    </row>
    <row r="85" spans="2:8" ht="25" x14ac:dyDescent="0.25">
      <c r="B85" s="888"/>
      <c r="C85" s="890"/>
      <c r="D85" s="35" t="s">
        <v>177</v>
      </c>
      <c r="E85" s="86">
        <v>45352</v>
      </c>
      <c r="F85" s="86">
        <v>45412</v>
      </c>
      <c r="G85" s="42" t="s">
        <v>99</v>
      </c>
      <c r="H85" s="42" t="s">
        <v>96</v>
      </c>
    </row>
    <row r="86" spans="2:8" x14ac:dyDescent="0.25">
      <c r="B86" s="888"/>
      <c r="C86" s="890"/>
      <c r="D86" s="35" t="s">
        <v>178</v>
      </c>
      <c r="E86" s="86">
        <v>45383</v>
      </c>
      <c r="F86" s="86">
        <v>45443</v>
      </c>
      <c r="G86" s="42" t="s">
        <v>99</v>
      </c>
      <c r="H86" s="42" t="s">
        <v>96</v>
      </c>
    </row>
    <row r="87" spans="2:8" x14ac:dyDescent="0.25">
      <c r="B87" s="888"/>
      <c r="C87" s="890"/>
      <c r="D87" s="35" t="s">
        <v>179</v>
      </c>
      <c r="E87" s="86">
        <v>45413</v>
      </c>
      <c r="F87" s="86">
        <v>45473</v>
      </c>
      <c r="G87" s="42" t="s">
        <v>99</v>
      </c>
      <c r="H87" s="42" t="s">
        <v>96</v>
      </c>
    </row>
    <row r="88" spans="2:8" x14ac:dyDescent="0.25">
      <c r="B88" s="888"/>
      <c r="C88" s="890"/>
      <c r="D88" s="35" t="s">
        <v>180</v>
      </c>
      <c r="E88" s="86">
        <v>45473</v>
      </c>
      <c r="F88" s="86">
        <v>45565</v>
      </c>
      <c r="G88" s="42" t="s">
        <v>99</v>
      </c>
      <c r="H88" s="42" t="s">
        <v>96</v>
      </c>
    </row>
    <row r="89" spans="2:8" x14ac:dyDescent="0.25">
      <c r="B89" s="888"/>
      <c r="C89" s="890"/>
      <c r="D89" s="35" t="s">
        <v>181</v>
      </c>
      <c r="E89" s="86">
        <v>45565</v>
      </c>
      <c r="F89" s="86">
        <v>45596</v>
      </c>
      <c r="G89" s="42" t="s">
        <v>99</v>
      </c>
      <c r="H89" s="42" t="s">
        <v>96</v>
      </c>
    </row>
    <row r="90" spans="2:8" x14ac:dyDescent="0.25">
      <c r="B90" s="888"/>
      <c r="C90" s="890"/>
      <c r="D90" s="35" t="s">
        <v>182</v>
      </c>
      <c r="E90" s="86">
        <v>45565</v>
      </c>
      <c r="F90" s="86">
        <v>45596</v>
      </c>
      <c r="G90" s="42" t="s">
        <v>99</v>
      </c>
      <c r="H90" s="42" t="s">
        <v>96</v>
      </c>
    </row>
    <row r="91" spans="2:8" x14ac:dyDescent="0.25">
      <c r="B91" s="889"/>
      <c r="C91" s="891"/>
      <c r="D91" s="51" t="s">
        <v>183</v>
      </c>
      <c r="E91" s="52">
        <v>45597</v>
      </c>
      <c r="F91" s="52">
        <v>45657</v>
      </c>
      <c r="G91" s="53" t="s">
        <v>18</v>
      </c>
      <c r="H91" s="53" t="s">
        <v>96</v>
      </c>
    </row>
    <row r="92" spans="2:8" x14ac:dyDescent="0.25">
      <c r="B92" s="882" t="s">
        <v>184</v>
      </c>
      <c r="C92" s="885" t="s">
        <v>185</v>
      </c>
      <c r="D92" s="54" t="s">
        <v>186</v>
      </c>
      <c r="E92" s="55">
        <v>45292</v>
      </c>
      <c r="F92" s="55">
        <v>45350</v>
      </c>
      <c r="G92" s="56" t="s">
        <v>187</v>
      </c>
      <c r="H92" s="56" t="s">
        <v>96</v>
      </c>
    </row>
    <row r="93" spans="2:8" x14ac:dyDescent="0.25">
      <c r="B93" s="883"/>
      <c r="C93" s="886"/>
      <c r="D93" s="85" t="s">
        <v>188</v>
      </c>
      <c r="E93" s="87">
        <v>45352</v>
      </c>
      <c r="F93" s="87">
        <v>45473</v>
      </c>
      <c r="G93" s="41" t="s">
        <v>187</v>
      </c>
      <c r="H93" s="41" t="s">
        <v>96</v>
      </c>
    </row>
    <row r="94" spans="2:8" x14ac:dyDescent="0.25">
      <c r="B94" s="883"/>
      <c r="C94" s="886"/>
      <c r="D94" s="85" t="s">
        <v>189</v>
      </c>
      <c r="E94" s="87">
        <v>45474</v>
      </c>
      <c r="F94" s="87">
        <v>45504</v>
      </c>
      <c r="G94" s="41" t="s">
        <v>187</v>
      </c>
      <c r="H94" s="41" t="s">
        <v>96</v>
      </c>
    </row>
    <row r="95" spans="2:8" x14ac:dyDescent="0.25">
      <c r="B95" s="883"/>
      <c r="C95" s="886"/>
      <c r="D95" s="85" t="s">
        <v>190</v>
      </c>
      <c r="E95" s="87">
        <v>45474</v>
      </c>
      <c r="F95" s="87">
        <v>45504</v>
      </c>
      <c r="G95" s="41" t="s">
        <v>187</v>
      </c>
      <c r="H95" s="41" t="s">
        <v>96</v>
      </c>
    </row>
    <row r="96" spans="2:8" x14ac:dyDescent="0.25">
      <c r="B96" s="883"/>
      <c r="C96" s="886"/>
      <c r="D96" s="85" t="s">
        <v>191</v>
      </c>
      <c r="E96" s="87">
        <v>45536</v>
      </c>
      <c r="F96" s="87">
        <v>45565</v>
      </c>
      <c r="G96" s="41" t="s">
        <v>96</v>
      </c>
      <c r="H96" s="41" t="s">
        <v>96</v>
      </c>
    </row>
    <row r="97" spans="2:9" x14ac:dyDescent="0.25">
      <c r="B97" s="883"/>
      <c r="C97" s="886"/>
      <c r="D97" s="85" t="s">
        <v>192</v>
      </c>
      <c r="E97" s="87">
        <v>45292</v>
      </c>
      <c r="F97" s="87">
        <v>45412</v>
      </c>
      <c r="G97" s="41" t="s">
        <v>187</v>
      </c>
      <c r="H97" s="41" t="s">
        <v>96</v>
      </c>
    </row>
    <row r="98" spans="2:9" x14ac:dyDescent="0.25">
      <c r="B98" s="883"/>
      <c r="C98" s="886"/>
      <c r="D98" s="85" t="s">
        <v>193</v>
      </c>
      <c r="E98" s="87">
        <v>45352</v>
      </c>
      <c r="F98" s="87">
        <v>45504</v>
      </c>
      <c r="G98" s="41" t="s">
        <v>187</v>
      </c>
      <c r="H98" s="41" t="s">
        <v>96</v>
      </c>
    </row>
    <row r="99" spans="2:9" x14ac:dyDescent="0.25">
      <c r="B99" s="884"/>
      <c r="C99" s="887"/>
      <c r="D99" s="46" t="s">
        <v>194</v>
      </c>
      <c r="E99" s="57">
        <v>45627</v>
      </c>
      <c r="F99" s="57">
        <v>45657</v>
      </c>
      <c r="G99" s="47" t="s">
        <v>187</v>
      </c>
      <c r="H99" s="47" t="s">
        <v>96</v>
      </c>
    </row>
    <row r="100" spans="2:9" x14ac:dyDescent="0.25">
      <c r="C100" s="587" t="s">
        <v>195</v>
      </c>
      <c r="E100" s="43"/>
      <c r="F100" s="44"/>
      <c r="G100" s="45"/>
      <c r="H100" s="45"/>
    </row>
    <row r="101" spans="2:9" ht="21" customHeight="1" x14ac:dyDescent="0.25">
      <c r="B101"/>
      <c r="D101"/>
    </row>
    <row r="102" spans="2:9" s="30" customFormat="1" ht="21" customHeight="1" x14ac:dyDescent="0.3">
      <c r="B102"/>
      <c r="C102"/>
      <c r="D102"/>
      <c r="E102"/>
      <c r="F102"/>
      <c r="G102"/>
      <c r="H102"/>
      <c r="I102" s="774"/>
    </row>
    <row r="103" spans="2:9" s="30" customFormat="1" ht="21" customHeight="1" x14ac:dyDescent="0.3">
      <c r="B103"/>
      <c r="C103"/>
      <c r="D103"/>
      <c r="E103" s="775"/>
      <c r="F103" s="775"/>
      <c r="G103" s="775"/>
      <c r="H103" s="775"/>
      <c r="I103" s="774"/>
    </row>
    <row r="104" spans="2:9" s="30" customFormat="1" ht="21" customHeight="1" x14ac:dyDescent="0.3">
      <c r="B104"/>
      <c r="C104"/>
      <c r="D104"/>
      <c r="E104" s="775"/>
      <c r="F104" s="775"/>
      <c r="G104" s="775"/>
      <c r="H104" s="775"/>
      <c r="I104" s="776"/>
    </row>
    <row r="105" spans="2:9" s="30" customFormat="1" ht="21" customHeight="1" x14ac:dyDescent="0.25">
      <c r="B105"/>
      <c r="C105"/>
      <c r="D105"/>
      <c r="E105" s="778"/>
      <c r="F105" s="778"/>
      <c r="G105" s="778"/>
      <c r="H105" s="778"/>
      <c r="I105" s="778"/>
    </row>
    <row r="106" spans="2:9" s="30" customFormat="1" ht="21" customHeight="1" x14ac:dyDescent="0.3">
      <c r="B106"/>
      <c r="C106"/>
      <c r="D106"/>
      <c r="E106"/>
      <c r="F106"/>
      <c r="G106"/>
      <c r="H106"/>
      <c r="I106" s="777"/>
    </row>
    <row r="107" spans="2:9" x14ac:dyDescent="0.25">
      <c r="B107"/>
      <c r="D107"/>
    </row>
  </sheetData>
  <mergeCells count="22">
    <mergeCell ref="B92:B99"/>
    <mergeCell ref="C92:C99"/>
    <mergeCell ref="B11:B19"/>
    <mergeCell ref="B20:B30"/>
    <mergeCell ref="B37:B48"/>
    <mergeCell ref="B49:B55"/>
    <mergeCell ref="B56:B73"/>
    <mergeCell ref="B31:B36"/>
    <mergeCell ref="C31:C36"/>
    <mergeCell ref="D3:H6"/>
    <mergeCell ref="B74:B82"/>
    <mergeCell ref="C74:C82"/>
    <mergeCell ref="B83:B91"/>
    <mergeCell ref="C83:C91"/>
    <mergeCell ref="C11:C19"/>
    <mergeCell ref="C20:C30"/>
    <mergeCell ref="B9:D9"/>
    <mergeCell ref="E9:F9"/>
    <mergeCell ref="G9:H9"/>
    <mergeCell ref="C37:C48"/>
    <mergeCell ref="C49:C55"/>
    <mergeCell ref="C56:C73"/>
  </mergeCells>
  <dataValidations count="3">
    <dataValidation type="date" operator="greaterThanOrEqual" allowBlank="1" showInputMessage="1" showErrorMessage="1" sqref="E11:F99" xr:uid="{489A945B-3E0E-4C47-BC0B-359FD55026EF}">
      <formula1>45292</formula1>
    </dataValidation>
    <dataValidation type="list" allowBlank="1" showInputMessage="1" showErrorMessage="1" sqref="G11:G99" xr:uid="{14B7909A-C5D5-4E0F-AE92-42F674ECE23C}">
      <formula1>INDIRECT("tbl_Responsible[Responsible]")</formula1>
    </dataValidation>
    <dataValidation type="list" allowBlank="1" showInputMessage="1" showErrorMessage="1" sqref="H11:H99" xr:uid="{78C0206F-3655-45F9-8457-3A0730B77917}">
      <formula1>INDIRECT("tbl_Accountable[Accountable]")</formula1>
    </dataValidation>
  </dataValidations>
  <pageMargins left="0.7" right="0.7" top="0.75" bottom="0.75" header="0.3" footer="0.3"/>
  <pageSetup scale="5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B5299-3233-4AAC-AB0B-F6D3BFBEA3D3}">
  <sheetPr codeName="Sheet5">
    <pageSetUpPr fitToPage="1"/>
  </sheetPr>
  <dimension ref="A1:Y66"/>
  <sheetViews>
    <sheetView showGridLines="0" zoomScale="96" zoomScaleNormal="96" workbookViewId="0">
      <selection activeCell="D11" sqref="D11:D13"/>
    </sheetView>
  </sheetViews>
  <sheetFormatPr defaultColWidth="0" defaultRowHeight="12.5" zeroHeight="1" x14ac:dyDescent="0.25"/>
  <cols>
    <col min="1" max="1" width="1.54296875" customWidth="1"/>
    <col min="2" max="2" width="25.81640625" customWidth="1"/>
    <col min="3" max="3" width="0.81640625" customWidth="1"/>
    <col min="4" max="4" width="69.81640625" customWidth="1"/>
    <col min="5" max="5" width="1.81640625" customWidth="1"/>
    <col min="6" max="6" width="12.1796875" customWidth="1"/>
    <col min="7" max="7" width="1.1796875" customWidth="1"/>
    <col min="8" max="8" width="12" customWidth="1"/>
    <col min="9" max="9" width="0.81640625" customWidth="1"/>
    <col min="10" max="10" width="29.1796875" customWidth="1"/>
    <col min="11" max="11" width="17.453125" customWidth="1"/>
    <col min="12" max="12" width="2.81640625" customWidth="1"/>
    <col min="13" max="18" width="8.81640625" hidden="1" customWidth="1"/>
    <col min="19" max="25" width="0" hidden="1" customWidth="1"/>
    <col min="26" max="16384" width="8.81640625" hidden="1"/>
  </cols>
  <sheetData>
    <row r="1" spans="2:11" x14ac:dyDescent="0.25"/>
    <row r="2" spans="2:11" x14ac:dyDescent="0.25">
      <c r="B2" s="100"/>
      <c r="C2" s="105"/>
      <c r="D2" s="112"/>
      <c r="E2" s="100"/>
      <c r="F2" s="99"/>
      <c r="G2" s="100"/>
      <c r="H2" s="106"/>
      <c r="I2" s="106"/>
      <c r="J2" s="100"/>
      <c r="K2" s="100"/>
    </row>
    <row r="3" spans="2:11" ht="13.4" customHeight="1" x14ac:dyDescent="0.25">
      <c r="B3" s="100"/>
      <c r="C3" s="113"/>
      <c r="D3" s="107"/>
      <c r="E3" s="107"/>
      <c r="F3" s="910" t="s">
        <v>196</v>
      </c>
      <c r="G3" s="910"/>
      <c r="H3" s="910"/>
      <c r="I3" s="910"/>
      <c r="J3" s="910"/>
      <c r="K3" s="910"/>
    </row>
    <row r="4" spans="2:11" ht="13.4" customHeight="1" x14ac:dyDescent="0.25">
      <c r="B4" s="100"/>
      <c r="C4" s="113"/>
      <c r="D4" s="107"/>
      <c r="E4" s="107"/>
      <c r="F4" s="910"/>
      <c r="G4" s="910"/>
      <c r="H4" s="910"/>
      <c r="I4" s="910"/>
      <c r="J4" s="910"/>
      <c r="K4" s="910"/>
    </row>
    <row r="5" spans="2:11" ht="13.4" customHeight="1" x14ac:dyDescent="0.25">
      <c r="B5" s="100"/>
      <c r="C5" s="113"/>
      <c r="D5" s="107"/>
      <c r="E5" s="107"/>
      <c r="F5" s="910"/>
      <c r="G5" s="910"/>
      <c r="H5" s="910"/>
      <c r="I5" s="910"/>
      <c r="J5" s="910"/>
      <c r="K5" s="910"/>
    </row>
    <row r="6" spans="2:11" ht="13.4" customHeight="1" x14ac:dyDescent="0.25">
      <c r="B6" s="100"/>
      <c r="C6" s="113"/>
      <c r="D6" s="107"/>
      <c r="E6" s="107"/>
      <c r="F6" s="910"/>
      <c r="G6" s="910"/>
      <c r="H6" s="910"/>
      <c r="I6" s="910"/>
      <c r="J6" s="910"/>
      <c r="K6" s="910"/>
    </row>
    <row r="7" spans="2:11" x14ac:dyDescent="0.25">
      <c r="B7" s="100"/>
      <c r="C7" s="105"/>
      <c r="D7" s="112"/>
      <c r="E7" s="100"/>
      <c r="F7" s="99"/>
      <c r="G7" s="100"/>
      <c r="H7" s="106"/>
      <c r="I7" s="106"/>
      <c r="J7" s="100"/>
      <c r="K7" s="100"/>
    </row>
    <row r="8" spans="2:11" x14ac:dyDescent="0.25"/>
    <row r="9" spans="2:11" s="30" customFormat="1" ht="15.5" x14ac:dyDescent="0.35">
      <c r="B9" s="908" t="s">
        <v>197</v>
      </c>
      <c r="C9" s="908"/>
      <c r="D9" s="908"/>
      <c r="E9" s="908"/>
      <c r="F9" s="908"/>
      <c r="G9" s="908"/>
      <c r="H9" s="908"/>
      <c r="I9" s="908"/>
      <c r="J9" s="908"/>
      <c r="K9" s="908"/>
    </row>
    <row r="10" spans="2:11" x14ac:dyDescent="0.25"/>
    <row r="11" spans="2:11" ht="13" x14ac:dyDescent="0.3">
      <c r="B11" s="900" t="s">
        <v>198</v>
      </c>
      <c r="D11" s="901" t="s">
        <v>199</v>
      </c>
      <c r="F11" s="114" t="s">
        <v>200</v>
      </c>
      <c r="H11" s="82">
        <v>100</v>
      </c>
      <c r="J11" s="903" t="s">
        <v>201</v>
      </c>
      <c r="K11" s="903"/>
    </row>
    <row r="12" spans="2:11" ht="13" x14ac:dyDescent="0.3">
      <c r="B12" s="900"/>
      <c r="D12" s="902"/>
      <c r="F12" s="114" t="s">
        <v>202</v>
      </c>
      <c r="H12" s="83">
        <v>0</v>
      </c>
      <c r="J12" s="904" t="s">
        <v>203</v>
      </c>
      <c r="K12" s="904"/>
    </row>
    <row r="13" spans="2:11" ht="13" x14ac:dyDescent="0.3">
      <c r="B13" s="900"/>
      <c r="D13" s="902"/>
      <c r="F13" s="115" t="s">
        <v>204</v>
      </c>
      <c r="H13" s="84">
        <v>100</v>
      </c>
      <c r="J13" s="904"/>
      <c r="K13" s="904"/>
    </row>
    <row r="14" spans="2:11" x14ac:dyDescent="0.25"/>
    <row r="15" spans="2:11" s="30" customFormat="1" ht="15.5" x14ac:dyDescent="0.35">
      <c r="B15" s="908" t="s">
        <v>205</v>
      </c>
      <c r="C15" s="908"/>
      <c r="D15" s="908"/>
      <c r="E15" s="908"/>
      <c r="F15" s="908"/>
      <c r="G15" s="908"/>
      <c r="H15" s="908"/>
      <c r="I15" s="908"/>
      <c r="J15" s="908"/>
      <c r="K15" s="908"/>
    </row>
    <row r="16" spans="2:11" x14ac:dyDescent="0.25"/>
    <row r="17" spans="2:11" x14ac:dyDescent="0.25">
      <c r="B17" s="118" t="s">
        <v>206</v>
      </c>
      <c r="C17" s="32"/>
      <c r="D17" s="117" t="s">
        <v>207</v>
      </c>
      <c r="E17" s="75"/>
      <c r="F17" s="116" t="s">
        <v>3</v>
      </c>
      <c r="G17" s="29"/>
      <c r="H17" s="116" t="s">
        <v>208</v>
      </c>
      <c r="J17" s="909" t="s">
        <v>201</v>
      </c>
      <c r="K17" s="909"/>
    </row>
    <row r="18" spans="2:11" x14ac:dyDescent="0.25">
      <c r="B18" s="71" t="s">
        <v>6</v>
      </c>
      <c r="C18" s="70"/>
      <c r="D18" s="72" t="s">
        <v>209</v>
      </c>
      <c r="E18" s="76"/>
      <c r="F18" s="372">
        <v>531843</v>
      </c>
      <c r="G18" s="372"/>
      <c r="H18" s="372">
        <f>ReportingDashboard!H13</f>
        <v>598007.12</v>
      </c>
      <c r="I18" s="30"/>
      <c r="J18" s="906" t="s">
        <v>210</v>
      </c>
      <c r="K18" s="906"/>
    </row>
    <row r="19" spans="2:11" x14ac:dyDescent="0.25">
      <c r="B19" s="73" t="s">
        <v>211</v>
      </c>
      <c r="C19" s="70"/>
      <c r="D19" s="74" t="s">
        <v>212</v>
      </c>
      <c r="E19" s="76"/>
      <c r="F19" s="175">
        <v>0.4</v>
      </c>
      <c r="G19" s="174"/>
      <c r="H19" s="176">
        <f>ReportingDashboard!H16</f>
        <v>0.43354646011572573</v>
      </c>
      <c r="I19" s="30"/>
      <c r="J19" s="905" t="s">
        <v>213</v>
      </c>
      <c r="K19" s="905"/>
    </row>
    <row r="20" spans="2:11" x14ac:dyDescent="0.25">
      <c r="B20" s="71" t="s">
        <v>214</v>
      </c>
      <c r="C20" s="70"/>
      <c r="D20" s="72" t="s">
        <v>215</v>
      </c>
      <c r="E20" s="76"/>
      <c r="F20" s="174">
        <v>0.22</v>
      </c>
      <c r="G20" s="174"/>
      <c r="H20" s="369">
        <f>ReportingDashboard!H19</f>
        <v>0.11131823982296399</v>
      </c>
      <c r="I20" s="30"/>
      <c r="J20" s="906" t="s">
        <v>216</v>
      </c>
      <c r="K20" s="906"/>
    </row>
    <row r="21" spans="2:11" x14ac:dyDescent="0.25">
      <c r="B21" s="73" t="s">
        <v>217</v>
      </c>
      <c r="C21" s="70"/>
      <c r="D21" s="74" t="s">
        <v>218</v>
      </c>
      <c r="E21" s="76"/>
      <c r="F21" s="77">
        <v>93.61</v>
      </c>
      <c r="G21" s="76"/>
      <c r="H21" s="370">
        <f>ReportingDashboard!H44</f>
        <v>83</v>
      </c>
      <c r="I21" s="30"/>
      <c r="J21" s="905" t="s">
        <v>219</v>
      </c>
      <c r="K21" s="905"/>
    </row>
    <row r="22" spans="2:11" x14ac:dyDescent="0.25">
      <c r="B22" s="71" t="s">
        <v>220</v>
      </c>
      <c r="C22" s="70"/>
      <c r="D22" s="72" t="s">
        <v>221</v>
      </c>
      <c r="E22" s="76"/>
      <c r="F22" s="76">
        <v>93.3</v>
      </c>
      <c r="G22" s="76"/>
      <c r="H22" s="371">
        <f>ReportingDashboard!H53</f>
        <v>158</v>
      </c>
      <c r="I22" s="30"/>
      <c r="J22" s="907" t="s">
        <v>222</v>
      </c>
      <c r="K22" s="907"/>
    </row>
    <row r="23" spans="2:11" x14ac:dyDescent="0.25">
      <c r="B23" s="73" t="s">
        <v>223</v>
      </c>
      <c r="C23" s="70"/>
      <c r="D23" s="74" t="s">
        <v>224</v>
      </c>
      <c r="E23" s="76"/>
      <c r="F23" s="175">
        <v>0.1</v>
      </c>
      <c r="G23" s="174"/>
      <c r="H23" s="176"/>
      <c r="I23" s="30"/>
      <c r="J23" s="905" t="s">
        <v>225</v>
      </c>
      <c r="K23" s="905"/>
    </row>
    <row r="24" spans="2:11" x14ac:dyDescent="0.25"/>
    <row r="25" spans="2:11" s="30" customFormat="1" ht="15.5" x14ac:dyDescent="0.35">
      <c r="B25" s="908" t="s">
        <v>226</v>
      </c>
      <c r="C25" s="908"/>
      <c r="D25" s="908"/>
      <c r="E25" s="908"/>
      <c r="F25" s="908"/>
      <c r="G25" s="908"/>
      <c r="H25" s="908"/>
      <c r="I25" s="908"/>
      <c r="J25" s="908"/>
      <c r="K25" s="908"/>
    </row>
    <row r="26" spans="2:11" x14ac:dyDescent="0.25">
      <c r="D26" t="s">
        <v>227</v>
      </c>
    </row>
    <row r="27" spans="2:11" x14ac:dyDescent="0.25">
      <c r="B27" s="118" t="s">
        <v>228</v>
      </c>
      <c r="D27" s="117" t="s">
        <v>229</v>
      </c>
      <c r="F27" s="116" t="s">
        <v>230</v>
      </c>
      <c r="H27" s="909" t="s">
        <v>231</v>
      </c>
      <c r="I27" s="909"/>
      <c r="J27" s="909"/>
      <c r="K27" s="909"/>
    </row>
    <row r="28" spans="2:11" x14ac:dyDescent="0.25">
      <c r="B28" s="80" t="s">
        <v>29</v>
      </c>
      <c r="C28" s="30"/>
      <c r="D28" s="33" t="s">
        <v>232</v>
      </c>
      <c r="E28" s="30"/>
      <c r="F28" s="367">
        <v>45382</v>
      </c>
      <c r="G28" s="30"/>
      <c r="H28" s="906" t="s">
        <v>233</v>
      </c>
      <c r="I28" s="906"/>
      <c r="J28" s="906"/>
      <c r="K28" s="906"/>
    </row>
    <row r="29" spans="2:11" x14ac:dyDescent="0.25">
      <c r="B29" s="81" t="s">
        <v>96</v>
      </c>
      <c r="C29" s="30"/>
      <c r="D29" s="78" t="s">
        <v>234</v>
      </c>
      <c r="E29" s="30"/>
      <c r="F29" s="367">
        <v>45400</v>
      </c>
      <c r="G29" s="30"/>
      <c r="H29" s="905" t="s">
        <v>235</v>
      </c>
      <c r="I29" s="905"/>
      <c r="J29" s="905"/>
      <c r="K29" s="905"/>
    </row>
    <row r="30" spans="2:11" x14ac:dyDescent="0.25">
      <c r="B30" s="80" t="s">
        <v>96</v>
      </c>
      <c r="C30" s="30"/>
      <c r="D30" s="33" t="s">
        <v>236</v>
      </c>
      <c r="E30" s="30"/>
      <c r="F30" s="79">
        <v>45400</v>
      </c>
      <c r="G30" s="30"/>
      <c r="H30" s="906" t="s">
        <v>237</v>
      </c>
      <c r="I30" s="906"/>
      <c r="J30" s="906"/>
      <c r="K30" s="906"/>
    </row>
    <row r="31" spans="2:11" x14ac:dyDescent="0.25">
      <c r="B31" s="81" t="s">
        <v>96</v>
      </c>
      <c r="C31" s="30"/>
      <c r="D31" s="78" t="s">
        <v>238</v>
      </c>
      <c r="E31" s="30"/>
      <c r="F31" s="177">
        <v>45400</v>
      </c>
      <c r="G31" s="30"/>
      <c r="H31" s="905" t="s">
        <v>239</v>
      </c>
      <c r="I31" s="905"/>
      <c r="J31" s="905"/>
      <c r="K31" s="905"/>
    </row>
    <row r="32" spans="2:11" x14ac:dyDescent="0.25"/>
    <row r="33" spans="2:17" ht="15.5" x14ac:dyDescent="0.35">
      <c r="B33" s="908" t="s">
        <v>240</v>
      </c>
      <c r="C33" s="908"/>
      <c r="D33" s="908"/>
      <c r="E33" s="908"/>
      <c r="F33" s="908"/>
      <c r="G33" s="908"/>
      <c r="H33" s="908"/>
      <c r="I33" s="908"/>
      <c r="J33" s="908"/>
      <c r="K33" s="908"/>
    </row>
    <row r="34" spans="2:17" x14ac:dyDescent="0.25"/>
    <row r="35" spans="2:17" x14ac:dyDescent="0.25">
      <c r="B35" s="118" t="s">
        <v>228</v>
      </c>
      <c r="D35" s="117" t="s">
        <v>241</v>
      </c>
      <c r="F35" s="116" t="s">
        <v>242</v>
      </c>
      <c r="H35" s="909" t="s">
        <v>243</v>
      </c>
      <c r="I35" s="909"/>
      <c r="J35" s="909"/>
      <c r="K35" s="909"/>
    </row>
    <row r="36" spans="2:17" x14ac:dyDescent="0.25">
      <c r="B36" s="80" t="s">
        <v>96</v>
      </c>
      <c r="C36" s="30"/>
      <c r="D36" s="33" t="s">
        <v>244</v>
      </c>
      <c r="E36" s="30"/>
      <c r="F36" s="79" t="s">
        <v>245</v>
      </c>
      <c r="G36" s="30"/>
      <c r="H36" s="912" t="s">
        <v>246</v>
      </c>
      <c r="I36" s="912"/>
      <c r="J36" s="912"/>
      <c r="K36" s="912"/>
    </row>
    <row r="37" spans="2:17" x14ac:dyDescent="0.25">
      <c r="B37" s="81" t="s">
        <v>29</v>
      </c>
      <c r="C37" s="30"/>
      <c r="D37" s="78" t="s">
        <v>247</v>
      </c>
      <c r="E37" s="30"/>
      <c r="F37" s="177">
        <v>45473</v>
      </c>
      <c r="G37" s="30"/>
      <c r="H37" s="911" t="s">
        <v>248</v>
      </c>
      <c r="I37" s="911"/>
      <c r="J37" s="911"/>
      <c r="K37" s="911"/>
    </row>
    <row r="38" spans="2:17" x14ac:dyDescent="0.25">
      <c r="B38" s="80" t="s">
        <v>53</v>
      </c>
      <c r="C38" s="30"/>
      <c r="D38" s="33" t="s">
        <v>249</v>
      </c>
      <c r="E38" s="30"/>
      <c r="F38" s="79">
        <v>45444</v>
      </c>
      <c r="G38" s="30"/>
      <c r="H38" s="912" t="s">
        <v>250</v>
      </c>
      <c r="I38" s="912"/>
      <c r="J38" s="912"/>
      <c r="K38" s="912"/>
    </row>
    <row r="39" spans="2:17" x14ac:dyDescent="0.25">
      <c r="B39" s="81"/>
      <c r="C39" s="30"/>
      <c r="D39" s="78"/>
      <c r="E39" s="30"/>
      <c r="F39" s="177"/>
      <c r="G39" s="30"/>
      <c r="H39" s="911"/>
      <c r="I39" s="911"/>
      <c r="J39" s="911"/>
      <c r="K39" s="911"/>
    </row>
    <row r="40" spans="2:17" x14ac:dyDescent="0.25"/>
    <row r="41" spans="2:17" ht="13" x14ac:dyDescent="0.3">
      <c r="B41" s="100"/>
      <c r="C41" s="100"/>
      <c r="D41" s="100"/>
      <c r="E41" s="100"/>
      <c r="F41" s="100"/>
      <c r="G41" s="100"/>
      <c r="H41" s="100"/>
      <c r="I41" s="100"/>
      <c r="J41" s="110"/>
      <c r="K41" s="101"/>
      <c r="L41" s="30"/>
    </row>
    <row r="42" spans="2:17" ht="28.5" x14ac:dyDescent="0.3">
      <c r="B42" s="100"/>
      <c r="C42" s="102"/>
      <c r="D42" s="102"/>
      <c r="E42" s="102"/>
      <c r="F42" s="102"/>
      <c r="G42" s="102"/>
      <c r="H42" s="102"/>
      <c r="I42" s="102"/>
      <c r="J42" s="110"/>
      <c r="K42" s="101"/>
      <c r="L42" s="30"/>
    </row>
    <row r="43" spans="2:17" ht="13" x14ac:dyDescent="0.25">
      <c r="B43" s="100"/>
      <c r="C43" s="899"/>
      <c r="D43" s="899"/>
      <c r="E43" s="899"/>
      <c r="F43" s="899"/>
      <c r="G43" s="899"/>
      <c r="H43" s="899"/>
      <c r="I43" s="899"/>
      <c r="J43" s="899"/>
      <c r="K43" s="899"/>
      <c r="L43" s="30"/>
    </row>
    <row r="44" spans="2:17" ht="13" x14ac:dyDescent="0.25">
      <c r="B44" s="100"/>
      <c r="C44" s="899"/>
      <c r="D44" s="899"/>
      <c r="E44" s="899"/>
      <c r="F44" s="899"/>
      <c r="G44" s="899"/>
      <c r="H44" s="899"/>
      <c r="I44" s="899"/>
      <c r="J44" s="899"/>
      <c r="K44" s="899"/>
      <c r="L44" s="30"/>
    </row>
    <row r="45" spans="2:17" x14ac:dyDescent="0.25">
      <c r="B45" s="30"/>
      <c r="C45" s="30"/>
      <c r="D45" s="30"/>
      <c r="E45" s="30"/>
      <c r="F45" s="30"/>
      <c r="G45" s="30"/>
      <c r="H45" s="30"/>
      <c r="I45" s="30"/>
      <c r="J45" s="30"/>
      <c r="K45" s="30"/>
      <c r="L45" s="30"/>
      <c r="M45" s="30"/>
      <c r="N45" s="30"/>
      <c r="O45" s="30"/>
      <c r="P45" s="30"/>
      <c r="Q45" s="30"/>
    </row>
    <row r="46" spans="2:17" x14ac:dyDescent="0.25">
      <c r="B46" s="30"/>
      <c r="C46" s="30"/>
      <c r="D46" s="30"/>
      <c r="E46" s="30"/>
      <c r="F46" s="30"/>
      <c r="G46" s="30"/>
      <c r="H46" s="30"/>
      <c r="I46" s="30"/>
      <c r="J46" s="30"/>
      <c r="K46" s="30"/>
      <c r="L46" s="30"/>
      <c r="M46" s="30"/>
      <c r="N46" s="30"/>
      <c r="O46" s="30"/>
      <c r="P46" s="30"/>
      <c r="Q46" s="30"/>
    </row>
    <row r="47" spans="2:17" x14ac:dyDescent="0.25"/>
    <row r="63" spans="2:18" s="30" customFormat="1" hidden="1" x14ac:dyDescent="0.25">
      <c r="B63"/>
      <c r="C63"/>
      <c r="D63"/>
      <c r="E63"/>
      <c r="F63"/>
      <c r="G63"/>
      <c r="H63"/>
      <c r="I63"/>
      <c r="J63"/>
      <c r="K63"/>
      <c r="L63"/>
      <c r="M63"/>
      <c r="N63"/>
      <c r="O63"/>
      <c r="P63"/>
      <c r="Q63"/>
      <c r="R63"/>
    </row>
    <row r="64" spans="2:18" s="30" customFormat="1" hidden="1" x14ac:dyDescent="0.25">
      <c r="B64"/>
      <c r="C64"/>
      <c r="D64"/>
      <c r="E64"/>
      <c r="F64"/>
      <c r="G64"/>
      <c r="H64"/>
      <c r="I64"/>
      <c r="J64"/>
      <c r="K64"/>
      <c r="L64"/>
      <c r="M64"/>
      <c r="N64"/>
      <c r="O64"/>
      <c r="P64"/>
      <c r="Q64"/>
      <c r="R64"/>
    </row>
    <row r="65" spans="2:18" s="30" customFormat="1" hidden="1" x14ac:dyDescent="0.25">
      <c r="B65"/>
      <c r="C65"/>
      <c r="D65"/>
      <c r="E65"/>
      <c r="F65"/>
      <c r="G65"/>
      <c r="H65"/>
      <c r="I65"/>
      <c r="J65"/>
      <c r="K65"/>
      <c r="L65"/>
      <c r="M65"/>
      <c r="N65"/>
      <c r="O65"/>
      <c r="P65"/>
      <c r="Q65"/>
      <c r="R65"/>
    </row>
    <row r="66" spans="2:18" s="30" customFormat="1" hidden="1" x14ac:dyDescent="0.25">
      <c r="B66"/>
      <c r="C66"/>
      <c r="D66"/>
      <c r="E66"/>
      <c r="F66"/>
      <c r="G66"/>
      <c r="H66"/>
      <c r="I66"/>
      <c r="J66"/>
      <c r="K66"/>
      <c r="L66"/>
      <c r="M66"/>
      <c r="N66"/>
      <c r="O66"/>
      <c r="P66"/>
      <c r="Q66"/>
      <c r="R66"/>
    </row>
  </sheetData>
  <mergeCells count="28">
    <mergeCell ref="F3:K6"/>
    <mergeCell ref="B9:K9"/>
    <mergeCell ref="B15:K15"/>
    <mergeCell ref="J17:K17"/>
    <mergeCell ref="C43:K43"/>
    <mergeCell ref="H39:K39"/>
    <mergeCell ref="H31:K31"/>
    <mergeCell ref="B33:K33"/>
    <mergeCell ref="H35:K35"/>
    <mergeCell ref="H36:K36"/>
    <mergeCell ref="H37:K37"/>
    <mergeCell ref="H38:K38"/>
    <mergeCell ref="C44:K44"/>
    <mergeCell ref="B11:B13"/>
    <mergeCell ref="D11:D13"/>
    <mergeCell ref="J11:K11"/>
    <mergeCell ref="J12:K13"/>
    <mergeCell ref="J19:K19"/>
    <mergeCell ref="J18:K18"/>
    <mergeCell ref="J20:K20"/>
    <mergeCell ref="J21:K21"/>
    <mergeCell ref="J23:K23"/>
    <mergeCell ref="J22:K22"/>
    <mergeCell ref="B25:K25"/>
    <mergeCell ref="H27:K27"/>
    <mergeCell ref="H28:K28"/>
    <mergeCell ref="H29:K29"/>
    <mergeCell ref="H30:K30"/>
  </mergeCells>
  <conditionalFormatting sqref="H11:H13">
    <cfRule type="iconSet" priority="1">
      <iconSet iconSet="3Signs" showValue="0">
        <cfvo type="percent" val="0"/>
        <cfvo type="num" val="50"/>
        <cfvo type="num" val="100"/>
      </iconSet>
    </cfRule>
  </conditionalFormatting>
  <dataValidations count="2">
    <dataValidation type="list" allowBlank="1" showInputMessage="1" showErrorMessage="1" sqref="H11:H13" xr:uid="{859A0654-D240-41C4-8D4C-826B48BE208F}">
      <formula1>INDIRECT("tbl_Status[STATUS]")</formula1>
    </dataValidation>
    <dataValidation type="list" allowBlank="1" showInputMessage="1" showErrorMessage="1" sqref="B28:B31 B36:B39" xr:uid="{15532560-44C1-44BD-BC66-4935EAC0E5D9}">
      <formula1>INDIRECT("tbl_Responsible[Responsible]")</formula1>
    </dataValidation>
  </dataValidations>
  <pageMargins left="0.7" right="0.7" top="0.75" bottom="0.75" header="0.3" footer="0.3"/>
  <pageSetup scale="72" orientation="landscape" r:id="rId1"/>
  <ignoredErrors>
    <ignoredError sqref="H18:H19" unlocked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DBB5B-1585-40F1-AAC2-293C8F503541}">
  <sheetPr codeName="Sheet3"/>
  <dimension ref="A1:Z139"/>
  <sheetViews>
    <sheetView showGridLines="0" zoomScale="89" zoomScaleNormal="89" workbookViewId="0">
      <selection activeCell="F14" sqref="F14:G25"/>
    </sheetView>
  </sheetViews>
  <sheetFormatPr defaultColWidth="0" defaultRowHeight="12.5" zeroHeight="1" x14ac:dyDescent="0.25"/>
  <cols>
    <col min="1" max="1" width="1.54296875" customWidth="1"/>
    <col min="2" max="2" width="21.453125" customWidth="1"/>
    <col min="3" max="3" width="59.1796875" customWidth="1"/>
    <col min="4" max="4" width="10.453125" customWidth="1"/>
    <col min="5" max="5" width="13.453125" customWidth="1"/>
    <col min="6" max="17" width="8.81640625" customWidth="1"/>
    <col min="18" max="18" width="1.81640625" bestFit="1" customWidth="1"/>
    <col min="19" max="19" width="8.81640625" customWidth="1"/>
    <col min="20" max="26" width="0" hidden="1" customWidth="1"/>
    <col min="27" max="16384" width="8.81640625" hidden="1"/>
  </cols>
  <sheetData>
    <row r="1" spans="2:19" x14ac:dyDescent="0.25"/>
    <row r="2" spans="2:19" x14ac:dyDescent="0.25">
      <c r="B2" s="100"/>
      <c r="C2" s="105"/>
      <c r="D2" s="105"/>
      <c r="E2" s="105"/>
      <c r="F2" s="100"/>
      <c r="G2" s="99"/>
      <c r="H2" s="100"/>
      <c r="I2" s="106"/>
      <c r="J2" s="106"/>
      <c r="K2" s="100"/>
      <c r="L2" s="100"/>
      <c r="M2" s="100"/>
      <c r="N2" s="100"/>
      <c r="O2" s="100"/>
      <c r="P2" s="100"/>
      <c r="Q2" s="100"/>
      <c r="R2" s="100"/>
    </row>
    <row r="3" spans="2:19" ht="13.4" customHeight="1" x14ac:dyDescent="0.25">
      <c r="B3" s="100"/>
      <c r="C3" s="107"/>
      <c r="D3" s="107"/>
      <c r="E3" s="910" t="s">
        <v>251</v>
      </c>
      <c r="F3" s="910"/>
      <c r="G3" s="910"/>
      <c r="H3" s="910"/>
      <c r="I3" s="910"/>
      <c r="J3" s="910"/>
      <c r="K3" s="910"/>
      <c r="L3" s="910"/>
      <c r="M3" s="910"/>
      <c r="N3" s="910"/>
      <c r="O3" s="910"/>
      <c r="P3" s="910"/>
      <c r="Q3" s="910"/>
      <c r="R3" s="107"/>
    </row>
    <row r="4" spans="2:19" ht="13.4" customHeight="1" x14ac:dyDescent="0.25">
      <c r="B4" s="100"/>
      <c r="C4" s="107"/>
      <c r="D4" s="107"/>
      <c r="E4" s="910"/>
      <c r="F4" s="910"/>
      <c r="G4" s="910"/>
      <c r="H4" s="910"/>
      <c r="I4" s="910"/>
      <c r="J4" s="910"/>
      <c r="K4" s="910"/>
      <c r="L4" s="910"/>
      <c r="M4" s="910"/>
      <c r="N4" s="910"/>
      <c r="O4" s="910"/>
      <c r="P4" s="910"/>
      <c r="Q4" s="910"/>
      <c r="R4" s="107"/>
    </row>
    <row r="5" spans="2:19" ht="13.4" customHeight="1" x14ac:dyDescent="0.25">
      <c r="B5" s="100"/>
      <c r="C5" s="107"/>
      <c r="D5" s="107"/>
      <c r="E5" s="910"/>
      <c r="F5" s="910"/>
      <c r="G5" s="910"/>
      <c r="H5" s="910"/>
      <c r="I5" s="910"/>
      <c r="J5" s="910"/>
      <c r="K5" s="910"/>
      <c r="L5" s="910"/>
      <c r="M5" s="910"/>
      <c r="N5" s="910"/>
      <c r="O5" s="910"/>
      <c r="P5" s="910"/>
      <c r="Q5" s="910"/>
      <c r="R5" s="107"/>
    </row>
    <row r="6" spans="2:19" ht="13.4" customHeight="1" x14ac:dyDescent="0.25">
      <c r="B6" s="100"/>
      <c r="C6" s="107"/>
      <c r="D6" s="107"/>
      <c r="E6" s="910"/>
      <c r="F6" s="910"/>
      <c r="G6" s="910"/>
      <c r="H6" s="910"/>
      <c r="I6" s="910"/>
      <c r="J6" s="910"/>
      <c r="K6" s="910"/>
      <c r="L6" s="910"/>
      <c r="M6" s="910"/>
      <c r="N6" s="910"/>
      <c r="O6" s="910"/>
      <c r="P6" s="910"/>
      <c r="Q6" s="910"/>
      <c r="R6" s="107"/>
    </row>
    <row r="7" spans="2:19" x14ac:dyDescent="0.25">
      <c r="B7" s="100"/>
      <c r="C7" s="105"/>
      <c r="D7" s="105"/>
      <c r="E7" s="105"/>
      <c r="F7" s="100"/>
      <c r="G7" s="99"/>
      <c r="H7" s="100"/>
      <c r="I7" s="106"/>
      <c r="J7" s="106"/>
      <c r="K7" s="100"/>
      <c r="L7" s="100"/>
      <c r="M7" s="100"/>
      <c r="N7" s="100"/>
      <c r="O7" s="100"/>
      <c r="P7" s="100"/>
      <c r="Q7" s="100"/>
      <c r="R7" s="100"/>
    </row>
    <row r="8" spans="2:19" x14ac:dyDescent="0.25"/>
    <row r="9" spans="2:19" x14ac:dyDescent="0.25"/>
    <row r="10" spans="2:19" x14ac:dyDescent="0.25">
      <c r="B10" s="64" t="s">
        <v>252</v>
      </c>
      <c r="C10" s="88">
        <v>45292</v>
      </c>
      <c r="D10" s="89"/>
      <c r="E10" s="68"/>
      <c r="F10" s="30"/>
      <c r="G10" s="30"/>
      <c r="H10" s="30"/>
      <c r="I10" s="30"/>
      <c r="J10" s="30"/>
      <c r="K10" s="30"/>
      <c r="L10" s="30"/>
      <c r="M10" s="30"/>
      <c r="N10" s="30"/>
      <c r="O10" s="30"/>
      <c r="P10" s="30"/>
      <c r="Q10" s="30"/>
      <c r="R10" s="30"/>
    </row>
    <row r="11" spans="2:19" ht="13" x14ac:dyDescent="0.3">
      <c r="B11" s="38" t="s">
        <v>253</v>
      </c>
      <c r="C11" s="89">
        <v>45657</v>
      </c>
      <c r="D11" s="89"/>
      <c r="E11" s="69" t="s">
        <v>254</v>
      </c>
      <c r="F11" s="30"/>
      <c r="G11" s="30"/>
      <c r="H11" s="30"/>
      <c r="I11" s="30"/>
      <c r="J11" s="30"/>
      <c r="K11" s="30"/>
      <c r="L11" s="30"/>
      <c r="M11" s="30"/>
      <c r="N11" s="30"/>
      <c r="O11" s="30"/>
      <c r="P11" s="30"/>
      <c r="Q11" s="30"/>
      <c r="R11" s="30"/>
    </row>
    <row r="12" spans="2:19" x14ac:dyDescent="0.25">
      <c r="B12" s="30"/>
      <c r="C12" s="58" t="s">
        <v>255</v>
      </c>
      <c r="D12" s="58"/>
      <c r="E12" s="58"/>
      <c r="F12" s="59">
        <f>IFERROR(EOMONTH(F13,-1)+1,"")</f>
        <v>45292</v>
      </c>
      <c r="G12" s="59">
        <f t="shared" ref="G12:Q12" si="0">IFERROR(EOMONTH(G13,-1)+1,"")</f>
        <v>45323</v>
      </c>
      <c r="H12" s="59">
        <f t="shared" si="0"/>
        <v>45352</v>
      </c>
      <c r="I12" s="59">
        <f t="shared" si="0"/>
        <v>45383</v>
      </c>
      <c r="J12" s="59">
        <f t="shared" si="0"/>
        <v>45413</v>
      </c>
      <c r="K12" s="59">
        <f t="shared" si="0"/>
        <v>45444</v>
      </c>
      <c r="L12" s="59">
        <f t="shared" si="0"/>
        <v>45474</v>
      </c>
      <c r="M12" s="59">
        <f t="shared" si="0"/>
        <v>45505</v>
      </c>
      <c r="N12" s="59">
        <f t="shared" si="0"/>
        <v>45536</v>
      </c>
      <c r="O12" s="59">
        <f t="shared" si="0"/>
        <v>45566</v>
      </c>
      <c r="P12" s="59">
        <f t="shared" si="0"/>
        <v>45597</v>
      </c>
      <c r="Q12" s="59">
        <f t="shared" si="0"/>
        <v>45627</v>
      </c>
      <c r="R12" s="108"/>
    </row>
    <row r="13" spans="2:19" x14ac:dyDescent="0.25">
      <c r="B13" s="30"/>
      <c r="C13" s="60" t="s">
        <v>256</v>
      </c>
      <c r="D13" s="65" t="s">
        <v>257</v>
      </c>
      <c r="E13" s="65" t="s">
        <v>91</v>
      </c>
      <c r="F13" s="39">
        <f>EOMONTH(C10,0)</f>
        <v>45322</v>
      </c>
      <c r="G13" s="39">
        <f>IFERROR(IF(EOMONTH(F13,1)&gt;$C$11,"",EOMONTH(F13,1)),"")</f>
        <v>45351</v>
      </c>
      <c r="H13" s="39">
        <f t="shared" ref="H13:N13" si="1">IFERROR(IF(EOMONTH(G13,1)&gt;$C$11,"",EOMONTH(G13,1)),"")</f>
        <v>45382</v>
      </c>
      <c r="I13" s="39">
        <f t="shared" si="1"/>
        <v>45412</v>
      </c>
      <c r="J13" s="39">
        <f t="shared" si="1"/>
        <v>45443</v>
      </c>
      <c r="K13" s="39">
        <f t="shared" si="1"/>
        <v>45473</v>
      </c>
      <c r="L13" s="39">
        <f t="shared" si="1"/>
        <v>45504</v>
      </c>
      <c r="M13" s="39">
        <f t="shared" si="1"/>
        <v>45535</v>
      </c>
      <c r="N13" s="39">
        <f t="shared" si="1"/>
        <v>45565</v>
      </c>
      <c r="O13" s="39">
        <f t="shared" ref="O13:Q13" si="2">IFERROR(IF(EOMONTH(N13,1)&gt;$C$11,"",EOMONTH(N13,1)),"")</f>
        <v>45596</v>
      </c>
      <c r="P13" s="39">
        <f t="shared" si="2"/>
        <v>45626</v>
      </c>
      <c r="Q13" s="39">
        <f t="shared" si="2"/>
        <v>45657</v>
      </c>
      <c r="R13" s="109"/>
      <c r="S13" s="37"/>
    </row>
    <row r="14" spans="2:19" x14ac:dyDescent="0.25">
      <c r="B14" s="913" t="str">
        <f>CONCATENATE('Project Plan'!$B$11,": ",'Project Plan'!$C$11)</f>
        <v>CD1: Client Engagement &amp; Retention</v>
      </c>
      <c r="C14" s="61" t="str">
        <f>'Project Plan'!D11</f>
        <v>CD1.1 Establish Baseline (for the 3 metrics)</v>
      </c>
      <c r="D14" s="61" t="s">
        <v>258</v>
      </c>
      <c r="E14" s="66" t="str">
        <f>'Project Plan'!G11</f>
        <v>Stanton</v>
      </c>
      <c r="F14" s="31" t="str">
        <f>IF(AND('Project Plan'!$E11&lt;=Timeline!F$12,'Project Plan'!$F11&gt;=Timeline!F$13),$D14,0)</f>
        <v>Completed</v>
      </c>
      <c r="G14" s="31" t="str">
        <f>IF(AND('Project Plan'!$E11&lt;=Timeline!G$12,'Project Plan'!$F11&gt;=Timeline!G$13),$D14,0)</f>
        <v>Completed</v>
      </c>
      <c r="H14" s="31">
        <f>IF(AND('Project Plan'!$E11&lt;=Timeline!H$12,'Project Plan'!$F11&gt;=Timeline!H$13),$D14,0)</f>
        <v>0</v>
      </c>
      <c r="I14" s="31">
        <f>IF(AND('Project Plan'!$E11&lt;=Timeline!I$12,'Project Plan'!$F11&gt;=Timeline!I$13),$D14,0)</f>
        <v>0</v>
      </c>
      <c r="J14" s="31">
        <f>IF(AND('Project Plan'!$E11&lt;=Timeline!J$12,'Project Plan'!$F11&gt;=Timeline!J$13),$D14,0)</f>
        <v>0</v>
      </c>
      <c r="K14" s="31">
        <f>IF(AND('Project Plan'!$E11&lt;=Timeline!K$12,'Project Plan'!$F11&gt;=Timeline!K$13),$D14,0)</f>
        <v>0</v>
      </c>
      <c r="L14" s="31">
        <f>IF(AND('Project Plan'!$E11&lt;=Timeline!L$12,'Project Plan'!$F11&gt;=Timeline!L$13),$D14,0)</f>
        <v>0</v>
      </c>
      <c r="M14" s="31">
        <f>IF(AND('Project Plan'!$E11&lt;=Timeline!M$12,'Project Plan'!$F11&gt;=Timeline!M$13),$D14,0)</f>
        <v>0</v>
      </c>
      <c r="N14" s="31">
        <f>IF(AND('Project Plan'!$E11&lt;=Timeline!N$12,'Project Plan'!$F11&gt;=Timeline!N$13),$D14,0)</f>
        <v>0</v>
      </c>
      <c r="O14" s="31">
        <f>IF(AND('Project Plan'!$E11&lt;=Timeline!O$12,'Project Plan'!$F11&gt;=Timeline!O$13),$D14,0)</f>
        <v>0</v>
      </c>
      <c r="P14" s="31">
        <f>IF(AND('Project Plan'!$E11&lt;=Timeline!P$12,'Project Plan'!$F11&gt;=Timeline!P$13),$D14,0)</f>
        <v>0</v>
      </c>
      <c r="Q14" s="31">
        <f>IF(AND('Project Plan'!$E11&lt;=Timeline!Q$12,'Project Plan'!$F11&gt;=Timeline!Q$13),$D14,0)</f>
        <v>0</v>
      </c>
      <c r="R14" s="30"/>
    </row>
    <row r="15" spans="2:19" x14ac:dyDescent="0.25">
      <c r="B15" s="913"/>
      <c r="C15" s="61" t="str">
        <f>'Project Plan'!D12</f>
        <v>CD1.2 Finish and get approval on customer outreach plan</v>
      </c>
      <c r="D15" s="63" t="s">
        <v>258</v>
      </c>
      <c r="E15" s="66" t="str">
        <f>'Project Plan'!G12</f>
        <v>Stanton</v>
      </c>
      <c r="F15" s="31">
        <f>IF(AND('Project Plan'!$E12&lt;=Timeline!F$12,'Project Plan'!$F12&gt;=Timeline!F$13),$D15,0)</f>
        <v>0</v>
      </c>
      <c r="G15" s="31" t="str">
        <f>IF(AND('Project Plan'!$E12&lt;=Timeline!G$12,'Project Plan'!$F12&gt;=Timeline!G$13),$D15,0)</f>
        <v>Completed</v>
      </c>
      <c r="H15" s="31">
        <f>IF(AND('Project Plan'!$E12&lt;=Timeline!H$12,'Project Plan'!$F12&gt;=Timeline!H$13),$D15,0)</f>
        <v>0</v>
      </c>
      <c r="I15" s="31">
        <f>IF(AND('Project Plan'!$E12&lt;=Timeline!I$12,'Project Plan'!$F12&gt;=Timeline!I$13),$D15,0)</f>
        <v>0</v>
      </c>
      <c r="J15" s="31">
        <f>IF(AND('Project Plan'!$E12&lt;=Timeline!J$12,'Project Plan'!$F12&gt;=Timeline!J$13),$D15,0)</f>
        <v>0</v>
      </c>
      <c r="K15" s="31">
        <f>IF(AND('Project Plan'!$E12&lt;=Timeline!K$12,'Project Plan'!$F12&gt;=Timeline!K$13),$D15,0)</f>
        <v>0</v>
      </c>
      <c r="L15" s="31">
        <f>IF(AND('Project Plan'!$E12&lt;=Timeline!L$12,'Project Plan'!$F12&gt;=Timeline!L$13),$D15,0)</f>
        <v>0</v>
      </c>
      <c r="M15" s="31">
        <f>IF(AND('Project Plan'!$E12&lt;=Timeline!M$12,'Project Plan'!$F12&gt;=Timeline!M$13),$D15,0)</f>
        <v>0</v>
      </c>
      <c r="N15" s="31">
        <f>IF(AND('Project Plan'!$E12&lt;=Timeline!N$12,'Project Plan'!$F12&gt;=Timeline!N$13),$D15,0)</f>
        <v>0</v>
      </c>
      <c r="O15" s="31">
        <f>IF(AND('Project Plan'!$E12&lt;=Timeline!O$12,'Project Plan'!$F12&gt;=Timeline!O$13),$D15,0)</f>
        <v>0</v>
      </c>
      <c r="P15" s="31">
        <f>IF(AND('Project Plan'!$E12&lt;=Timeline!P$12,'Project Plan'!$F12&gt;=Timeline!P$13),$D15,0)</f>
        <v>0</v>
      </c>
      <c r="Q15" s="31">
        <f>IF(AND('Project Plan'!$E12&lt;=Timeline!Q$12,'Project Plan'!$F12&gt;=Timeline!Q$13),$D15,0)</f>
        <v>0</v>
      </c>
      <c r="R15" s="30"/>
    </row>
    <row r="16" spans="2:19" x14ac:dyDescent="0.25">
      <c r="B16" s="913"/>
      <c r="C16" s="61" t="str">
        <f>'Project Plan'!D13</f>
        <v xml:space="preserve">CD1.3 Recruit part time "Client Engagement" personnel </v>
      </c>
      <c r="D16" s="63" t="s">
        <v>258</v>
      </c>
      <c r="E16" s="66" t="str">
        <f>'Project Plan'!G13</f>
        <v>Brauer</v>
      </c>
      <c r="F16" s="31">
        <f>IF(AND('Project Plan'!$E13&lt;=Timeline!F$12,'Project Plan'!$F13&gt;=Timeline!F$13),$D16,0)</f>
        <v>0</v>
      </c>
      <c r="G16" s="31">
        <f>IF(AND('Project Plan'!$E13&lt;=Timeline!G$12,'Project Plan'!$F13&gt;=Timeline!G$13),$D16,0)</f>
        <v>0</v>
      </c>
      <c r="H16" s="31" t="str">
        <f>IF(AND('Project Plan'!$E13&lt;=Timeline!H$12,'Project Plan'!$F13&gt;=Timeline!H$13),$D16,0)</f>
        <v>Completed</v>
      </c>
      <c r="I16" s="31">
        <f>IF(AND('Project Plan'!$E13&lt;=Timeline!I$12,'Project Plan'!$F13&gt;=Timeline!I$13),$D16,0)</f>
        <v>0</v>
      </c>
      <c r="J16" s="31">
        <f>IF(AND('Project Plan'!$E13&lt;=Timeline!J$12,'Project Plan'!$F13&gt;=Timeline!J$13),$D16,0)</f>
        <v>0</v>
      </c>
      <c r="K16" s="31">
        <f>IF(AND('Project Plan'!$E13&lt;=Timeline!K$12,'Project Plan'!$F13&gt;=Timeline!K$13),$D16,0)</f>
        <v>0</v>
      </c>
      <c r="L16" s="31">
        <f>IF(AND('Project Plan'!$E13&lt;=Timeline!L$12,'Project Plan'!$F13&gt;=Timeline!L$13),$D16,0)</f>
        <v>0</v>
      </c>
      <c r="M16" s="31">
        <f>IF(AND('Project Plan'!$E13&lt;=Timeline!M$12,'Project Plan'!$F13&gt;=Timeline!M$13),$D16,0)</f>
        <v>0</v>
      </c>
      <c r="N16" s="31">
        <f>IF(AND('Project Plan'!$E13&lt;=Timeline!N$12,'Project Plan'!$F13&gt;=Timeline!N$13),$D16,0)</f>
        <v>0</v>
      </c>
      <c r="O16" s="31">
        <f>IF(AND('Project Plan'!$E13&lt;=Timeline!O$12,'Project Plan'!$F13&gt;=Timeline!O$13),$D16,0)</f>
        <v>0</v>
      </c>
      <c r="P16" s="31">
        <f>IF(AND('Project Plan'!$E13&lt;=Timeline!P$12,'Project Plan'!$F13&gt;=Timeline!P$13),$D16,0)</f>
        <v>0</v>
      </c>
      <c r="Q16" s="31">
        <f>IF(AND('Project Plan'!$E13&lt;=Timeline!Q$12,'Project Plan'!$F13&gt;=Timeline!Q$13),$D16,0)</f>
        <v>0</v>
      </c>
      <c r="R16" s="30"/>
    </row>
    <row r="17" spans="2:18" x14ac:dyDescent="0.25">
      <c r="B17" s="913"/>
      <c r="C17" s="61" t="str">
        <f>'Project Plan'!D14</f>
        <v>CD1.4 Develop plan for client engagement with others</v>
      </c>
      <c r="D17" s="63" t="s">
        <v>258</v>
      </c>
      <c r="E17" s="66" t="str">
        <f>'Project Plan'!G14</f>
        <v>Stanton</v>
      </c>
      <c r="F17" s="31">
        <f>IF(AND('Project Plan'!$E14&lt;=Timeline!F$12,'Project Plan'!$F14&gt;=Timeline!F$13),$D17,0)</f>
        <v>0</v>
      </c>
      <c r="G17" s="31">
        <f>IF(AND('Project Plan'!$E14&lt;=Timeline!G$12,'Project Plan'!$F14&gt;=Timeline!G$13),$D17,0)</f>
        <v>0</v>
      </c>
      <c r="H17" s="31">
        <f>IF(AND('Project Plan'!$E14&lt;=Timeline!H$12,'Project Plan'!$F14&gt;=Timeline!H$13),$D17,0)</f>
        <v>0</v>
      </c>
      <c r="I17" s="31" t="str">
        <f>IF(AND('Project Plan'!$E14&lt;=Timeline!I$12,'Project Plan'!$F14&gt;=Timeline!I$13),$D17,0)</f>
        <v>Completed</v>
      </c>
      <c r="J17" s="31">
        <f>IF(AND('Project Plan'!$E14&lt;=Timeline!J$12,'Project Plan'!$F14&gt;=Timeline!J$13),$D17,0)</f>
        <v>0</v>
      </c>
      <c r="K17" s="31">
        <f>IF(AND('Project Plan'!$E14&lt;=Timeline!K$12,'Project Plan'!$F14&gt;=Timeline!K$13),$D17,0)</f>
        <v>0</v>
      </c>
      <c r="L17" s="31">
        <f>IF(AND('Project Plan'!$E14&lt;=Timeline!L$12,'Project Plan'!$F14&gt;=Timeline!L$13),$D17,0)</f>
        <v>0</v>
      </c>
      <c r="M17" s="31">
        <f>IF(AND('Project Plan'!$E14&lt;=Timeline!M$12,'Project Plan'!$F14&gt;=Timeline!M$13),$D17,0)</f>
        <v>0</v>
      </c>
      <c r="N17" s="31">
        <f>IF(AND('Project Plan'!$E14&lt;=Timeline!N$12,'Project Plan'!$F14&gt;=Timeline!N$13),$D17,0)</f>
        <v>0</v>
      </c>
      <c r="O17" s="31">
        <f>IF(AND('Project Plan'!$E14&lt;=Timeline!O$12,'Project Plan'!$F14&gt;=Timeline!O$13),$D17,0)</f>
        <v>0</v>
      </c>
      <c r="P17" s="31">
        <f>IF(AND('Project Plan'!$E14&lt;=Timeline!P$12,'Project Plan'!$F14&gt;=Timeline!P$13),$D17,0)</f>
        <v>0</v>
      </c>
      <c r="Q17" s="31">
        <f>IF(AND('Project Plan'!$E14&lt;=Timeline!Q$12,'Project Plan'!$F14&gt;=Timeline!Q$13),$D17,0)</f>
        <v>0</v>
      </c>
      <c r="R17" s="30"/>
    </row>
    <row r="18" spans="2:18" x14ac:dyDescent="0.25">
      <c r="B18" s="913"/>
      <c r="C18" s="61" t="str">
        <f>'Project Plan'!D15</f>
        <v>CD1.5 Establish process to report rolling 12 month metrics</v>
      </c>
      <c r="D18" s="63" t="s">
        <v>258</v>
      </c>
      <c r="E18" s="66" t="str">
        <f>'Project Plan'!G15</f>
        <v>Stanton</v>
      </c>
      <c r="F18" s="31">
        <f>IF(AND('Project Plan'!$E15&lt;=Timeline!F$12,'Project Plan'!$F15&gt;=Timeline!F$13),$D18,0)</f>
        <v>0</v>
      </c>
      <c r="G18" s="31">
        <f>IF(AND('Project Plan'!$E15&lt;=Timeline!G$12,'Project Plan'!$F15&gt;=Timeline!G$13),$D18,0)</f>
        <v>0</v>
      </c>
      <c r="H18" s="31">
        <f>IF(AND('Project Plan'!$E15&lt;=Timeline!H$12,'Project Plan'!$F15&gt;=Timeline!H$13),$D18,0)</f>
        <v>0</v>
      </c>
      <c r="I18" s="31">
        <f>IF(AND('Project Plan'!$E15&lt;=Timeline!I$12,'Project Plan'!$F15&gt;=Timeline!I$13),$D18,0)</f>
        <v>0</v>
      </c>
      <c r="J18" s="31">
        <f>IF(AND('Project Plan'!$E15&lt;=Timeline!J$12,'Project Plan'!$F15&gt;=Timeline!J$13),$D18,0)</f>
        <v>0</v>
      </c>
      <c r="K18" s="31" t="str">
        <f>IF(AND('Project Plan'!$E15&lt;=Timeline!K$12,'Project Plan'!$F15&gt;=Timeline!K$13),$D18,0)</f>
        <v>Completed</v>
      </c>
      <c r="L18" s="31" t="str">
        <f>IF(AND('Project Plan'!$E15&lt;=Timeline!L$12,'Project Plan'!$F15&gt;=Timeline!L$13),$D18,0)</f>
        <v>Completed</v>
      </c>
      <c r="M18" s="31" t="str">
        <f>IF(AND('Project Plan'!$E15&lt;=Timeline!M$12,'Project Plan'!$F15&gt;=Timeline!M$13),$D18,0)</f>
        <v>Completed</v>
      </c>
      <c r="N18" s="31" t="str">
        <f>IF(AND('Project Plan'!$E15&lt;=Timeline!N$12,'Project Plan'!$F15&gt;=Timeline!N$13),$D18,0)</f>
        <v>Completed</v>
      </c>
      <c r="O18" s="31" t="str">
        <f>IF(AND('Project Plan'!$E15&lt;=Timeline!O$12,'Project Plan'!$F15&gt;=Timeline!O$13),$D18,0)</f>
        <v>Completed</v>
      </c>
      <c r="P18" s="31" t="str">
        <f>IF(AND('Project Plan'!$E15&lt;=Timeline!P$12,'Project Plan'!$F15&gt;=Timeline!P$13),$D18,0)</f>
        <v>Completed</v>
      </c>
      <c r="Q18" s="31" t="str">
        <f>IF(AND('Project Plan'!$E15&lt;=Timeline!Q$12,'Project Plan'!$F15&gt;=Timeline!Q$13),$D18,0)</f>
        <v>Completed</v>
      </c>
      <c r="R18" s="30"/>
    </row>
    <row r="19" spans="2:18" x14ac:dyDescent="0.25">
      <c r="B19" s="913"/>
      <c r="C19" s="61" t="str">
        <f>'Project Plan'!D16</f>
        <v>CD1.6 Measure progress (10% $, 0 dropped, +15% referrals)</v>
      </c>
      <c r="D19" s="63" t="s">
        <v>259</v>
      </c>
      <c r="E19" s="66" t="str">
        <f>'Project Plan'!G16</f>
        <v>Stanton</v>
      </c>
      <c r="F19" s="31">
        <f>IF(AND('Project Plan'!$E16&lt;=Timeline!F$12,'Project Plan'!$F16&gt;=Timeline!F$13),$D19,0)</f>
        <v>0</v>
      </c>
      <c r="G19" s="31">
        <f>IF(AND('Project Plan'!$E16&lt;=Timeline!G$12,'Project Plan'!$F16&gt;=Timeline!G$13),$D19,0)</f>
        <v>0</v>
      </c>
      <c r="H19" s="31">
        <f>IF(AND('Project Plan'!$E16&lt;=Timeline!H$12,'Project Plan'!$F16&gt;=Timeline!H$13),$D19,0)</f>
        <v>0</v>
      </c>
      <c r="I19" s="31">
        <f>IF(AND('Project Plan'!$E16&lt;=Timeline!I$12,'Project Plan'!$F16&gt;=Timeline!I$13),$D19,0)</f>
        <v>0</v>
      </c>
      <c r="J19" s="31">
        <f>IF(AND('Project Plan'!$E16&lt;=Timeline!J$12,'Project Plan'!$F16&gt;=Timeline!J$13),$D19,0)</f>
        <v>0</v>
      </c>
      <c r="K19" s="31" t="str">
        <f>IF(AND('Project Plan'!$E16&lt;=Timeline!K$12,'Project Plan'!$F16&gt;=Timeline!K$13),$D19,0)</f>
        <v>On Track</v>
      </c>
      <c r="L19" s="31" t="str">
        <f>IF(AND('Project Plan'!$E16&lt;=Timeline!L$12,'Project Plan'!$F16&gt;=Timeline!L$13),$D19,0)</f>
        <v>On Track</v>
      </c>
      <c r="M19" s="31" t="str">
        <f>IF(AND('Project Plan'!$E16&lt;=Timeline!M$12,'Project Plan'!$F16&gt;=Timeline!M$13),$D19,0)</f>
        <v>On Track</v>
      </c>
      <c r="N19" s="31" t="str">
        <f>IF(AND('Project Plan'!$E16&lt;=Timeline!N$12,'Project Plan'!$F16&gt;=Timeline!N$13),$D19,0)</f>
        <v>On Track</v>
      </c>
      <c r="O19" s="31" t="str">
        <f>IF(AND('Project Plan'!$E16&lt;=Timeline!O$12,'Project Plan'!$F16&gt;=Timeline!O$13),$D19,0)</f>
        <v>On Track</v>
      </c>
      <c r="P19" s="31" t="str">
        <f>IF(AND('Project Plan'!$E16&lt;=Timeline!P$12,'Project Plan'!$F16&gt;=Timeline!P$13),$D19,0)</f>
        <v>On Track</v>
      </c>
      <c r="Q19" s="31" t="str">
        <f>IF(AND('Project Plan'!$E16&lt;=Timeline!Q$12,'Project Plan'!$F16&gt;=Timeline!Q$13),$D19,0)</f>
        <v>On Track</v>
      </c>
      <c r="R19" s="30"/>
    </row>
    <row r="20" spans="2:18" x14ac:dyDescent="0.25">
      <c r="B20" s="913"/>
      <c r="C20" s="61" t="str">
        <f>'Project Plan'!D17</f>
        <v>CD1.7 Create client personas (End User, Influencer, Decision Maker)</v>
      </c>
      <c r="D20" s="63" t="s">
        <v>260</v>
      </c>
      <c r="E20" s="66" t="str">
        <f>'Project Plan'!G17</f>
        <v>Stanton</v>
      </c>
      <c r="F20" s="31">
        <f>IF(AND('Project Plan'!$E17&lt;=Timeline!F$12,'Project Plan'!$F17&gt;=Timeline!F$13),$D20,0)</f>
        <v>0</v>
      </c>
      <c r="G20" s="31" t="str">
        <f>IF(AND('Project Plan'!$E17&lt;=Timeline!G$12,'Project Plan'!$F17&gt;=Timeline!G$13),$D20,0)</f>
        <v>Delayed</v>
      </c>
      <c r="H20" s="31">
        <f>IF(AND('Project Plan'!$E17&lt;=Timeline!H$12,'Project Plan'!$F17&gt;=Timeline!H$13),$D20,0)</f>
        <v>0</v>
      </c>
      <c r="I20" s="31">
        <f>IF(AND('Project Plan'!$E17&lt;=Timeline!I$12,'Project Plan'!$F17&gt;=Timeline!I$13),$D20,0)</f>
        <v>0</v>
      </c>
      <c r="J20" s="31">
        <f>IF(AND('Project Plan'!$E17&lt;=Timeline!J$12,'Project Plan'!$F17&gt;=Timeline!J$13),$D20,0)</f>
        <v>0</v>
      </c>
      <c r="K20" s="31">
        <f>IF(AND('Project Plan'!$E17&lt;=Timeline!K$12,'Project Plan'!$F17&gt;=Timeline!K$13),$D20,0)</f>
        <v>0</v>
      </c>
      <c r="L20" s="31">
        <f>IF(AND('Project Plan'!$E17&lt;=Timeline!L$12,'Project Plan'!$F17&gt;=Timeline!L$13),$D20,0)</f>
        <v>0</v>
      </c>
      <c r="M20" s="31">
        <f>IF(AND('Project Plan'!$E17&lt;=Timeline!M$12,'Project Plan'!$F17&gt;=Timeline!M$13),$D20,0)</f>
        <v>0</v>
      </c>
      <c r="N20" s="31">
        <f>IF(AND('Project Plan'!$E17&lt;=Timeline!N$12,'Project Plan'!$F17&gt;=Timeline!N$13),$D20,0)</f>
        <v>0</v>
      </c>
      <c r="O20" s="31">
        <f>IF(AND('Project Plan'!$E17&lt;=Timeline!O$12,'Project Plan'!$F17&gt;=Timeline!O$13),$D20,0)</f>
        <v>0</v>
      </c>
      <c r="P20" s="31">
        <f>IF(AND('Project Plan'!$E17&lt;=Timeline!P$12,'Project Plan'!$F17&gt;=Timeline!P$13),$D20,0)</f>
        <v>0</v>
      </c>
      <c r="Q20" s="31">
        <f>IF(AND('Project Plan'!$E17&lt;=Timeline!Q$12,'Project Plan'!$F17&gt;=Timeline!Q$13),$D20,0)</f>
        <v>0</v>
      </c>
      <c r="R20" s="30"/>
    </row>
    <row r="21" spans="2:18" x14ac:dyDescent="0.25">
      <c r="B21" s="913"/>
      <c r="C21" s="61" t="str">
        <f>'Project Plan'!D18</f>
        <v>CD1.8 Incorporate V1 stewardship data in messaging</v>
      </c>
      <c r="D21" s="63" t="s">
        <v>259</v>
      </c>
      <c r="E21" s="66" t="str">
        <f>'Project Plan'!G18</f>
        <v>Grant</v>
      </c>
      <c r="F21" s="31">
        <f>IF(AND('Project Plan'!$E18&lt;=Timeline!F$12,'Project Plan'!$F18&gt;=Timeline!F$13),$D21,0)</f>
        <v>0</v>
      </c>
      <c r="G21" s="31">
        <f>IF(AND('Project Plan'!$E18&lt;=Timeline!G$12,'Project Plan'!$F18&gt;=Timeline!G$13),$D21,0)</f>
        <v>0</v>
      </c>
      <c r="H21" s="31">
        <f>IF(AND('Project Plan'!$E18&lt;=Timeline!H$12,'Project Plan'!$F18&gt;=Timeline!H$13),$D21,0)</f>
        <v>0</v>
      </c>
      <c r="I21" s="31" t="str">
        <f>IF(AND('Project Plan'!$E18&lt;=Timeline!I$12,'Project Plan'!$F18&gt;=Timeline!I$13),$D21,0)</f>
        <v>On Track</v>
      </c>
      <c r="J21" s="31" t="str">
        <f>IF(AND('Project Plan'!$E18&lt;=Timeline!J$12,'Project Plan'!$F18&gt;=Timeline!J$13),$D21,0)</f>
        <v>On Track</v>
      </c>
      <c r="K21" s="31" t="str">
        <f>IF(AND('Project Plan'!$E18&lt;=Timeline!K$12,'Project Plan'!$F18&gt;=Timeline!K$13),$D21,0)</f>
        <v>On Track</v>
      </c>
      <c r="L21" s="31" t="str">
        <f>IF(AND('Project Plan'!$E18&lt;=Timeline!L$12,'Project Plan'!$F18&gt;=Timeline!L$13),$D21,0)</f>
        <v>On Track</v>
      </c>
      <c r="M21" s="31" t="str">
        <f>IF(AND('Project Plan'!$E18&lt;=Timeline!M$12,'Project Plan'!$F18&gt;=Timeline!M$13),$D21,0)</f>
        <v>On Track</v>
      </c>
      <c r="N21" s="31" t="str">
        <f>IF(AND('Project Plan'!$E18&lt;=Timeline!N$12,'Project Plan'!$F18&gt;=Timeline!N$13),$D21,0)</f>
        <v>On Track</v>
      </c>
      <c r="O21" s="31">
        <f>IF(AND('Project Plan'!$E18&lt;=Timeline!O$12,'Project Plan'!$F18&gt;=Timeline!O$13),$D21,0)</f>
        <v>0</v>
      </c>
      <c r="P21" s="31">
        <f>IF(AND('Project Plan'!$E18&lt;=Timeline!P$12,'Project Plan'!$F18&gt;=Timeline!P$13),$D21,0)</f>
        <v>0</v>
      </c>
      <c r="Q21" s="31">
        <f>IF(AND('Project Plan'!$E18&lt;=Timeline!Q$12,'Project Plan'!$F18&gt;=Timeline!Q$13),$D21,0)</f>
        <v>0</v>
      </c>
      <c r="R21" s="30"/>
    </row>
    <row r="22" spans="2:18" x14ac:dyDescent="0.25">
      <c r="B22" s="914"/>
      <c r="C22" s="61" t="str">
        <f>'Project Plan'!D19</f>
        <v>CD 1.9 Incorporate NEW stewardship data in messaging</v>
      </c>
      <c r="D22" s="63" t="s">
        <v>259</v>
      </c>
      <c r="E22" s="66" t="str">
        <f>'Project Plan'!G19</f>
        <v>Grant</v>
      </c>
      <c r="F22" s="31">
        <f>IF(AND('Project Plan'!$E19&lt;=Timeline!F$12,'Project Plan'!$F19&gt;=Timeline!F$13),$D22,0)</f>
        <v>0</v>
      </c>
      <c r="G22" s="31">
        <f>IF(AND('Project Plan'!$E19&lt;=Timeline!G$12,'Project Plan'!$F19&gt;=Timeline!G$13),$D22,0)</f>
        <v>0</v>
      </c>
      <c r="H22" s="31">
        <f>IF(AND('Project Plan'!$E19&lt;=Timeline!H$12,'Project Plan'!$F19&gt;=Timeline!H$13),$D22,0)</f>
        <v>0</v>
      </c>
      <c r="I22" s="31">
        <f>IF(AND('Project Plan'!$E19&lt;=Timeline!I$12,'Project Plan'!$F19&gt;=Timeline!I$13),$D22,0)</f>
        <v>0</v>
      </c>
      <c r="J22" s="31">
        <f>IF(AND('Project Plan'!$E19&lt;=Timeline!J$12,'Project Plan'!$F19&gt;=Timeline!J$13),$D22,0)</f>
        <v>0</v>
      </c>
      <c r="K22" s="31">
        <f>IF(AND('Project Plan'!$E19&lt;=Timeline!K$12,'Project Plan'!$F19&gt;=Timeline!K$13),$D22,0)</f>
        <v>0</v>
      </c>
      <c r="L22" s="31">
        <f>IF(AND('Project Plan'!$E19&lt;=Timeline!L$12,'Project Plan'!$F19&gt;=Timeline!L$13),$D22,0)</f>
        <v>0</v>
      </c>
      <c r="M22" s="31">
        <f>IF(AND('Project Plan'!$E19&lt;=Timeline!M$12,'Project Plan'!$F19&gt;=Timeline!M$13),$D22,0)</f>
        <v>0</v>
      </c>
      <c r="N22" s="31">
        <f>IF(AND('Project Plan'!$E19&lt;=Timeline!N$12,'Project Plan'!$F19&gt;=Timeline!N$13),$D22,0)</f>
        <v>0</v>
      </c>
      <c r="O22" s="31" t="str">
        <f>IF(AND('Project Plan'!$E19&lt;=Timeline!O$12,'Project Plan'!$F19&gt;=Timeline!O$13),$D22,0)</f>
        <v>On Track</v>
      </c>
      <c r="P22" s="31" t="str">
        <f>IF(AND('Project Plan'!$E19&lt;=Timeline!P$12,'Project Plan'!$F19&gt;=Timeline!P$13),$D22,0)</f>
        <v>On Track</v>
      </c>
      <c r="Q22" s="31" t="str">
        <f>IF(AND('Project Plan'!$E19&lt;=Timeline!Q$12,'Project Plan'!$F19&gt;=Timeline!Q$13),$D22,0)</f>
        <v>On Track</v>
      </c>
      <c r="R22" s="30"/>
    </row>
    <row r="23" spans="2:18" x14ac:dyDescent="0.25">
      <c r="B23" s="915" t="str">
        <f>CONCATENATE('Project Plan'!$B$20,": ",'Project Plan'!$C$20)</f>
        <v>CD2: Expand EIP</v>
      </c>
      <c r="C23" s="63" t="str">
        <f>'Project Plan'!D20</f>
        <v xml:space="preserve">CD2.1 Hire and train a RN </v>
      </c>
      <c r="D23" s="63" t="s">
        <v>258</v>
      </c>
      <c r="E23" s="67" t="str">
        <f>'Project Plan'!G20</f>
        <v>Rost</v>
      </c>
      <c r="F23" s="31" t="str">
        <f>IF(AND('Project Plan'!$E20&lt;=Timeline!F$12,'Project Plan'!$F20&gt;=Timeline!F$13),$D23,0)</f>
        <v>Completed</v>
      </c>
      <c r="G23" s="31" t="str">
        <f>IF(AND('Project Plan'!$E20&lt;=Timeline!G$12,'Project Plan'!$F20&gt;=Timeline!G$13),$D23,0)</f>
        <v>Completed</v>
      </c>
      <c r="H23" s="31">
        <f>IF(AND('Project Plan'!$E20&lt;=Timeline!H$12,'Project Plan'!$F20&gt;=Timeline!H$13),$D23,0)</f>
        <v>0</v>
      </c>
      <c r="I23" s="31">
        <f>IF(AND('Project Plan'!$E20&lt;=Timeline!I$12,'Project Plan'!$F20&gt;=Timeline!I$13),$D23,0)</f>
        <v>0</v>
      </c>
      <c r="J23" s="31">
        <f>IF(AND('Project Plan'!$E20&lt;=Timeline!J$12,'Project Plan'!$F20&gt;=Timeline!J$13),$D23,0)</f>
        <v>0</v>
      </c>
      <c r="K23" s="31">
        <f>IF(AND('Project Plan'!$E20&lt;=Timeline!K$12,'Project Plan'!$F20&gt;=Timeline!K$13),$D23,0)</f>
        <v>0</v>
      </c>
      <c r="L23" s="31">
        <f>IF(AND('Project Plan'!$E20&lt;=Timeline!L$12,'Project Plan'!$F20&gt;=Timeline!L$13),$D23,0)</f>
        <v>0</v>
      </c>
      <c r="M23" s="31">
        <f>IF(AND('Project Plan'!$E20&lt;=Timeline!M$12,'Project Plan'!$F20&gt;=Timeline!M$13),$D23,0)</f>
        <v>0</v>
      </c>
      <c r="N23" s="31">
        <f>IF(AND('Project Plan'!$E20&lt;=Timeline!N$12,'Project Plan'!$F20&gt;=Timeline!N$13),$D23,0)</f>
        <v>0</v>
      </c>
      <c r="O23" s="31">
        <f>IF(AND('Project Plan'!$E20&lt;=Timeline!O$12,'Project Plan'!$F20&gt;=Timeline!O$13),$D23,0)</f>
        <v>0</v>
      </c>
      <c r="P23" s="31">
        <f>IF(AND('Project Plan'!$E20&lt;=Timeline!P$12,'Project Plan'!$F20&gt;=Timeline!P$13),$D23,0)</f>
        <v>0</v>
      </c>
      <c r="Q23" s="31">
        <f>IF(AND('Project Plan'!$E20&lt;=Timeline!Q$12,'Project Plan'!$F20&gt;=Timeline!Q$13),$D23,0)</f>
        <v>0</v>
      </c>
      <c r="R23" s="30"/>
    </row>
    <row r="24" spans="2:18" x14ac:dyDescent="0.25">
      <c r="B24" s="916"/>
      <c r="C24" s="63" t="str">
        <f>'Project Plan'!D21</f>
        <v>CD2.2 Complete &gt;6 stewardship meetings with prospective clients</v>
      </c>
      <c r="D24" s="63" t="s">
        <v>258</v>
      </c>
      <c r="E24" s="67" t="str">
        <f>'Project Plan'!G21</f>
        <v>Stanton</v>
      </c>
      <c r="F24" s="31">
        <f>IF(AND('Project Plan'!$E21&lt;=Timeline!F$12,'Project Plan'!$F21&gt;=Timeline!F$13),$D24,0)</f>
        <v>0</v>
      </c>
      <c r="G24" s="31">
        <f>IF(AND('Project Plan'!$E21&lt;=Timeline!G$12,'Project Plan'!$F21&gt;=Timeline!G$13),$D24,0)</f>
        <v>0</v>
      </c>
      <c r="H24" s="31" t="str">
        <f>IF(AND('Project Plan'!$E21&lt;=Timeline!H$12,'Project Plan'!$F21&gt;=Timeline!H$13),$D24,0)</f>
        <v>Completed</v>
      </c>
      <c r="I24" s="31" t="str">
        <f>IF(AND('Project Plan'!$E21&lt;=Timeline!I$12,'Project Plan'!$F21&gt;=Timeline!I$13),$D24,0)</f>
        <v>Completed</v>
      </c>
      <c r="J24" s="31" t="str">
        <f>IF(AND('Project Plan'!$E21&lt;=Timeline!J$12,'Project Plan'!$F21&gt;=Timeline!J$13),$D24,0)</f>
        <v>Completed</v>
      </c>
      <c r="K24" s="31" t="str">
        <f>IF(AND('Project Plan'!$E21&lt;=Timeline!K$12,'Project Plan'!$F21&gt;=Timeline!K$13),$D24,0)</f>
        <v>Completed</v>
      </c>
      <c r="L24" s="31">
        <f>IF(AND('Project Plan'!$E21&lt;=Timeline!L$12,'Project Plan'!$F21&gt;=Timeline!L$13),$D24,0)</f>
        <v>0</v>
      </c>
      <c r="M24" s="31">
        <f>IF(AND('Project Plan'!$E21&lt;=Timeline!M$12,'Project Plan'!$F21&gt;=Timeline!M$13),$D24,0)</f>
        <v>0</v>
      </c>
      <c r="N24" s="31">
        <f>IF(AND('Project Plan'!$E21&lt;=Timeline!N$12,'Project Plan'!$F21&gt;=Timeline!N$13),$D24,0)</f>
        <v>0</v>
      </c>
      <c r="O24" s="31">
        <f>IF(AND('Project Plan'!$E21&lt;=Timeline!O$12,'Project Plan'!$F21&gt;=Timeline!O$13),$D24,0)</f>
        <v>0</v>
      </c>
      <c r="P24" s="31">
        <f>IF(AND('Project Plan'!$E21&lt;=Timeline!P$12,'Project Plan'!$F21&gt;=Timeline!P$13),$D24,0)</f>
        <v>0</v>
      </c>
      <c r="Q24" s="31">
        <f>IF(AND('Project Plan'!$E21&lt;=Timeline!Q$12,'Project Plan'!$F21&gt;=Timeline!Q$13),$D24,0)</f>
        <v>0</v>
      </c>
      <c r="R24" s="30"/>
    </row>
    <row r="25" spans="2:18" x14ac:dyDescent="0.25">
      <c r="B25" s="916"/>
      <c r="C25" s="63" t="str">
        <f>'Project Plan'!D22</f>
        <v>CD2.3 Start reporting on incremental EIP hours</v>
      </c>
      <c r="D25" s="63" t="s">
        <v>258</v>
      </c>
      <c r="E25" s="67" t="str">
        <f>'Project Plan'!G22</f>
        <v>Stanton</v>
      </c>
      <c r="F25" s="31">
        <f>IF(AND('Project Plan'!$E22&lt;=Timeline!F$12,'Project Plan'!$F22&gt;=Timeline!F$13),$D25,0)</f>
        <v>0</v>
      </c>
      <c r="G25" s="31">
        <f>IF(AND('Project Plan'!$E22&lt;=Timeline!G$12,'Project Plan'!$F22&gt;=Timeline!G$13),$D25,0)</f>
        <v>0</v>
      </c>
      <c r="H25" s="31">
        <f>IF(AND('Project Plan'!$E22&lt;=Timeline!H$12,'Project Plan'!$F22&gt;=Timeline!H$13),$D25,0)</f>
        <v>0</v>
      </c>
      <c r="I25" s="31">
        <f>IF(AND('Project Plan'!$E22&lt;=Timeline!I$12,'Project Plan'!$F22&gt;=Timeline!I$13),$D25,0)</f>
        <v>0</v>
      </c>
      <c r="J25" s="31">
        <f>IF(AND('Project Plan'!$E22&lt;=Timeline!J$12,'Project Plan'!$F22&gt;=Timeline!J$13),$D25,0)</f>
        <v>0</v>
      </c>
      <c r="K25" s="31" t="str">
        <f>IF(AND('Project Plan'!$E22&lt;=Timeline!K$12,'Project Plan'!$F22&gt;=Timeline!K$13),$D25,0)</f>
        <v>Completed</v>
      </c>
      <c r="L25" s="31" t="str">
        <f>IF(AND('Project Plan'!$E22&lt;=Timeline!L$12,'Project Plan'!$F22&gt;=Timeline!L$13),$D25,0)</f>
        <v>Completed</v>
      </c>
      <c r="M25" s="31" t="str">
        <f>IF(AND('Project Plan'!$E22&lt;=Timeline!M$12,'Project Plan'!$F22&gt;=Timeline!M$13),$D25,0)</f>
        <v>Completed</v>
      </c>
      <c r="N25" s="31" t="str">
        <f>IF(AND('Project Plan'!$E22&lt;=Timeline!N$12,'Project Plan'!$F22&gt;=Timeline!N$13),$D25,0)</f>
        <v>Completed</v>
      </c>
      <c r="O25" s="31" t="str">
        <f>IF(AND('Project Plan'!$E22&lt;=Timeline!O$12,'Project Plan'!$F22&gt;=Timeline!O$13),$D25,0)</f>
        <v>Completed</v>
      </c>
      <c r="P25" s="31" t="str">
        <f>IF(AND('Project Plan'!$E22&lt;=Timeline!P$12,'Project Plan'!$F22&gt;=Timeline!P$13),$D25,0)</f>
        <v>Completed</v>
      </c>
      <c r="Q25" s="31" t="str">
        <f>IF(AND('Project Plan'!$E22&lt;=Timeline!Q$12,'Project Plan'!$F22&gt;=Timeline!Q$13),$D25,0)</f>
        <v>Completed</v>
      </c>
      <c r="R25" s="30"/>
    </row>
    <row r="26" spans="2:18" x14ac:dyDescent="0.25">
      <c r="B26" s="916"/>
      <c r="C26" s="63" t="str">
        <f>'Project Plan'!D23</f>
        <v>CD2.4 Follow up with existing/new clients</v>
      </c>
      <c r="D26" s="63" t="s">
        <v>259</v>
      </c>
      <c r="E26" s="67" t="str">
        <f>'Project Plan'!G23</f>
        <v>Stanton</v>
      </c>
      <c r="F26" s="31">
        <f>IF(AND('Project Plan'!$E23&lt;=Timeline!F$12,'Project Plan'!$F23&gt;=Timeline!F$13),$D26,0)</f>
        <v>0</v>
      </c>
      <c r="G26" s="31">
        <f>IF(AND('Project Plan'!$E23&lt;=Timeline!G$12,'Project Plan'!$F23&gt;=Timeline!G$13),$D26,0)</f>
        <v>0</v>
      </c>
      <c r="H26" s="31">
        <f>IF(AND('Project Plan'!$E23&lt;=Timeline!H$12,'Project Plan'!$F23&gt;=Timeline!H$13),$D26,0)</f>
        <v>0</v>
      </c>
      <c r="I26" s="31">
        <f>IF(AND('Project Plan'!$E23&lt;=Timeline!I$12,'Project Plan'!$F23&gt;=Timeline!I$13),$D26,0)</f>
        <v>0</v>
      </c>
      <c r="J26" s="31">
        <f>IF(AND('Project Plan'!$E23&lt;=Timeline!J$12,'Project Plan'!$F23&gt;=Timeline!J$13),$D26,0)</f>
        <v>0</v>
      </c>
      <c r="K26" s="31">
        <f>IF(AND('Project Plan'!$E23&lt;=Timeline!K$12,'Project Plan'!$F23&gt;=Timeline!K$13),$D26,0)</f>
        <v>0</v>
      </c>
      <c r="L26" s="31">
        <f>IF(AND('Project Plan'!$E23&lt;=Timeline!L$12,'Project Plan'!$F23&gt;=Timeline!L$13),$D26,0)</f>
        <v>0</v>
      </c>
      <c r="M26" s="31">
        <f>IF(AND('Project Plan'!$E23&lt;=Timeline!M$12,'Project Plan'!$F23&gt;=Timeline!M$13),$D26,0)</f>
        <v>0</v>
      </c>
      <c r="N26" s="31" t="str">
        <f>IF(AND('Project Plan'!$E23&lt;=Timeline!N$12,'Project Plan'!$F23&gt;=Timeline!N$13),$D26,0)</f>
        <v>On Track</v>
      </c>
      <c r="O26" s="31">
        <f>IF(AND('Project Plan'!$E23&lt;=Timeline!O$12,'Project Plan'!$F23&gt;=Timeline!O$13),$D26,0)</f>
        <v>0</v>
      </c>
      <c r="P26" s="31">
        <f>IF(AND('Project Plan'!$E23&lt;=Timeline!P$12,'Project Plan'!$F23&gt;=Timeline!P$13),$D26,0)</f>
        <v>0</v>
      </c>
      <c r="Q26" s="31">
        <f>IF(AND('Project Plan'!$E23&lt;=Timeline!Q$12,'Project Plan'!$F23&gt;=Timeline!Q$13),$D26,0)</f>
        <v>0</v>
      </c>
      <c r="R26" s="30"/>
    </row>
    <row r="27" spans="2:18" x14ac:dyDescent="0.25">
      <c r="B27" s="916"/>
      <c r="C27" s="63" t="str">
        <f>'Project Plan'!D24</f>
        <v>CD2.5 Quarterly updates and present results</v>
      </c>
      <c r="D27" s="63" t="s">
        <v>258</v>
      </c>
      <c r="E27" s="67" t="str">
        <f>'Project Plan'!G24</f>
        <v>Stanton</v>
      </c>
      <c r="F27" s="31">
        <f>IF(AND('Project Plan'!$E24&lt;=Timeline!F$12,'Project Plan'!$F24&gt;=Timeline!F$13),$D27,0)</f>
        <v>0</v>
      </c>
      <c r="G27" s="31">
        <f>IF(AND('Project Plan'!$E24&lt;=Timeline!G$12,'Project Plan'!$F24&gt;=Timeline!G$13),$D27,0)</f>
        <v>0</v>
      </c>
      <c r="H27" s="31">
        <f>IF(AND('Project Plan'!$E24&lt;=Timeline!H$12,'Project Plan'!$F24&gt;=Timeline!H$13),$D27,0)</f>
        <v>0</v>
      </c>
      <c r="I27" s="31">
        <f>IF(AND('Project Plan'!$E24&lt;=Timeline!I$12,'Project Plan'!$F24&gt;=Timeline!I$13),$D27,0)</f>
        <v>0</v>
      </c>
      <c r="J27" s="31">
        <f>IF(AND('Project Plan'!$E24&lt;=Timeline!J$12,'Project Plan'!$F24&gt;=Timeline!J$13),$D27,0)</f>
        <v>0</v>
      </c>
      <c r="K27" s="31" t="str">
        <f>IF(AND('Project Plan'!$E24&lt;=Timeline!K$12,'Project Plan'!$F24&gt;=Timeline!K$13),$D27,0)</f>
        <v>Completed</v>
      </c>
      <c r="L27" s="31" t="str">
        <f>IF(AND('Project Plan'!$E24&lt;=Timeline!L$12,'Project Plan'!$F24&gt;=Timeline!L$13),$D27,0)</f>
        <v>Completed</v>
      </c>
      <c r="M27" s="31" t="str">
        <f>IF(AND('Project Plan'!$E24&lt;=Timeline!M$12,'Project Plan'!$F24&gt;=Timeline!M$13),$D27,0)</f>
        <v>Completed</v>
      </c>
      <c r="N27" s="31" t="str">
        <f>IF(AND('Project Plan'!$E24&lt;=Timeline!N$12,'Project Plan'!$F24&gt;=Timeline!N$13),$D27,0)</f>
        <v>Completed</v>
      </c>
      <c r="O27" s="31" t="str">
        <f>IF(AND('Project Plan'!$E24&lt;=Timeline!O$12,'Project Plan'!$F24&gt;=Timeline!O$13),$D27,0)</f>
        <v>Completed</v>
      </c>
      <c r="P27" s="31" t="str">
        <f>IF(AND('Project Plan'!$E24&lt;=Timeline!P$12,'Project Plan'!$F24&gt;=Timeline!P$13),$D27,0)</f>
        <v>Completed</v>
      </c>
      <c r="Q27" s="31" t="str">
        <f>IF(AND('Project Plan'!$E24&lt;=Timeline!Q$12,'Project Plan'!$F24&gt;=Timeline!Q$13),$D27,0)</f>
        <v>Completed</v>
      </c>
      <c r="R27" s="30"/>
    </row>
    <row r="28" spans="2:18" x14ac:dyDescent="0.25">
      <c r="B28" s="916"/>
      <c r="C28" s="63" t="str">
        <f>'Project Plan'!D25</f>
        <v>CD2.6 Determine new metrics for EIP (currently old data)</v>
      </c>
      <c r="D28" s="63" t="s">
        <v>258</v>
      </c>
      <c r="E28" s="67" t="str">
        <f>'Project Plan'!G25</f>
        <v>Grant</v>
      </c>
      <c r="F28" s="31">
        <f>IF(AND('Project Plan'!$E25&lt;=Timeline!F$12,'Project Plan'!$F25&gt;=Timeline!F$13),$D28,0)</f>
        <v>0</v>
      </c>
      <c r="G28" s="31">
        <f>IF(AND('Project Plan'!$E25&lt;=Timeline!G$12,'Project Plan'!$F25&gt;=Timeline!G$13),$D28,0)</f>
        <v>0</v>
      </c>
      <c r="H28" s="31" t="str">
        <f>IF(AND('Project Plan'!$E25&lt;=Timeline!H$12,'Project Plan'!$F25&gt;=Timeline!H$13),$D28,0)</f>
        <v>Completed</v>
      </c>
      <c r="I28" s="31">
        <f>IF(AND('Project Plan'!$E25&lt;=Timeline!I$12,'Project Plan'!$F25&gt;=Timeline!I$13),$D28,0)</f>
        <v>0</v>
      </c>
      <c r="J28" s="31">
        <f>IF(AND('Project Plan'!$E25&lt;=Timeline!J$12,'Project Plan'!$F25&gt;=Timeline!J$13),$D28,0)</f>
        <v>0</v>
      </c>
      <c r="K28" s="31">
        <f>IF(AND('Project Plan'!$E25&lt;=Timeline!K$12,'Project Plan'!$F25&gt;=Timeline!K$13),$D28,0)</f>
        <v>0</v>
      </c>
      <c r="L28" s="31">
        <f>IF(AND('Project Plan'!$E25&lt;=Timeline!L$12,'Project Plan'!$F25&gt;=Timeline!L$13),$D28,0)</f>
        <v>0</v>
      </c>
      <c r="M28" s="31">
        <f>IF(AND('Project Plan'!$E25&lt;=Timeline!M$12,'Project Plan'!$F25&gt;=Timeline!M$13),$D28,0)</f>
        <v>0</v>
      </c>
      <c r="N28" s="31">
        <f>IF(AND('Project Plan'!$E25&lt;=Timeline!N$12,'Project Plan'!$F25&gt;=Timeline!N$13),$D28,0)</f>
        <v>0</v>
      </c>
      <c r="O28" s="31">
        <f>IF(AND('Project Plan'!$E25&lt;=Timeline!O$12,'Project Plan'!$F25&gt;=Timeline!O$13),$D28,0)</f>
        <v>0</v>
      </c>
      <c r="P28" s="31">
        <f>IF(AND('Project Plan'!$E25&lt;=Timeline!P$12,'Project Plan'!$F25&gt;=Timeline!P$13),$D28,0)</f>
        <v>0</v>
      </c>
      <c r="Q28" s="31">
        <f>IF(AND('Project Plan'!$E25&lt;=Timeline!Q$12,'Project Plan'!$F25&gt;=Timeline!Q$13),$D28,0)</f>
        <v>0</v>
      </c>
      <c r="R28" s="30"/>
    </row>
    <row r="29" spans="2:18" x14ac:dyDescent="0.25">
      <c r="B29" s="916"/>
      <c r="C29" s="63" t="str">
        <f>'Project Plan'!D26</f>
        <v>CD2.7 Incorporate new EIP metrics into stewardship messaging</v>
      </c>
      <c r="D29" s="63" t="s">
        <v>258</v>
      </c>
      <c r="E29" s="67" t="str">
        <f>'Project Plan'!G26</f>
        <v>Grant</v>
      </c>
      <c r="F29" s="31">
        <f>IF(AND('Project Plan'!$E26&lt;=Timeline!F$12,'Project Plan'!$F26&gt;=Timeline!F$13),$D29,0)</f>
        <v>0</v>
      </c>
      <c r="G29" s="31">
        <f>IF(AND('Project Plan'!$E26&lt;=Timeline!G$12,'Project Plan'!$F26&gt;=Timeline!G$13),$D29,0)</f>
        <v>0</v>
      </c>
      <c r="H29" s="31">
        <f>IF(AND('Project Plan'!$E26&lt;=Timeline!H$12,'Project Plan'!$F26&gt;=Timeline!H$13),$D29,0)</f>
        <v>0</v>
      </c>
      <c r="I29" s="31" t="str">
        <f>IF(AND('Project Plan'!$E26&lt;=Timeline!I$12,'Project Plan'!$F26&gt;=Timeline!I$13),$D29,0)</f>
        <v>Completed</v>
      </c>
      <c r="J29" s="31">
        <f>IF(AND('Project Plan'!$E26&lt;=Timeline!J$12,'Project Plan'!$F26&gt;=Timeline!J$13),$D29,0)</f>
        <v>0</v>
      </c>
      <c r="K29" s="31">
        <f>IF(AND('Project Plan'!$E26&lt;=Timeline!K$12,'Project Plan'!$F26&gt;=Timeline!K$13),$D29,0)</f>
        <v>0</v>
      </c>
      <c r="L29" s="31">
        <f>IF(AND('Project Plan'!$E26&lt;=Timeline!L$12,'Project Plan'!$F26&gt;=Timeline!L$13),$D29,0)</f>
        <v>0</v>
      </c>
      <c r="M29" s="31">
        <f>IF(AND('Project Plan'!$E26&lt;=Timeline!M$12,'Project Plan'!$F26&gt;=Timeline!M$13),$D29,0)</f>
        <v>0</v>
      </c>
      <c r="N29" s="31">
        <f>IF(AND('Project Plan'!$E26&lt;=Timeline!N$12,'Project Plan'!$F26&gt;=Timeline!N$13),$D29,0)</f>
        <v>0</v>
      </c>
      <c r="O29" s="31">
        <f>IF(AND('Project Plan'!$E26&lt;=Timeline!O$12,'Project Plan'!$F26&gt;=Timeline!O$13),$D29,0)</f>
        <v>0</v>
      </c>
      <c r="P29" s="31">
        <f>IF(AND('Project Plan'!$E26&lt;=Timeline!P$12,'Project Plan'!$F26&gt;=Timeline!P$13),$D29,0)</f>
        <v>0</v>
      </c>
      <c r="Q29" s="31">
        <f>IF(AND('Project Plan'!$E26&lt;=Timeline!Q$12,'Project Plan'!$F26&gt;=Timeline!Q$13),$D29,0)</f>
        <v>0</v>
      </c>
      <c r="R29" s="30"/>
    </row>
    <row r="30" spans="2:18" x14ac:dyDescent="0.25">
      <c r="B30" s="916"/>
      <c r="C30" s="63" t="str">
        <f>'Project Plan'!D27</f>
        <v>CD2.8 Feed EIP related requirements into New Case Mgt. SW</v>
      </c>
      <c r="D30" s="63" t="s">
        <v>259</v>
      </c>
      <c r="E30" s="67" t="str">
        <f>'Project Plan'!G27</f>
        <v>Grant</v>
      </c>
      <c r="F30" s="31">
        <f>IF(AND('Project Plan'!$E27&lt;=Timeline!F$12,'Project Plan'!$F27&gt;=Timeline!F$13),$D30,0)</f>
        <v>0</v>
      </c>
      <c r="G30" s="31">
        <f>IF(AND('Project Plan'!$E27&lt;=Timeline!G$12,'Project Plan'!$F27&gt;=Timeline!G$13),$D30,0)</f>
        <v>0</v>
      </c>
      <c r="H30" s="31">
        <f>IF(AND('Project Plan'!$E27&lt;=Timeline!H$12,'Project Plan'!$F27&gt;=Timeline!H$13),$D30,0)</f>
        <v>0</v>
      </c>
      <c r="I30" s="31">
        <f>IF(AND('Project Plan'!$E27&lt;=Timeline!I$12,'Project Plan'!$F27&gt;=Timeline!I$13),$D30,0)</f>
        <v>0</v>
      </c>
      <c r="J30" s="31" t="str">
        <f>IF(AND('Project Plan'!$E27&lt;=Timeline!J$12,'Project Plan'!$F27&gt;=Timeline!J$13),$D30,0)</f>
        <v>On Track</v>
      </c>
      <c r="K30" s="31">
        <f>IF(AND('Project Plan'!$E27&lt;=Timeline!K$12,'Project Plan'!$F27&gt;=Timeline!K$13),$D30,0)</f>
        <v>0</v>
      </c>
      <c r="L30" s="31">
        <f>IF(AND('Project Plan'!$E27&lt;=Timeline!L$12,'Project Plan'!$F27&gt;=Timeline!L$13),$D30,0)</f>
        <v>0</v>
      </c>
      <c r="M30" s="31">
        <f>IF(AND('Project Plan'!$E27&lt;=Timeline!M$12,'Project Plan'!$F27&gt;=Timeline!M$13),$D30,0)</f>
        <v>0</v>
      </c>
      <c r="N30" s="31">
        <f>IF(AND('Project Plan'!$E27&lt;=Timeline!N$12,'Project Plan'!$F27&gt;=Timeline!N$13),$D30,0)</f>
        <v>0</v>
      </c>
      <c r="O30" s="31">
        <f>IF(AND('Project Plan'!$E27&lt;=Timeline!O$12,'Project Plan'!$F27&gt;=Timeline!O$13),$D30,0)</f>
        <v>0</v>
      </c>
      <c r="P30" s="31">
        <f>IF(AND('Project Plan'!$E27&lt;=Timeline!P$12,'Project Plan'!$F27&gt;=Timeline!P$13),$D30,0)</f>
        <v>0</v>
      </c>
      <c r="Q30" s="31">
        <f>IF(AND('Project Plan'!$E27&lt;=Timeline!Q$12,'Project Plan'!$F27&gt;=Timeline!Q$13),$D30,0)</f>
        <v>0</v>
      </c>
      <c r="R30" s="30"/>
    </row>
    <row r="31" spans="2:18" x14ac:dyDescent="0.25">
      <c r="B31" s="916"/>
      <c r="C31" s="63" t="str">
        <f>'Project Plan'!D28</f>
        <v>CD2.9 Create marketing material for EIP</v>
      </c>
      <c r="D31" s="63" t="s">
        <v>260</v>
      </c>
      <c r="E31" s="67" t="str">
        <f>'Project Plan'!G28</f>
        <v>Stanton</v>
      </c>
      <c r="F31" s="31">
        <f>IF(AND('Project Plan'!$E28&lt;=Timeline!F$12,'Project Plan'!$F28&gt;=Timeline!F$13),$D31,0)</f>
        <v>0</v>
      </c>
      <c r="G31" s="31">
        <f>IF(AND('Project Plan'!$E28&lt;=Timeline!G$12,'Project Plan'!$F28&gt;=Timeline!G$13),$D31,0)</f>
        <v>0</v>
      </c>
      <c r="H31" s="31">
        <f>IF(AND('Project Plan'!$E28&lt;=Timeline!H$12,'Project Plan'!$F28&gt;=Timeline!H$13),$D31,0)</f>
        <v>0</v>
      </c>
      <c r="I31" s="31">
        <f>IF(AND('Project Plan'!$E28&lt;=Timeline!I$12,'Project Plan'!$F28&gt;=Timeline!I$13),$D31,0)</f>
        <v>0</v>
      </c>
      <c r="J31" s="31" t="str">
        <f>IF(AND('Project Plan'!$E28&lt;=Timeline!J$12,'Project Plan'!$F28&gt;=Timeline!J$13),$D31,0)</f>
        <v>Delayed</v>
      </c>
      <c r="K31" s="31">
        <f>IF(AND('Project Plan'!$E28&lt;=Timeline!K$12,'Project Plan'!$F28&gt;=Timeline!K$13),$D31,0)</f>
        <v>0</v>
      </c>
      <c r="L31" s="31">
        <f>IF(AND('Project Plan'!$E28&lt;=Timeline!L$12,'Project Plan'!$F28&gt;=Timeline!L$13),$D31,0)</f>
        <v>0</v>
      </c>
      <c r="M31" s="31">
        <f>IF(AND('Project Plan'!$E28&lt;=Timeline!M$12,'Project Plan'!$F28&gt;=Timeline!M$13),$D31,0)</f>
        <v>0</v>
      </c>
      <c r="N31" s="31">
        <f>IF(AND('Project Plan'!$E28&lt;=Timeline!N$12,'Project Plan'!$F28&gt;=Timeline!N$13),$D31,0)</f>
        <v>0</v>
      </c>
      <c r="O31" s="31">
        <f>IF(AND('Project Plan'!$E28&lt;=Timeline!O$12,'Project Plan'!$F28&gt;=Timeline!O$13),$D31,0)</f>
        <v>0</v>
      </c>
      <c r="P31" s="31">
        <f>IF(AND('Project Plan'!$E28&lt;=Timeline!P$12,'Project Plan'!$F28&gt;=Timeline!P$13),$D31,0)</f>
        <v>0</v>
      </c>
      <c r="Q31" s="31">
        <f>IF(AND('Project Plan'!$E28&lt;=Timeline!Q$12,'Project Plan'!$F28&gt;=Timeline!Q$13),$D31,0)</f>
        <v>0</v>
      </c>
      <c r="R31" s="30"/>
    </row>
    <row r="32" spans="2:18" x14ac:dyDescent="0.25">
      <c r="B32" s="917"/>
      <c r="C32" s="63" t="str">
        <f>'Project Plan'!D29</f>
        <v>CD2.10 Establish baseline (# of clients, # of hours, referrals)</v>
      </c>
      <c r="D32" s="63" t="s">
        <v>259</v>
      </c>
      <c r="E32" s="67" t="str">
        <f>'Project Plan'!G29</f>
        <v>Stanton</v>
      </c>
      <c r="F32" s="31" t="str">
        <f>IF(AND('Project Plan'!$E29&lt;=Timeline!F$12,'Project Plan'!$F29&gt;=Timeline!F$13),$D32,0)</f>
        <v>On Track</v>
      </c>
      <c r="G32" s="31" t="str">
        <f>IF(AND('Project Plan'!$E29&lt;=Timeline!G$12,'Project Plan'!$F29&gt;=Timeline!G$13),$D32,0)</f>
        <v>On Track</v>
      </c>
      <c r="H32" s="31">
        <f>IF(AND('Project Plan'!$E29&lt;=Timeline!H$12,'Project Plan'!$F29&gt;=Timeline!H$13),$D32,0)</f>
        <v>0</v>
      </c>
      <c r="I32" s="31">
        <f>IF(AND('Project Plan'!$E29&lt;=Timeline!I$12,'Project Plan'!$F29&gt;=Timeline!I$13),$D32,0)</f>
        <v>0</v>
      </c>
      <c r="J32" s="31">
        <f>IF(AND('Project Plan'!$E29&lt;=Timeline!J$12,'Project Plan'!$F29&gt;=Timeline!J$13),$D32,0)</f>
        <v>0</v>
      </c>
      <c r="K32" s="31">
        <f>IF(AND('Project Plan'!$E29&lt;=Timeline!K$12,'Project Plan'!$F29&gt;=Timeline!K$13),$D32,0)</f>
        <v>0</v>
      </c>
      <c r="L32" s="31">
        <f>IF(AND('Project Plan'!$E29&lt;=Timeline!L$12,'Project Plan'!$F29&gt;=Timeline!L$13),$D32,0)</f>
        <v>0</v>
      </c>
      <c r="M32" s="31">
        <f>IF(AND('Project Plan'!$E29&lt;=Timeline!M$12,'Project Plan'!$F29&gt;=Timeline!M$13),$D32,0)</f>
        <v>0</v>
      </c>
      <c r="N32" s="31">
        <f>IF(AND('Project Plan'!$E29&lt;=Timeline!N$12,'Project Plan'!$F29&gt;=Timeline!N$13),$D32,0)</f>
        <v>0</v>
      </c>
      <c r="O32" s="31">
        <f>IF(AND('Project Plan'!$E29&lt;=Timeline!O$12,'Project Plan'!$F29&gt;=Timeline!O$13),$D32,0)</f>
        <v>0</v>
      </c>
      <c r="P32" s="31">
        <f>IF(AND('Project Plan'!$E29&lt;=Timeline!P$12,'Project Plan'!$F29&gt;=Timeline!P$13),$D32,0)</f>
        <v>0</v>
      </c>
      <c r="Q32" s="31">
        <f>IF(AND('Project Plan'!$E29&lt;=Timeline!Q$12,'Project Plan'!$F29&gt;=Timeline!Q$13),$D32,0)</f>
        <v>0</v>
      </c>
      <c r="R32" s="30"/>
    </row>
    <row r="33" spans="2:18" x14ac:dyDescent="0.25">
      <c r="B33" s="918" t="str">
        <f>CONCATENATE('Project Plan'!$B$31,": ",'Project Plan'!$C$31)</f>
        <v>04A: Launch Case Management services in new states</v>
      </c>
      <c r="C33" s="63" t="str">
        <f>'Project Plan'!D31</f>
        <v>04A.1 Create marketing material with offering, TCM and FCM</v>
      </c>
      <c r="D33" s="63" t="s">
        <v>258</v>
      </c>
      <c r="E33" s="67" t="str">
        <f>'Project Plan'!G30</f>
        <v>Stanton</v>
      </c>
      <c r="F33" s="31">
        <f>IF(AND('Project Plan'!$E31&lt;=Timeline!F$12,'Project Plan'!$F31&gt;=Timeline!F$13),$D33,0)</f>
        <v>0</v>
      </c>
      <c r="G33" s="31">
        <f>IF(AND('Project Plan'!$E31&lt;=Timeline!G$12,'Project Plan'!$F31&gt;=Timeline!G$13),$D33,0)</f>
        <v>0</v>
      </c>
      <c r="H33" s="31">
        <f>IF(AND('Project Plan'!$E31&lt;=Timeline!H$12,'Project Plan'!$F31&gt;=Timeline!H$13),$D33,0)</f>
        <v>0</v>
      </c>
      <c r="I33" s="31">
        <f>IF(AND('Project Plan'!$E31&lt;=Timeline!I$12,'Project Plan'!$F31&gt;=Timeline!I$13),$D33,0)</f>
        <v>0</v>
      </c>
      <c r="J33" s="31" t="str">
        <f>IF(AND('Project Plan'!$E31&lt;=Timeline!J$12,'Project Plan'!$F31&gt;=Timeline!J$13),$D33,0)</f>
        <v>Completed</v>
      </c>
      <c r="K33" s="31">
        <f>IF(AND('Project Plan'!$E31&lt;=Timeline!K$12,'Project Plan'!$F31&gt;=Timeline!K$13),$D33,0)</f>
        <v>0</v>
      </c>
      <c r="L33" s="31">
        <f>IF(AND('Project Plan'!$E31&lt;=Timeline!L$12,'Project Plan'!$F31&gt;=Timeline!L$13),$D33,0)</f>
        <v>0</v>
      </c>
      <c r="M33" s="31">
        <f>IF(AND('Project Plan'!$E31&lt;=Timeline!M$12,'Project Plan'!$F31&gt;=Timeline!M$13),$D33,0)</f>
        <v>0</v>
      </c>
      <c r="N33" s="31">
        <f>IF(AND('Project Plan'!$E31&lt;=Timeline!N$12,'Project Plan'!$F31&gt;=Timeline!N$13),$D33,0)</f>
        <v>0</v>
      </c>
      <c r="O33" s="31">
        <f>IF(AND('Project Plan'!$E31&lt;=Timeline!O$12,'Project Plan'!$F31&gt;=Timeline!O$13),$D33,0)</f>
        <v>0</v>
      </c>
      <c r="P33" s="31">
        <f>IF(AND('Project Plan'!$E31&lt;=Timeline!P$12,'Project Plan'!$F31&gt;=Timeline!P$13),$D33,0)</f>
        <v>0</v>
      </c>
      <c r="Q33" s="31">
        <f>IF(AND('Project Plan'!$E31&lt;=Timeline!Q$12,'Project Plan'!$F31&gt;=Timeline!Q$13),$D33,0)</f>
        <v>0</v>
      </c>
      <c r="R33" s="30"/>
    </row>
    <row r="34" spans="2:18" x14ac:dyDescent="0.25">
      <c r="B34" s="913"/>
      <c r="C34" s="63" t="str">
        <f>'Project Plan'!D32</f>
        <v>04A.2 Send marketing material to current clients</v>
      </c>
      <c r="D34" s="63" t="s">
        <v>259</v>
      </c>
      <c r="E34" s="67" t="str">
        <f>'Project Plan'!G31</f>
        <v>Stanton</v>
      </c>
      <c r="F34" s="31">
        <f>IF(AND('Project Plan'!$E32&lt;=Timeline!F$12,'Project Plan'!$F32&gt;=Timeline!F$13),$D34,0)</f>
        <v>0</v>
      </c>
      <c r="G34" s="31">
        <f>IF(AND('Project Plan'!$E32&lt;=Timeline!G$12,'Project Plan'!$F32&gt;=Timeline!G$13),$D34,0)</f>
        <v>0</v>
      </c>
      <c r="H34" s="31">
        <f>IF(AND('Project Plan'!$E32&lt;=Timeline!H$12,'Project Plan'!$F32&gt;=Timeline!H$13),$D34,0)</f>
        <v>0</v>
      </c>
      <c r="I34" s="31">
        <f>IF(AND('Project Plan'!$E32&lt;=Timeline!I$12,'Project Plan'!$F32&gt;=Timeline!I$13),$D34,0)</f>
        <v>0</v>
      </c>
      <c r="J34" s="31">
        <f>IF(AND('Project Plan'!$E32&lt;=Timeline!J$12,'Project Plan'!$F32&gt;=Timeline!J$13),$D34,0)</f>
        <v>0</v>
      </c>
      <c r="K34" s="31" t="str">
        <f>IF(AND('Project Plan'!$E32&lt;=Timeline!K$12,'Project Plan'!$F32&gt;=Timeline!K$13),$D34,0)</f>
        <v>On Track</v>
      </c>
      <c r="L34" s="31">
        <f>IF(AND('Project Plan'!$E32&lt;=Timeline!L$12,'Project Plan'!$F32&gt;=Timeline!L$13),$D34,0)</f>
        <v>0</v>
      </c>
      <c r="M34" s="31">
        <f>IF(AND('Project Plan'!$E32&lt;=Timeline!M$12,'Project Plan'!$F32&gt;=Timeline!M$13),$D34,0)</f>
        <v>0</v>
      </c>
      <c r="N34" s="31">
        <f>IF(AND('Project Plan'!$E32&lt;=Timeline!N$12,'Project Plan'!$F32&gt;=Timeline!N$13),$D34,0)</f>
        <v>0</v>
      </c>
      <c r="O34" s="31">
        <f>IF(AND('Project Plan'!$E32&lt;=Timeline!O$12,'Project Plan'!$F32&gt;=Timeline!O$13),$D34,0)</f>
        <v>0</v>
      </c>
      <c r="P34" s="31">
        <f>IF(AND('Project Plan'!$E32&lt;=Timeline!P$12,'Project Plan'!$F32&gt;=Timeline!P$13),$D34,0)</f>
        <v>0</v>
      </c>
      <c r="Q34" s="31">
        <f>IF(AND('Project Plan'!$E32&lt;=Timeline!Q$12,'Project Plan'!$F32&gt;=Timeline!Q$13),$D34,0)</f>
        <v>0</v>
      </c>
      <c r="R34" s="30"/>
    </row>
    <row r="35" spans="2:18" x14ac:dyDescent="0.25">
      <c r="B35" s="913"/>
      <c r="C35" s="63" t="str">
        <f>'Project Plan'!D33</f>
        <v>04A.3 Review HubSpot for leads</v>
      </c>
      <c r="D35" s="63" t="s">
        <v>259</v>
      </c>
      <c r="E35" s="67" t="str">
        <f>'Project Plan'!G32</f>
        <v>Stanton</v>
      </c>
      <c r="F35" s="31">
        <f>IF(AND('Project Plan'!$E33&lt;=Timeline!F$12,'Project Plan'!$F33&gt;=Timeline!F$13),$D35,0)</f>
        <v>0</v>
      </c>
      <c r="G35" s="31">
        <f>IF(AND('Project Plan'!$E33&lt;=Timeline!G$12,'Project Plan'!$F33&gt;=Timeline!G$13),$D35,0)</f>
        <v>0</v>
      </c>
      <c r="H35" s="31">
        <f>IF(AND('Project Plan'!$E33&lt;=Timeline!H$12,'Project Plan'!$F33&gt;=Timeline!H$13),$D35,0)</f>
        <v>0</v>
      </c>
      <c r="I35" s="31">
        <f>IF(AND('Project Plan'!$E33&lt;=Timeline!I$12,'Project Plan'!$F33&gt;=Timeline!I$13),$D35,0)</f>
        <v>0</v>
      </c>
      <c r="J35" s="31">
        <f>IF(AND('Project Plan'!$E33&lt;=Timeline!J$12,'Project Plan'!$F33&gt;=Timeline!J$13),$D35,0)</f>
        <v>0</v>
      </c>
      <c r="K35" s="31" t="str">
        <f>IF(AND('Project Plan'!$E33&lt;=Timeline!K$12,'Project Plan'!$F33&gt;=Timeline!K$13),$D35,0)</f>
        <v>On Track</v>
      </c>
      <c r="L35" s="31">
        <f>IF(AND('Project Plan'!$E33&lt;=Timeline!L$12,'Project Plan'!$F33&gt;=Timeline!L$13),$D35,0)</f>
        <v>0</v>
      </c>
      <c r="M35" s="31">
        <f>IF(AND('Project Plan'!$E33&lt;=Timeline!M$12,'Project Plan'!$F33&gt;=Timeline!M$13),$D35,0)</f>
        <v>0</v>
      </c>
      <c r="N35" s="31">
        <f>IF(AND('Project Plan'!$E33&lt;=Timeline!N$12,'Project Plan'!$F33&gt;=Timeline!N$13),$D35,0)</f>
        <v>0</v>
      </c>
      <c r="O35" s="31">
        <f>IF(AND('Project Plan'!$E33&lt;=Timeline!O$12,'Project Plan'!$F33&gt;=Timeline!O$13),$D35,0)</f>
        <v>0</v>
      </c>
      <c r="P35" s="31">
        <f>IF(AND('Project Plan'!$E33&lt;=Timeline!P$12,'Project Plan'!$F33&gt;=Timeline!P$13),$D35,0)</f>
        <v>0</v>
      </c>
      <c r="Q35" s="31">
        <f>IF(AND('Project Plan'!$E33&lt;=Timeline!Q$12,'Project Plan'!$F33&gt;=Timeline!Q$13),$D35,0)</f>
        <v>0</v>
      </c>
      <c r="R35" s="30"/>
    </row>
    <row r="36" spans="2:18" x14ac:dyDescent="0.25">
      <c r="B36" s="913"/>
      <c r="C36" s="63" t="str">
        <f>'Project Plan'!D34</f>
        <v>04A.4.Outside Research: Self Insured Employers, Brokers, Captives</v>
      </c>
      <c r="D36" s="63" t="s">
        <v>259</v>
      </c>
      <c r="E36" s="67" t="str">
        <f>'Project Plan'!G33</f>
        <v>Stanton</v>
      </c>
      <c r="F36" s="31">
        <f>IF(AND('Project Plan'!$E34&lt;=Timeline!F$12,'Project Plan'!$F34&gt;=Timeline!F$13),$D36,0)</f>
        <v>0</v>
      </c>
      <c r="G36" s="31">
        <f>IF(AND('Project Plan'!$E34&lt;=Timeline!G$12,'Project Plan'!$F34&gt;=Timeline!G$13),$D36,0)</f>
        <v>0</v>
      </c>
      <c r="H36" s="31">
        <f>IF(AND('Project Plan'!$E34&lt;=Timeline!H$12,'Project Plan'!$F34&gt;=Timeline!H$13),$D36,0)</f>
        <v>0</v>
      </c>
      <c r="I36" s="31">
        <f>IF(AND('Project Plan'!$E34&lt;=Timeline!I$12,'Project Plan'!$F34&gt;=Timeline!I$13),$D36,0)</f>
        <v>0</v>
      </c>
      <c r="J36" s="31">
        <f>IF(AND('Project Plan'!$E34&lt;=Timeline!J$12,'Project Plan'!$F34&gt;=Timeline!J$13),$D36,0)</f>
        <v>0</v>
      </c>
      <c r="K36" s="31" t="str">
        <f>IF(AND('Project Plan'!$E34&lt;=Timeline!K$12,'Project Plan'!$F34&gt;=Timeline!K$13),$D36,0)</f>
        <v>On Track</v>
      </c>
      <c r="L36" s="31">
        <f>IF(AND('Project Plan'!$E34&lt;=Timeline!L$12,'Project Plan'!$F34&gt;=Timeline!L$13),$D36,0)</f>
        <v>0</v>
      </c>
      <c r="M36" s="31">
        <f>IF(AND('Project Plan'!$E34&lt;=Timeline!M$12,'Project Plan'!$F34&gt;=Timeline!M$13),$D36,0)</f>
        <v>0</v>
      </c>
      <c r="N36" s="31">
        <f>IF(AND('Project Plan'!$E34&lt;=Timeline!N$12,'Project Plan'!$F34&gt;=Timeline!N$13),$D36,0)</f>
        <v>0</v>
      </c>
      <c r="O36" s="31">
        <f>IF(AND('Project Plan'!$E34&lt;=Timeline!O$12,'Project Plan'!$F34&gt;=Timeline!O$13),$D36,0)</f>
        <v>0</v>
      </c>
      <c r="P36" s="31">
        <f>IF(AND('Project Plan'!$E34&lt;=Timeline!P$12,'Project Plan'!$F34&gt;=Timeline!P$13),$D36,0)</f>
        <v>0</v>
      </c>
      <c r="Q36" s="31">
        <f>IF(AND('Project Plan'!$E34&lt;=Timeline!Q$12,'Project Plan'!$F34&gt;=Timeline!Q$13),$D36,0)</f>
        <v>0</v>
      </c>
      <c r="R36" s="30"/>
    </row>
    <row r="37" spans="2:18" x14ac:dyDescent="0.25">
      <c r="B37" s="913"/>
      <c r="C37" s="63" t="str">
        <f>'Project Plan'!D35</f>
        <v>04A.5 Schedule meetings (virtual or in person)</v>
      </c>
      <c r="D37" s="63" t="s">
        <v>259</v>
      </c>
      <c r="E37" s="67" t="str">
        <f>'Project Plan'!G34</f>
        <v>Stanton</v>
      </c>
      <c r="F37" s="31">
        <f>IF(AND('Project Plan'!$E35&lt;=Timeline!F$12,'Project Plan'!$F35&gt;=Timeline!F$13),$D37,0)</f>
        <v>0</v>
      </c>
      <c r="G37" s="31">
        <f>IF(AND('Project Plan'!$E35&lt;=Timeline!G$12,'Project Plan'!$F35&gt;=Timeline!G$13),$D37,0)</f>
        <v>0</v>
      </c>
      <c r="H37" s="31">
        <f>IF(AND('Project Plan'!$E35&lt;=Timeline!H$12,'Project Plan'!$F35&gt;=Timeline!H$13),$D37,0)</f>
        <v>0</v>
      </c>
      <c r="I37" s="31">
        <f>IF(AND('Project Plan'!$E35&lt;=Timeline!I$12,'Project Plan'!$F35&gt;=Timeline!I$13),$D37,0)</f>
        <v>0</v>
      </c>
      <c r="J37" s="31">
        <f>IF(AND('Project Plan'!$E35&lt;=Timeline!J$12,'Project Plan'!$F35&gt;=Timeline!J$13),$D37,0)</f>
        <v>0</v>
      </c>
      <c r="K37" s="31">
        <f>IF(AND('Project Plan'!$E35&lt;=Timeline!K$12,'Project Plan'!$F35&gt;=Timeline!K$13),$D37,0)</f>
        <v>0</v>
      </c>
      <c r="L37" s="31" t="str">
        <f>IF(AND('Project Plan'!$E35&lt;=Timeline!L$12,'Project Plan'!$F35&gt;=Timeline!L$13),$D37,0)</f>
        <v>On Track</v>
      </c>
      <c r="M37" s="31">
        <f>IF(AND('Project Plan'!$E35&lt;=Timeline!M$12,'Project Plan'!$F35&gt;=Timeline!M$13),$D37,0)</f>
        <v>0</v>
      </c>
      <c r="N37" s="31">
        <f>IF(AND('Project Plan'!$E35&lt;=Timeline!N$12,'Project Plan'!$F35&gt;=Timeline!N$13),$D37,0)</f>
        <v>0</v>
      </c>
      <c r="O37" s="31">
        <f>IF(AND('Project Plan'!$E35&lt;=Timeline!O$12,'Project Plan'!$F35&gt;=Timeline!O$13),$D37,0)</f>
        <v>0</v>
      </c>
      <c r="P37" s="31">
        <f>IF(AND('Project Plan'!$E35&lt;=Timeline!P$12,'Project Plan'!$F35&gt;=Timeline!P$13),$D37,0)</f>
        <v>0</v>
      </c>
      <c r="Q37" s="31">
        <f>IF(AND('Project Plan'!$E35&lt;=Timeline!Q$12,'Project Plan'!$F35&gt;=Timeline!Q$13),$D37,0)</f>
        <v>0</v>
      </c>
      <c r="R37" s="30"/>
    </row>
    <row r="38" spans="2:18" x14ac:dyDescent="0.25">
      <c r="B38" s="914"/>
      <c r="C38" s="63" t="str">
        <f>'Project Plan'!D36</f>
        <v>04A.6 Register for industry events: Conferences, Meetings, etc</v>
      </c>
      <c r="D38" s="63" t="s">
        <v>259</v>
      </c>
      <c r="E38" s="67" t="str">
        <f>'Project Plan'!G35</f>
        <v>Stanton</v>
      </c>
      <c r="F38" s="31">
        <f>IF(AND('Project Plan'!$E36&lt;=Timeline!F$12,'Project Plan'!$F36&gt;=Timeline!F$13),$D38,0)</f>
        <v>0</v>
      </c>
      <c r="G38" s="31">
        <f>IF(AND('Project Plan'!$E36&lt;=Timeline!G$12,'Project Plan'!$F36&gt;=Timeline!G$13),$D38,0)</f>
        <v>0</v>
      </c>
      <c r="H38" s="31">
        <f>IF(AND('Project Plan'!$E36&lt;=Timeline!H$12,'Project Plan'!$F36&gt;=Timeline!H$13),$D38,0)</f>
        <v>0</v>
      </c>
      <c r="I38" s="31">
        <f>IF(AND('Project Plan'!$E36&lt;=Timeline!I$12,'Project Plan'!$F36&gt;=Timeline!I$13),$D38,0)</f>
        <v>0</v>
      </c>
      <c r="J38" s="31">
        <f>IF(AND('Project Plan'!$E36&lt;=Timeline!J$12,'Project Plan'!$F36&gt;=Timeline!J$13),$D38,0)</f>
        <v>0</v>
      </c>
      <c r="K38" s="31">
        <f>IF(AND('Project Plan'!$E36&lt;=Timeline!K$12,'Project Plan'!$F36&gt;=Timeline!K$13),$D38,0)</f>
        <v>0</v>
      </c>
      <c r="L38" s="31" t="str">
        <f>IF(AND('Project Plan'!$E36&lt;=Timeline!L$12,'Project Plan'!$F36&gt;=Timeline!L$13),$D38,0)</f>
        <v>On Track</v>
      </c>
      <c r="M38" s="31">
        <f>IF(AND('Project Plan'!$E36&lt;=Timeline!M$12,'Project Plan'!$F36&gt;=Timeline!M$13),$D38,0)</f>
        <v>0</v>
      </c>
      <c r="N38" s="31">
        <f>IF(AND('Project Plan'!$E36&lt;=Timeline!N$12,'Project Plan'!$F36&gt;=Timeline!N$13),$D38,0)</f>
        <v>0</v>
      </c>
      <c r="O38" s="31">
        <f>IF(AND('Project Plan'!$E36&lt;=Timeline!O$12,'Project Plan'!$F36&gt;=Timeline!O$13),$D38,0)</f>
        <v>0</v>
      </c>
      <c r="P38" s="31">
        <f>IF(AND('Project Plan'!$E36&lt;=Timeline!P$12,'Project Plan'!$F36&gt;=Timeline!P$13),$D38,0)</f>
        <v>0</v>
      </c>
      <c r="Q38" s="31">
        <f>IF(AND('Project Plan'!$E36&lt;=Timeline!Q$12,'Project Plan'!$F36&gt;=Timeline!Q$13),$D38,0)</f>
        <v>0</v>
      </c>
      <c r="R38" s="30"/>
    </row>
    <row r="39" spans="2:18" x14ac:dyDescent="0.25">
      <c r="B39" s="918" t="str">
        <f>CONCATENATE('Project Plan'!$B$37,": ",'Project Plan'!$C$37)</f>
        <v>NU1: Reduce Missed Appointments and Treatment Time</v>
      </c>
      <c r="C39" s="63" t="str">
        <f>'Project Plan'!D37</f>
        <v>NU1.1 Finish hiring all nurse coordinators (Completed)</v>
      </c>
      <c r="D39" s="63" t="s">
        <v>258</v>
      </c>
      <c r="E39" s="67" t="str">
        <f>'Project Plan'!G37</f>
        <v>Rost</v>
      </c>
      <c r="F39" s="31">
        <f>IF(AND('Project Plan'!$E37&lt;=Timeline!F$12,'Project Plan'!$F37&gt;=Timeline!F$13),$D39,0)</f>
        <v>0</v>
      </c>
      <c r="G39" s="31" t="str">
        <f>IF(AND('Project Plan'!$E37&lt;=Timeline!G$12,'Project Plan'!$F37&gt;=Timeline!G$13),$D39,0)</f>
        <v>Completed</v>
      </c>
      <c r="H39" s="31">
        <f>IF(AND('Project Plan'!$E37&lt;=Timeline!H$12,'Project Plan'!$F37&gt;=Timeline!H$13),$D39,0)</f>
        <v>0</v>
      </c>
      <c r="I39" s="31">
        <f>IF(AND('Project Plan'!$E37&lt;=Timeline!I$12,'Project Plan'!$F37&gt;=Timeline!I$13),$D39,0)</f>
        <v>0</v>
      </c>
      <c r="J39" s="31">
        <f>IF(AND('Project Plan'!$E37&lt;=Timeline!J$12,'Project Plan'!$F37&gt;=Timeline!J$13),$D39,0)</f>
        <v>0</v>
      </c>
      <c r="K39" s="31">
        <f>IF(AND('Project Plan'!$E37&lt;=Timeline!K$12,'Project Plan'!$F37&gt;=Timeline!K$13),$D39,0)</f>
        <v>0</v>
      </c>
      <c r="L39" s="31">
        <f>IF(AND('Project Plan'!$E37&lt;=Timeline!L$12,'Project Plan'!$F37&gt;=Timeline!L$13),$D39,0)</f>
        <v>0</v>
      </c>
      <c r="M39" s="31">
        <f>IF(AND('Project Plan'!$E37&lt;=Timeline!M$12,'Project Plan'!$F37&gt;=Timeline!M$13),$D39,0)</f>
        <v>0</v>
      </c>
      <c r="N39" s="31">
        <f>IF(AND('Project Plan'!$E37&lt;=Timeline!N$12,'Project Plan'!$F37&gt;=Timeline!N$13),$D39,0)</f>
        <v>0</v>
      </c>
      <c r="O39" s="31">
        <f>IF(AND('Project Plan'!$E37&lt;=Timeline!O$12,'Project Plan'!$F37&gt;=Timeline!O$13),$D39,0)</f>
        <v>0</v>
      </c>
      <c r="P39" s="31">
        <f>IF(AND('Project Plan'!$E37&lt;=Timeline!P$12,'Project Plan'!$F37&gt;=Timeline!P$13),$D39,0)</f>
        <v>0</v>
      </c>
      <c r="Q39" s="31">
        <f>IF(AND('Project Plan'!$E37&lt;=Timeline!Q$12,'Project Plan'!$F37&gt;=Timeline!Q$13),$D39,0)</f>
        <v>0</v>
      </c>
      <c r="R39" s="30"/>
    </row>
    <row r="40" spans="2:18" x14ac:dyDescent="0.25">
      <c r="B40" s="913"/>
      <c r="C40" s="63" t="str">
        <f>'Project Plan'!D38</f>
        <v>NU1.2 Finalize and implement NC Training program (Completed)</v>
      </c>
      <c r="D40" s="63" t="s">
        <v>258</v>
      </c>
      <c r="E40" s="67" t="str">
        <f>'Project Plan'!G38</f>
        <v>Gietzen</v>
      </c>
      <c r="F40" s="31" t="str">
        <f>IF(AND('Project Plan'!$E38&lt;=Timeline!F$12,'Project Plan'!$F38&gt;=Timeline!F$13),$D40,0)</f>
        <v>Completed</v>
      </c>
      <c r="G40" s="31" t="str">
        <f>IF(AND('Project Plan'!$E38&lt;=Timeline!G$12,'Project Plan'!$F38&gt;=Timeline!G$13),$D40,0)</f>
        <v>Completed</v>
      </c>
      <c r="H40" s="31" t="str">
        <f>IF(AND('Project Plan'!$E38&lt;=Timeline!H$12,'Project Plan'!$F38&gt;=Timeline!H$13),$D40,0)</f>
        <v>Completed</v>
      </c>
      <c r="I40" s="31">
        <f>IF(AND('Project Plan'!$E38&lt;=Timeline!I$12,'Project Plan'!$F38&gt;=Timeline!I$13),$D40,0)</f>
        <v>0</v>
      </c>
      <c r="J40" s="31">
        <f>IF(AND('Project Plan'!$E38&lt;=Timeline!J$12,'Project Plan'!$F38&gt;=Timeline!J$13),$D40,0)</f>
        <v>0</v>
      </c>
      <c r="K40" s="31">
        <f>IF(AND('Project Plan'!$E38&lt;=Timeline!K$12,'Project Plan'!$F38&gt;=Timeline!K$13),$D40,0)</f>
        <v>0</v>
      </c>
      <c r="L40" s="31">
        <f>IF(AND('Project Plan'!$E38&lt;=Timeline!L$12,'Project Plan'!$F38&gt;=Timeline!L$13),$D40,0)</f>
        <v>0</v>
      </c>
      <c r="M40" s="31">
        <f>IF(AND('Project Plan'!$E38&lt;=Timeline!M$12,'Project Plan'!$F38&gt;=Timeline!M$13),$D40,0)</f>
        <v>0</v>
      </c>
      <c r="N40" s="31">
        <f>IF(AND('Project Plan'!$E38&lt;=Timeline!N$12,'Project Plan'!$F38&gt;=Timeline!N$13),$D40,0)</f>
        <v>0</v>
      </c>
      <c r="O40" s="31">
        <f>IF(AND('Project Plan'!$E38&lt;=Timeline!O$12,'Project Plan'!$F38&gt;=Timeline!O$13),$D40,0)</f>
        <v>0</v>
      </c>
      <c r="P40" s="31">
        <f>IF(AND('Project Plan'!$E38&lt;=Timeline!P$12,'Project Plan'!$F38&gt;=Timeline!P$13),$D40,0)</f>
        <v>0</v>
      </c>
      <c r="Q40" s="31">
        <f>IF(AND('Project Plan'!$E38&lt;=Timeline!Q$12,'Project Plan'!$F38&gt;=Timeline!Q$13),$D40,0)</f>
        <v>0</v>
      </c>
      <c r="R40" s="30"/>
    </row>
    <row r="41" spans="2:18" x14ac:dyDescent="0.25">
      <c r="B41" s="913"/>
      <c r="C41" s="63" t="str">
        <f>'Project Plan'!D39</f>
        <v>NU1.3 Assign NC to team of Nurses  (Completed)</v>
      </c>
      <c r="D41" s="63" t="s">
        <v>258</v>
      </c>
      <c r="E41" s="67" t="str">
        <f>'Project Plan'!G39</f>
        <v>Gietzen</v>
      </c>
      <c r="F41" s="31" t="str">
        <f>IF(AND('Project Plan'!$E39&lt;=Timeline!F$12,'Project Plan'!$F39&gt;=Timeline!F$13),$D41,0)</f>
        <v>Completed</v>
      </c>
      <c r="G41" s="31" t="str">
        <f>IF(AND('Project Plan'!$E39&lt;=Timeline!G$12,'Project Plan'!$F39&gt;=Timeline!G$13),$D41,0)</f>
        <v>Completed</v>
      </c>
      <c r="H41" s="31" t="str">
        <f>IF(AND('Project Plan'!$E39&lt;=Timeline!H$12,'Project Plan'!$F39&gt;=Timeline!H$13),$D41,0)</f>
        <v>Completed</v>
      </c>
      <c r="I41" s="31">
        <f>IF(AND('Project Plan'!$E39&lt;=Timeline!I$12,'Project Plan'!$F39&gt;=Timeline!I$13),$D41,0)</f>
        <v>0</v>
      </c>
      <c r="J41" s="31">
        <f>IF(AND('Project Plan'!$E39&lt;=Timeline!J$12,'Project Plan'!$F39&gt;=Timeline!J$13),$D41,0)</f>
        <v>0</v>
      </c>
      <c r="K41" s="31">
        <f>IF(AND('Project Plan'!$E39&lt;=Timeline!K$12,'Project Plan'!$F39&gt;=Timeline!K$13),$D41,0)</f>
        <v>0</v>
      </c>
      <c r="L41" s="31">
        <f>IF(AND('Project Plan'!$E39&lt;=Timeline!L$12,'Project Plan'!$F39&gt;=Timeline!L$13),$D41,0)</f>
        <v>0</v>
      </c>
      <c r="M41" s="31">
        <f>IF(AND('Project Plan'!$E39&lt;=Timeline!M$12,'Project Plan'!$F39&gt;=Timeline!M$13),$D41,0)</f>
        <v>0</v>
      </c>
      <c r="N41" s="31">
        <f>IF(AND('Project Plan'!$E39&lt;=Timeline!N$12,'Project Plan'!$F39&gt;=Timeline!N$13),$D41,0)</f>
        <v>0</v>
      </c>
      <c r="O41" s="31">
        <f>IF(AND('Project Plan'!$E39&lt;=Timeline!O$12,'Project Plan'!$F39&gt;=Timeline!O$13),$D41,0)</f>
        <v>0</v>
      </c>
      <c r="P41" s="31">
        <f>IF(AND('Project Plan'!$E39&lt;=Timeline!P$12,'Project Plan'!$F39&gt;=Timeline!P$13),$D41,0)</f>
        <v>0</v>
      </c>
      <c r="Q41" s="31">
        <f>IF(AND('Project Plan'!$E39&lt;=Timeline!Q$12,'Project Plan'!$F39&gt;=Timeline!Q$13),$D41,0)</f>
        <v>0</v>
      </c>
      <c r="R41" s="30"/>
    </row>
    <row r="42" spans="2:18" x14ac:dyDescent="0.25">
      <c r="B42" s="913"/>
      <c r="C42" s="63" t="str">
        <f>'Project Plan'!D40</f>
        <v>NU1.4 Train the new NCs (Completed)</v>
      </c>
      <c r="D42" s="63" t="s">
        <v>258</v>
      </c>
      <c r="E42" s="67" t="str">
        <f>'Project Plan'!G40</f>
        <v>Gietzen</v>
      </c>
      <c r="F42" s="31">
        <f>IF(AND('Project Plan'!$E40&lt;=Timeline!F$12,'Project Plan'!$F40&gt;=Timeline!F$13),$D42,0)</f>
        <v>0</v>
      </c>
      <c r="G42" s="31" t="str">
        <f>IF(AND('Project Plan'!$E40&lt;=Timeline!G$12,'Project Plan'!$F40&gt;=Timeline!G$13),$D42,0)</f>
        <v>Completed</v>
      </c>
      <c r="H42" s="31">
        <f>IF(AND('Project Plan'!$E40&lt;=Timeline!H$12,'Project Plan'!$F40&gt;=Timeline!H$13),$D42,0)</f>
        <v>0</v>
      </c>
      <c r="I42" s="31">
        <f>IF(AND('Project Plan'!$E40&lt;=Timeline!I$12,'Project Plan'!$F40&gt;=Timeline!I$13),$D42,0)</f>
        <v>0</v>
      </c>
      <c r="J42" s="31">
        <f>IF(AND('Project Plan'!$E40&lt;=Timeline!J$12,'Project Plan'!$F40&gt;=Timeline!J$13),$D42,0)</f>
        <v>0</v>
      </c>
      <c r="K42" s="31">
        <f>IF(AND('Project Plan'!$E40&lt;=Timeline!K$12,'Project Plan'!$F40&gt;=Timeline!K$13),$D42,0)</f>
        <v>0</v>
      </c>
      <c r="L42" s="31">
        <f>IF(AND('Project Plan'!$E40&lt;=Timeline!L$12,'Project Plan'!$F40&gt;=Timeline!L$13),$D42,0)</f>
        <v>0</v>
      </c>
      <c r="M42" s="31">
        <f>IF(AND('Project Plan'!$E40&lt;=Timeline!M$12,'Project Plan'!$F40&gt;=Timeline!M$13),$D42,0)</f>
        <v>0</v>
      </c>
      <c r="N42" s="31">
        <f>IF(AND('Project Plan'!$E40&lt;=Timeline!N$12,'Project Plan'!$F40&gt;=Timeline!N$13),$D42,0)</f>
        <v>0</v>
      </c>
      <c r="O42" s="31">
        <f>IF(AND('Project Plan'!$E40&lt;=Timeline!O$12,'Project Plan'!$F40&gt;=Timeline!O$13),$D42,0)</f>
        <v>0</v>
      </c>
      <c r="P42" s="31">
        <f>IF(AND('Project Plan'!$E40&lt;=Timeline!P$12,'Project Plan'!$F40&gt;=Timeline!P$13),$D42,0)</f>
        <v>0</v>
      </c>
      <c r="Q42" s="31">
        <f>IF(AND('Project Plan'!$E40&lt;=Timeline!Q$12,'Project Plan'!$F40&gt;=Timeline!Q$13),$D42,0)</f>
        <v>0</v>
      </c>
      <c r="R42" s="30"/>
    </row>
    <row r="43" spans="2:18" x14ac:dyDescent="0.25">
      <c r="B43" s="913"/>
      <c r="C43" s="63" t="str">
        <f>'Project Plan'!D41</f>
        <v>NU1.5 Establish baseline for TTT  (X days) and Missed Apt (%) - rolling 3 months</v>
      </c>
      <c r="D43" s="63" t="s">
        <v>258</v>
      </c>
      <c r="E43" s="67" t="str">
        <f>'Project Plan'!G41</f>
        <v>Grant</v>
      </c>
      <c r="F43" s="31">
        <f>IF(AND('Project Plan'!$E41&lt;=Timeline!F$12,'Project Plan'!$F41&gt;=Timeline!F$13),$D43,0)</f>
        <v>0</v>
      </c>
      <c r="G43" s="31" t="str">
        <f>IF(AND('Project Plan'!$E41&lt;=Timeline!G$12,'Project Plan'!$F41&gt;=Timeline!G$13),$D43,0)</f>
        <v>Completed</v>
      </c>
      <c r="H43" s="31">
        <f>IF(AND('Project Plan'!$E41&lt;=Timeline!H$12,'Project Plan'!$F41&gt;=Timeline!H$13),$D43,0)</f>
        <v>0</v>
      </c>
      <c r="I43" s="31">
        <f>IF(AND('Project Plan'!$E41&lt;=Timeline!I$12,'Project Plan'!$F41&gt;=Timeline!I$13),$D43,0)</f>
        <v>0</v>
      </c>
      <c r="J43" s="31">
        <f>IF(AND('Project Plan'!$E41&lt;=Timeline!J$12,'Project Plan'!$F41&gt;=Timeline!J$13),$D43,0)</f>
        <v>0</v>
      </c>
      <c r="K43" s="31">
        <f>IF(AND('Project Plan'!$E41&lt;=Timeline!K$12,'Project Plan'!$F41&gt;=Timeline!K$13),$D43,0)</f>
        <v>0</v>
      </c>
      <c r="L43" s="31">
        <f>IF(AND('Project Plan'!$E41&lt;=Timeline!L$12,'Project Plan'!$F41&gt;=Timeline!L$13),$D43,0)</f>
        <v>0</v>
      </c>
      <c r="M43" s="31">
        <f>IF(AND('Project Plan'!$E41&lt;=Timeline!M$12,'Project Plan'!$F41&gt;=Timeline!M$13),$D43,0)</f>
        <v>0</v>
      </c>
      <c r="N43" s="31">
        <f>IF(AND('Project Plan'!$E41&lt;=Timeline!N$12,'Project Plan'!$F41&gt;=Timeline!N$13),$D43,0)</f>
        <v>0</v>
      </c>
      <c r="O43" s="31">
        <f>IF(AND('Project Plan'!$E41&lt;=Timeline!O$12,'Project Plan'!$F41&gt;=Timeline!O$13),$D43,0)</f>
        <v>0</v>
      </c>
      <c r="P43" s="31">
        <f>IF(AND('Project Plan'!$E41&lt;=Timeline!P$12,'Project Plan'!$F41&gt;=Timeline!P$13),$D43,0)</f>
        <v>0</v>
      </c>
      <c r="Q43" s="31">
        <f>IF(AND('Project Plan'!$E41&lt;=Timeline!Q$12,'Project Plan'!$F41&gt;=Timeline!Q$13),$D43,0)</f>
        <v>0</v>
      </c>
      <c r="R43" s="30"/>
    </row>
    <row r="44" spans="2:18" x14ac:dyDescent="0.25">
      <c r="B44" s="913"/>
      <c r="C44" s="63" t="str">
        <f>'Project Plan'!D42</f>
        <v>NU1.6 Monitoring and reporting on time to treatment for next 3 months</v>
      </c>
      <c r="D44" s="63" t="s">
        <v>258</v>
      </c>
      <c r="E44" s="67" t="str">
        <f>'Project Plan'!G42</f>
        <v>Rost</v>
      </c>
      <c r="F44" s="31">
        <f>IF(AND('Project Plan'!$E42&lt;=Timeline!F$12,'Project Plan'!$F42&gt;=Timeline!F$13),$D44,0)</f>
        <v>0</v>
      </c>
      <c r="G44" s="31">
        <f>IF(AND('Project Plan'!$E42&lt;=Timeline!G$12,'Project Plan'!$F42&gt;=Timeline!G$13),$D44,0)</f>
        <v>0</v>
      </c>
      <c r="H44" s="31" t="str">
        <f>IF(AND('Project Plan'!$E42&lt;=Timeline!H$12,'Project Plan'!$F42&gt;=Timeline!H$13),$D44,0)</f>
        <v>Completed</v>
      </c>
      <c r="I44" s="31" t="str">
        <f>IF(AND('Project Plan'!$E42&lt;=Timeline!I$12,'Project Plan'!$F42&gt;=Timeline!I$13),$D44,0)</f>
        <v>Completed</v>
      </c>
      <c r="J44" s="31" t="str">
        <f>IF(AND('Project Plan'!$E42&lt;=Timeline!J$12,'Project Plan'!$F42&gt;=Timeline!J$13),$D44,0)</f>
        <v>Completed</v>
      </c>
      <c r="K44" s="31">
        <f>IF(AND('Project Plan'!$E42&lt;=Timeline!K$12,'Project Plan'!$F42&gt;=Timeline!K$13),$D44,0)</f>
        <v>0</v>
      </c>
      <c r="L44" s="31">
        <f>IF(AND('Project Plan'!$E42&lt;=Timeline!L$12,'Project Plan'!$F42&gt;=Timeline!L$13),$D44,0)</f>
        <v>0</v>
      </c>
      <c r="M44" s="31">
        <f>IF(AND('Project Plan'!$E42&lt;=Timeline!M$12,'Project Plan'!$F42&gt;=Timeline!M$13),$D44,0)</f>
        <v>0</v>
      </c>
      <c r="N44" s="31">
        <f>IF(AND('Project Plan'!$E42&lt;=Timeline!N$12,'Project Plan'!$F42&gt;=Timeline!N$13),$D44,0)</f>
        <v>0</v>
      </c>
      <c r="O44" s="31">
        <f>IF(AND('Project Plan'!$E42&lt;=Timeline!O$12,'Project Plan'!$F42&gt;=Timeline!O$13),$D44,0)</f>
        <v>0</v>
      </c>
      <c r="P44" s="31">
        <f>IF(AND('Project Plan'!$E42&lt;=Timeline!P$12,'Project Plan'!$F42&gt;=Timeline!P$13),$D44,0)</f>
        <v>0</v>
      </c>
      <c r="Q44" s="31">
        <f>IF(AND('Project Plan'!$E42&lt;=Timeline!Q$12,'Project Plan'!$F42&gt;=Timeline!Q$13),$D44,0)</f>
        <v>0</v>
      </c>
      <c r="R44" s="30"/>
    </row>
    <row r="45" spans="2:18" x14ac:dyDescent="0.25">
      <c r="B45" s="913"/>
      <c r="C45" s="63" t="str">
        <f>'Project Plan'!D43</f>
        <v>NU1.7 Follow up and tweak program if needed</v>
      </c>
      <c r="D45" s="63" t="s">
        <v>259</v>
      </c>
      <c r="E45" s="67" t="str">
        <f>'Project Plan'!G43</f>
        <v>Rost</v>
      </c>
      <c r="F45" s="31">
        <f>IF(AND('Project Plan'!$E43&lt;=Timeline!F$12,'Project Plan'!$F43&gt;=Timeline!F$13),$D45,0)</f>
        <v>0</v>
      </c>
      <c r="G45" s="31">
        <f>IF(AND('Project Plan'!$E43&lt;=Timeline!G$12,'Project Plan'!$F43&gt;=Timeline!G$13),$D45,0)</f>
        <v>0</v>
      </c>
      <c r="H45" s="31" t="str">
        <f>IF(AND('Project Plan'!$E43&lt;=Timeline!H$12,'Project Plan'!$F43&gt;=Timeline!H$13),$D45,0)</f>
        <v>On Track</v>
      </c>
      <c r="I45" s="31" t="str">
        <f>IF(AND('Project Plan'!$E43&lt;=Timeline!I$12,'Project Plan'!$F43&gt;=Timeline!I$13),$D45,0)</f>
        <v>On Track</v>
      </c>
      <c r="J45" s="31" t="str">
        <f>IF(AND('Project Plan'!$E43&lt;=Timeline!J$12,'Project Plan'!$F43&gt;=Timeline!J$13),$D45,0)</f>
        <v>On Track</v>
      </c>
      <c r="K45" s="31">
        <f>IF(AND('Project Plan'!$E43&lt;=Timeline!K$12,'Project Plan'!$F43&gt;=Timeline!K$13),$D45,0)</f>
        <v>0</v>
      </c>
      <c r="L45" s="31">
        <f>IF(AND('Project Plan'!$E43&lt;=Timeline!L$12,'Project Plan'!$F43&gt;=Timeline!L$13),$D45,0)</f>
        <v>0</v>
      </c>
      <c r="M45" s="31">
        <f>IF(AND('Project Plan'!$E43&lt;=Timeline!M$12,'Project Plan'!$F43&gt;=Timeline!M$13),$D45,0)</f>
        <v>0</v>
      </c>
      <c r="N45" s="31">
        <f>IF(AND('Project Plan'!$E43&lt;=Timeline!N$12,'Project Plan'!$F43&gt;=Timeline!N$13),$D45,0)</f>
        <v>0</v>
      </c>
      <c r="O45" s="31">
        <f>IF(AND('Project Plan'!$E43&lt;=Timeline!O$12,'Project Plan'!$F43&gt;=Timeline!O$13),$D45,0)</f>
        <v>0</v>
      </c>
      <c r="P45" s="31">
        <f>IF(AND('Project Plan'!$E43&lt;=Timeline!P$12,'Project Plan'!$F43&gt;=Timeline!P$13),$D45,0)</f>
        <v>0</v>
      </c>
      <c r="Q45" s="31">
        <f>IF(AND('Project Plan'!$E43&lt;=Timeline!Q$12,'Project Plan'!$F43&gt;=Timeline!Q$13),$D45,0)</f>
        <v>0</v>
      </c>
      <c r="R45" s="30"/>
    </row>
    <row r="46" spans="2:18" x14ac:dyDescent="0.25">
      <c r="B46" s="913"/>
      <c r="C46" s="63" t="str">
        <f>'Project Plan'!D44</f>
        <v>NU1.8 Develop a PIP for Nurses that are not performing</v>
      </c>
      <c r="D46" s="63" t="s">
        <v>259</v>
      </c>
      <c r="E46" s="67" t="str">
        <f>'Project Plan'!G44</f>
        <v>Rost</v>
      </c>
      <c r="F46" s="31">
        <f>IF(AND('Project Plan'!$E44&lt;=Timeline!F$12,'Project Plan'!$F44&gt;=Timeline!F$13),$D46,0)</f>
        <v>0</v>
      </c>
      <c r="G46" s="31">
        <f>IF(AND('Project Plan'!$E44&lt;=Timeline!G$12,'Project Plan'!$F44&gt;=Timeline!G$13),$D46,0)</f>
        <v>0</v>
      </c>
      <c r="H46" s="31">
        <f>IF(AND('Project Plan'!$E44&lt;=Timeline!H$12,'Project Plan'!$F44&gt;=Timeline!H$13),$D46,0)</f>
        <v>0</v>
      </c>
      <c r="I46" s="31">
        <f>IF(AND('Project Plan'!$E44&lt;=Timeline!I$12,'Project Plan'!$F44&gt;=Timeline!I$13),$D46,0)</f>
        <v>0</v>
      </c>
      <c r="J46" s="31">
        <f>IF(AND('Project Plan'!$E44&lt;=Timeline!J$12,'Project Plan'!$F44&gt;=Timeline!J$13),$D46,0)</f>
        <v>0</v>
      </c>
      <c r="K46" s="31" t="str">
        <f>IF(AND('Project Plan'!$E44&lt;=Timeline!K$12,'Project Plan'!$F44&gt;=Timeline!K$13),$D46,0)</f>
        <v>On Track</v>
      </c>
      <c r="L46" s="31">
        <f>IF(AND('Project Plan'!$E44&lt;=Timeline!L$12,'Project Plan'!$F44&gt;=Timeline!L$13),$D46,0)</f>
        <v>0</v>
      </c>
      <c r="M46" s="31">
        <f>IF(AND('Project Plan'!$E44&lt;=Timeline!M$12,'Project Plan'!$F44&gt;=Timeline!M$13),$D46,0)</f>
        <v>0</v>
      </c>
      <c r="N46" s="31">
        <f>IF(AND('Project Plan'!$E44&lt;=Timeline!N$12,'Project Plan'!$F44&gt;=Timeline!N$13),$D46,0)</f>
        <v>0</v>
      </c>
      <c r="O46" s="31">
        <f>IF(AND('Project Plan'!$E44&lt;=Timeline!O$12,'Project Plan'!$F44&gt;=Timeline!O$13),$D46,0)</f>
        <v>0</v>
      </c>
      <c r="P46" s="31">
        <f>IF(AND('Project Plan'!$E44&lt;=Timeline!P$12,'Project Plan'!$F44&gt;=Timeline!P$13),$D46,0)</f>
        <v>0</v>
      </c>
      <c r="Q46" s="31">
        <f>IF(AND('Project Plan'!$E44&lt;=Timeline!Q$12,'Project Plan'!$F44&gt;=Timeline!Q$13),$D46,0)</f>
        <v>0</v>
      </c>
      <c r="R46" s="30"/>
    </row>
    <row r="47" spans="2:18" x14ac:dyDescent="0.25">
      <c r="B47" s="913"/>
      <c r="C47" s="63" t="str">
        <f>'Project Plan'!D45</f>
        <v>NU1.9 Monitor and report on missed appts and time to treatment</v>
      </c>
      <c r="D47" s="63" t="s">
        <v>259</v>
      </c>
      <c r="E47" s="67" t="str">
        <f>'Project Plan'!G45</f>
        <v>Rost</v>
      </c>
      <c r="F47" s="31">
        <f>IF(AND('Project Plan'!$E45&lt;=Timeline!F$12,'Project Plan'!$F45&gt;=Timeline!F$13),$D47,0)</f>
        <v>0</v>
      </c>
      <c r="G47" s="31">
        <f>IF(AND('Project Plan'!$E45&lt;=Timeline!G$12,'Project Plan'!$F45&gt;=Timeline!G$13),$D47,0)</f>
        <v>0</v>
      </c>
      <c r="H47" s="31">
        <f>IF(AND('Project Plan'!$E45&lt;=Timeline!H$12,'Project Plan'!$F45&gt;=Timeline!H$13),$D47,0)</f>
        <v>0</v>
      </c>
      <c r="I47" s="31">
        <f>IF(AND('Project Plan'!$E45&lt;=Timeline!I$12,'Project Plan'!$F45&gt;=Timeline!I$13),$D47,0)</f>
        <v>0</v>
      </c>
      <c r="J47" s="31">
        <f>IF(AND('Project Plan'!$E45&lt;=Timeline!J$12,'Project Plan'!$F45&gt;=Timeline!J$13),$D47,0)</f>
        <v>0</v>
      </c>
      <c r="K47" s="31" t="str">
        <f>IF(AND('Project Plan'!$E45&lt;=Timeline!K$12,'Project Plan'!$F45&gt;=Timeline!K$13),$D47,0)</f>
        <v>On Track</v>
      </c>
      <c r="L47" s="31" t="str">
        <f>IF(AND('Project Plan'!$E45&lt;=Timeline!L$12,'Project Plan'!$F45&gt;=Timeline!L$13),$D47,0)</f>
        <v>On Track</v>
      </c>
      <c r="M47" s="31" t="str">
        <f>IF(AND('Project Plan'!$E45&lt;=Timeline!M$12,'Project Plan'!$F45&gt;=Timeline!M$13),$D47,0)</f>
        <v>On Track</v>
      </c>
      <c r="N47" s="31" t="str">
        <f>IF(AND('Project Plan'!$E45&lt;=Timeline!N$12,'Project Plan'!$F45&gt;=Timeline!N$13),$D47,0)</f>
        <v>On Track</v>
      </c>
      <c r="O47" s="31" t="str">
        <f>IF(AND('Project Plan'!$E45&lt;=Timeline!O$12,'Project Plan'!$F45&gt;=Timeline!O$13),$D47,0)</f>
        <v>On Track</v>
      </c>
      <c r="P47" s="31" t="str">
        <f>IF(AND('Project Plan'!$E45&lt;=Timeline!P$12,'Project Plan'!$F45&gt;=Timeline!P$13),$D47,0)</f>
        <v>On Track</v>
      </c>
      <c r="Q47" s="31" t="str">
        <f>IF(AND('Project Plan'!$E45&lt;=Timeline!Q$12,'Project Plan'!$F45&gt;=Timeline!Q$13),$D47,0)</f>
        <v>On Track</v>
      </c>
      <c r="R47" s="30"/>
    </row>
    <row r="48" spans="2:18" x14ac:dyDescent="0.25">
      <c r="B48" s="913"/>
      <c r="C48" s="63" t="str">
        <f>'Project Plan'!D46</f>
        <v>TBD</v>
      </c>
      <c r="D48" s="63" t="s">
        <v>259</v>
      </c>
      <c r="E48" s="67" t="str">
        <f>'Project Plan'!G46</f>
        <v>Rost</v>
      </c>
      <c r="F48" s="31">
        <f>IF(AND('Project Plan'!$E46&lt;=Timeline!F$12,'Project Plan'!$F46&gt;=Timeline!F$13),$D48,0)</f>
        <v>0</v>
      </c>
      <c r="G48" s="31">
        <f>IF(AND('Project Plan'!$E46&lt;=Timeline!G$12,'Project Plan'!$F46&gt;=Timeline!G$13),$D48,0)</f>
        <v>0</v>
      </c>
      <c r="H48" s="31">
        <f>IF(AND('Project Plan'!$E46&lt;=Timeline!H$12,'Project Plan'!$F46&gt;=Timeline!H$13),$D48,0)</f>
        <v>0</v>
      </c>
      <c r="I48" s="31">
        <f>IF(AND('Project Plan'!$E46&lt;=Timeline!I$12,'Project Plan'!$F46&gt;=Timeline!I$13),$D48,0)</f>
        <v>0</v>
      </c>
      <c r="J48" s="31">
        <f>IF(AND('Project Plan'!$E46&lt;=Timeline!J$12,'Project Plan'!$F46&gt;=Timeline!J$13),$D48,0)</f>
        <v>0</v>
      </c>
      <c r="K48" s="31">
        <f>IF(AND('Project Plan'!$E46&lt;=Timeline!K$12,'Project Plan'!$F46&gt;=Timeline!K$13),$D48,0)</f>
        <v>0</v>
      </c>
      <c r="L48" s="31" t="str">
        <f>IF(AND('Project Plan'!$E46&lt;=Timeline!L$12,'Project Plan'!$F46&gt;=Timeline!L$13),$D48,0)</f>
        <v>On Track</v>
      </c>
      <c r="M48" s="31" t="str">
        <f>IF(AND('Project Plan'!$E46&lt;=Timeline!M$12,'Project Plan'!$F46&gt;=Timeline!M$13),$D48,0)</f>
        <v>On Track</v>
      </c>
      <c r="N48" s="31">
        <f>IF(AND('Project Plan'!$E46&lt;=Timeline!N$12,'Project Plan'!$F46&gt;=Timeline!N$13),$D48,0)</f>
        <v>0</v>
      </c>
      <c r="O48" s="31">
        <f>IF(AND('Project Plan'!$E46&lt;=Timeline!O$12,'Project Plan'!$F46&gt;=Timeline!O$13),$D48,0)</f>
        <v>0</v>
      </c>
      <c r="P48" s="31">
        <f>IF(AND('Project Plan'!$E46&lt;=Timeline!P$12,'Project Plan'!$F46&gt;=Timeline!P$13),$D48,0)</f>
        <v>0</v>
      </c>
      <c r="Q48" s="31">
        <f>IF(AND('Project Plan'!$E46&lt;=Timeline!Q$12,'Project Plan'!$F46&gt;=Timeline!Q$13),$D48,0)</f>
        <v>0</v>
      </c>
      <c r="R48" s="30"/>
    </row>
    <row r="49" spans="2:18" x14ac:dyDescent="0.25">
      <c r="B49" s="913"/>
      <c r="C49" s="63" t="str">
        <f>'Project Plan'!D47</f>
        <v>TBD</v>
      </c>
      <c r="D49" s="63" t="s">
        <v>259</v>
      </c>
      <c r="E49" s="67" t="str">
        <f>'Project Plan'!G47</f>
        <v>Rost</v>
      </c>
      <c r="F49" s="31">
        <f>IF(AND('Project Plan'!$E47&lt;=Timeline!F$12,'Project Plan'!$F47&gt;=Timeline!F$13),$D49,0)</f>
        <v>0</v>
      </c>
      <c r="G49" s="31">
        <f>IF(AND('Project Plan'!$E47&lt;=Timeline!G$12,'Project Plan'!$F47&gt;=Timeline!G$13),$D49,0)</f>
        <v>0</v>
      </c>
      <c r="H49" s="31">
        <f>IF(AND('Project Plan'!$E47&lt;=Timeline!H$12,'Project Plan'!$F47&gt;=Timeline!H$13),$D49,0)</f>
        <v>0</v>
      </c>
      <c r="I49" s="31">
        <f>IF(AND('Project Plan'!$E47&lt;=Timeline!I$12,'Project Plan'!$F47&gt;=Timeline!I$13),$D49,0)</f>
        <v>0</v>
      </c>
      <c r="J49" s="31">
        <f>IF(AND('Project Plan'!$E47&lt;=Timeline!J$12,'Project Plan'!$F47&gt;=Timeline!J$13),$D49,0)</f>
        <v>0</v>
      </c>
      <c r="K49" s="31">
        <f>IF(AND('Project Plan'!$E47&lt;=Timeline!K$12,'Project Plan'!$F47&gt;=Timeline!K$13),$D49,0)</f>
        <v>0</v>
      </c>
      <c r="L49" s="31" t="str">
        <f>IF(AND('Project Plan'!$E47&lt;=Timeline!L$12,'Project Plan'!$F47&gt;=Timeline!L$13),$D49,0)</f>
        <v>On Track</v>
      </c>
      <c r="M49" s="31" t="str">
        <f>IF(AND('Project Plan'!$E47&lt;=Timeline!M$12,'Project Plan'!$F47&gt;=Timeline!M$13),$D49,0)</f>
        <v>On Track</v>
      </c>
      <c r="N49" s="31">
        <f>IF(AND('Project Plan'!$E47&lt;=Timeline!N$12,'Project Plan'!$F47&gt;=Timeline!N$13),$D49,0)</f>
        <v>0</v>
      </c>
      <c r="O49" s="31">
        <f>IF(AND('Project Plan'!$E47&lt;=Timeline!O$12,'Project Plan'!$F47&gt;=Timeline!O$13),$D49,0)</f>
        <v>0</v>
      </c>
      <c r="P49" s="31">
        <f>IF(AND('Project Plan'!$E47&lt;=Timeline!P$12,'Project Plan'!$F47&gt;=Timeline!P$13),$D49,0)</f>
        <v>0</v>
      </c>
      <c r="Q49" s="31">
        <f>IF(AND('Project Plan'!$E47&lt;=Timeline!Q$12,'Project Plan'!$F47&gt;=Timeline!Q$13),$D49,0)</f>
        <v>0</v>
      </c>
      <c r="R49" s="30"/>
    </row>
    <row r="50" spans="2:18" x14ac:dyDescent="0.25">
      <c r="B50" s="914"/>
      <c r="C50" s="63" t="str">
        <f>'Project Plan'!D48</f>
        <v>TBD</v>
      </c>
      <c r="D50" s="63" t="s">
        <v>259</v>
      </c>
      <c r="E50" s="67" t="str">
        <f>'Project Plan'!G48</f>
        <v>Rost</v>
      </c>
      <c r="F50" s="31">
        <f>IF(AND('Project Plan'!$E48&lt;=Timeline!F$12,'Project Plan'!$F48&gt;=Timeline!F$13),$D50,0)</f>
        <v>0</v>
      </c>
      <c r="G50" s="31">
        <f>IF(AND('Project Plan'!$E48&lt;=Timeline!G$12,'Project Plan'!$F48&gt;=Timeline!G$13),$D50,0)</f>
        <v>0</v>
      </c>
      <c r="H50" s="31">
        <f>IF(AND('Project Plan'!$E48&lt;=Timeline!H$12,'Project Plan'!$F48&gt;=Timeline!H$13),$D50,0)</f>
        <v>0</v>
      </c>
      <c r="I50" s="31">
        <f>IF(AND('Project Plan'!$E48&lt;=Timeline!I$12,'Project Plan'!$F48&gt;=Timeline!I$13),$D50,0)</f>
        <v>0</v>
      </c>
      <c r="J50" s="31">
        <f>IF(AND('Project Plan'!$E48&lt;=Timeline!J$12,'Project Plan'!$F48&gt;=Timeline!J$13),$D50,0)</f>
        <v>0</v>
      </c>
      <c r="K50" s="31">
        <f>IF(AND('Project Plan'!$E48&lt;=Timeline!K$12,'Project Plan'!$F48&gt;=Timeline!K$13),$D50,0)</f>
        <v>0</v>
      </c>
      <c r="L50" s="31" t="str">
        <f>IF(AND('Project Plan'!$E48&lt;=Timeline!L$12,'Project Plan'!$F48&gt;=Timeline!L$13),$D50,0)</f>
        <v>On Track</v>
      </c>
      <c r="M50" s="31" t="str">
        <f>IF(AND('Project Plan'!$E48&lt;=Timeline!M$12,'Project Plan'!$F48&gt;=Timeline!M$13),$D50,0)</f>
        <v>On Track</v>
      </c>
      <c r="N50" s="31">
        <f>IF(AND('Project Plan'!$E48&lt;=Timeline!N$12,'Project Plan'!$F48&gt;=Timeline!N$13),$D50,0)</f>
        <v>0</v>
      </c>
      <c r="O50" s="31">
        <f>IF(AND('Project Plan'!$E48&lt;=Timeline!O$12,'Project Plan'!$F48&gt;=Timeline!O$13),$D50,0)</f>
        <v>0</v>
      </c>
      <c r="P50" s="31">
        <f>IF(AND('Project Plan'!$E48&lt;=Timeline!P$12,'Project Plan'!$F48&gt;=Timeline!P$13),$D50,0)</f>
        <v>0</v>
      </c>
      <c r="Q50" s="31">
        <f>IF(AND('Project Plan'!$E48&lt;=Timeline!Q$12,'Project Plan'!$F48&gt;=Timeline!Q$13),$D50,0)</f>
        <v>0</v>
      </c>
      <c r="R50" s="30"/>
    </row>
    <row r="51" spans="2:18" x14ac:dyDescent="0.25">
      <c r="B51" s="918" t="str">
        <f>CONCATENATE('Project Plan'!$B$49,": ",'Project Plan'!$C$49)</f>
        <v>NU2: Revamp Performance Review Program with HR</v>
      </c>
      <c r="C51" s="62" t="str">
        <f>'Project Plan'!D49</f>
        <v>NU2.1 Develop measurable goals for each RN and manager</v>
      </c>
      <c r="D51" s="63" t="s">
        <v>258</v>
      </c>
      <c r="E51" s="67" t="str">
        <f>'Project Plan'!G49</f>
        <v>Rost</v>
      </c>
      <c r="F51" s="31" t="str">
        <f>IF(AND('Project Plan'!$E49&lt;=Timeline!F$12,'Project Plan'!$F49&gt;=Timeline!F$13),$D51,0)</f>
        <v>Completed</v>
      </c>
      <c r="G51" s="31" t="str">
        <f>IF(AND('Project Plan'!$E49&lt;=Timeline!G$12,'Project Plan'!$F49&gt;=Timeline!G$13),$D51,0)</f>
        <v>Completed</v>
      </c>
      <c r="H51" s="31" t="str">
        <f>IF(AND('Project Plan'!$E49&lt;=Timeline!H$12,'Project Plan'!$F49&gt;=Timeline!H$13),$D51,0)</f>
        <v>Completed</v>
      </c>
      <c r="I51" s="31" t="str">
        <f>IF(AND('Project Plan'!$E49&lt;=Timeline!I$12,'Project Plan'!$F49&gt;=Timeline!I$13),$D51,0)</f>
        <v>Completed</v>
      </c>
      <c r="J51" s="31">
        <f>IF(AND('Project Plan'!$E49&lt;=Timeline!J$12,'Project Plan'!$F49&gt;=Timeline!J$13),$D51,0)</f>
        <v>0</v>
      </c>
      <c r="K51" s="31">
        <f>IF(AND('Project Plan'!$E49&lt;=Timeline!K$12,'Project Plan'!$F49&gt;=Timeline!K$13),$D51,0)</f>
        <v>0</v>
      </c>
      <c r="L51" s="31">
        <f>IF(AND('Project Plan'!$E49&lt;=Timeline!L$12,'Project Plan'!$F49&gt;=Timeline!L$13),$D51,0)</f>
        <v>0</v>
      </c>
      <c r="M51" s="31">
        <f>IF(AND('Project Plan'!$E49&lt;=Timeline!M$12,'Project Plan'!$F49&gt;=Timeline!M$13),$D51,0)</f>
        <v>0</v>
      </c>
      <c r="N51" s="31">
        <f>IF(AND('Project Plan'!$E49&lt;=Timeline!N$12,'Project Plan'!$F49&gt;=Timeline!N$13),$D51,0)</f>
        <v>0</v>
      </c>
      <c r="O51" s="31">
        <f>IF(AND('Project Plan'!$E49&lt;=Timeline!O$12,'Project Plan'!$F49&gt;=Timeline!O$13),$D51,0)</f>
        <v>0</v>
      </c>
      <c r="P51" s="31">
        <f>IF(AND('Project Plan'!$E49&lt;=Timeline!P$12,'Project Plan'!$F49&gt;=Timeline!P$13),$D51,0)</f>
        <v>0</v>
      </c>
      <c r="Q51" s="31">
        <f>IF(AND('Project Plan'!$E49&lt;=Timeline!Q$12,'Project Plan'!$F49&gt;=Timeline!Q$13),$D51,0)</f>
        <v>0</v>
      </c>
      <c r="R51" s="31">
        <f>IF(AND('Project Plan'!$E49&lt;=Timeline!R$12,'Project Plan'!$F49&gt;=Timeline!R$13),1,0)</f>
        <v>0</v>
      </c>
    </row>
    <row r="52" spans="2:18" x14ac:dyDescent="0.25">
      <c r="B52" s="913"/>
      <c r="C52" s="63" t="str">
        <f>'Project Plan'!D50</f>
        <v>NU2.2 Seek approval on goals and targets from Connie/Saurabh</v>
      </c>
      <c r="D52" s="63" t="s">
        <v>258</v>
      </c>
      <c r="E52" s="67" t="str">
        <f>'Project Plan'!G50</f>
        <v>Rost</v>
      </c>
      <c r="F52" s="31">
        <f>IF(AND('Project Plan'!$E50&lt;=Timeline!F$12,'Project Plan'!$F50&gt;=Timeline!F$13),$D52,0)</f>
        <v>0</v>
      </c>
      <c r="G52" s="31">
        <f>IF(AND('Project Plan'!$E50&lt;=Timeline!G$12,'Project Plan'!$F50&gt;=Timeline!G$13),$D52,0)</f>
        <v>0</v>
      </c>
      <c r="H52" s="31">
        <f>IF(AND('Project Plan'!$E50&lt;=Timeline!H$12,'Project Plan'!$F50&gt;=Timeline!H$13),$D52,0)</f>
        <v>0</v>
      </c>
      <c r="I52" s="31" t="str">
        <f>IF(AND('Project Plan'!$E50&lt;=Timeline!I$12,'Project Plan'!$F50&gt;=Timeline!I$13),$D52,0)</f>
        <v>Completed</v>
      </c>
      <c r="J52" s="31">
        <f>IF(AND('Project Plan'!$E50&lt;=Timeline!J$12,'Project Plan'!$F50&gt;=Timeline!J$13),$D52,0)</f>
        <v>0</v>
      </c>
      <c r="K52" s="31">
        <f>IF(AND('Project Plan'!$E50&lt;=Timeline!K$12,'Project Plan'!$F50&gt;=Timeline!K$13),$D52,0)</f>
        <v>0</v>
      </c>
      <c r="L52" s="31">
        <f>IF(AND('Project Plan'!$E50&lt;=Timeline!L$12,'Project Plan'!$F50&gt;=Timeline!L$13),$D52,0)</f>
        <v>0</v>
      </c>
      <c r="M52" s="31">
        <f>IF(AND('Project Plan'!$E50&lt;=Timeline!M$12,'Project Plan'!$F50&gt;=Timeline!M$13),$D52,0)</f>
        <v>0</v>
      </c>
      <c r="N52" s="31">
        <f>IF(AND('Project Plan'!$E50&lt;=Timeline!N$12,'Project Plan'!$F50&gt;=Timeline!N$13),$D52,0)</f>
        <v>0</v>
      </c>
      <c r="O52" s="31">
        <f>IF(AND('Project Plan'!$E50&lt;=Timeline!O$12,'Project Plan'!$F50&gt;=Timeline!O$13),$D52,0)</f>
        <v>0</v>
      </c>
      <c r="P52" s="31">
        <f>IF(AND('Project Plan'!$E50&lt;=Timeline!P$12,'Project Plan'!$F50&gt;=Timeline!P$13),$D52,0)</f>
        <v>0</v>
      </c>
      <c r="Q52" s="31">
        <f>IF(AND('Project Plan'!$E50&lt;=Timeline!Q$12,'Project Plan'!$F50&gt;=Timeline!Q$13),$D52,0)</f>
        <v>0</v>
      </c>
      <c r="R52" s="31">
        <f>IF(AND('Project Plan'!$E50&lt;=Timeline!R$12,'Project Plan'!$F50&gt;=Timeline!R$13),1,0)</f>
        <v>0</v>
      </c>
    </row>
    <row r="53" spans="2:18" x14ac:dyDescent="0.25">
      <c r="B53" s="913"/>
      <c r="C53" s="63" t="str">
        <f>'Project Plan'!D51</f>
        <v>NU2.3 Pilot new goals and process (train, commu icate, measure)</v>
      </c>
      <c r="D53" s="63" t="s">
        <v>259</v>
      </c>
      <c r="E53" s="67" t="str">
        <f>'Project Plan'!G51</f>
        <v>Rost</v>
      </c>
      <c r="F53" s="31">
        <f>IF(AND('Project Plan'!$E51&lt;=Timeline!F$12,'Project Plan'!$F51&gt;=Timeline!F$13),$D53,0)</f>
        <v>0</v>
      </c>
      <c r="G53" s="31">
        <f>IF(AND('Project Plan'!$E51&lt;=Timeline!G$12,'Project Plan'!$F51&gt;=Timeline!G$13),$D53,0)</f>
        <v>0</v>
      </c>
      <c r="H53" s="31">
        <f>IF(AND('Project Plan'!$E51&lt;=Timeline!H$12,'Project Plan'!$F51&gt;=Timeline!H$13),$D53,0)</f>
        <v>0</v>
      </c>
      <c r="I53" s="31">
        <f>IF(AND('Project Plan'!$E51&lt;=Timeline!I$12,'Project Plan'!$F51&gt;=Timeline!I$13),$D53,0)</f>
        <v>0</v>
      </c>
      <c r="J53" s="31" t="str">
        <f>IF(AND('Project Plan'!$E51&lt;=Timeline!J$12,'Project Plan'!$F51&gt;=Timeline!J$13),$D53,0)</f>
        <v>On Track</v>
      </c>
      <c r="K53" s="31" t="str">
        <f>IF(AND('Project Plan'!$E51&lt;=Timeline!K$12,'Project Plan'!$F51&gt;=Timeline!K$13),$D53,0)</f>
        <v>On Track</v>
      </c>
      <c r="L53" s="31">
        <f>IF(AND('Project Plan'!$E51&lt;=Timeline!L$12,'Project Plan'!$F51&gt;=Timeline!L$13),$D53,0)</f>
        <v>0</v>
      </c>
      <c r="M53" s="31">
        <f>IF(AND('Project Plan'!$E51&lt;=Timeline!M$12,'Project Plan'!$F51&gt;=Timeline!M$13),$D53,0)</f>
        <v>0</v>
      </c>
      <c r="N53" s="31">
        <f>IF(AND('Project Plan'!$E51&lt;=Timeline!N$12,'Project Plan'!$F51&gt;=Timeline!N$13),$D53,0)</f>
        <v>0</v>
      </c>
      <c r="O53" s="31">
        <f>IF(AND('Project Plan'!$E51&lt;=Timeline!O$12,'Project Plan'!$F51&gt;=Timeline!O$13),$D53,0)</f>
        <v>0</v>
      </c>
      <c r="P53" s="31">
        <f>IF(AND('Project Plan'!$E51&lt;=Timeline!P$12,'Project Plan'!$F51&gt;=Timeline!P$13),$D53,0)</f>
        <v>0</v>
      </c>
      <c r="Q53" s="31">
        <f>IF(AND('Project Plan'!$E51&lt;=Timeline!Q$12,'Project Plan'!$F51&gt;=Timeline!Q$13),$D53,0)</f>
        <v>0</v>
      </c>
      <c r="R53" s="31">
        <f>IF(AND('Project Plan'!$E51&lt;=Timeline!R$12,'Project Plan'!$F51&gt;=Timeline!R$13),1,0)</f>
        <v>0</v>
      </c>
    </row>
    <row r="54" spans="2:18" x14ac:dyDescent="0.25">
      <c r="B54" s="913"/>
      <c r="C54" s="63" t="str">
        <f>'Project Plan'!D52</f>
        <v>NU2.4 Follow up and tweak the process as needed</v>
      </c>
      <c r="D54" s="63" t="s">
        <v>259</v>
      </c>
      <c r="E54" s="67" t="str">
        <f>'Project Plan'!G52</f>
        <v>Rost</v>
      </c>
      <c r="F54" s="31">
        <f>IF(AND('Project Plan'!$E52&lt;=Timeline!F$12,'Project Plan'!$F52&gt;=Timeline!F$13),$D54,0)</f>
        <v>0</v>
      </c>
      <c r="G54" s="31">
        <f>IF(AND('Project Plan'!$E52&lt;=Timeline!G$12,'Project Plan'!$F52&gt;=Timeline!G$13),$D54,0)</f>
        <v>0</v>
      </c>
      <c r="H54" s="31">
        <f>IF(AND('Project Plan'!$E52&lt;=Timeline!H$12,'Project Plan'!$F52&gt;=Timeline!H$13),$D54,0)</f>
        <v>0</v>
      </c>
      <c r="I54" s="31">
        <f>IF(AND('Project Plan'!$E52&lt;=Timeline!I$12,'Project Plan'!$F52&gt;=Timeline!I$13),$D54,0)</f>
        <v>0</v>
      </c>
      <c r="J54" s="31">
        <f>IF(AND('Project Plan'!$E52&lt;=Timeline!J$12,'Project Plan'!$F52&gt;=Timeline!J$13),$D54,0)</f>
        <v>0</v>
      </c>
      <c r="K54" s="31">
        <f>IF(AND('Project Plan'!$E52&lt;=Timeline!K$12,'Project Plan'!$F52&gt;=Timeline!K$13),$D54,0)</f>
        <v>0</v>
      </c>
      <c r="L54" s="31" t="str">
        <f>IF(AND('Project Plan'!$E52&lt;=Timeline!L$12,'Project Plan'!$F52&gt;=Timeline!L$13),$D54,0)</f>
        <v>On Track</v>
      </c>
      <c r="M54" s="31">
        <f>IF(AND('Project Plan'!$E52&lt;=Timeline!M$12,'Project Plan'!$F52&gt;=Timeline!M$13),$D54,0)</f>
        <v>0</v>
      </c>
      <c r="N54" s="31">
        <f>IF(AND('Project Plan'!$E52&lt;=Timeline!N$12,'Project Plan'!$F52&gt;=Timeline!N$13),$D54,0)</f>
        <v>0</v>
      </c>
      <c r="O54" s="31">
        <f>IF(AND('Project Plan'!$E52&lt;=Timeline!O$12,'Project Plan'!$F52&gt;=Timeline!O$13),$D54,0)</f>
        <v>0</v>
      </c>
      <c r="P54" s="31">
        <f>IF(AND('Project Plan'!$E52&lt;=Timeline!P$12,'Project Plan'!$F52&gt;=Timeline!P$13),$D54,0)</f>
        <v>0</v>
      </c>
      <c r="Q54" s="31">
        <f>IF(AND('Project Plan'!$E52&lt;=Timeline!Q$12,'Project Plan'!$F52&gt;=Timeline!Q$13),$D54,0)</f>
        <v>0</v>
      </c>
      <c r="R54" s="31">
        <f>IF(AND('Project Plan'!$E52&lt;=Timeline!R$12,'Project Plan'!$F52&gt;=Timeline!R$13),1,0)</f>
        <v>0</v>
      </c>
    </row>
    <row r="55" spans="2:18" x14ac:dyDescent="0.25">
      <c r="B55" s="913"/>
      <c r="C55" s="63" t="str">
        <f>'Project Plan'!D53</f>
        <v>NU2.5 New process is launched officially</v>
      </c>
      <c r="D55" s="63" t="s">
        <v>259</v>
      </c>
      <c r="E55" s="67" t="str">
        <f>'Project Plan'!G53</f>
        <v>Rost</v>
      </c>
      <c r="F55" s="31">
        <f>IF(AND('Project Plan'!$E53&lt;=Timeline!F$12,'Project Plan'!$F53&gt;=Timeline!F$13),$D55,0)</f>
        <v>0</v>
      </c>
      <c r="G55" s="31">
        <f>IF(AND('Project Plan'!$E53&lt;=Timeline!G$12,'Project Plan'!$F53&gt;=Timeline!G$13),$D55,0)</f>
        <v>0</v>
      </c>
      <c r="H55" s="31">
        <f>IF(AND('Project Plan'!$E53&lt;=Timeline!H$12,'Project Plan'!$F53&gt;=Timeline!H$13),$D55,0)</f>
        <v>0</v>
      </c>
      <c r="I55" s="31">
        <f>IF(AND('Project Plan'!$E53&lt;=Timeline!I$12,'Project Plan'!$F53&gt;=Timeline!I$13),$D55,0)</f>
        <v>0</v>
      </c>
      <c r="J55" s="31">
        <f>IF(AND('Project Plan'!$E53&lt;=Timeline!J$12,'Project Plan'!$F53&gt;=Timeline!J$13),$D55,0)</f>
        <v>0</v>
      </c>
      <c r="K55" s="31">
        <f>IF(AND('Project Plan'!$E53&lt;=Timeline!K$12,'Project Plan'!$F53&gt;=Timeline!K$13),$D55,0)</f>
        <v>0</v>
      </c>
      <c r="L55" s="31">
        <f>IF(AND('Project Plan'!$E53&lt;=Timeline!L$12,'Project Plan'!$F53&gt;=Timeline!L$13),$D55,0)</f>
        <v>0</v>
      </c>
      <c r="M55" s="31" t="str">
        <f>IF(AND('Project Plan'!$E53&lt;=Timeline!M$12,'Project Plan'!$F53&gt;=Timeline!M$13),$D55,0)</f>
        <v>On Track</v>
      </c>
      <c r="N55" s="31" t="str">
        <f>IF(AND('Project Plan'!$E53&lt;=Timeline!N$12,'Project Plan'!$F53&gt;=Timeline!N$13),$D55,0)</f>
        <v>On Track</v>
      </c>
      <c r="O55" s="31" t="str">
        <f>IF(AND('Project Plan'!$E53&lt;=Timeline!O$12,'Project Plan'!$F53&gt;=Timeline!O$13),$D55,0)</f>
        <v>On Track</v>
      </c>
      <c r="P55" s="31" t="str">
        <f>IF(AND('Project Plan'!$E53&lt;=Timeline!P$12,'Project Plan'!$F53&gt;=Timeline!P$13),$D55,0)</f>
        <v>On Track</v>
      </c>
      <c r="Q55" s="31" t="str">
        <f>IF(AND('Project Plan'!$E53&lt;=Timeline!Q$12,'Project Plan'!$F53&gt;=Timeline!Q$13),$D55,0)</f>
        <v>On Track</v>
      </c>
      <c r="R55" s="31">
        <f>IF(AND('Project Plan'!$E53&lt;=Timeline!R$12,'Project Plan'!$F53&gt;=Timeline!R$13),1,0)</f>
        <v>0</v>
      </c>
    </row>
    <row r="56" spans="2:18" x14ac:dyDescent="0.25">
      <c r="B56" s="913"/>
      <c r="C56" s="63" t="str">
        <f>'Project Plan'!D54</f>
        <v>TBD</v>
      </c>
      <c r="D56" s="63" t="s">
        <v>259</v>
      </c>
      <c r="E56" s="67" t="str">
        <f>'Project Plan'!G54</f>
        <v>Rost</v>
      </c>
      <c r="F56" s="31">
        <f>IF(AND('Project Plan'!$E54&lt;=Timeline!F$12,'Project Plan'!$F54&gt;=Timeline!F$13),$D56,0)</f>
        <v>0</v>
      </c>
      <c r="G56" s="31">
        <f>IF(AND('Project Plan'!$E54&lt;=Timeline!G$12,'Project Plan'!$F54&gt;=Timeline!G$13),$D56,0)</f>
        <v>0</v>
      </c>
      <c r="H56" s="31">
        <f>IF(AND('Project Plan'!$E54&lt;=Timeline!H$12,'Project Plan'!$F54&gt;=Timeline!H$13),$D56,0)</f>
        <v>0</v>
      </c>
      <c r="I56" s="31">
        <f>IF(AND('Project Plan'!$E54&lt;=Timeline!I$12,'Project Plan'!$F54&gt;=Timeline!I$13),$D56,0)</f>
        <v>0</v>
      </c>
      <c r="J56" s="31">
        <f>IF(AND('Project Plan'!$E54&lt;=Timeline!J$12,'Project Plan'!$F54&gt;=Timeline!J$13),$D56,0)</f>
        <v>0</v>
      </c>
      <c r="K56" s="31" t="str">
        <f>IF(AND('Project Plan'!$E54&lt;=Timeline!K$12,'Project Plan'!$F54&gt;=Timeline!K$13),$D56,0)</f>
        <v>On Track</v>
      </c>
      <c r="L56" s="31" t="str">
        <f>IF(AND('Project Plan'!$E54&lt;=Timeline!L$12,'Project Plan'!$F54&gt;=Timeline!L$13),$D56,0)</f>
        <v>On Track</v>
      </c>
      <c r="M56" s="31" t="str">
        <f>IF(AND('Project Plan'!$E54&lt;=Timeline!M$12,'Project Plan'!$F54&gt;=Timeline!M$13),$D56,0)</f>
        <v>On Track</v>
      </c>
      <c r="N56" s="31" t="str">
        <f>IF(AND('Project Plan'!$E54&lt;=Timeline!N$12,'Project Plan'!$F54&gt;=Timeline!N$13),$D56,0)</f>
        <v>On Track</v>
      </c>
      <c r="O56" s="31" t="str">
        <f>IF(AND('Project Plan'!$E54&lt;=Timeline!O$12,'Project Plan'!$F54&gt;=Timeline!O$13),$D56,0)</f>
        <v>On Track</v>
      </c>
      <c r="P56" s="31" t="str">
        <f>IF(AND('Project Plan'!$E54&lt;=Timeline!P$12,'Project Plan'!$F54&gt;=Timeline!P$13),$D56,0)</f>
        <v>On Track</v>
      </c>
      <c r="Q56" s="31" t="str">
        <f>IF(AND('Project Plan'!$E54&lt;=Timeline!Q$12,'Project Plan'!$F54&gt;=Timeline!Q$13),$D56,0)</f>
        <v>On Track</v>
      </c>
      <c r="R56" s="31">
        <f>IF(AND('Project Plan'!$E54&lt;=Timeline!R$12,'Project Plan'!$F54&gt;=Timeline!R$13),1,0)</f>
        <v>0</v>
      </c>
    </row>
    <row r="57" spans="2:18" x14ac:dyDescent="0.25">
      <c r="B57" s="914"/>
      <c r="C57" s="63" t="str">
        <f>'Project Plan'!D55</f>
        <v>TBD</v>
      </c>
      <c r="D57" s="63" t="s">
        <v>259</v>
      </c>
      <c r="E57" s="67" t="str">
        <f>'Project Plan'!G55</f>
        <v>Rost</v>
      </c>
      <c r="F57" s="31">
        <f>IF(AND('Project Plan'!$E55&lt;=Timeline!F$12,'Project Plan'!$F55&gt;=Timeline!F$13),$D57,0)</f>
        <v>0</v>
      </c>
      <c r="G57" s="31">
        <f>IF(AND('Project Plan'!$E55&lt;=Timeline!G$12,'Project Plan'!$F55&gt;=Timeline!G$13),$D57,0)</f>
        <v>0</v>
      </c>
      <c r="H57" s="31">
        <f>IF(AND('Project Plan'!$E55&lt;=Timeline!H$12,'Project Plan'!$F55&gt;=Timeline!H$13),$D57,0)</f>
        <v>0</v>
      </c>
      <c r="I57" s="31">
        <f>IF(AND('Project Plan'!$E55&lt;=Timeline!I$12,'Project Plan'!$F55&gt;=Timeline!I$13),$D57,0)</f>
        <v>0</v>
      </c>
      <c r="J57" s="31">
        <f>IF(AND('Project Plan'!$E55&lt;=Timeline!J$12,'Project Plan'!$F55&gt;=Timeline!J$13),$D57,0)</f>
        <v>0</v>
      </c>
      <c r="K57" s="31" t="str">
        <f>IF(AND('Project Plan'!$E55&lt;=Timeline!K$12,'Project Plan'!$F55&gt;=Timeline!K$13),$D57,0)</f>
        <v>On Track</v>
      </c>
      <c r="L57" s="31" t="str">
        <f>IF(AND('Project Plan'!$E55&lt;=Timeline!L$12,'Project Plan'!$F55&gt;=Timeline!L$13),$D57,0)</f>
        <v>On Track</v>
      </c>
      <c r="M57" s="31" t="str">
        <f>IF(AND('Project Plan'!$E55&lt;=Timeline!M$12,'Project Plan'!$F55&gt;=Timeline!M$13),$D57,0)</f>
        <v>On Track</v>
      </c>
      <c r="N57" s="31" t="str">
        <f>IF(AND('Project Plan'!$E55&lt;=Timeline!N$12,'Project Plan'!$F55&gt;=Timeline!N$13),$D57,0)</f>
        <v>On Track</v>
      </c>
      <c r="O57" s="31" t="str">
        <f>IF(AND('Project Plan'!$E55&lt;=Timeline!O$12,'Project Plan'!$F55&gt;=Timeline!O$13),$D57,0)</f>
        <v>On Track</v>
      </c>
      <c r="P57" s="31" t="str">
        <f>IF(AND('Project Plan'!$E55&lt;=Timeline!P$12,'Project Plan'!$F55&gt;=Timeline!P$13),$D57,0)</f>
        <v>On Track</v>
      </c>
      <c r="Q57" s="31" t="str">
        <f>IF(AND('Project Plan'!$E55&lt;=Timeline!Q$12,'Project Plan'!$F55&gt;=Timeline!Q$13),$D57,0)</f>
        <v>On Track</v>
      </c>
      <c r="R57" s="31">
        <f>IF(AND('Project Plan'!$E55&lt;=Timeline!R$12,'Project Plan'!$F55&gt;=Timeline!R$13),1,0)</f>
        <v>0</v>
      </c>
    </row>
    <row r="58" spans="2:18" x14ac:dyDescent="0.25">
      <c r="B58" s="918" t="str">
        <f>CONCATENATE('Project Plan'!$B$56,": ",'Project Plan'!$C$56)</f>
        <v>IT1: Roll out Case Management Software</v>
      </c>
      <c r="C58" s="63" t="str">
        <f>'Project Plan'!D56</f>
        <v>IT1.1 Validate server and IT configuration</v>
      </c>
      <c r="D58" s="63" t="s">
        <v>258</v>
      </c>
      <c r="E58" s="67" t="str">
        <f>'Project Plan'!G56</f>
        <v>Craig</v>
      </c>
      <c r="F58" s="31" t="str">
        <f>IF(AND('Project Plan'!$E56&lt;=Timeline!F$12,'Project Plan'!$F56&gt;=Timeline!F$13),$D58,0)</f>
        <v>Completed</v>
      </c>
      <c r="G58" s="31">
        <f>IF(AND('Project Plan'!$E56&lt;=Timeline!G$12,'Project Plan'!$F56&gt;=Timeline!G$13),$D58,0)</f>
        <v>0</v>
      </c>
      <c r="H58" s="31">
        <f>IF(AND('Project Plan'!$E56&lt;=Timeline!H$12,'Project Plan'!$F56&gt;=Timeline!H$13),$D58,0)</f>
        <v>0</v>
      </c>
      <c r="I58" s="31">
        <f>IF(AND('Project Plan'!$E56&lt;=Timeline!I$12,'Project Plan'!$F56&gt;=Timeline!I$13),$D58,0)</f>
        <v>0</v>
      </c>
      <c r="J58" s="31">
        <f>IF(AND('Project Plan'!$E56&lt;=Timeline!J$12,'Project Plan'!$F56&gt;=Timeline!J$13),$D58,0)</f>
        <v>0</v>
      </c>
      <c r="K58" s="31">
        <f>IF(AND('Project Plan'!$E56&lt;=Timeline!K$12,'Project Plan'!$F56&gt;=Timeline!K$13),$D58,0)</f>
        <v>0</v>
      </c>
      <c r="L58" s="31">
        <f>IF(AND('Project Plan'!$E56&lt;=Timeline!L$12,'Project Plan'!$F56&gt;=Timeline!L$13),$D58,0)</f>
        <v>0</v>
      </c>
      <c r="M58" s="31">
        <f>IF(AND('Project Plan'!$E56&lt;=Timeline!M$12,'Project Plan'!$F56&gt;=Timeline!M$13),$D58,0)</f>
        <v>0</v>
      </c>
      <c r="N58" s="31">
        <f>IF(AND('Project Plan'!$E56&lt;=Timeline!N$12,'Project Plan'!$F56&gt;=Timeline!N$13),$D58,0)</f>
        <v>0</v>
      </c>
      <c r="O58" s="31">
        <f>IF(AND('Project Plan'!$E56&lt;=Timeline!O$12,'Project Plan'!$F56&gt;=Timeline!O$13),$D58,0)</f>
        <v>0</v>
      </c>
      <c r="P58" s="31">
        <f>IF(AND('Project Plan'!$E56&lt;=Timeline!P$12,'Project Plan'!$F56&gt;=Timeline!P$13),$D58,0)</f>
        <v>0</v>
      </c>
      <c r="Q58" s="31">
        <f>IF(AND('Project Plan'!$E56&lt;=Timeline!Q$12,'Project Plan'!$F56&gt;=Timeline!Q$13),$D58,0)</f>
        <v>0</v>
      </c>
      <c r="R58" s="30"/>
    </row>
    <row r="59" spans="2:18" x14ac:dyDescent="0.25">
      <c r="B59" s="913"/>
      <c r="C59" s="63" t="str">
        <f>'Project Plan'!D57</f>
        <v>IT1.2 Complete the On-boarding Questionnaire</v>
      </c>
      <c r="D59" s="63" t="s">
        <v>260</v>
      </c>
      <c r="E59" s="67" t="str">
        <f>'Project Plan'!G58</f>
        <v>Craig</v>
      </c>
      <c r="F59" s="31">
        <f>IF(AND('Project Plan'!$E57&lt;=Timeline!F$12,'Project Plan'!$F57&gt;=Timeline!F$13),$D59,0)</f>
        <v>0</v>
      </c>
      <c r="G59" s="31" t="str">
        <f>IF(AND('Project Plan'!$E57&lt;=Timeline!G$12,'Project Plan'!$F57&gt;=Timeline!G$13),$D59,0)</f>
        <v>Delayed</v>
      </c>
      <c r="H59" s="31" t="str">
        <f>IF(AND('Project Plan'!$E57&lt;=Timeline!H$12,'Project Plan'!$F57&gt;=Timeline!H$13),$D59,0)</f>
        <v>Delayed</v>
      </c>
      <c r="I59" s="31">
        <f>IF(AND('Project Plan'!$E57&lt;=Timeline!I$12,'Project Plan'!$F57&gt;=Timeline!I$13),$D59,0)</f>
        <v>0</v>
      </c>
      <c r="J59" s="31">
        <f>IF(AND('Project Plan'!$E57&lt;=Timeline!J$12,'Project Plan'!$F57&gt;=Timeline!J$13),$D59,0)</f>
        <v>0</v>
      </c>
      <c r="K59" s="31">
        <f>IF(AND('Project Plan'!$E57&lt;=Timeline!K$12,'Project Plan'!$F57&gt;=Timeline!K$13),$D59,0)</f>
        <v>0</v>
      </c>
      <c r="L59" s="31">
        <f>IF(AND('Project Plan'!$E57&lt;=Timeline!L$12,'Project Plan'!$F57&gt;=Timeline!L$13),$D59,0)</f>
        <v>0</v>
      </c>
      <c r="M59" s="31">
        <f>IF(AND('Project Plan'!$E57&lt;=Timeline!M$12,'Project Plan'!$F57&gt;=Timeline!M$13),$D59,0)</f>
        <v>0</v>
      </c>
      <c r="N59" s="31">
        <f>IF(AND('Project Plan'!$E57&lt;=Timeline!N$12,'Project Plan'!$F57&gt;=Timeline!N$13),$D59,0)</f>
        <v>0</v>
      </c>
      <c r="O59" s="31">
        <f>IF(AND('Project Plan'!$E57&lt;=Timeline!O$12,'Project Plan'!$F57&gt;=Timeline!O$13),$D59,0)</f>
        <v>0</v>
      </c>
      <c r="P59" s="31">
        <f>IF(AND('Project Plan'!$E57&lt;=Timeline!P$12,'Project Plan'!$F57&gt;=Timeline!P$13),$D59,0)</f>
        <v>0</v>
      </c>
      <c r="Q59" s="31">
        <f>IF(AND('Project Plan'!$E57&lt;=Timeline!Q$12,'Project Plan'!$F57&gt;=Timeline!Q$13),$D59,0)</f>
        <v>0</v>
      </c>
      <c r="R59" s="30"/>
    </row>
    <row r="60" spans="2:18" x14ac:dyDescent="0.25">
      <c r="B60" s="913"/>
      <c r="C60" s="63" t="str">
        <f>'Project Plan'!D58</f>
        <v xml:space="preserve">IT1.3 Begin and end preliminary configuration </v>
      </c>
      <c r="D60" s="63" t="s">
        <v>259</v>
      </c>
      <c r="E60" s="67" t="str">
        <f>'Project Plan'!G60</f>
        <v>Craig</v>
      </c>
      <c r="F60" s="31">
        <f>IF(AND('Project Plan'!$E58&lt;=Timeline!F$12,'Project Plan'!$F58&gt;=Timeline!F$13),$D60,0)</f>
        <v>0</v>
      </c>
      <c r="G60" s="31">
        <f>IF(AND('Project Plan'!$E58&lt;=Timeline!G$12,'Project Plan'!$F58&gt;=Timeline!G$13),$D60,0)</f>
        <v>0</v>
      </c>
      <c r="H60" s="31">
        <f>IF(AND('Project Plan'!$E58&lt;=Timeline!H$12,'Project Plan'!$F58&gt;=Timeline!H$13),$D60,0)</f>
        <v>0</v>
      </c>
      <c r="I60" s="31" t="str">
        <f>IF(AND('Project Plan'!$E58&lt;=Timeline!I$12,'Project Plan'!$F58&gt;=Timeline!I$13),$D60,0)</f>
        <v>On Track</v>
      </c>
      <c r="J60" s="31">
        <f>IF(AND('Project Plan'!$E58&lt;=Timeline!J$12,'Project Plan'!$F58&gt;=Timeline!J$13),$D60,0)</f>
        <v>0</v>
      </c>
      <c r="K60" s="31">
        <f>IF(AND('Project Plan'!$E58&lt;=Timeline!K$12,'Project Plan'!$F58&gt;=Timeline!K$13),$D60,0)</f>
        <v>0</v>
      </c>
      <c r="L60" s="31">
        <f>IF(AND('Project Plan'!$E58&lt;=Timeline!L$12,'Project Plan'!$F58&gt;=Timeline!L$13),$D60,0)</f>
        <v>0</v>
      </c>
      <c r="M60" s="31">
        <f>IF(AND('Project Plan'!$E58&lt;=Timeline!M$12,'Project Plan'!$F58&gt;=Timeline!M$13),$D60,0)</f>
        <v>0</v>
      </c>
      <c r="N60" s="31">
        <f>IF(AND('Project Plan'!$E58&lt;=Timeline!N$12,'Project Plan'!$F58&gt;=Timeline!N$13),$D60,0)</f>
        <v>0</v>
      </c>
      <c r="O60" s="31">
        <f>IF(AND('Project Plan'!$E58&lt;=Timeline!O$12,'Project Plan'!$F58&gt;=Timeline!O$13),$D60,0)</f>
        <v>0</v>
      </c>
      <c r="P60" s="31">
        <f>IF(AND('Project Plan'!$E58&lt;=Timeline!P$12,'Project Plan'!$F58&gt;=Timeline!P$13),$D60,0)</f>
        <v>0</v>
      </c>
      <c r="Q60" s="31">
        <f>IF(AND('Project Plan'!$E58&lt;=Timeline!Q$12,'Project Plan'!$F58&gt;=Timeline!Q$13),$D60,0)</f>
        <v>0</v>
      </c>
      <c r="R60" s="30"/>
    </row>
    <row r="61" spans="2:18" x14ac:dyDescent="0.25">
      <c r="B61" s="913"/>
      <c r="C61" s="63" t="str">
        <f>'Project Plan'!D59</f>
        <v>IT1.4 Train supervisors</v>
      </c>
      <c r="D61" s="63" t="s">
        <v>259</v>
      </c>
      <c r="E61" s="67" t="str">
        <f>'Project Plan'!G63</f>
        <v>Craig</v>
      </c>
      <c r="F61" s="31">
        <f>IF(AND('Project Plan'!$E59&lt;=Timeline!F$12,'Project Plan'!$F59&gt;=Timeline!F$13),$D61,0)</f>
        <v>0</v>
      </c>
      <c r="G61" s="31">
        <f>IF(AND('Project Plan'!$E59&lt;=Timeline!G$12,'Project Plan'!$F59&gt;=Timeline!G$13),$D61,0)</f>
        <v>0</v>
      </c>
      <c r="H61" s="31">
        <f>IF(AND('Project Plan'!$E59&lt;=Timeline!H$12,'Project Plan'!$F59&gt;=Timeline!H$13),$D61,0)</f>
        <v>0</v>
      </c>
      <c r="I61" s="31">
        <f>IF(AND('Project Plan'!$E59&lt;=Timeline!I$12,'Project Plan'!$F59&gt;=Timeline!I$13),$D61,0)</f>
        <v>0</v>
      </c>
      <c r="J61" s="31" t="str">
        <f>IF(AND('Project Plan'!$E59&lt;=Timeline!J$12,'Project Plan'!$F59&gt;=Timeline!J$13),$D61,0)</f>
        <v>On Track</v>
      </c>
      <c r="K61" s="31">
        <f>IF(AND('Project Plan'!$E59&lt;=Timeline!K$12,'Project Plan'!$F59&gt;=Timeline!K$13),$D61,0)</f>
        <v>0</v>
      </c>
      <c r="L61" s="31">
        <f>IF(AND('Project Plan'!$E59&lt;=Timeline!L$12,'Project Plan'!$F59&gt;=Timeline!L$13),$D61,0)</f>
        <v>0</v>
      </c>
      <c r="M61" s="31">
        <f>IF(AND('Project Plan'!$E59&lt;=Timeline!M$12,'Project Plan'!$F59&gt;=Timeline!M$13),$D61,0)</f>
        <v>0</v>
      </c>
      <c r="N61" s="31">
        <f>IF(AND('Project Plan'!$E59&lt;=Timeline!N$12,'Project Plan'!$F59&gt;=Timeline!N$13),$D61,0)</f>
        <v>0</v>
      </c>
      <c r="O61" s="31">
        <f>IF(AND('Project Plan'!$E59&lt;=Timeline!O$12,'Project Plan'!$F59&gt;=Timeline!O$13),$D61,0)</f>
        <v>0</v>
      </c>
      <c r="P61" s="31">
        <f>IF(AND('Project Plan'!$E59&lt;=Timeline!P$12,'Project Plan'!$F59&gt;=Timeline!P$13),$D61,0)</f>
        <v>0</v>
      </c>
      <c r="Q61" s="31">
        <f>IF(AND('Project Plan'!$E59&lt;=Timeline!Q$12,'Project Plan'!$F59&gt;=Timeline!Q$13),$D61,0)</f>
        <v>0</v>
      </c>
      <c r="R61" s="30"/>
    </row>
    <row r="62" spans="2:18" x14ac:dyDescent="0.25">
      <c r="B62" s="913"/>
      <c r="C62" s="63" t="str">
        <f>'Project Plan'!D60</f>
        <v>IT1.5 Commence testing the platform (supervisors to test)</v>
      </c>
      <c r="D62" s="63" t="s">
        <v>259</v>
      </c>
      <c r="E62" s="67" t="str">
        <f>'Project Plan'!G64</f>
        <v>Craig</v>
      </c>
      <c r="F62" s="31">
        <f>IF(AND('Project Plan'!$E60&lt;=Timeline!F$12,'Project Plan'!$F60&gt;=Timeline!F$13),$D62,0)</f>
        <v>0</v>
      </c>
      <c r="G62" s="31">
        <f>IF(AND('Project Plan'!$E60&lt;=Timeline!G$12,'Project Plan'!$F60&gt;=Timeline!G$13),$D62,0)</f>
        <v>0</v>
      </c>
      <c r="H62" s="31">
        <f>IF(AND('Project Plan'!$E60&lt;=Timeline!H$12,'Project Plan'!$F60&gt;=Timeline!H$13),$D62,0)</f>
        <v>0</v>
      </c>
      <c r="I62" s="31">
        <f>IF(AND('Project Plan'!$E60&lt;=Timeline!I$12,'Project Plan'!$F60&gt;=Timeline!I$13),$D62,0)</f>
        <v>0</v>
      </c>
      <c r="J62" s="31" t="str">
        <f>IF(AND('Project Plan'!$E60&lt;=Timeline!J$12,'Project Plan'!$F60&gt;=Timeline!J$13),$D62,0)</f>
        <v>On Track</v>
      </c>
      <c r="K62" s="31" t="str">
        <f>IF(AND('Project Plan'!$E60&lt;=Timeline!K$12,'Project Plan'!$F60&gt;=Timeline!K$13),$D62,0)</f>
        <v>On Track</v>
      </c>
      <c r="L62" s="31" t="str">
        <f>IF(AND('Project Plan'!$E60&lt;=Timeline!L$12,'Project Plan'!$F60&gt;=Timeline!L$13),$D62,0)</f>
        <v>On Track</v>
      </c>
      <c r="M62" s="31">
        <f>IF(AND('Project Plan'!$E60&lt;=Timeline!M$12,'Project Plan'!$F60&gt;=Timeline!M$13),$D62,0)</f>
        <v>0</v>
      </c>
      <c r="N62" s="31">
        <f>IF(AND('Project Plan'!$E60&lt;=Timeline!N$12,'Project Plan'!$F60&gt;=Timeline!N$13),$D62,0)</f>
        <v>0</v>
      </c>
      <c r="O62" s="31">
        <f>IF(AND('Project Plan'!$E60&lt;=Timeline!O$12,'Project Plan'!$F60&gt;=Timeline!O$13),$D62,0)</f>
        <v>0</v>
      </c>
      <c r="P62" s="31">
        <f>IF(AND('Project Plan'!$E60&lt;=Timeline!P$12,'Project Plan'!$F60&gt;=Timeline!P$13),$D62,0)</f>
        <v>0</v>
      </c>
      <c r="Q62" s="31">
        <f>IF(AND('Project Plan'!$E60&lt;=Timeline!Q$12,'Project Plan'!$F60&gt;=Timeline!Q$13),$D62,0)</f>
        <v>0</v>
      </c>
      <c r="R62" s="30"/>
    </row>
    <row r="63" spans="2:18" x14ac:dyDescent="0.25">
      <c r="B63" s="913"/>
      <c r="C63" s="63" t="str">
        <f>'Project Plan'!D61</f>
        <v>IT1.6 Make changes as requested by supervisors</v>
      </c>
      <c r="D63" s="63" t="s">
        <v>259</v>
      </c>
      <c r="E63" s="67" t="str">
        <f>'Project Plan'!G66</f>
        <v>Craig</v>
      </c>
      <c r="F63" s="31">
        <f>IF(AND('Project Plan'!$E61&lt;=Timeline!F$12,'Project Plan'!$F61&gt;=Timeline!F$13),$D63,0)</f>
        <v>0</v>
      </c>
      <c r="G63" s="31">
        <f>IF(AND('Project Plan'!$E61&lt;=Timeline!G$12,'Project Plan'!$F61&gt;=Timeline!G$13),$D63,0)</f>
        <v>0</v>
      </c>
      <c r="H63" s="31">
        <f>IF(AND('Project Plan'!$E61&lt;=Timeline!H$12,'Project Plan'!$F61&gt;=Timeline!H$13),$D63,0)</f>
        <v>0</v>
      </c>
      <c r="I63" s="31">
        <f>IF(AND('Project Plan'!$E61&lt;=Timeline!I$12,'Project Plan'!$F61&gt;=Timeline!I$13),$D63,0)</f>
        <v>0</v>
      </c>
      <c r="J63" s="31">
        <f>IF(AND('Project Plan'!$E61&lt;=Timeline!J$12,'Project Plan'!$F61&gt;=Timeline!J$13),$D63,0)</f>
        <v>0</v>
      </c>
      <c r="K63" s="31" t="str">
        <f>IF(AND('Project Plan'!$E61&lt;=Timeline!K$12,'Project Plan'!$F61&gt;=Timeline!K$13),$D63,0)</f>
        <v>On Track</v>
      </c>
      <c r="L63" s="31" t="str">
        <f>IF(AND('Project Plan'!$E61&lt;=Timeline!L$12,'Project Plan'!$F61&gt;=Timeline!L$13),$D63,0)</f>
        <v>On Track</v>
      </c>
      <c r="M63" s="31">
        <f>IF(AND('Project Plan'!$E61&lt;=Timeline!M$12,'Project Plan'!$F61&gt;=Timeline!M$13),$D63,0)</f>
        <v>0</v>
      </c>
      <c r="N63" s="31">
        <f>IF(AND('Project Plan'!$E61&lt;=Timeline!N$12,'Project Plan'!$F61&gt;=Timeline!N$13),$D63,0)</f>
        <v>0</v>
      </c>
      <c r="O63" s="31">
        <f>IF(AND('Project Plan'!$E61&lt;=Timeline!O$12,'Project Plan'!$F61&gt;=Timeline!O$13),$D63,0)</f>
        <v>0</v>
      </c>
      <c r="P63" s="31">
        <f>IF(AND('Project Plan'!$E61&lt;=Timeline!P$12,'Project Plan'!$F61&gt;=Timeline!P$13),$D63,0)</f>
        <v>0</v>
      </c>
      <c r="Q63" s="31">
        <f>IF(AND('Project Plan'!$E61&lt;=Timeline!Q$12,'Project Plan'!$F61&gt;=Timeline!Q$13),$D63,0)</f>
        <v>0</v>
      </c>
      <c r="R63" s="30"/>
    </row>
    <row r="64" spans="2:18" x14ac:dyDescent="0.25">
      <c r="B64" s="913"/>
      <c r="C64" s="63" t="str">
        <f>'Project Plan'!D62</f>
        <v>IT1.7 Implement integration of ODG</v>
      </c>
      <c r="D64" s="63" t="s">
        <v>259</v>
      </c>
      <c r="E64" s="67" t="str">
        <f>'Project Plan'!G67</f>
        <v>Craig</v>
      </c>
      <c r="F64" s="31">
        <f>IF(AND('Project Plan'!$E62&lt;=Timeline!F$12,'Project Plan'!$F62&gt;=Timeline!F$13),$D64,0)</f>
        <v>0</v>
      </c>
      <c r="G64" s="31">
        <f>IF(AND('Project Plan'!$E62&lt;=Timeline!G$12,'Project Plan'!$F62&gt;=Timeline!G$13),$D64,0)</f>
        <v>0</v>
      </c>
      <c r="H64" s="31">
        <f>IF(AND('Project Plan'!$E62&lt;=Timeline!H$12,'Project Plan'!$F62&gt;=Timeline!H$13),$D64,0)</f>
        <v>0</v>
      </c>
      <c r="I64" s="31">
        <f>IF(AND('Project Plan'!$E62&lt;=Timeline!I$12,'Project Plan'!$F62&gt;=Timeline!I$13),$D64,0)</f>
        <v>0</v>
      </c>
      <c r="J64" s="31">
        <f>IF(AND('Project Plan'!$E62&lt;=Timeline!J$12,'Project Plan'!$F62&gt;=Timeline!J$13),$D64,0)</f>
        <v>0</v>
      </c>
      <c r="K64" s="31" t="str">
        <f>IF(AND('Project Plan'!$E62&lt;=Timeline!K$12,'Project Plan'!$F62&gt;=Timeline!K$13),$D64,0)</f>
        <v>On Track</v>
      </c>
      <c r="L64" s="31" t="str">
        <f>IF(AND('Project Plan'!$E62&lt;=Timeline!L$12,'Project Plan'!$F62&gt;=Timeline!L$13),$D64,0)</f>
        <v>On Track</v>
      </c>
      <c r="M64" s="31">
        <f>IF(AND('Project Plan'!$E62&lt;=Timeline!M$12,'Project Plan'!$F62&gt;=Timeline!M$13),$D64,0)</f>
        <v>0</v>
      </c>
      <c r="N64" s="31">
        <f>IF(AND('Project Plan'!$E62&lt;=Timeline!N$12,'Project Plan'!$F62&gt;=Timeline!N$13),$D64,0)</f>
        <v>0</v>
      </c>
      <c r="O64" s="31">
        <f>IF(AND('Project Plan'!$E62&lt;=Timeline!O$12,'Project Plan'!$F62&gt;=Timeline!O$13),$D64,0)</f>
        <v>0</v>
      </c>
      <c r="P64" s="31">
        <f>IF(AND('Project Plan'!$E62&lt;=Timeline!P$12,'Project Plan'!$F62&gt;=Timeline!P$13),$D64,0)</f>
        <v>0</v>
      </c>
      <c r="Q64" s="31">
        <f>IF(AND('Project Plan'!$E62&lt;=Timeline!Q$12,'Project Plan'!$F62&gt;=Timeline!Q$13),$D64,0)</f>
        <v>0</v>
      </c>
      <c r="R64" s="30"/>
    </row>
    <row r="65" spans="2:18" x14ac:dyDescent="0.25">
      <c r="B65" s="913"/>
      <c r="C65" s="63" t="str">
        <f>'Project Plan'!D63</f>
        <v>IT1.8 Train pilot group (and any minor changes)</v>
      </c>
      <c r="D65" s="63" t="s">
        <v>259</v>
      </c>
      <c r="E65" s="67" t="str">
        <f>'Project Plan'!G68</f>
        <v>Craig</v>
      </c>
      <c r="F65" s="31">
        <f>IF(AND('Project Plan'!$E63&lt;=Timeline!F$12,'Project Plan'!$F63&gt;=Timeline!F$13),$D65,0)</f>
        <v>0</v>
      </c>
      <c r="G65" s="31">
        <f>IF(AND('Project Plan'!$E63&lt;=Timeline!G$12,'Project Plan'!$F63&gt;=Timeline!G$13),$D65,0)</f>
        <v>0</v>
      </c>
      <c r="H65" s="31">
        <f>IF(AND('Project Plan'!$E63&lt;=Timeline!H$12,'Project Plan'!$F63&gt;=Timeline!H$13),$D65,0)</f>
        <v>0</v>
      </c>
      <c r="I65" s="31">
        <f>IF(AND('Project Plan'!$E63&lt;=Timeline!I$12,'Project Plan'!$F63&gt;=Timeline!I$13),$D65,0)</f>
        <v>0</v>
      </c>
      <c r="J65" s="31">
        <f>IF(AND('Project Plan'!$E63&lt;=Timeline!J$12,'Project Plan'!$F63&gt;=Timeline!J$13),$D65,0)</f>
        <v>0</v>
      </c>
      <c r="K65" s="31">
        <f>IF(AND('Project Plan'!$E63&lt;=Timeline!K$12,'Project Plan'!$F63&gt;=Timeline!K$13),$D65,0)</f>
        <v>0</v>
      </c>
      <c r="L65" s="31">
        <f>IF(AND('Project Plan'!$E63&lt;=Timeline!L$12,'Project Plan'!$F63&gt;=Timeline!L$13),$D65,0)</f>
        <v>0</v>
      </c>
      <c r="M65" s="31">
        <f>IF(AND('Project Plan'!$E63&lt;=Timeline!M$12,'Project Plan'!$F63&gt;=Timeline!M$13),$D65,0)</f>
        <v>0</v>
      </c>
      <c r="N65" s="31" t="str">
        <f>IF(AND('Project Plan'!$E63&lt;=Timeline!N$12,'Project Plan'!$F63&gt;=Timeline!N$13),$D65,0)</f>
        <v>On Track</v>
      </c>
      <c r="O65" s="31">
        <f>IF(AND('Project Plan'!$E63&lt;=Timeline!O$12,'Project Plan'!$F63&gt;=Timeline!O$13),$D65,0)</f>
        <v>0</v>
      </c>
      <c r="P65" s="31">
        <f>IF(AND('Project Plan'!$E63&lt;=Timeline!P$12,'Project Plan'!$F63&gt;=Timeline!P$13),$D65,0)</f>
        <v>0</v>
      </c>
      <c r="Q65" s="31">
        <f>IF(AND('Project Plan'!$E63&lt;=Timeline!Q$12,'Project Plan'!$F63&gt;=Timeline!Q$13),$D65,0)</f>
        <v>0</v>
      </c>
      <c r="R65" s="30"/>
    </row>
    <row r="66" spans="2:18" x14ac:dyDescent="0.25">
      <c r="B66" s="913"/>
      <c r="C66" s="63" t="str">
        <f>'Project Plan'!D64</f>
        <v>IT1.9 Complete launch of Case AnyPlace with Guidelines</v>
      </c>
      <c r="D66" s="63" t="s">
        <v>259</v>
      </c>
      <c r="E66" s="67" t="str">
        <f>'Project Plan'!G69</f>
        <v>Craig</v>
      </c>
      <c r="F66" s="31">
        <f>IF(AND('Project Plan'!$E64&lt;=Timeline!F$12,'Project Plan'!$F64&gt;=Timeline!F$13),$D66,0)</f>
        <v>0</v>
      </c>
      <c r="G66" s="31">
        <f>IF(AND('Project Plan'!$E64&lt;=Timeline!G$12,'Project Plan'!$F64&gt;=Timeline!G$13),$D66,0)</f>
        <v>0</v>
      </c>
      <c r="H66" s="31">
        <f>IF(AND('Project Plan'!$E64&lt;=Timeline!H$12,'Project Plan'!$F64&gt;=Timeline!H$13),$D66,0)</f>
        <v>0</v>
      </c>
      <c r="I66" s="31">
        <f>IF(AND('Project Plan'!$E64&lt;=Timeline!I$12,'Project Plan'!$F64&gt;=Timeline!I$13),$D66,0)</f>
        <v>0</v>
      </c>
      <c r="J66" s="31">
        <f>IF(AND('Project Plan'!$E64&lt;=Timeline!J$12,'Project Plan'!$F64&gt;=Timeline!J$13),$D66,0)</f>
        <v>0</v>
      </c>
      <c r="K66" s="31">
        <f>IF(AND('Project Plan'!$E64&lt;=Timeline!K$12,'Project Plan'!$F64&gt;=Timeline!K$13),$D66,0)</f>
        <v>0</v>
      </c>
      <c r="L66" s="31">
        <f>IF(AND('Project Plan'!$E64&lt;=Timeline!L$12,'Project Plan'!$F64&gt;=Timeline!L$13),$D66,0)</f>
        <v>0</v>
      </c>
      <c r="M66" s="31">
        <f>IF(AND('Project Plan'!$E64&lt;=Timeline!M$12,'Project Plan'!$F64&gt;=Timeline!M$13),$D66,0)</f>
        <v>0</v>
      </c>
      <c r="N66" s="31">
        <f>IF(AND('Project Plan'!$E64&lt;=Timeline!N$12,'Project Plan'!$F64&gt;=Timeline!N$13),$D66,0)</f>
        <v>0</v>
      </c>
      <c r="O66" s="31" t="str">
        <f>IF(AND('Project Plan'!$E64&lt;=Timeline!O$12,'Project Plan'!$F64&gt;=Timeline!O$13),$D66,0)</f>
        <v>On Track</v>
      </c>
      <c r="P66" s="31">
        <f>IF(AND('Project Plan'!$E64&lt;=Timeline!P$12,'Project Plan'!$F64&gt;=Timeline!P$13),$D66,0)</f>
        <v>0</v>
      </c>
      <c r="Q66" s="31">
        <f>IF(AND('Project Plan'!$E64&lt;=Timeline!Q$12,'Project Plan'!$F64&gt;=Timeline!Q$13),$D66,0)</f>
        <v>0</v>
      </c>
      <c r="R66" s="30"/>
    </row>
    <row r="67" spans="2:18" x14ac:dyDescent="0.25">
      <c r="B67" s="913"/>
      <c r="C67" s="63" t="str">
        <f>'Project Plan'!D65</f>
        <v>IT1.10 Additional training for all staff</v>
      </c>
      <c r="D67" s="63" t="s">
        <v>259</v>
      </c>
      <c r="E67" s="67" t="str">
        <f>'Project Plan'!G70</f>
        <v>Craig</v>
      </c>
      <c r="F67" s="31">
        <f>IF(AND('Project Plan'!$E65&lt;=Timeline!F$12,'Project Plan'!$F65&gt;=Timeline!F$13),$D67,0)</f>
        <v>0</v>
      </c>
      <c r="G67" s="31">
        <f>IF(AND('Project Plan'!$E65&lt;=Timeline!G$12,'Project Plan'!$F65&gt;=Timeline!G$13),$D67,0)</f>
        <v>0</v>
      </c>
      <c r="H67" s="31">
        <f>IF(AND('Project Plan'!$E65&lt;=Timeline!H$12,'Project Plan'!$F65&gt;=Timeline!H$13),$D67,0)</f>
        <v>0</v>
      </c>
      <c r="I67" s="31">
        <f>IF(AND('Project Plan'!$E65&lt;=Timeline!I$12,'Project Plan'!$F65&gt;=Timeline!I$13),$D67,0)</f>
        <v>0</v>
      </c>
      <c r="J67" s="31">
        <f>IF(AND('Project Plan'!$E65&lt;=Timeline!J$12,'Project Plan'!$F65&gt;=Timeline!J$13),$D67,0)</f>
        <v>0</v>
      </c>
      <c r="K67" s="31">
        <f>IF(AND('Project Plan'!$E65&lt;=Timeline!K$12,'Project Plan'!$F65&gt;=Timeline!K$13),$D67,0)</f>
        <v>0</v>
      </c>
      <c r="L67" s="31">
        <f>IF(AND('Project Plan'!$E65&lt;=Timeline!L$12,'Project Plan'!$F65&gt;=Timeline!L$13),$D67,0)</f>
        <v>0</v>
      </c>
      <c r="M67" s="31">
        <f>IF(AND('Project Plan'!$E65&lt;=Timeline!M$12,'Project Plan'!$F65&gt;=Timeline!M$13),$D67,0)</f>
        <v>0</v>
      </c>
      <c r="N67" s="31">
        <f>IF(AND('Project Plan'!$E65&lt;=Timeline!N$12,'Project Plan'!$F65&gt;=Timeline!N$13),$D67,0)</f>
        <v>0</v>
      </c>
      <c r="O67" s="31" t="str">
        <f>IF(AND('Project Plan'!$E65&lt;=Timeline!O$12,'Project Plan'!$F65&gt;=Timeline!O$13),$D67,0)</f>
        <v>On Track</v>
      </c>
      <c r="P67" s="31">
        <f>IF(AND('Project Plan'!$E65&lt;=Timeline!P$12,'Project Plan'!$F65&gt;=Timeline!P$13),$D67,0)</f>
        <v>0</v>
      </c>
      <c r="Q67" s="31">
        <f>IF(AND('Project Plan'!$E65&lt;=Timeline!Q$12,'Project Plan'!$F65&gt;=Timeline!Q$13),$D67,0)</f>
        <v>0</v>
      </c>
      <c r="R67" s="30"/>
    </row>
    <row r="68" spans="2:18" x14ac:dyDescent="0.25">
      <c r="B68" s="913"/>
      <c r="C68" s="63" t="str">
        <f>'Project Plan'!D66</f>
        <v>IT1.11 Decommission Case Director</v>
      </c>
      <c r="D68" s="63" t="s">
        <v>259</v>
      </c>
      <c r="E68" s="67" t="str">
        <f>'Project Plan'!G71</f>
        <v>Craig</v>
      </c>
      <c r="F68" s="31">
        <f>IF(AND('Project Plan'!$E66&lt;=Timeline!F$12,'Project Plan'!$F66&gt;=Timeline!F$13),$D68,0)</f>
        <v>0</v>
      </c>
      <c r="G68" s="31">
        <f>IF(AND('Project Plan'!$E66&lt;=Timeline!G$12,'Project Plan'!$F66&gt;=Timeline!G$13),$D68,0)</f>
        <v>0</v>
      </c>
      <c r="H68" s="31">
        <f>IF(AND('Project Plan'!$E66&lt;=Timeline!H$12,'Project Plan'!$F66&gt;=Timeline!H$13),$D68,0)</f>
        <v>0</v>
      </c>
      <c r="I68" s="31">
        <f>IF(AND('Project Plan'!$E66&lt;=Timeline!I$12,'Project Plan'!$F66&gt;=Timeline!I$13),$D68,0)</f>
        <v>0</v>
      </c>
      <c r="J68" s="31">
        <f>IF(AND('Project Plan'!$E66&lt;=Timeline!J$12,'Project Plan'!$F66&gt;=Timeline!J$13),$D68,0)</f>
        <v>0</v>
      </c>
      <c r="K68" s="31">
        <f>IF(AND('Project Plan'!$E66&lt;=Timeline!K$12,'Project Plan'!$F66&gt;=Timeline!K$13),$D68,0)</f>
        <v>0</v>
      </c>
      <c r="L68" s="31">
        <f>IF(AND('Project Plan'!$E66&lt;=Timeline!L$12,'Project Plan'!$F66&gt;=Timeline!L$13),$D68,0)</f>
        <v>0</v>
      </c>
      <c r="M68" s="31">
        <f>IF(AND('Project Plan'!$E66&lt;=Timeline!M$12,'Project Plan'!$F66&gt;=Timeline!M$13),$D68,0)</f>
        <v>0</v>
      </c>
      <c r="N68" s="31">
        <f>IF(AND('Project Plan'!$E66&lt;=Timeline!N$12,'Project Plan'!$F66&gt;=Timeline!N$13),$D68,0)</f>
        <v>0</v>
      </c>
      <c r="O68" s="31">
        <f>IF(AND('Project Plan'!$E66&lt;=Timeline!O$12,'Project Plan'!$F66&gt;=Timeline!O$13),$D68,0)</f>
        <v>0</v>
      </c>
      <c r="P68" s="31">
        <f>IF(AND('Project Plan'!$E66&lt;=Timeline!P$12,'Project Plan'!$F66&gt;=Timeline!P$13),$D68,0)</f>
        <v>0</v>
      </c>
      <c r="Q68" s="31" t="str">
        <f>IF(AND('Project Plan'!$E66&lt;=Timeline!Q$12,'Project Plan'!$F66&gt;=Timeline!Q$13),$D68,0)</f>
        <v>On Track</v>
      </c>
      <c r="R68" s="30"/>
    </row>
    <row r="69" spans="2:18" x14ac:dyDescent="0.25">
      <c r="B69" s="913"/>
      <c r="C69" s="63" t="str">
        <f>'Project Plan'!D67</f>
        <v>TBD</v>
      </c>
      <c r="D69" s="63" t="s">
        <v>259</v>
      </c>
      <c r="E69" s="67" t="str">
        <f>'Project Plan'!G72</f>
        <v>Craig</v>
      </c>
      <c r="F69" s="31">
        <f>IF(AND('Project Plan'!$E67&lt;=Timeline!F$12,'Project Plan'!$F67&gt;=Timeline!F$13),$D69,0)</f>
        <v>0</v>
      </c>
      <c r="G69" s="31">
        <f>IF(AND('Project Plan'!$E67&lt;=Timeline!G$12,'Project Plan'!$F67&gt;=Timeline!G$13),$D69,0)</f>
        <v>0</v>
      </c>
      <c r="H69" s="31">
        <f>IF(AND('Project Plan'!$E67&lt;=Timeline!H$12,'Project Plan'!$F67&gt;=Timeline!H$13),$D69,0)</f>
        <v>0</v>
      </c>
      <c r="I69" s="31">
        <f>IF(AND('Project Plan'!$E67&lt;=Timeline!I$12,'Project Plan'!$F67&gt;=Timeline!I$13),$D69,0)</f>
        <v>0</v>
      </c>
      <c r="J69" s="31">
        <f>IF(AND('Project Plan'!$E67&lt;=Timeline!J$12,'Project Plan'!$F67&gt;=Timeline!J$13),$D69,0)</f>
        <v>0</v>
      </c>
      <c r="K69" s="31">
        <f>IF(AND('Project Plan'!$E67&lt;=Timeline!K$12,'Project Plan'!$F67&gt;=Timeline!K$13),$D69,0)</f>
        <v>0</v>
      </c>
      <c r="L69" s="31">
        <f>IF(AND('Project Plan'!$E67&lt;=Timeline!L$12,'Project Plan'!$F67&gt;=Timeline!L$13),$D69,0)</f>
        <v>0</v>
      </c>
      <c r="M69" s="31">
        <f>IF(AND('Project Plan'!$E67&lt;=Timeline!M$12,'Project Plan'!$F67&gt;=Timeline!M$13),$D69,0)</f>
        <v>0</v>
      </c>
      <c r="N69" s="31">
        <f>IF(AND('Project Plan'!$E67&lt;=Timeline!N$12,'Project Plan'!$F67&gt;=Timeline!N$13),$D69,0)</f>
        <v>0</v>
      </c>
      <c r="O69" s="31">
        <f>IF(AND('Project Plan'!$E67&lt;=Timeline!O$12,'Project Plan'!$F67&gt;=Timeline!O$13),$D69,0)</f>
        <v>0</v>
      </c>
      <c r="P69" s="31">
        <f>IF(AND('Project Plan'!$E67&lt;=Timeline!P$12,'Project Plan'!$F67&gt;=Timeline!P$13),$D69,0)</f>
        <v>0</v>
      </c>
      <c r="Q69" s="31" t="str">
        <f>IF(AND('Project Plan'!$E67&lt;=Timeline!Q$12,'Project Plan'!$F67&gt;=Timeline!Q$13),$D69,0)</f>
        <v>On Track</v>
      </c>
      <c r="R69" s="30"/>
    </row>
    <row r="70" spans="2:18" x14ac:dyDescent="0.25">
      <c r="B70" s="914"/>
      <c r="C70" s="63" t="str">
        <f>'Project Plan'!D68</f>
        <v>TBD</v>
      </c>
      <c r="D70" s="63" t="s">
        <v>259</v>
      </c>
      <c r="E70" s="67" t="str">
        <f>'Project Plan'!G73</f>
        <v>Craig</v>
      </c>
      <c r="F70" s="31">
        <f>IF(AND('Project Plan'!$E68&lt;=Timeline!F$12,'Project Plan'!$F68&gt;=Timeline!F$13),$D70,0)</f>
        <v>0</v>
      </c>
      <c r="G70" s="31">
        <f>IF(AND('Project Plan'!$E68&lt;=Timeline!G$12,'Project Plan'!$F68&gt;=Timeline!G$13),$D70,0)</f>
        <v>0</v>
      </c>
      <c r="H70" s="31">
        <f>IF(AND('Project Plan'!$E68&lt;=Timeline!H$12,'Project Plan'!$F68&gt;=Timeline!H$13),$D70,0)</f>
        <v>0</v>
      </c>
      <c r="I70" s="31">
        <f>IF(AND('Project Plan'!$E68&lt;=Timeline!I$12,'Project Plan'!$F68&gt;=Timeline!I$13),$D70,0)</f>
        <v>0</v>
      </c>
      <c r="J70" s="31">
        <f>IF(AND('Project Plan'!$E68&lt;=Timeline!J$12,'Project Plan'!$F68&gt;=Timeline!J$13),$D70,0)</f>
        <v>0</v>
      </c>
      <c r="K70" s="31">
        <f>IF(AND('Project Plan'!$E68&lt;=Timeline!K$12,'Project Plan'!$F68&gt;=Timeline!K$13),$D70,0)</f>
        <v>0</v>
      </c>
      <c r="L70" s="31">
        <f>IF(AND('Project Plan'!$E68&lt;=Timeline!L$12,'Project Plan'!$F68&gt;=Timeline!L$13),$D70,0)</f>
        <v>0</v>
      </c>
      <c r="M70" s="31">
        <f>IF(AND('Project Plan'!$E68&lt;=Timeline!M$12,'Project Plan'!$F68&gt;=Timeline!M$13),$D70,0)</f>
        <v>0</v>
      </c>
      <c r="N70" s="31">
        <f>IF(AND('Project Plan'!$E68&lt;=Timeline!N$12,'Project Plan'!$F68&gt;=Timeline!N$13),$D70,0)</f>
        <v>0</v>
      </c>
      <c r="O70" s="31">
        <f>IF(AND('Project Plan'!$E68&lt;=Timeline!O$12,'Project Plan'!$F68&gt;=Timeline!O$13),$D70,0)</f>
        <v>0</v>
      </c>
      <c r="P70" s="31">
        <f>IF(AND('Project Plan'!$E68&lt;=Timeline!P$12,'Project Plan'!$F68&gt;=Timeline!P$13),$D70,0)</f>
        <v>0</v>
      </c>
      <c r="Q70" s="31" t="str">
        <f>IF(AND('Project Plan'!$E68&lt;=Timeline!Q$12,'Project Plan'!$F68&gt;=Timeline!Q$13),$D70,0)</f>
        <v>On Track</v>
      </c>
      <c r="R70" s="30"/>
    </row>
    <row r="71" spans="2:18" x14ac:dyDescent="0.25">
      <c r="B71" s="918" t="str">
        <f>CONCATENATE('Project Plan'!$B$74,": ",'Project Plan'!$C$74)</f>
        <v>AC1: Complete Policies and Procedures</v>
      </c>
      <c r="C71" s="63" t="str">
        <f>'Project Plan'!D74</f>
        <v>AC 1.1 Review and distribute existing policies - ALL</v>
      </c>
      <c r="D71" s="63" t="s">
        <v>258</v>
      </c>
      <c r="E71" s="67" t="str">
        <f>'Project Plan'!G74</f>
        <v>Watkins</v>
      </c>
      <c r="F71" s="31" t="str">
        <f>IF(AND('Project Plan'!$E74&lt;=Timeline!F$12,'Project Plan'!$F74&gt;=Timeline!F$13),$D71,0)</f>
        <v>Completed</v>
      </c>
      <c r="G71" s="31" t="str">
        <f>IF(AND('Project Plan'!$E74&lt;=Timeline!G$12,'Project Plan'!$F74&gt;=Timeline!G$13),$D71,0)</f>
        <v>Completed</v>
      </c>
      <c r="H71" s="31" t="str">
        <f>IF(AND('Project Plan'!$E74&lt;=Timeline!H$12,'Project Plan'!$F74&gt;=Timeline!H$13),$D71,0)</f>
        <v>Completed</v>
      </c>
      <c r="I71" s="31" t="str">
        <f>IF(AND('Project Plan'!$E74&lt;=Timeline!I$12,'Project Plan'!$F74&gt;=Timeline!I$13),$D71,0)</f>
        <v>Completed</v>
      </c>
      <c r="J71" s="31">
        <f>IF(AND('Project Plan'!$E74&lt;=Timeline!J$12,'Project Plan'!$F74&gt;=Timeline!J$13),$D71,0)</f>
        <v>0</v>
      </c>
      <c r="K71" s="31">
        <f>IF(AND('Project Plan'!$E74&lt;=Timeline!K$12,'Project Plan'!$F74&gt;=Timeline!K$13),$D71,0)</f>
        <v>0</v>
      </c>
      <c r="L71" s="31">
        <f>IF(AND('Project Plan'!$E74&lt;=Timeline!L$12,'Project Plan'!$F74&gt;=Timeline!L$13),$D71,0)</f>
        <v>0</v>
      </c>
      <c r="M71" s="31">
        <f>IF(AND('Project Plan'!$E74&lt;=Timeline!M$12,'Project Plan'!$F74&gt;=Timeline!M$13),$D71,0)</f>
        <v>0</v>
      </c>
      <c r="N71" s="31">
        <f>IF(AND('Project Plan'!$E74&lt;=Timeline!N$12,'Project Plan'!$F74&gt;=Timeline!N$13),$D71,0)</f>
        <v>0</v>
      </c>
      <c r="O71" s="31">
        <f>IF(AND('Project Plan'!$E74&lt;=Timeline!O$12,'Project Plan'!$F74&gt;=Timeline!O$13),$D71,0)</f>
        <v>0</v>
      </c>
      <c r="P71" s="31">
        <f>IF(AND('Project Plan'!$E74&lt;=Timeline!P$12,'Project Plan'!$F74&gt;=Timeline!P$13),$D71,0)</f>
        <v>0</v>
      </c>
      <c r="Q71" s="31">
        <f>IF(AND('Project Plan'!$E74&lt;=Timeline!Q$12,'Project Plan'!$F74&gt;=Timeline!Q$13),$D71,0)</f>
        <v>0</v>
      </c>
      <c r="R71" s="30"/>
    </row>
    <row r="72" spans="2:18" x14ac:dyDescent="0.25">
      <c r="B72" s="913"/>
      <c r="C72" s="63" t="str">
        <f>'Project Plan'!D75</f>
        <v>AC 1.2 Update existing policies (Nursing)</v>
      </c>
      <c r="D72" s="63" t="s">
        <v>258</v>
      </c>
      <c r="E72" s="67" t="str">
        <f>'Project Plan'!G75</f>
        <v>Rost</v>
      </c>
      <c r="F72" s="31">
        <f>IF(AND('Project Plan'!$E75&lt;=Timeline!F$12,'Project Plan'!$F75&gt;=Timeline!F$13),$D72,0)</f>
        <v>0</v>
      </c>
      <c r="G72" s="31">
        <f>IF(AND('Project Plan'!$E75&lt;=Timeline!G$12,'Project Plan'!$F75&gt;=Timeline!G$13),$D72,0)</f>
        <v>0</v>
      </c>
      <c r="H72" s="31">
        <f>IF(AND('Project Plan'!$E75&lt;=Timeline!H$12,'Project Plan'!$F75&gt;=Timeline!H$13),$D72,0)</f>
        <v>0</v>
      </c>
      <c r="I72" s="31">
        <f>IF(AND('Project Plan'!$E75&lt;=Timeline!I$12,'Project Plan'!$F75&gt;=Timeline!I$13),$D72,0)</f>
        <v>0</v>
      </c>
      <c r="J72" s="31" t="str">
        <f>IF(AND('Project Plan'!$E75&lt;=Timeline!J$12,'Project Plan'!$F75&gt;=Timeline!J$13),$D72,0)</f>
        <v>Completed</v>
      </c>
      <c r="K72" s="31">
        <f>IF(AND('Project Plan'!$E75&lt;=Timeline!K$12,'Project Plan'!$F75&gt;=Timeline!K$13),$D72,0)</f>
        <v>0</v>
      </c>
      <c r="L72" s="31">
        <f>IF(AND('Project Plan'!$E75&lt;=Timeline!L$12,'Project Plan'!$F75&gt;=Timeline!L$13),$D72,0)</f>
        <v>0</v>
      </c>
      <c r="M72" s="31">
        <f>IF(AND('Project Plan'!$E75&lt;=Timeline!M$12,'Project Plan'!$F75&gt;=Timeline!M$13),$D72,0)</f>
        <v>0</v>
      </c>
      <c r="N72" s="31">
        <f>IF(AND('Project Plan'!$E75&lt;=Timeline!N$12,'Project Plan'!$F75&gt;=Timeline!N$13),$D72,0)</f>
        <v>0</v>
      </c>
      <c r="O72" s="31">
        <f>IF(AND('Project Plan'!$E75&lt;=Timeline!O$12,'Project Plan'!$F75&gt;=Timeline!O$13),$D72,0)</f>
        <v>0</v>
      </c>
      <c r="P72" s="31">
        <f>IF(AND('Project Plan'!$E75&lt;=Timeline!P$12,'Project Plan'!$F75&gt;=Timeline!P$13),$D72,0)</f>
        <v>0</v>
      </c>
      <c r="Q72" s="31">
        <f>IF(AND('Project Plan'!$E75&lt;=Timeline!Q$12,'Project Plan'!$F75&gt;=Timeline!Q$13),$D72,0)</f>
        <v>0</v>
      </c>
      <c r="R72" s="30"/>
    </row>
    <row r="73" spans="2:18" x14ac:dyDescent="0.25">
      <c r="B73" s="913"/>
      <c r="C73" s="63" t="str">
        <f>'Project Plan'!D76</f>
        <v>AC 1.3 Update existing policies (HR)</v>
      </c>
      <c r="D73" s="63" t="s">
        <v>260</v>
      </c>
      <c r="E73" s="67" t="str">
        <f>'Project Plan'!G76</f>
        <v>Brauer</v>
      </c>
      <c r="F73" s="31">
        <f>IF(AND('Project Plan'!$E76&lt;=Timeline!F$12,'Project Plan'!$F76&gt;=Timeline!F$13),$D73,0)</f>
        <v>0</v>
      </c>
      <c r="G73" s="31">
        <f>IF(AND('Project Plan'!$E76&lt;=Timeline!G$12,'Project Plan'!$F76&gt;=Timeline!G$13),$D73,0)</f>
        <v>0</v>
      </c>
      <c r="H73" s="31">
        <f>IF(AND('Project Plan'!$E76&lt;=Timeline!H$12,'Project Plan'!$F76&gt;=Timeline!H$13),$D73,0)</f>
        <v>0</v>
      </c>
      <c r="I73" s="31">
        <f>IF(AND('Project Plan'!$E76&lt;=Timeline!I$12,'Project Plan'!$F76&gt;=Timeline!I$13),$D73,0)</f>
        <v>0</v>
      </c>
      <c r="J73" s="31" t="str">
        <f>IF(AND('Project Plan'!$E76&lt;=Timeline!J$12,'Project Plan'!$F76&gt;=Timeline!J$13),$D73,0)</f>
        <v>Delayed</v>
      </c>
      <c r="K73" s="31">
        <f>IF(AND('Project Plan'!$E76&lt;=Timeline!K$12,'Project Plan'!$F76&gt;=Timeline!K$13),$D73,0)</f>
        <v>0</v>
      </c>
      <c r="L73" s="31">
        <f>IF(AND('Project Plan'!$E76&lt;=Timeline!L$12,'Project Plan'!$F76&gt;=Timeline!L$13),$D73,0)</f>
        <v>0</v>
      </c>
      <c r="M73" s="31">
        <f>IF(AND('Project Plan'!$E76&lt;=Timeline!M$12,'Project Plan'!$F76&gt;=Timeline!M$13),$D73,0)</f>
        <v>0</v>
      </c>
      <c r="N73" s="31">
        <f>IF(AND('Project Plan'!$E76&lt;=Timeline!N$12,'Project Plan'!$F76&gt;=Timeline!N$13),$D73,0)</f>
        <v>0</v>
      </c>
      <c r="O73" s="31">
        <f>IF(AND('Project Plan'!$E76&lt;=Timeline!O$12,'Project Plan'!$F76&gt;=Timeline!O$13),$D73,0)</f>
        <v>0</v>
      </c>
      <c r="P73" s="31">
        <f>IF(AND('Project Plan'!$E76&lt;=Timeline!P$12,'Project Plan'!$F76&gt;=Timeline!P$13),$D73,0)</f>
        <v>0</v>
      </c>
      <c r="Q73" s="31">
        <f>IF(AND('Project Plan'!$E76&lt;=Timeline!Q$12,'Project Plan'!$F76&gt;=Timeline!Q$13),$D73,0)</f>
        <v>0</v>
      </c>
      <c r="R73" s="30"/>
    </row>
    <row r="74" spans="2:18" x14ac:dyDescent="0.25">
      <c r="B74" s="913"/>
      <c r="C74" s="63" t="str">
        <f>'Project Plan'!D77</f>
        <v>AC 1.4 Update existing policies (IT)</v>
      </c>
      <c r="D74" s="63" t="s">
        <v>260</v>
      </c>
      <c r="E74" s="67" t="str">
        <f>'Project Plan'!G77</f>
        <v>Craig</v>
      </c>
      <c r="F74" s="31">
        <f>IF(AND('Project Plan'!$E77&lt;=Timeline!F$12,'Project Plan'!$F77&gt;=Timeline!F$13),$D74,0)</f>
        <v>0</v>
      </c>
      <c r="G74" s="31">
        <f>IF(AND('Project Plan'!$E77&lt;=Timeline!G$12,'Project Plan'!$F77&gt;=Timeline!G$13),$D74,0)</f>
        <v>0</v>
      </c>
      <c r="H74" s="31">
        <f>IF(AND('Project Plan'!$E77&lt;=Timeline!H$12,'Project Plan'!$F77&gt;=Timeline!H$13),$D74,0)</f>
        <v>0</v>
      </c>
      <c r="I74" s="31">
        <f>IF(AND('Project Plan'!$E77&lt;=Timeline!I$12,'Project Plan'!$F77&gt;=Timeline!I$13),$D74,0)</f>
        <v>0</v>
      </c>
      <c r="J74" s="31" t="str">
        <f>IF(AND('Project Plan'!$E77&lt;=Timeline!J$12,'Project Plan'!$F77&gt;=Timeline!J$13),$D74,0)</f>
        <v>Delayed</v>
      </c>
      <c r="K74" s="31">
        <f>IF(AND('Project Plan'!$E77&lt;=Timeline!K$12,'Project Plan'!$F77&gt;=Timeline!K$13),$D74,0)</f>
        <v>0</v>
      </c>
      <c r="L74" s="31">
        <f>IF(AND('Project Plan'!$E77&lt;=Timeline!L$12,'Project Plan'!$F77&gt;=Timeline!L$13),$D74,0)</f>
        <v>0</v>
      </c>
      <c r="M74" s="31">
        <f>IF(AND('Project Plan'!$E77&lt;=Timeline!M$12,'Project Plan'!$F77&gt;=Timeline!M$13),$D74,0)</f>
        <v>0</v>
      </c>
      <c r="N74" s="31">
        <f>IF(AND('Project Plan'!$E77&lt;=Timeline!N$12,'Project Plan'!$F77&gt;=Timeline!N$13),$D74,0)</f>
        <v>0</v>
      </c>
      <c r="O74" s="31">
        <f>IF(AND('Project Plan'!$E77&lt;=Timeline!O$12,'Project Plan'!$F77&gt;=Timeline!O$13),$D74,0)</f>
        <v>0</v>
      </c>
      <c r="P74" s="31">
        <f>IF(AND('Project Plan'!$E77&lt;=Timeline!P$12,'Project Plan'!$F77&gt;=Timeline!P$13),$D74,0)</f>
        <v>0</v>
      </c>
      <c r="Q74" s="31">
        <f>IF(AND('Project Plan'!$E77&lt;=Timeline!Q$12,'Project Plan'!$F77&gt;=Timeline!Q$13),$D74,0)</f>
        <v>0</v>
      </c>
      <c r="R74" s="30"/>
    </row>
    <row r="75" spans="2:18" x14ac:dyDescent="0.25">
      <c r="B75" s="913"/>
      <c r="C75" s="63" t="str">
        <f>'Project Plan'!D78</f>
        <v>AC 1.5 Update existing policies (Admin)</v>
      </c>
      <c r="D75" s="63" t="s">
        <v>258</v>
      </c>
      <c r="E75" s="67" t="str">
        <f>'Project Plan'!G78</f>
        <v>Watkins</v>
      </c>
      <c r="F75" s="31">
        <f>IF(AND('Project Plan'!$E78&lt;=Timeline!F$12,'Project Plan'!$F78&gt;=Timeline!F$13),$D75,0)</f>
        <v>0</v>
      </c>
      <c r="G75" s="31">
        <f>IF(AND('Project Plan'!$E78&lt;=Timeline!G$12,'Project Plan'!$F78&gt;=Timeline!G$13),$D75,0)</f>
        <v>0</v>
      </c>
      <c r="H75" s="31">
        <f>IF(AND('Project Plan'!$E78&lt;=Timeline!H$12,'Project Plan'!$F78&gt;=Timeline!H$13),$D75,0)</f>
        <v>0</v>
      </c>
      <c r="I75" s="31">
        <f>IF(AND('Project Plan'!$E78&lt;=Timeline!I$12,'Project Plan'!$F78&gt;=Timeline!I$13),$D75,0)</f>
        <v>0</v>
      </c>
      <c r="J75" s="31" t="str">
        <f>IF(AND('Project Plan'!$E78&lt;=Timeline!J$12,'Project Plan'!$F78&gt;=Timeline!J$13),$D75,0)</f>
        <v>Completed</v>
      </c>
      <c r="K75" s="31">
        <f>IF(AND('Project Plan'!$E78&lt;=Timeline!K$12,'Project Plan'!$F78&gt;=Timeline!K$13),$D75,0)</f>
        <v>0</v>
      </c>
      <c r="L75" s="31">
        <f>IF(AND('Project Plan'!$E78&lt;=Timeline!L$12,'Project Plan'!$F78&gt;=Timeline!L$13),$D75,0)</f>
        <v>0</v>
      </c>
      <c r="M75" s="31">
        <f>IF(AND('Project Plan'!$E78&lt;=Timeline!M$12,'Project Plan'!$F78&gt;=Timeline!M$13),$D75,0)</f>
        <v>0</v>
      </c>
      <c r="N75" s="31">
        <f>IF(AND('Project Plan'!$E78&lt;=Timeline!N$12,'Project Plan'!$F78&gt;=Timeline!N$13),$D75,0)</f>
        <v>0</v>
      </c>
      <c r="O75" s="31">
        <f>IF(AND('Project Plan'!$E78&lt;=Timeline!O$12,'Project Plan'!$F78&gt;=Timeline!O$13),$D75,0)</f>
        <v>0</v>
      </c>
      <c r="P75" s="31">
        <f>IF(AND('Project Plan'!$E78&lt;=Timeline!P$12,'Project Plan'!$F78&gt;=Timeline!P$13),$D75,0)</f>
        <v>0</v>
      </c>
      <c r="Q75" s="31">
        <f>IF(AND('Project Plan'!$E78&lt;=Timeline!Q$12,'Project Plan'!$F78&gt;=Timeline!Q$13),$D75,0)</f>
        <v>0</v>
      </c>
      <c r="R75" s="30"/>
    </row>
    <row r="76" spans="2:18" x14ac:dyDescent="0.25">
      <c r="B76" s="913"/>
      <c r="C76" s="63" t="str">
        <f>'Project Plan'!D79</f>
        <v>AC 1.6 Review and consolidate</v>
      </c>
      <c r="D76" s="63" t="s">
        <v>259</v>
      </c>
      <c r="E76" s="67" t="str">
        <f>'Project Plan'!G79</f>
        <v>Watkins</v>
      </c>
      <c r="F76" s="31">
        <f>IF(AND('Project Plan'!$E79&lt;=Timeline!F$12,'Project Plan'!$F79&gt;=Timeline!F$13),$D76,0)</f>
        <v>0</v>
      </c>
      <c r="G76" s="31">
        <f>IF(AND('Project Plan'!$E79&lt;=Timeline!G$12,'Project Plan'!$F79&gt;=Timeline!G$13),$D76,0)</f>
        <v>0</v>
      </c>
      <c r="H76" s="31">
        <f>IF(AND('Project Plan'!$E79&lt;=Timeline!H$12,'Project Plan'!$F79&gt;=Timeline!H$13),$D76,0)</f>
        <v>0</v>
      </c>
      <c r="I76" s="31">
        <f>IF(AND('Project Plan'!$E79&lt;=Timeline!I$12,'Project Plan'!$F79&gt;=Timeline!I$13),$D76,0)</f>
        <v>0</v>
      </c>
      <c r="J76" s="31" t="str">
        <f>IF(AND('Project Plan'!$E79&lt;=Timeline!J$12,'Project Plan'!$F79&gt;=Timeline!J$13),$D76,0)</f>
        <v>On Track</v>
      </c>
      <c r="K76" s="31" t="str">
        <f>IF(AND('Project Plan'!$E79&lt;=Timeline!K$12,'Project Plan'!$F79&gt;=Timeline!K$13),$D76,0)</f>
        <v>On Track</v>
      </c>
      <c r="L76" s="31" t="str">
        <f>IF(AND('Project Plan'!$E79&lt;=Timeline!L$12,'Project Plan'!$F79&gt;=Timeline!L$13),$D76,0)</f>
        <v>On Track</v>
      </c>
      <c r="M76" s="31">
        <f>IF(AND('Project Plan'!$E79&lt;=Timeline!M$12,'Project Plan'!$F79&gt;=Timeline!M$13),$D76,0)</f>
        <v>0</v>
      </c>
      <c r="N76" s="31">
        <f>IF(AND('Project Plan'!$E79&lt;=Timeline!N$12,'Project Plan'!$F79&gt;=Timeline!N$13),$D76,0)</f>
        <v>0</v>
      </c>
      <c r="O76" s="31">
        <f>IF(AND('Project Plan'!$E79&lt;=Timeline!O$12,'Project Plan'!$F79&gt;=Timeline!O$13),$D76,0)</f>
        <v>0</v>
      </c>
      <c r="P76" s="31">
        <f>IF(AND('Project Plan'!$E79&lt;=Timeline!P$12,'Project Plan'!$F79&gt;=Timeline!P$13),$D76,0)</f>
        <v>0</v>
      </c>
      <c r="Q76" s="31">
        <f>IF(AND('Project Plan'!$E79&lt;=Timeline!Q$12,'Project Plan'!$F79&gt;=Timeline!Q$13),$D76,0)</f>
        <v>0</v>
      </c>
      <c r="R76" s="30"/>
    </row>
    <row r="77" spans="2:18" x14ac:dyDescent="0.25">
      <c r="B77" s="913"/>
      <c r="C77" s="63" t="str">
        <f>'Project Plan'!D80</f>
        <v>AC 1.7 Connie reviews, approves</v>
      </c>
      <c r="D77" s="63" t="s">
        <v>259</v>
      </c>
      <c r="E77" s="67" t="str">
        <f>'Project Plan'!G80</f>
        <v>Rominger</v>
      </c>
      <c r="F77" s="31">
        <f>IF(AND('Project Plan'!$E80&lt;=Timeline!F$12,'Project Plan'!$F80&gt;=Timeline!F$13),$D77,0)</f>
        <v>0</v>
      </c>
      <c r="G77" s="31">
        <f>IF(AND('Project Plan'!$E80&lt;=Timeline!G$12,'Project Plan'!$F80&gt;=Timeline!G$13),$D77,0)</f>
        <v>0</v>
      </c>
      <c r="H77" s="31">
        <f>IF(AND('Project Plan'!$E80&lt;=Timeline!H$12,'Project Plan'!$F80&gt;=Timeline!H$13),$D77,0)</f>
        <v>0</v>
      </c>
      <c r="I77" s="31">
        <f>IF(AND('Project Plan'!$E80&lt;=Timeline!I$12,'Project Plan'!$F80&gt;=Timeline!I$13),$D77,0)</f>
        <v>0</v>
      </c>
      <c r="J77" s="31">
        <f>IF(AND('Project Plan'!$E80&lt;=Timeline!J$12,'Project Plan'!$F80&gt;=Timeline!J$13),$D77,0)</f>
        <v>0</v>
      </c>
      <c r="K77" s="31">
        <f>IF(AND('Project Plan'!$E80&lt;=Timeline!K$12,'Project Plan'!$F80&gt;=Timeline!K$13),$D77,0)</f>
        <v>0</v>
      </c>
      <c r="L77" s="31">
        <f>IF(AND('Project Plan'!$E80&lt;=Timeline!L$12,'Project Plan'!$F80&gt;=Timeline!L$13),$D77,0)</f>
        <v>0</v>
      </c>
      <c r="M77" s="31" t="str">
        <f>IF(AND('Project Plan'!$E80&lt;=Timeline!M$12,'Project Plan'!$F80&gt;=Timeline!M$13),$D77,0)</f>
        <v>On Track</v>
      </c>
      <c r="N77" s="31">
        <f>IF(AND('Project Plan'!$E80&lt;=Timeline!N$12,'Project Plan'!$F80&gt;=Timeline!N$13),$D77,0)</f>
        <v>0</v>
      </c>
      <c r="O77" s="31">
        <f>IF(AND('Project Plan'!$E80&lt;=Timeline!O$12,'Project Plan'!$F80&gt;=Timeline!O$13),$D77,0)</f>
        <v>0</v>
      </c>
      <c r="P77" s="31">
        <f>IF(AND('Project Plan'!$E80&lt;=Timeline!P$12,'Project Plan'!$F80&gt;=Timeline!P$13),$D77,0)</f>
        <v>0</v>
      </c>
      <c r="Q77" s="31">
        <f>IF(AND('Project Plan'!$E80&lt;=Timeline!Q$12,'Project Plan'!$F80&gt;=Timeline!Q$13),$D77,0)</f>
        <v>0</v>
      </c>
      <c r="R77" s="30"/>
    </row>
    <row r="78" spans="2:18" x14ac:dyDescent="0.25">
      <c r="B78" s="913"/>
      <c r="C78" s="63" t="str">
        <f>'Project Plan'!D81</f>
        <v>AC 1.8 Post in Paycor</v>
      </c>
      <c r="D78" s="63" t="s">
        <v>259</v>
      </c>
      <c r="E78" s="67" t="str">
        <f>'Project Plan'!G81</f>
        <v>Brauer</v>
      </c>
      <c r="F78" s="31">
        <f>IF(AND('Project Plan'!$E81&lt;=Timeline!F$12,'Project Plan'!$F81&gt;=Timeline!F$13),$D78,0)</f>
        <v>0</v>
      </c>
      <c r="G78" s="31">
        <f>IF(AND('Project Plan'!$E81&lt;=Timeline!G$12,'Project Plan'!$F81&gt;=Timeline!G$13),$D78,0)</f>
        <v>0</v>
      </c>
      <c r="H78" s="31">
        <f>IF(AND('Project Plan'!$E81&lt;=Timeline!H$12,'Project Plan'!$F81&gt;=Timeline!H$13),$D78,0)</f>
        <v>0</v>
      </c>
      <c r="I78" s="31">
        <f>IF(AND('Project Plan'!$E81&lt;=Timeline!I$12,'Project Plan'!$F81&gt;=Timeline!I$13),$D78,0)</f>
        <v>0</v>
      </c>
      <c r="J78" s="31">
        <f>IF(AND('Project Plan'!$E81&lt;=Timeline!J$12,'Project Plan'!$F81&gt;=Timeline!J$13),$D78,0)</f>
        <v>0</v>
      </c>
      <c r="K78" s="31">
        <f>IF(AND('Project Plan'!$E81&lt;=Timeline!K$12,'Project Plan'!$F81&gt;=Timeline!K$13),$D78,0)</f>
        <v>0</v>
      </c>
      <c r="L78" s="31">
        <f>IF(AND('Project Plan'!$E81&lt;=Timeline!L$12,'Project Plan'!$F81&gt;=Timeline!L$13),$D78,0)</f>
        <v>0</v>
      </c>
      <c r="M78" s="31">
        <f>IF(AND('Project Plan'!$E81&lt;=Timeline!M$12,'Project Plan'!$F81&gt;=Timeline!M$13),$D78,0)</f>
        <v>0</v>
      </c>
      <c r="N78" s="31" t="str">
        <f>IF(AND('Project Plan'!$E81&lt;=Timeline!N$12,'Project Plan'!$F81&gt;=Timeline!N$13),$D78,0)</f>
        <v>On Track</v>
      </c>
      <c r="O78" s="31">
        <f>IF(AND('Project Plan'!$E81&lt;=Timeline!O$12,'Project Plan'!$F81&gt;=Timeline!O$13),$D78,0)</f>
        <v>0</v>
      </c>
      <c r="P78" s="31">
        <f>IF(AND('Project Plan'!$E81&lt;=Timeline!P$12,'Project Plan'!$F81&gt;=Timeline!P$13),$D78,0)</f>
        <v>0</v>
      </c>
      <c r="Q78" s="31">
        <f>IF(AND('Project Plan'!$E81&lt;=Timeline!Q$12,'Project Plan'!$F81&gt;=Timeline!Q$13),$D78,0)</f>
        <v>0</v>
      </c>
      <c r="R78" s="30"/>
    </row>
    <row r="79" spans="2:18" x14ac:dyDescent="0.25">
      <c r="B79" s="914"/>
      <c r="C79" s="63" t="str">
        <f>'Project Plan'!D82</f>
        <v>AC 1.9 Train staff</v>
      </c>
      <c r="D79" s="63" t="s">
        <v>259</v>
      </c>
      <c r="E79" s="67" t="str">
        <f>'Project Plan'!G82</f>
        <v>Rost</v>
      </c>
      <c r="F79" s="31">
        <f>IF(AND('Project Plan'!$E82&lt;=Timeline!F$12,'Project Plan'!$F82&gt;=Timeline!F$13),$D79,0)</f>
        <v>0</v>
      </c>
      <c r="G79" s="31">
        <f>IF(AND('Project Plan'!$E82&lt;=Timeline!G$12,'Project Plan'!$F82&gt;=Timeline!G$13),$D79,0)</f>
        <v>0</v>
      </c>
      <c r="H79" s="31">
        <f>IF(AND('Project Plan'!$E82&lt;=Timeline!H$12,'Project Plan'!$F82&gt;=Timeline!H$13),$D79,0)</f>
        <v>0</v>
      </c>
      <c r="I79" s="31">
        <f>IF(AND('Project Plan'!$E82&lt;=Timeline!I$12,'Project Plan'!$F82&gt;=Timeline!I$13),$D79,0)</f>
        <v>0</v>
      </c>
      <c r="J79" s="31">
        <f>IF(AND('Project Plan'!$E82&lt;=Timeline!J$12,'Project Plan'!$F82&gt;=Timeline!J$13),$D79,0)</f>
        <v>0</v>
      </c>
      <c r="K79" s="31">
        <f>IF(AND('Project Plan'!$E82&lt;=Timeline!K$12,'Project Plan'!$F82&gt;=Timeline!K$13),$D79,0)</f>
        <v>0</v>
      </c>
      <c r="L79" s="31">
        <f>IF(AND('Project Plan'!$E82&lt;=Timeline!L$12,'Project Plan'!$F82&gt;=Timeline!L$13),$D79,0)</f>
        <v>0</v>
      </c>
      <c r="M79" s="31">
        <f>IF(AND('Project Plan'!$E82&lt;=Timeline!M$12,'Project Plan'!$F82&gt;=Timeline!M$13),$D79,0)</f>
        <v>0</v>
      </c>
      <c r="N79" s="31">
        <f>IF(AND('Project Plan'!$E82&lt;=Timeline!N$12,'Project Plan'!$F82&gt;=Timeline!N$13),$D79,0)</f>
        <v>0</v>
      </c>
      <c r="O79" s="31" t="str">
        <f>IF(AND('Project Plan'!$E82&lt;=Timeline!O$12,'Project Plan'!$F82&gt;=Timeline!O$13),$D79,0)</f>
        <v>On Track</v>
      </c>
      <c r="P79" s="31">
        <f>IF(AND('Project Plan'!$E82&lt;=Timeline!P$12,'Project Plan'!$F82&gt;=Timeline!P$13),$D79,0)</f>
        <v>0</v>
      </c>
      <c r="Q79" s="31">
        <f>IF(AND('Project Plan'!$E82&lt;=Timeline!Q$12,'Project Plan'!$F82&gt;=Timeline!Q$13),$D79,0)</f>
        <v>0</v>
      </c>
      <c r="R79" s="30"/>
    </row>
    <row r="80" spans="2:18" x14ac:dyDescent="0.25">
      <c r="B80" s="915" t="str">
        <f>CONCATENATE('Project Plan'!$B$83,": ",'Project Plan'!$C$83)</f>
        <v>HR1: Digitize Documents</v>
      </c>
      <c r="C80" s="63" t="str">
        <f>'Project Plan'!D83</f>
        <v xml:space="preserve">HR 1.1 Identify what can be digitized  - HR </v>
      </c>
      <c r="D80" s="63" t="s">
        <v>258</v>
      </c>
      <c r="E80" s="67" t="str">
        <f>'Project Plan'!G83</f>
        <v>Brauer</v>
      </c>
      <c r="F80" s="31" t="str">
        <f>IF(AND('Project Plan'!$E83&lt;=Timeline!F$12,'Project Plan'!$F83&gt;=Timeline!F$13),$D80,0)</f>
        <v>Completed</v>
      </c>
      <c r="G80" s="31" t="str">
        <f>IF(AND('Project Plan'!$E83&lt;=Timeline!G$12,'Project Plan'!$F83&gt;=Timeline!G$13),$D80,0)</f>
        <v>Completed</v>
      </c>
      <c r="H80" s="31" t="str">
        <f>IF(AND('Project Plan'!$E83&lt;=Timeline!H$12,'Project Plan'!$F83&gt;=Timeline!H$13),$D80,0)</f>
        <v>Completed</v>
      </c>
      <c r="I80" s="31">
        <f>IF(AND('Project Plan'!$E83&lt;=Timeline!I$12,'Project Plan'!$F83&gt;=Timeline!I$13),$D80,0)</f>
        <v>0</v>
      </c>
      <c r="J80" s="31">
        <f>IF(AND('Project Plan'!$E83&lt;=Timeline!J$12,'Project Plan'!$F83&gt;=Timeline!J$13),$D80,0)</f>
        <v>0</v>
      </c>
      <c r="K80" s="31">
        <f>IF(AND('Project Plan'!$E83&lt;=Timeline!K$12,'Project Plan'!$F83&gt;=Timeline!K$13),$D80,0)</f>
        <v>0</v>
      </c>
      <c r="L80" s="31">
        <f>IF(AND('Project Plan'!$E83&lt;=Timeline!L$12,'Project Plan'!$F83&gt;=Timeline!L$13),$D80,0)</f>
        <v>0</v>
      </c>
      <c r="M80" s="31">
        <f>IF(AND('Project Plan'!$E83&lt;=Timeline!M$12,'Project Plan'!$F83&gt;=Timeline!M$13),$D80,0)</f>
        <v>0</v>
      </c>
      <c r="N80" s="31">
        <f>IF(AND('Project Plan'!$E83&lt;=Timeline!N$12,'Project Plan'!$F83&gt;=Timeline!N$13),$D80,0)</f>
        <v>0</v>
      </c>
      <c r="O80" s="31">
        <f>IF(AND('Project Plan'!$E83&lt;=Timeline!O$12,'Project Plan'!$F83&gt;=Timeline!O$13),$D80,0)</f>
        <v>0</v>
      </c>
      <c r="P80" s="31">
        <f>IF(AND('Project Plan'!$E83&lt;=Timeline!P$12,'Project Plan'!$F83&gt;=Timeline!P$13),$D80,0)</f>
        <v>0</v>
      </c>
      <c r="Q80" s="31">
        <f>IF(AND('Project Plan'!$E83&lt;=Timeline!Q$12,'Project Plan'!$F83&gt;=Timeline!Q$13),$D80,0)</f>
        <v>0</v>
      </c>
      <c r="R80" s="30"/>
    </row>
    <row r="81" spans="2:18" x14ac:dyDescent="0.25">
      <c r="B81" s="916"/>
      <c r="C81" s="63" t="str">
        <f>'Project Plan'!D84</f>
        <v>HR 1.2 Identify what can be digitized - Accounting</v>
      </c>
      <c r="D81" s="63" t="s">
        <v>258</v>
      </c>
      <c r="E81" s="67" t="str">
        <f>'Project Plan'!G84</f>
        <v>Watkins</v>
      </c>
      <c r="F81" s="31" t="str">
        <f>IF(AND('Project Plan'!$E84&lt;=Timeline!F$12,'Project Plan'!$F84&gt;=Timeline!F$13),$D81,0)</f>
        <v>Completed</v>
      </c>
      <c r="G81" s="31" t="str">
        <f>IF(AND('Project Plan'!$E84&lt;=Timeline!G$12,'Project Plan'!$F84&gt;=Timeline!G$13),$D81,0)</f>
        <v>Completed</v>
      </c>
      <c r="H81" s="31" t="str">
        <f>IF(AND('Project Plan'!$E84&lt;=Timeline!H$12,'Project Plan'!$F84&gt;=Timeline!H$13),$D81,0)</f>
        <v>Completed</v>
      </c>
      <c r="I81" s="31">
        <f>IF(AND('Project Plan'!$E84&lt;=Timeline!I$12,'Project Plan'!$F84&gt;=Timeline!I$13),$D81,0)</f>
        <v>0</v>
      </c>
      <c r="J81" s="31">
        <f>IF(AND('Project Plan'!$E84&lt;=Timeline!J$12,'Project Plan'!$F84&gt;=Timeline!J$13),$D81,0)</f>
        <v>0</v>
      </c>
      <c r="K81" s="31">
        <f>IF(AND('Project Plan'!$E84&lt;=Timeline!K$12,'Project Plan'!$F84&gt;=Timeline!K$13),$D81,0)</f>
        <v>0</v>
      </c>
      <c r="L81" s="31">
        <f>IF(AND('Project Plan'!$E84&lt;=Timeline!L$12,'Project Plan'!$F84&gt;=Timeline!L$13),$D81,0)</f>
        <v>0</v>
      </c>
      <c r="M81" s="31">
        <f>IF(AND('Project Plan'!$E84&lt;=Timeline!M$12,'Project Plan'!$F84&gt;=Timeline!M$13),$D81,0)</f>
        <v>0</v>
      </c>
      <c r="N81" s="31">
        <f>IF(AND('Project Plan'!$E84&lt;=Timeline!N$12,'Project Plan'!$F84&gt;=Timeline!N$13),$D81,0)</f>
        <v>0</v>
      </c>
      <c r="O81" s="31">
        <f>IF(AND('Project Plan'!$E84&lt;=Timeline!O$12,'Project Plan'!$F84&gt;=Timeline!O$13),$D81,0)</f>
        <v>0</v>
      </c>
      <c r="P81" s="31">
        <f>IF(AND('Project Plan'!$E84&lt;=Timeline!P$12,'Project Plan'!$F84&gt;=Timeline!P$13),$D81,0)</f>
        <v>0</v>
      </c>
      <c r="Q81" s="31">
        <f>IF(AND('Project Plan'!$E84&lt;=Timeline!Q$12,'Project Plan'!$F84&gt;=Timeline!Q$13),$D81,0)</f>
        <v>0</v>
      </c>
      <c r="R81" s="30"/>
    </row>
    <row r="82" spans="2:18" x14ac:dyDescent="0.25">
      <c r="B82" s="916"/>
      <c r="C82" s="63" t="str">
        <f>'Project Plan'!D85</f>
        <v>HR 1.3 Identify where the documents are currently stored (HR and Accounting)</v>
      </c>
      <c r="D82" s="63" t="s">
        <v>258</v>
      </c>
      <c r="E82" s="67" t="str">
        <f>'Project Plan'!G85</f>
        <v>Brauer</v>
      </c>
      <c r="F82" s="31">
        <f>IF(AND('Project Plan'!$E85&lt;=Timeline!F$12,'Project Plan'!$F85&gt;=Timeline!F$13),$D82,0)</f>
        <v>0</v>
      </c>
      <c r="G82" s="31">
        <f>IF(AND('Project Plan'!$E85&lt;=Timeline!G$12,'Project Plan'!$F85&gt;=Timeline!G$13),$D82,0)</f>
        <v>0</v>
      </c>
      <c r="H82" s="31" t="str">
        <f>IF(AND('Project Plan'!$E85&lt;=Timeline!H$12,'Project Plan'!$F85&gt;=Timeline!H$13),$D82,0)</f>
        <v>Completed</v>
      </c>
      <c r="I82" s="31" t="str">
        <f>IF(AND('Project Plan'!$E85&lt;=Timeline!I$12,'Project Plan'!$F85&gt;=Timeline!I$13),$D82,0)</f>
        <v>Completed</v>
      </c>
      <c r="J82" s="31">
        <f>IF(AND('Project Plan'!$E85&lt;=Timeline!J$12,'Project Plan'!$F85&gt;=Timeline!J$13),$D82,0)</f>
        <v>0</v>
      </c>
      <c r="K82" s="31">
        <f>IF(AND('Project Plan'!$E85&lt;=Timeline!K$12,'Project Plan'!$F85&gt;=Timeline!K$13),$D82,0)</f>
        <v>0</v>
      </c>
      <c r="L82" s="31">
        <f>IF(AND('Project Plan'!$E85&lt;=Timeline!L$12,'Project Plan'!$F85&gt;=Timeline!L$13),$D82,0)</f>
        <v>0</v>
      </c>
      <c r="M82" s="31">
        <f>IF(AND('Project Plan'!$E85&lt;=Timeline!M$12,'Project Plan'!$F85&gt;=Timeline!M$13),$D82,0)</f>
        <v>0</v>
      </c>
      <c r="N82" s="31">
        <f>IF(AND('Project Plan'!$E85&lt;=Timeline!N$12,'Project Plan'!$F85&gt;=Timeline!N$13),$D82,0)</f>
        <v>0</v>
      </c>
      <c r="O82" s="31">
        <f>IF(AND('Project Plan'!$E85&lt;=Timeline!O$12,'Project Plan'!$F85&gt;=Timeline!O$13),$D82,0)</f>
        <v>0</v>
      </c>
      <c r="P82" s="31">
        <f>IF(AND('Project Plan'!$E85&lt;=Timeline!P$12,'Project Plan'!$F85&gt;=Timeline!P$13),$D82,0)</f>
        <v>0</v>
      </c>
      <c r="Q82" s="31">
        <f>IF(AND('Project Plan'!$E85&lt;=Timeline!Q$12,'Project Plan'!$F85&gt;=Timeline!Q$13),$D82,0)</f>
        <v>0</v>
      </c>
      <c r="R82" s="30"/>
    </row>
    <row r="83" spans="2:18" x14ac:dyDescent="0.25">
      <c r="B83" s="916"/>
      <c r="C83" s="63" t="str">
        <f>'Project Plan'!D86</f>
        <v>HR 1.4 Determine if external help to digitize and prioritize is needed</v>
      </c>
      <c r="D83" s="63" t="s">
        <v>258</v>
      </c>
      <c r="E83" s="67" t="str">
        <f>'Project Plan'!G86</f>
        <v>Brauer</v>
      </c>
      <c r="F83" s="31">
        <f>IF(AND('Project Plan'!$E86&lt;=Timeline!F$12,'Project Plan'!$F86&gt;=Timeline!F$13),$D83,0)</f>
        <v>0</v>
      </c>
      <c r="G83" s="31">
        <f>IF(AND('Project Plan'!$E86&lt;=Timeline!G$12,'Project Plan'!$F86&gt;=Timeline!G$13),$D83,0)</f>
        <v>0</v>
      </c>
      <c r="H83" s="31">
        <f>IF(AND('Project Plan'!$E86&lt;=Timeline!H$12,'Project Plan'!$F86&gt;=Timeline!H$13),$D83,0)</f>
        <v>0</v>
      </c>
      <c r="I83" s="31" t="str">
        <f>IF(AND('Project Plan'!$E86&lt;=Timeline!I$12,'Project Plan'!$F86&gt;=Timeline!I$13),$D83,0)</f>
        <v>Completed</v>
      </c>
      <c r="J83" s="31" t="str">
        <f>IF(AND('Project Plan'!$E86&lt;=Timeline!J$12,'Project Plan'!$F86&gt;=Timeline!J$13),$D83,0)</f>
        <v>Completed</v>
      </c>
      <c r="K83" s="31">
        <f>IF(AND('Project Plan'!$E86&lt;=Timeline!K$12,'Project Plan'!$F86&gt;=Timeline!K$13),$D83,0)</f>
        <v>0</v>
      </c>
      <c r="L83" s="31">
        <f>IF(AND('Project Plan'!$E86&lt;=Timeline!L$12,'Project Plan'!$F86&gt;=Timeline!L$13),$D83,0)</f>
        <v>0</v>
      </c>
      <c r="M83" s="31">
        <f>IF(AND('Project Plan'!$E86&lt;=Timeline!M$12,'Project Plan'!$F86&gt;=Timeline!M$13),$D83,0)</f>
        <v>0</v>
      </c>
      <c r="N83" s="31">
        <f>IF(AND('Project Plan'!$E86&lt;=Timeline!N$12,'Project Plan'!$F86&gt;=Timeline!N$13),$D83,0)</f>
        <v>0</v>
      </c>
      <c r="O83" s="31">
        <f>IF(AND('Project Plan'!$E86&lt;=Timeline!O$12,'Project Plan'!$F86&gt;=Timeline!O$13),$D83,0)</f>
        <v>0</v>
      </c>
      <c r="P83" s="31">
        <f>IF(AND('Project Plan'!$E86&lt;=Timeline!P$12,'Project Plan'!$F86&gt;=Timeline!P$13),$D83,0)</f>
        <v>0</v>
      </c>
      <c r="Q83" s="31">
        <f>IF(AND('Project Plan'!$E86&lt;=Timeline!Q$12,'Project Plan'!$F86&gt;=Timeline!Q$13),$D83,0)</f>
        <v>0</v>
      </c>
      <c r="R83" s="30"/>
    </row>
    <row r="84" spans="2:18" x14ac:dyDescent="0.25">
      <c r="B84" s="916"/>
      <c r="C84" s="63" t="str">
        <f>'Project Plan'!D87</f>
        <v>HR 1.5 Determine plan for digitizing current documents</v>
      </c>
      <c r="D84" s="63" t="s">
        <v>258</v>
      </c>
      <c r="E84" s="67" t="str">
        <f>'Project Plan'!G87</f>
        <v>Brauer</v>
      </c>
      <c r="F84" s="31">
        <f>IF(AND('Project Plan'!$E87&lt;=Timeline!F$12,'Project Plan'!$F87&gt;=Timeline!F$13),$D84,0)</f>
        <v>0</v>
      </c>
      <c r="G84" s="31">
        <f>IF(AND('Project Plan'!$E87&lt;=Timeline!G$12,'Project Plan'!$F87&gt;=Timeline!G$13),$D84,0)</f>
        <v>0</v>
      </c>
      <c r="H84" s="31">
        <f>IF(AND('Project Plan'!$E87&lt;=Timeline!H$12,'Project Plan'!$F87&gt;=Timeline!H$13),$D84,0)</f>
        <v>0</v>
      </c>
      <c r="I84" s="31">
        <f>IF(AND('Project Plan'!$E87&lt;=Timeline!I$12,'Project Plan'!$F87&gt;=Timeline!I$13),$D84,0)</f>
        <v>0</v>
      </c>
      <c r="J84" s="31" t="str">
        <f>IF(AND('Project Plan'!$E87&lt;=Timeline!J$12,'Project Plan'!$F87&gt;=Timeline!J$13),$D84,0)</f>
        <v>Completed</v>
      </c>
      <c r="K84" s="31" t="str">
        <f>IF(AND('Project Plan'!$E87&lt;=Timeline!K$12,'Project Plan'!$F87&gt;=Timeline!K$13),$D84,0)</f>
        <v>Completed</v>
      </c>
      <c r="L84" s="31">
        <f>IF(AND('Project Plan'!$E87&lt;=Timeline!L$12,'Project Plan'!$F87&gt;=Timeline!L$13),$D84,0)</f>
        <v>0</v>
      </c>
      <c r="M84" s="31">
        <f>IF(AND('Project Plan'!$E87&lt;=Timeline!M$12,'Project Plan'!$F87&gt;=Timeline!M$13),$D84,0)</f>
        <v>0</v>
      </c>
      <c r="N84" s="31">
        <f>IF(AND('Project Plan'!$E87&lt;=Timeline!N$12,'Project Plan'!$F87&gt;=Timeline!N$13),$D84,0)</f>
        <v>0</v>
      </c>
      <c r="O84" s="31">
        <f>IF(AND('Project Plan'!$E87&lt;=Timeline!O$12,'Project Plan'!$F87&gt;=Timeline!O$13),$D84,0)</f>
        <v>0</v>
      </c>
      <c r="P84" s="31">
        <f>IF(AND('Project Plan'!$E87&lt;=Timeline!P$12,'Project Plan'!$F87&gt;=Timeline!P$13),$D84,0)</f>
        <v>0</v>
      </c>
      <c r="Q84" s="31">
        <f>IF(AND('Project Plan'!$E87&lt;=Timeline!Q$12,'Project Plan'!$F87&gt;=Timeline!Q$13),$D84,0)</f>
        <v>0</v>
      </c>
      <c r="R84" s="30"/>
    </row>
    <row r="85" spans="2:18" x14ac:dyDescent="0.25">
      <c r="B85" s="916"/>
      <c r="C85" s="63" t="str">
        <f>'Project Plan'!D88</f>
        <v>HR 1.6 Digitize existing paper</v>
      </c>
      <c r="D85" s="63" t="s">
        <v>259</v>
      </c>
      <c r="E85" s="67" t="str">
        <f>'Project Plan'!G88</f>
        <v>Brauer</v>
      </c>
      <c r="F85" s="31">
        <f>IF(AND('Project Plan'!$E88&lt;=Timeline!F$12,'Project Plan'!$F88&gt;=Timeline!F$13),$D85,0)</f>
        <v>0</v>
      </c>
      <c r="G85" s="31">
        <f>IF(AND('Project Plan'!$E88&lt;=Timeline!G$12,'Project Plan'!$F88&gt;=Timeline!G$13),$D85,0)</f>
        <v>0</v>
      </c>
      <c r="H85" s="31">
        <f>IF(AND('Project Plan'!$E88&lt;=Timeline!H$12,'Project Plan'!$F88&gt;=Timeline!H$13),$D85,0)</f>
        <v>0</v>
      </c>
      <c r="I85" s="31">
        <f>IF(AND('Project Plan'!$E88&lt;=Timeline!I$12,'Project Plan'!$F88&gt;=Timeline!I$13),$D85,0)</f>
        <v>0</v>
      </c>
      <c r="J85" s="31">
        <f>IF(AND('Project Plan'!$E88&lt;=Timeline!J$12,'Project Plan'!$F88&gt;=Timeline!J$13),$D85,0)</f>
        <v>0</v>
      </c>
      <c r="K85" s="31">
        <f>IF(AND('Project Plan'!$E88&lt;=Timeline!K$12,'Project Plan'!$F88&gt;=Timeline!K$13),$D85,0)</f>
        <v>0</v>
      </c>
      <c r="L85" s="31" t="str">
        <f>IF(AND('Project Plan'!$E88&lt;=Timeline!L$12,'Project Plan'!$F88&gt;=Timeline!L$13),$D85,0)</f>
        <v>On Track</v>
      </c>
      <c r="M85" s="31" t="str">
        <f>IF(AND('Project Plan'!$E88&lt;=Timeline!M$12,'Project Plan'!$F88&gt;=Timeline!M$13),$D85,0)</f>
        <v>On Track</v>
      </c>
      <c r="N85" s="31" t="str">
        <f>IF(AND('Project Plan'!$E88&lt;=Timeline!N$12,'Project Plan'!$F88&gt;=Timeline!N$13),$D85,0)</f>
        <v>On Track</v>
      </c>
      <c r="O85" s="31">
        <f>IF(AND('Project Plan'!$E88&lt;=Timeline!O$12,'Project Plan'!$F88&gt;=Timeline!O$13),$D85,0)</f>
        <v>0</v>
      </c>
      <c r="P85" s="31">
        <f>IF(AND('Project Plan'!$E88&lt;=Timeline!P$12,'Project Plan'!$F88&gt;=Timeline!P$13),$D85,0)</f>
        <v>0</v>
      </c>
      <c r="Q85" s="31">
        <f>IF(AND('Project Plan'!$E88&lt;=Timeline!Q$12,'Project Plan'!$F88&gt;=Timeline!Q$13),$D85,0)</f>
        <v>0</v>
      </c>
      <c r="R85" s="30"/>
    </row>
    <row r="86" spans="2:18" x14ac:dyDescent="0.25">
      <c r="B86" s="916"/>
      <c r="C86" s="63" t="str">
        <f>'Project Plan'!D89</f>
        <v>HR 1.7 Verifiy that everything needed is Digitized</v>
      </c>
      <c r="D86" s="63" t="s">
        <v>259</v>
      </c>
      <c r="E86" s="67" t="str">
        <f>'Project Plan'!G89</f>
        <v>Brauer</v>
      </c>
      <c r="F86" s="31">
        <f>IF(AND('Project Plan'!$E89&lt;=Timeline!F$12,'Project Plan'!$F89&gt;=Timeline!F$13),$D86,0)</f>
        <v>0</v>
      </c>
      <c r="G86" s="31">
        <f>IF(AND('Project Plan'!$E89&lt;=Timeline!G$12,'Project Plan'!$F89&gt;=Timeline!G$13),$D86,0)</f>
        <v>0</v>
      </c>
      <c r="H86" s="31">
        <f>IF(AND('Project Plan'!$E89&lt;=Timeline!H$12,'Project Plan'!$F89&gt;=Timeline!H$13),$D86,0)</f>
        <v>0</v>
      </c>
      <c r="I86" s="31">
        <f>IF(AND('Project Plan'!$E89&lt;=Timeline!I$12,'Project Plan'!$F89&gt;=Timeline!I$13),$D86,0)</f>
        <v>0</v>
      </c>
      <c r="J86" s="31">
        <f>IF(AND('Project Plan'!$E89&lt;=Timeline!J$12,'Project Plan'!$F89&gt;=Timeline!J$13),$D86,0)</f>
        <v>0</v>
      </c>
      <c r="K86" s="31">
        <f>IF(AND('Project Plan'!$E89&lt;=Timeline!K$12,'Project Plan'!$F89&gt;=Timeline!K$13),$D86,0)</f>
        <v>0</v>
      </c>
      <c r="L86" s="31">
        <f>IF(AND('Project Plan'!$E89&lt;=Timeline!L$12,'Project Plan'!$F89&gt;=Timeline!L$13),$D86,0)</f>
        <v>0</v>
      </c>
      <c r="M86" s="31">
        <f>IF(AND('Project Plan'!$E89&lt;=Timeline!M$12,'Project Plan'!$F89&gt;=Timeline!M$13),$D86,0)</f>
        <v>0</v>
      </c>
      <c r="N86" s="31">
        <f>IF(AND('Project Plan'!$E89&lt;=Timeline!N$12,'Project Plan'!$F89&gt;=Timeline!N$13),$D86,0)</f>
        <v>0</v>
      </c>
      <c r="O86" s="31" t="str">
        <f>IF(AND('Project Plan'!$E89&lt;=Timeline!O$12,'Project Plan'!$F89&gt;=Timeline!O$13),$D86,0)</f>
        <v>On Track</v>
      </c>
      <c r="P86" s="31">
        <f>IF(AND('Project Plan'!$E89&lt;=Timeline!P$12,'Project Plan'!$F89&gt;=Timeline!P$13),$D86,0)</f>
        <v>0</v>
      </c>
      <c r="Q86" s="31">
        <f>IF(AND('Project Plan'!$E89&lt;=Timeline!Q$12,'Project Plan'!$F89&gt;=Timeline!Q$13),$D86,0)</f>
        <v>0</v>
      </c>
      <c r="R86" s="30"/>
    </row>
    <row r="87" spans="2:18" x14ac:dyDescent="0.25">
      <c r="B87" s="916"/>
      <c r="C87" s="63" t="str">
        <f>'Project Plan'!D90</f>
        <v>HR 1.8 Shred existing paper documents</v>
      </c>
      <c r="D87" s="63" t="s">
        <v>259</v>
      </c>
      <c r="E87" s="67" t="str">
        <f>'Project Plan'!G90</f>
        <v>Brauer</v>
      </c>
      <c r="F87" s="31">
        <f>IF(AND('Project Plan'!$E90&lt;=Timeline!F$12,'Project Plan'!$F90&gt;=Timeline!F$13),$D87,0)</f>
        <v>0</v>
      </c>
      <c r="G87" s="31">
        <f>IF(AND('Project Plan'!$E90&lt;=Timeline!G$12,'Project Plan'!$F90&gt;=Timeline!G$13),$D87,0)</f>
        <v>0</v>
      </c>
      <c r="H87" s="31">
        <f>IF(AND('Project Plan'!$E90&lt;=Timeline!H$12,'Project Plan'!$F90&gt;=Timeline!H$13),$D87,0)</f>
        <v>0</v>
      </c>
      <c r="I87" s="31">
        <f>IF(AND('Project Plan'!$E90&lt;=Timeline!I$12,'Project Plan'!$F90&gt;=Timeline!I$13),$D87,0)</f>
        <v>0</v>
      </c>
      <c r="J87" s="31">
        <f>IF(AND('Project Plan'!$E90&lt;=Timeline!J$12,'Project Plan'!$F90&gt;=Timeline!J$13),$D87,0)</f>
        <v>0</v>
      </c>
      <c r="K87" s="31">
        <f>IF(AND('Project Plan'!$E90&lt;=Timeline!K$12,'Project Plan'!$F90&gt;=Timeline!K$13),$D87,0)</f>
        <v>0</v>
      </c>
      <c r="L87" s="31">
        <f>IF(AND('Project Plan'!$E90&lt;=Timeline!L$12,'Project Plan'!$F90&gt;=Timeline!L$13),$D87,0)</f>
        <v>0</v>
      </c>
      <c r="M87" s="31">
        <f>IF(AND('Project Plan'!$E90&lt;=Timeline!M$12,'Project Plan'!$F90&gt;=Timeline!M$13),$D87,0)</f>
        <v>0</v>
      </c>
      <c r="N87" s="31">
        <f>IF(AND('Project Plan'!$E90&lt;=Timeline!N$12,'Project Plan'!$F90&gt;=Timeline!N$13),$D87,0)</f>
        <v>0</v>
      </c>
      <c r="O87" s="31" t="str">
        <f>IF(AND('Project Plan'!$E90&lt;=Timeline!O$12,'Project Plan'!$F90&gt;=Timeline!O$13),$D87,0)</f>
        <v>On Track</v>
      </c>
      <c r="P87" s="31">
        <f>IF(AND('Project Plan'!$E90&lt;=Timeline!P$12,'Project Plan'!$F90&gt;=Timeline!P$13),$D87,0)</f>
        <v>0</v>
      </c>
      <c r="Q87" s="31">
        <f>IF(AND('Project Plan'!$E90&lt;=Timeline!Q$12,'Project Plan'!$F90&gt;=Timeline!Q$13),$D87,0)</f>
        <v>0</v>
      </c>
      <c r="R87" s="30"/>
    </row>
    <row r="88" spans="2:18" x14ac:dyDescent="0.25">
      <c r="B88" s="916"/>
      <c r="C88" s="63" t="str">
        <f>'Project Plan'!D91</f>
        <v>HR 1.9 Develop plan for future documents (Accounting)</v>
      </c>
      <c r="D88" s="63" t="s">
        <v>259</v>
      </c>
      <c r="E88" s="67" t="str">
        <f>'Project Plan'!G91</f>
        <v>Watkins</v>
      </c>
      <c r="F88" s="31">
        <f>IF(AND('Project Plan'!$E91&lt;=Timeline!F$12,'Project Plan'!$F91&gt;=Timeline!F$13),$D88,0)</f>
        <v>0</v>
      </c>
      <c r="G88" s="31">
        <f>IF(AND('Project Plan'!$E91&lt;=Timeline!G$12,'Project Plan'!$F91&gt;=Timeline!G$13),$D88,0)</f>
        <v>0</v>
      </c>
      <c r="H88" s="31">
        <f>IF(AND('Project Plan'!$E91&lt;=Timeline!H$12,'Project Plan'!$F91&gt;=Timeline!H$13),$D88,0)</f>
        <v>0</v>
      </c>
      <c r="I88" s="31">
        <f>IF(AND('Project Plan'!$E91&lt;=Timeline!I$12,'Project Plan'!$F91&gt;=Timeline!I$13),$D88,0)</f>
        <v>0</v>
      </c>
      <c r="J88" s="31">
        <f>IF(AND('Project Plan'!$E91&lt;=Timeline!J$12,'Project Plan'!$F91&gt;=Timeline!J$13),$D88,0)</f>
        <v>0</v>
      </c>
      <c r="K88" s="31">
        <f>IF(AND('Project Plan'!$E91&lt;=Timeline!K$12,'Project Plan'!$F91&gt;=Timeline!K$13),$D88,0)</f>
        <v>0</v>
      </c>
      <c r="L88" s="31">
        <f>IF(AND('Project Plan'!$E91&lt;=Timeline!L$12,'Project Plan'!$F91&gt;=Timeline!L$13),$D88,0)</f>
        <v>0</v>
      </c>
      <c r="M88" s="31">
        <f>IF(AND('Project Plan'!$E91&lt;=Timeline!M$12,'Project Plan'!$F91&gt;=Timeline!M$13),$D88,0)</f>
        <v>0</v>
      </c>
      <c r="N88" s="31">
        <f>IF(AND('Project Plan'!$E91&lt;=Timeline!N$12,'Project Plan'!$F91&gt;=Timeline!N$13),$D88,0)</f>
        <v>0</v>
      </c>
      <c r="O88" s="31">
        <f>IF(AND('Project Plan'!$E91&lt;=Timeline!O$12,'Project Plan'!$F91&gt;=Timeline!O$13),$D88,0)</f>
        <v>0</v>
      </c>
      <c r="P88" s="31" t="str">
        <f>IF(AND('Project Plan'!$E91&lt;=Timeline!P$12,'Project Plan'!$F91&gt;=Timeline!P$13),$D88,0)</f>
        <v>On Track</v>
      </c>
      <c r="Q88" s="31" t="str">
        <f>IF(AND('Project Plan'!$E91&lt;=Timeline!Q$12,'Project Plan'!$F91&gt;=Timeline!Q$13),$D88,0)</f>
        <v>On Track</v>
      </c>
      <c r="R88" s="30"/>
    </row>
    <row r="89" spans="2:18" x14ac:dyDescent="0.25">
      <c r="B89" s="918" t="str">
        <f>CONCATENATE('Project Plan'!$B$92,": ",'Project Plan'!$C$92)</f>
        <v>ED1: Reimagine Education Programs for Nurses</v>
      </c>
      <c r="C89" s="63" t="str">
        <f>'Project Plan'!D92</f>
        <v>ED 1.1 Identify gaps in training throughout CCM</v>
      </c>
      <c r="D89" s="63" t="s">
        <v>258</v>
      </c>
      <c r="E89" s="67" t="str">
        <f>'Project Plan'!G92</f>
        <v>Bowers</v>
      </c>
      <c r="F89" s="31" t="str">
        <f>IF(AND('Project Plan'!$E92&lt;=Timeline!F$12,'Project Plan'!$F92&gt;=Timeline!F$13),$D89,0)</f>
        <v>Completed</v>
      </c>
      <c r="G89" s="31">
        <f>IF(AND('Project Plan'!$E92&lt;=Timeline!G$12,'Project Plan'!$F92&gt;=Timeline!G$13),$D89,0)</f>
        <v>0</v>
      </c>
      <c r="H89" s="31">
        <f>IF(AND('Project Plan'!$E91&lt;=Timeline!H$12,'Project Plan'!$F91&gt;=Timeline!H$13),$D89,0)</f>
        <v>0</v>
      </c>
      <c r="I89" s="31">
        <f>IF(AND('Project Plan'!$E91&lt;=Timeline!I$12,'Project Plan'!$F91&gt;=Timeline!I$13),$D89,0)</f>
        <v>0</v>
      </c>
      <c r="J89" s="31">
        <f>IF(AND('Project Plan'!$E91&lt;=Timeline!J$12,'Project Plan'!$F91&gt;=Timeline!J$13),$D89,0)</f>
        <v>0</v>
      </c>
      <c r="K89" s="31">
        <f>IF(AND('Project Plan'!$E91&lt;=Timeline!K$12,'Project Plan'!$F91&gt;=Timeline!K$13),$D89,0)</f>
        <v>0</v>
      </c>
      <c r="L89" s="31">
        <f>IF(AND('Project Plan'!$E91&lt;=Timeline!L$12,'Project Plan'!$F91&gt;=Timeline!L$13),$D89,0)</f>
        <v>0</v>
      </c>
      <c r="M89" s="31">
        <f>IF(AND('Project Plan'!$E91&lt;=Timeline!M$12,'Project Plan'!$F91&gt;=Timeline!M$13),$D89,0)</f>
        <v>0</v>
      </c>
      <c r="N89" s="31">
        <f>IF(AND('Project Plan'!$E91&lt;=Timeline!N$12,'Project Plan'!$F91&gt;=Timeline!N$13),$D89,0)</f>
        <v>0</v>
      </c>
      <c r="O89" s="31">
        <f>IF(AND('Project Plan'!$E91&lt;=Timeline!O$12,'Project Plan'!$F91&gt;=Timeline!O$13),$D89,0)</f>
        <v>0</v>
      </c>
      <c r="P89" s="31" t="str">
        <f>IF(AND('Project Plan'!$E91&lt;=Timeline!P$12,'Project Plan'!$F91&gt;=Timeline!P$13),$D89,0)</f>
        <v>Completed</v>
      </c>
      <c r="Q89" s="31" t="str">
        <f>IF(AND('Project Plan'!$E91&lt;=Timeline!Q$12,'Project Plan'!$F91&gt;=Timeline!Q$13),$D89,0)</f>
        <v>Completed</v>
      </c>
      <c r="R89" s="30"/>
    </row>
    <row r="90" spans="2:18" x14ac:dyDescent="0.25">
      <c r="B90" s="913"/>
      <c r="C90" s="63" t="str">
        <f>'Project Plan'!D93</f>
        <v>ED 1.2 Develop topics and short videos for all staff/new hires</v>
      </c>
      <c r="D90" s="63" t="s">
        <v>258</v>
      </c>
      <c r="E90" s="67" t="str">
        <f>'Project Plan'!G93</f>
        <v>Bowers</v>
      </c>
      <c r="F90" s="31">
        <f>IF(AND('Project Plan'!$E93&lt;=Timeline!F$12,'Project Plan'!$F93&gt;=Timeline!F$13),$D90,0)</f>
        <v>0</v>
      </c>
      <c r="G90" s="31">
        <f>IF(AND('Project Plan'!$E93&lt;=Timeline!G$12,'Project Plan'!$F93&gt;=Timeline!G$13),$D90,0)</f>
        <v>0</v>
      </c>
      <c r="H90" s="31">
        <f>IF(AND('Project Plan'!$E92&lt;=Timeline!H$12,'Project Plan'!$F92&gt;=Timeline!H$13),$D90,0)</f>
        <v>0</v>
      </c>
      <c r="I90" s="31">
        <f>IF(AND('Project Plan'!$E92&lt;=Timeline!I$12,'Project Plan'!$F92&gt;=Timeline!I$13),$D90,0)</f>
        <v>0</v>
      </c>
      <c r="J90" s="31">
        <f>IF(AND('Project Plan'!$E92&lt;=Timeline!J$12,'Project Plan'!$F92&gt;=Timeline!J$13),$D90,0)</f>
        <v>0</v>
      </c>
      <c r="K90" s="31">
        <f>IF(AND('Project Plan'!$E92&lt;=Timeline!K$12,'Project Plan'!$F92&gt;=Timeline!K$13),$D90,0)</f>
        <v>0</v>
      </c>
      <c r="L90" s="31">
        <f>IF(AND('Project Plan'!$E92&lt;=Timeline!L$12,'Project Plan'!$F92&gt;=Timeline!L$13),$D90,0)</f>
        <v>0</v>
      </c>
      <c r="M90" s="31">
        <f>IF(AND('Project Plan'!$E92&lt;=Timeline!M$12,'Project Plan'!$F92&gt;=Timeline!M$13),$D90,0)</f>
        <v>0</v>
      </c>
      <c r="N90" s="31">
        <f>IF(AND('Project Plan'!$E92&lt;=Timeline!N$12,'Project Plan'!$F92&gt;=Timeline!N$13),$D90,0)</f>
        <v>0</v>
      </c>
      <c r="O90" s="31">
        <f>IF(AND('Project Plan'!$E92&lt;=Timeline!O$12,'Project Plan'!$F92&gt;=Timeline!O$13),$D90,0)</f>
        <v>0</v>
      </c>
      <c r="P90" s="31">
        <f>IF(AND('Project Plan'!$E92&lt;=Timeline!P$12,'Project Plan'!$F92&gt;=Timeline!P$13),$D90,0)</f>
        <v>0</v>
      </c>
      <c r="Q90" s="31">
        <f>IF(AND('Project Plan'!$E92&lt;=Timeline!Q$12,'Project Plan'!$F92&gt;=Timeline!Q$13),$D90,0)</f>
        <v>0</v>
      </c>
      <c r="R90" s="30"/>
    </row>
    <row r="91" spans="2:18" x14ac:dyDescent="0.25">
      <c r="B91" s="913"/>
      <c r="C91" s="63" t="str">
        <f>'Project Plan'!D94</f>
        <v>ED 1.3 Develop training manuals (video, measurable goals)</v>
      </c>
      <c r="D91" s="63" t="s">
        <v>258</v>
      </c>
      <c r="E91" s="67" t="str">
        <f>'Project Plan'!G94</f>
        <v>Bowers</v>
      </c>
      <c r="F91" s="31">
        <f>IF(AND('Project Plan'!$E94&lt;=Timeline!F$12,'Project Plan'!$F94&gt;=Timeline!F$13),$D91,0)</f>
        <v>0</v>
      </c>
      <c r="G91" s="31">
        <f>IF(AND('Project Plan'!$E94&lt;=Timeline!G$12,'Project Plan'!$F94&gt;=Timeline!G$13),$D91,0)</f>
        <v>0</v>
      </c>
      <c r="H91" s="31" t="str">
        <f>IF(AND('Project Plan'!$E93&lt;=Timeline!H$12,'Project Plan'!$F93&gt;=Timeline!H$13),$D91,0)</f>
        <v>Completed</v>
      </c>
      <c r="I91" s="31" t="str">
        <f>IF(AND('Project Plan'!$E93&lt;=Timeline!I$12,'Project Plan'!$F93&gt;=Timeline!I$13),$D91,0)</f>
        <v>Completed</v>
      </c>
      <c r="J91" s="31" t="str">
        <f>IF(AND('Project Plan'!$E93&lt;=Timeline!J$12,'Project Plan'!$F93&gt;=Timeline!J$13),$D91,0)</f>
        <v>Completed</v>
      </c>
      <c r="K91" s="31" t="str">
        <f>IF(AND('Project Plan'!$E93&lt;=Timeline!K$12,'Project Plan'!$F93&gt;=Timeline!K$13),$D91,0)</f>
        <v>Completed</v>
      </c>
      <c r="L91" s="31">
        <f>IF(AND('Project Plan'!$E93&lt;=Timeline!L$12,'Project Plan'!$F93&gt;=Timeline!L$13),$D91,0)</f>
        <v>0</v>
      </c>
      <c r="M91" s="31">
        <f>IF(AND('Project Plan'!$E93&lt;=Timeline!M$12,'Project Plan'!$F93&gt;=Timeline!M$13),$D91,0)</f>
        <v>0</v>
      </c>
      <c r="N91" s="31">
        <f>IF(AND('Project Plan'!$E93&lt;=Timeline!N$12,'Project Plan'!$F93&gt;=Timeline!N$13),$D91,0)</f>
        <v>0</v>
      </c>
      <c r="O91" s="31">
        <f>IF(AND('Project Plan'!$E93&lt;=Timeline!O$12,'Project Plan'!$F93&gt;=Timeline!O$13),$D91,0)</f>
        <v>0</v>
      </c>
      <c r="P91" s="31">
        <f>IF(AND('Project Plan'!$E93&lt;=Timeline!P$12,'Project Plan'!$F93&gt;=Timeline!P$13),$D91,0)</f>
        <v>0</v>
      </c>
      <c r="Q91" s="31">
        <f>IF(AND('Project Plan'!$E93&lt;=Timeline!Q$12,'Project Plan'!$F93&gt;=Timeline!Q$13),$D91,0)</f>
        <v>0</v>
      </c>
      <c r="R91" s="30"/>
    </row>
    <row r="92" spans="2:18" x14ac:dyDescent="0.25">
      <c r="B92" s="913"/>
      <c r="C92" s="63" t="str">
        <f>'Project Plan'!D95</f>
        <v>ED 1.4 Develop culture training programs</v>
      </c>
      <c r="D92" s="63" t="s">
        <v>258</v>
      </c>
      <c r="E92" s="67" t="str">
        <f>'Project Plan'!G95</f>
        <v>Bowers</v>
      </c>
      <c r="F92" s="31">
        <f>IF(AND('Project Plan'!$E95&lt;=Timeline!F$12,'Project Plan'!$F95&gt;=Timeline!F$13),$D92,0)</f>
        <v>0</v>
      </c>
      <c r="G92" s="31">
        <f>IF(AND('Project Plan'!$E95&lt;=Timeline!G$12,'Project Plan'!$F95&gt;=Timeline!G$13),$D92,0)</f>
        <v>0</v>
      </c>
      <c r="H92" s="31">
        <f>IF(AND('Project Plan'!$E94&lt;=Timeline!H$12,'Project Plan'!$F94&gt;=Timeline!H$13),$D92,0)</f>
        <v>0</v>
      </c>
      <c r="I92" s="31">
        <f>IF(AND('Project Plan'!$E94&lt;=Timeline!I$12,'Project Plan'!$F94&gt;=Timeline!I$13),$D92,0)</f>
        <v>0</v>
      </c>
      <c r="J92" s="31">
        <f>IF(AND('Project Plan'!$E94&lt;=Timeline!J$12,'Project Plan'!$F94&gt;=Timeline!J$13),$D92,0)</f>
        <v>0</v>
      </c>
      <c r="K92" s="31">
        <f>IF(AND('Project Plan'!$E94&lt;=Timeline!K$12,'Project Plan'!$F94&gt;=Timeline!K$13),$D92,0)</f>
        <v>0</v>
      </c>
      <c r="L92" s="31" t="str">
        <f>IF(AND('Project Plan'!$E94&lt;=Timeline!L$12,'Project Plan'!$F94&gt;=Timeline!L$13),$D92,0)</f>
        <v>Completed</v>
      </c>
      <c r="M92" s="31">
        <f>IF(AND('Project Plan'!$E94&lt;=Timeline!M$12,'Project Plan'!$F94&gt;=Timeline!M$13),$D92,0)</f>
        <v>0</v>
      </c>
      <c r="N92" s="31">
        <f>IF(AND('Project Plan'!$E94&lt;=Timeline!N$12,'Project Plan'!$F94&gt;=Timeline!N$13),$D92,0)</f>
        <v>0</v>
      </c>
      <c r="O92" s="31">
        <f>IF(AND('Project Plan'!$E94&lt;=Timeline!O$12,'Project Plan'!$F94&gt;=Timeline!O$13),$D92,0)</f>
        <v>0</v>
      </c>
      <c r="P92" s="31">
        <f>IF(AND('Project Plan'!$E94&lt;=Timeline!P$12,'Project Plan'!$F94&gt;=Timeline!P$13),$D92,0)</f>
        <v>0</v>
      </c>
      <c r="Q92" s="31">
        <f>IF(AND('Project Plan'!$E94&lt;=Timeline!Q$12,'Project Plan'!$F94&gt;=Timeline!Q$13),$D92,0)</f>
        <v>0</v>
      </c>
      <c r="R92" s="30"/>
    </row>
    <row r="93" spans="2:18" x14ac:dyDescent="0.25">
      <c r="B93" s="913"/>
      <c r="C93" s="63" t="str">
        <f>'Project Plan'!D96</f>
        <v>ED 1.5 Develop effective meeting and communication trainings</v>
      </c>
      <c r="D93" s="63" t="s">
        <v>258</v>
      </c>
      <c r="E93" s="67" t="str">
        <f>'Project Plan'!G96</f>
        <v>Rominger</v>
      </c>
      <c r="F93" s="31">
        <f>IF(AND('Project Plan'!$E96&lt;=Timeline!F$12,'Project Plan'!$F96&gt;=Timeline!F$13),$D93,0)</f>
        <v>0</v>
      </c>
      <c r="G93" s="31">
        <f>IF(AND('Project Plan'!$E96&lt;=Timeline!G$12,'Project Plan'!$F96&gt;=Timeline!G$13),$D93,0)</f>
        <v>0</v>
      </c>
      <c r="H93" s="31">
        <f>IF(AND('Project Plan'!$E95&lt;=Timeline!H$12,'Project Plan'!$F95&gt;=Timeline!H$13),$D93,0)</f>
        <v>0</v>
      </c>
      <c r="I93" s="31">
        <f>IF(AND('Project Plan'!$E95&lt;=Timeline!I$12,'Project Plan'!$F95&gt;=Timeline!I$13),$D93,0)</f>
        <v>0</v>
      </c>
      <c r="J93" s="31">
        <f>IF(AND('Project Plan'!$E95&lt;=Timeline!J$12,'Project Plan'!$F95&gt;=Timeline!J$13),$D93,0)</f>
        <v>0</v>
      </c>
      <c r="K93" s="31">
        <f>IF(AND('Project Plan'!$E95&lt;=Timeline!K$12,'Project Plan'!$F95&gt;=Timeline!K$13),$D93,0)</f>
        <v>0</v>
      </c>
      <c r="L93" s="31" t="str">
        <f>IF(AND('Project Plan'!$E95&lt;=Timeline!L$12,'Project Plan'!$F95&gt;=Timeline!L$13),$D93,0)</f>
        <v>Completed</v>
      </c>
      <c r="M93" s="31">
        <f>IF(AND('Project Plan'!$E95&lt;=Timeline!M$12,'Project Plan'!$F95&gt;=Timeline!M$13),$D93,0)</f>
        <v>0</v>
      </c>
      <c r="N93" s="31">
        <f>IF(AND('Project Plan'!$E95&lt;=Timeline!N$12,'Project Plan'!$F95&gt;=Timeline!N$13),$D93,0)</f>
        <v>0</v>
      </c>
      <c r="O93" s="31">
        <f>IF(AND('Project Plan'!$E95&lt;=Timeline!O$12,'Project Plan'!$F95&gt;=Timeline!O$13),$D93,0)</f>
        <v>0</v>
      </c>
      <c r="P93" s="31">
        <f>IF(AND('Project Plan'!$E95&lt;=Timeline!P$12,'Project Plan'!$F95&gt;=Timeline!P$13),$D93,0)</f>
        <v>0</v>
      </c>
      <c r="Q93" s="31">
        <f>IF(AND('Project Plan'!$E95&lt;=Timeline!Q$12,'Project Plan'!$F95&gt;=Timeline!Q$13),$D93,0)</f>
        <v>0</v>
      </c>
      <c r="R93" s="30"/>
    </row>
    <row r="94" spans="2:18" x14ac:dyDescent="0.25">
      <c r="B94" s="913"/>
      <c r="C94" s="63" t="str">
        <f>'Project Plan'!D97</f>
        <v>ED 1.6 Create a Resource Library (24 topics)</v>
      </c>
      <c r="D94" s="63" t="s">
        <v>259</v>
      </c>
      <c r="E94" s="67" t="str">
        <f>'Project Plan'!G97</f>
        <v>Bowers</v>
      </c>
      <c r="F94" s="31" t="str">
        <f>IF(AND('Project Plan'!$E97&lt;=Timeline!F$12,'Project Plan'!$F97&gt;=Timeline!F$13),$D94,0)</f>
        <v>On Track</v>
      </c>
      <c r="G94" s="31" t="str">
        <f>IF(AND('Project Plan'!$E97&lt;=Timeline!G$12,'Project Plan'!$F97&gt;=Timeline!G$13),$D94,0)</f>
        <v>On Track</v>
      </c>
      <c r="H94" s="31">
        <f>IF(AND('Project Plan'!$E96&lt;=Timeline!H$12,'Project Plan'!$F96&gt;=Timeline!H$13),$D94,0)</f>
        <v>0</v>
      </c>
      <c r="I94" s="31">
        <f>IF(AND('Project Plan'!$E96&lt;=Timeline!I$12,'Project Plan'!$F96&gt;=Timeline!I$13),$D94,0)</f>
        <v>0</v>
      </c>
      <c r="J94" s="31">
        <f>IF(AND('Project Plan'!$E96&lt;=Timeline!J$12,'Project Plan'!$F96&gt;=Timeline!J$13),$D94,0)</f>
        <v>0</v>
      </c>
      <c r="K94" s="31">
        <f>IF(AND('Project Plan'!$E96&lt;=Timeline!K$12,'Project Plan'!$F96&gt;=Timeline!K$13),$D94,0)</f>
        <v>0</v>
      </c>
      <c r="L94" s="31">
        <f>IF(AND('Project Plan'!$E96&lt;=Timeline!L$12,'Project Plan'!$F96&gt;=Timeline!L$13),$D94,0)</f>
        <v>0</v>
      </c>
      <c r="M94" s="31">
        <f>IF(AND('Project Plan'!$E96&lt;=Timeline!M$12,'Project Plan'!$F96&gt;=Timeline!M$13),$D94,0)</f>
        <v>0</v>
      </c>
      <c r="N94" s="31" t="str">
        <f>IF(AND('Project Plan'!$E96&lt;=Timeline!N$12,'Project Plan'!$F96&gt;=Timeline!N$13),$D94,0)</f>
        <v>On Track</v>
      </c>
      <c r="O94" s="31">
        <f>IF(AND('Project Plan'!$E96&lt;=Timeline!O$12,'Project Plan'!$F96&gt;=Timeline!O$13),$D94,0)</f>
        <v>0</v>
      </c>
      <c r="P94" s="31">
        <f>IF(AND('Project Plan'!$E96&lt;=Timeline!P$12,'Project Plan'!$F96&gt;=Timeline!P$13),$D94,0)</f>
        <v>0</v>
      </c>
      <c r="Q94" s="31">
        <f>IF(AND('Project Plan'!$E96&lt;=Timeline!Q$12,'Project Plan'!$F96&gt;=Timeline!Q$13),$D94,0)</f>
        <v>0</v>
      </c>
      <c r="R94" s="30"/>
    </row>
    <row r="95" spans="2:18" x14ac:dyDescent="0.25">
      <c r="B95" s="913"/>
      <c r="C95" s="63" t="str">
        <f>'Project Plan'!D98</f>
        <v>ED 1.7 Develop podcast</v>
      </c>
      <c r="D95" s="63" t="s">
        <v>259</v>
      </c>
      <c r="E95" s="67" t="str">
        <f>'Project Plan'!G98</f>
        <v>Bowers</v>
      </c>
      <c r="F95" s="31">
        <f>IF(AND('Project Plan'!$E98&lt;=Timeline!F$12,'Project Plan'!$F98&gt;=Timeline!F$13),$D95,0)</f>
        <v>0</v>
      </c>
      <c r="G95" s="31">
        <f>IF(AND('Project Plan'!$E98&lt;=Timeline!G$12,'Project Plan'!$F98&gt;=Timeline!G$13),$D95,0)</f>
        <v>0</v>
      </c>
      <c r="H95" s="31" t="str">
        <f>IF(AND('Project Plan'!$E97&lt;=Timeline!H$12,'Project Plan'!$F97&gt;=Timeline!H$13),$D95,0)</f>
        <v>On Track</v>
      </c>
      <c r="I95" s="31" t="str">
        <f>IF(AND('Project Plan'!$E97&lt;=Timeline!I$12,'Project Plan'!$F97&gt;=Timeline!I$13),$D95,0)</f>
        <v>On Track</v>
      </c>
      <c r="J95" s="31">
        <f>IF(AND('Project Plan'!$E97&lt;=Timeline!J$12,'Project Plan'!$F97&gt;=Timeline!J$13),$D95,0)</f>
        <v>0</v>
      </c>
      <c r="K95" s="31">
        <f>IF(AND('Project Plan'!$E97&lt;=Timeline!K$12,'Project Plan'!$F97&gt;=Timeline!K$13),$D95,0)</f>
        <v>0</v>
      </c>
      <c r="L95" s="31">
        <f>IF(AND('Project Plan'!$E97&lt;=Timeline!L$12,'Project Plan'!$F97&gt;=Timeline!L$13),$D95,0)</f>
        <v>0</v>
      </c>
      <c r="M95" s="31">
        <f>IF(AND('Project Plan'!$E97&lt;=Timeline!M$12,'Project Plan'!$F97&gt;=Timeline!M$13),$D95,0)</f>
        <v>0</v>
      </c>
      <c r="N95" s="31">
        <f>IF(AND('Project Plan'!$E97&lt;=Timeline!N$12,'Project Plan'!$F97&gt;=Timeline!N$13),$D95,0)</f>
        <v>0</v>
      </c>
      <c r="O95" s="31">
        <f>IF(AND('Project Plan'!$E97&lt;=Timeline!O$12,'Project Plan'!$F97&gt;=Timeline!O$13),$D95,0)</f>
        <v>0</v>
      </c>
      <c r="P95" s="31">
        <f>IF(AND('Project Plan'!$E97&lt;=Timeline!P$12,'Project Plan'!$F97&gt;=Timeline!P$13),$D95,0)</f>
        <v>0</v>
      </c>
      <c r="Q95" s="31">
        <f>IF(AND('Project Plan'!$E97&lt;=Timeline!Q$12,'Project Plan'!$F97&gt;=Timeline!Q$13),$D95,0)</f>
        <v>0</v>
      </c>
      <c r="R95" s="30"/>
    </row>
    <row r="96" spans="2:18" x14ac:dyDescent="0.25">
      <c r="B96" s="914"/>
      <c r="C96" s="63" t="str">
        <f>'Project Plan'!D99</f>
        <v>ED 1.8</v>
      </c>
      <c r="D96" s="63" t="s">
        <v>259</v>
      </c>
      <c r="E96" s="67" t="str">
        <f>'Project Plan'!G99</f>
        <v>Bowers</v>
      </c>
      <c r="F96" s="31">
        <f>IF(AND('Project Plan'!$E99&lt;=Timeline!F$12,'Project Plan'!$F99&gt;=Timeline!F$13),$D96,0)</f>
        <v>0</v>
      </c>
      <c r="G96" s="31">
        <f>IF(AND('Project Plan'!$E99&lt;=Timeline!G$12,'Project Plan'!$F99&gt;=Timeline!G$13),$D96,0)</f>
        <v>0</v>
      </c>
      <c r="H96" s="31" t="str">
        <f>IF(AND('Project Plan'!$E98&lt;=Timeline!H$12,'Project Plan'!$F98&gt;=Timeline!H$13),$D96,0)</f>
        <v>On Track</v>
      </c>
      <c r="I96" s="31" t="str">
        <f>IF(AND('Project Plan'!$E98&lt;=Timeline!I$12,'Project Plan'!$F98&gt;=Timeline!I$13),$D96,0)</f>
        <v>On Track</v>
      </c>
      <c r="J96" s="31" t="str">
        <f>IF(AND('Project Plan'!$E98&lt;=Timeline!J$12,'Project Plan'!$F98&gt;=Timeline!J$13),$D96,0)</f>
        <v>On Track</v>
      </c>
      <c r="K96" s="31" t="str">
        <f>IF(AND('Project Plan'!$E98&lt;=Timeline!K$12,'Project Plan'!$F98&gt;=Timeline!K$13),$D96,0)</f>
        <v>On Track</v>
      </c>
      <c r="L96" s="31" t="str">
        <f>IF(AND('Project Plan'!$E98&lt;=Timeline!L$12,'Project Plan'!$F98&gt;=Timeline!L$13),$D96,0)</f>
        <v>On Track</v>
      </c>
      <c r="M96" s="31">
        <f>IF(AND('Project Plan'!$E98&lt;=Timeline!M$12,'Project Plan'!$F98&gt;=Timeline!M$13),$D96,0)</f>
        <v>0</v>
      </c>
      <c r="N96" s="31">
        <f>IF(AND('Project Plan'!$E98&lt;=Timeline!N$12,'Project Plan'!$F98&gt;=Timeline!N$13),$D96,0)</f>
        <v>0</v>
      </c>
      <c r="O96" s="31">
        <f>IF(AND('Project Plan'!$E98&lt;=Timeline!O$12,'Project Plan'!$F98&gt;=Timeline!O$13),$D96,0)</f>
        <v>0</v>
      </c>
      <c r="P96" s="31">
        <f>IF(AND('Project Plan'!$E98&lt;=Timeline!P$12,'Project Plan'!$F98&gt;=Timeline!P$13),$D96,0)</f>
        <v>0</v>
      </c>
      <c r="Q96" s="31">
        <f>IF(AND('Project Plan'!$E98&lt;=Timeline!Q$12,'Project Plan'!$F98&gt;=Timeline!Q$13),$D96,0)</f>
        <v>0</v>
      </c>
      <c r="R96" s="30"/>
    </row>
    <row r="97" spans="2:18" x14ac:dyDescent="0.25">
      <c r="B97" s="30"/>
      <c r="C97" s="30"/>
      <c r="D97" s="30"/>
      <c r="E97" s="30"/>
      <c r="F97" s="30"/>
      <c r="G97" s="30"/>
      <c r="H97" s="30"/>
      <c r="I97" s="30"/>
      <c r="J97" s="30"/>
      <c r="K97" s="30"/>
      <c r="L97" s="30"/>
      <c r="M97" s="30"/>
      <c r="N97" s="30"/>
      <c r="O97" s="30"/>
      <c r="P97" s="30"/>
      <c r="Q97" s="30"/>
      <c r="R97" s="30"/>
    </row>
    <row r="98" spans="2:18" x14ac:dyDescent="0.25">
      <c r="B98" s="30"/>
      <c r="C98" s="30"/>
      <c r="D98" s="30"/>
      <c r="E98" s="30"/>
      <c r="F98" s="30"/>
      <c r="G98" s="30"/>
      <c r="H98" s="30"/>
      <c r="I98" s="30"/>
      <c r="J98" s="30"/>
      <c r="K98" s="30"/>
      <c r="L98" s="30"/>
      <c r="M98" s="30"/>
      <c r="N98" s="30"/>
      <c r="O98" s="30"/>
      <c r="P98" s="30"/>
      <c r="Q98" s="30"/>
      <c r="R98" s="30"/>
    </row>
    <row r="99" spans="2:18" s="30" customFormat="1" ht="15" customHeight="1" x14ac:dyDescent="0.3">
      <c r="B99" s="100"/>
      <c r="C99" s="100"/>
      <c r="D99" s="100"/>
      <c r="E99" s="100"/>
      <c r="F99" s="100"/>
      <c r="G99" s="100"/>
      <c r="H99" s="100"/>
      <c r="I99" s="100"/>
      <c r="J99" s="100"/>
      <c r="K99" s="110"/>
      <c r="L99" s="101"/>
      <c r="M99" s="111"/>
      <c r="N99" s="111"/>
      <c r="O99" s="111"/>
      <c r="P99" s="111"/>
      <c r="Q99" s="111"/>
    </row>
    <row r="100" spans="2:18" s="30" customFormat="1" ht="15" customHeight="1" x14ac:dyDescent="0.3">
      <c r="B100" s="100"/>
      <c r="C100" s="102"/>
      <c r="D100" s="102"/>
      <c r="E100" s="102"/>
      <c r="F100" s="102"/>
      <c r="G100" s="102"/>
      <c r="H100" s="102"/>
      <c r="I100" s="102"/>
      <c r="J100" s="102"/>
      <c r="K100" s="110"/>
      <c r="L100" s="101"/>
      <c r="M100" s="111"/>
      <c r="N100" s="111"/>
      <c r="O100" s="111"/>
      <c r="P100" s="111"/>
      <c r="Q100" s="111"/>
    </row>
    <row r="101" spans="2:18" s="30" customFormat="1" ht="15" customHeight="1" x14ac:dyDescent="0.3">
      <c r="B101" s="100"/>
      <c r="C101" s="102"/>
      <c r="D101" s="102"/>
      <c r="E101" s="102"/>
      <c r="F101" s="102"/>
      <c r="G101" s="102"/>
      <c r="H101" s="102"/>
      <c r="I101" s="102"/>
      <c r="J101" s="102"/>
      <c r="K101" s="110"/>
      <c r="L101" s="103"/>
      <c r="M101" s="111"/>
      <c r="N101" s="111"/>
      <c r="O101" s="111"/>
      <c r="P101" s="111"/>
      <c r="Q101" s="111"/>
    </row>
    <row r="102" spans="2:18" s="30" customFormat="1" ht="15" customHeight="1" x14ac:dyDescent="0.3">
      <c r="B102" s="100"/>
      <c r="C102" s="102"/>
      <c r="D102" s="102"/>
      <c r="E102" s="102"/>
      <c r="F102" s="102"/>
      <c r="G102" s="102"/>
      <c r="H102" s="102"/>
      <c r="I102" s="102"/>
      <c r="J102" s="102"/>
      <c r="K102" s="110"/>
      <c r="L102" s="103"/>
      <c r="M102" s="111"/>
      <c r="N102" s="111"/>
      <c r="O102" s="111"/>
      <c r="P102" s="111"/>
      <c r="Q102" s="111"/>
    </row>
    <row r="103" spans="2:18" s="30" customFormat="1" ht="15" customHeight="1" x14ac:dyDescent="0.25">
      <c r="B103" s="100"/>
      <c r="C103" s="899"/>
      <c r="D103" s="899"/>
      <c r="E103" s="899"/>
      <c r="F103" s="899"/>
      <c r="G103" s="899"/>
      <c r="H103" s="899"/>
      <c r="I103" s="899"/>
      <c r="J103" s="899"/>
      <c r="K103" s="899"/>
      <c r="L103" s="899"/>
      <c r="M103" s="111"/>
      <c r="N103" s="111"/>
      <c r="O103" s="111"/>
      <c r="P103" s="111"/>
      <c r="Q103" s="111"/>
    </row>
    <row r="104" spans="2:18" s="30" customFormat="1" ht="15" customHeight="1" x14ac:dyDescent="0.3">
      <c r="B104" s="100"/>
      <c r="C104" s="100"/>
      <c r="D104" s="100"/>
      <c r="E104" s="100"/>
      <c r="F104" s="100"/>
      <c r="G104" s="100"/>
      <c r="H104" s="100"/>
      <c r="I104" s="100"/>
      <c r="J104" s="100"/>
      <c r="K104" s="110"/>
      <c r="L104" s="104"/>
      <c r="M104" s="111"/>
      <c r="N104" s="111"/>
      <c r="O104" s="111"/>
      <c r="P104" s="111"/>
      <c r="Q104" s="111"/>
    </row>
    <row r="105" spans="2:18" x14ac:dyDescent="0.25">
      <c r="B105" s="30"/>
      <c r="C105" s="30"/>
      <c r="D105" s="30"/>
      <c r="E105" s="30"/>
      <c r="F105" s="30"/>
      <c r="G105" s="30"/>
      <c r="H105" s="30"/>
      <c r="I105" s="30"/>
      <c r="J105" s="30"/>
      <c r="K105" s="30"/>
      <c r="L105" s="30"/>
      <c r="M105" s="30"/>
      <c r="N105" s="30"/>
      <c r="O105" s="30"/>
      <c r="P105" s="30"/>
      <c r="Q105" s="30"/>
      <c r="R105" s="30"/>
    </row>
    <row r="106" spans="2:18" x14ac:dyDescent="0.25">
      <c r="B106" s="30"/>
      <c r="C106" s="30"/>
      <c r="D106" s="30"/>
      <c r="E106" s="30"/>
      <c r="F106" s="30"/>
      <c r="G106" s="30"/>
      <c r="H106" s="30"/>
      <c r="I106" s="30"/>
      <c r="J106" s="30"/>
      <c r="K106" s="30"/>
      <c r="L106" s="30"/>
      <c r="M106" s="30"/>
      <c r="N106" s="30"/>
      <c r="O106" s="30"/>
      <c r="P106" s="30"/>
      <c r="Q106" s="30"/>
      <c r="R106" s="30"/>
    </row>
    <row r="107" spans="2:18" x14ac:dyDescent="0.25"/>
    <row r="108" spans="2:18" x14ac:dyDescent="0.25"/>
    <row r="109" spans="2:18" x14ac:dyDescent="0.25"/>
    <row r="110" spans="2:18" x14ac:dyDescent="0.25"/>
    <row r="111" spans="2:18" x14ac:dyDescent="0.25"/>
    <row r="112" spans="2:18"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sheetData>
  <mergeCells count="11">
    <mergeCell ref="E3:Q6"/>
    <mergeCell ref="C103:L103"/>
    <mergeCell ref="B14:B22"/>
    <mergeCell ref="B23:B32"/>
    <mergeCell ref="B39:B50"/>
    <mergeCell ref="B51:B57"/>
    <mergeCell ref="B58:B70"/>
    <mergeCell ref="B71:B79"/>
    <mergeCell ref="B80:B88"/>
    <mergeCell ref="B89:B96"/>
    <mergeCell ref="B33:B38"/>
  </mergeCells>
  <conditionalFormatting sqref="F13:Q13">
    <cfRule type="notContainsBlanks" dxfId="15" priority="3">
      <formula>LEN(TRIM(F13))&gt;0</formula>
    </cfRule>
  </conditionalFormatting>
  <conditionalFormatting sqref="F14:Q96 R51:R57">
    <cfRule type="cellIs" dxfId="14" priority="1" operator="equal">
      <formula>"Delayed"</formula>
    </cfRule>
    <cfRule type="cellIs" dxfId="13" priority="2" operator="equal">
      <formula>"Completed"</formula>
    </cfRule>
    <cfRule type="cellIs" dxfId="12" priority="4" operator="equal">
      <formula>"On Track"</formula>
    </cfRule>
    <cfRule type="cellIs" dxfId="11" priority="5" operator="equal">
      <formula>0</formula>
    </cfRule>
  </conditionalFormatting>
  <dataValidations count="1">
    <dataValidation type="list" allowBlank="1" showInputMessage="1" showErrorMessage="1" sqref="D14:D96" xr:uid="{9D2AFCBE-7BEC-4710-974B-84DBF1485FA6}">
      <formula1>"On Track,Completed,Delayed"</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A41F7-A6C6-483C-B57C-B71A742AD5AE}">
  <sheetPr codeName="Sheet6">
    <pageSetUpPr fitToPage="1"/>
  </sheetPr>
  <dimension ref="A1:X67"/>
  <sheetViews>
    <sheetView showGridLines="0" topLeftCell="A6" workbookViewId="0">
      <selection activeCell="F15" sqref="F15"/>
    </sheetView>
  </sheetViews>
  <sheetFormatPr defaultColWidth="0" defaultRowHeight="13.4" customHeight="1" zeroHeight="1" x14ac:dyDescent="0.25"/>
  <cols>
    <col min="1" max="1" width="1.1796875" customWidth="1"/>
    <col min="2" max="2" width="33.453125" customWidth="1"/>
    <col min="3" max="3" width="15.81640625" customWidth="1"/>
    <col min="4" max="4" width="20.81640625" customWidth="1"/>
    <col min="5" max="5" width="15.54296875" customWidth="1"/>
    <col min="6" max="6" width="43.54296875" customWidth="1"/>
    <col min="7" max="7" width="14.1796875" customWidth="1"/>
    <col min="8" max="8" width="16.1796875" customWidth="1"/>
    <col min="9" max="9" width="2.54296875" customWidth="1"/>
    <col min="10" max="11" width="12.81640625" customWidth="1"/>
    <col min="12" max="12" width="3.81640625" customWidth="1"/>
    <col min="13" max="13" width="12.81640625" hidden="1" customWidth="1"/>
    <col min="14" max="14" width="1.81640625" hidden="1" customWidth="1"/>
    <col min="15" max="15" width="3.1796875" hidden="1" customWidth="1"/>
    <col min="16" max="16" width="1.1796875" hidden="1" customWidth="1"/>
    <col min="17" max="17" width="37" hidden="1" customWidth="1"/>
    <col min="18" max="18" width="1.1796875" hidden="1" customWidth="1"/>
    <col min="19" max="19" width="21.453125" hidden="1" customWidth="1"/>
    <col min="20" max="20" width="3.81640625" customWidth="1"/>
    <col min="21" max="21" width="8.81640625" hidden="1" customWidth="1"/>
    <col min="22" max="24" width="0" hidden="1" customWidth="1"/>
    <col min="25" max="16384" width="8.81640625" hidden="1"/>
  </cols>
  <sheetData>
    <row r="1" spans="2:19" ht="12.5" x14ac:dyDescent="0.25"/>
    <row r="2" spans="2:19" ht="12.5" x14ac:dyDescent="0.25">
      <c r="B2" s="100"/>
      <c r="C2" s="105"/>
      <c r="D2" s="112"/>
      <c r="E2" s="100"/>
      <c r="F2" s="99"/>
      <c r="G2" s="100"/>
      <c r="H2" s="36"/>
      <c r="I2" s="36"/>
    </row>
    <row r="3" spans="2:19" ht="13.4" customHeight="1" x14ac:dyDescent="0.25">
      <c r="B3" s="100"/>
      <c r="C3" s="113"/>
      <c r="D3" s="107"/>
      <c r="E3" s="107"/>
      <c r="F3" s="100"/>
      <c r="G3" s="107"/>
      <c r="H3" s="121"/>
      <c r="I3" s="121"/>
      <c r="J3" s="121"/>
      <c r="K3" s="121"/>
    </row>
    <row r="4" spans="2:19" ht="13.4" customHeight="1" x14ac:dyDescent="0.25">
      <c r="B4" s="100"/>
      <c r="C4" s="113"/>
      <c r="D4" s="910" t="s">
        <v>261</v>
      </c>
      <c r="E4" s="910"/>
      <c r="F4" s="910"/>
      <c r="G4" s="910"/>
      <c r="H4" s="121"/>
      <c r="I4" s="121"/>
      <c r="J4" s="121"/>
      <c r="K4" s="121"/>
    </row>
    <row r="5" spans="2:19" ht="13.4" customHeight="1" x14ac:dyDescent="0.25">
      <c r="B5" s="100"/>
      <c r="C5" s="113"/>
      <c r="D5" s="910"/>
      <c r="E5" s="910"/>
      <c r="F5" s="910"/>
      <c r="G5" s="910"/>
      <c r="H5" s="121"/>
      <c r="I5" s="121"/>
      <c r="J5" s="121"/>
      <c r="K5" s="121"/>
    </row>
    <row r="6" spans="2:19" ht="13.4" customHeight="1" x14ac:dyDescent="0.25">
      <c r="B6" s="100"/>
      <c r="C6" s="113"/>
      <c r="D6" s="910"/>
      <c r="E6" s="910"/>
      <c r="F6" s="910"/>
      <c r="G6" s="910"/>
      <c r="H6" s="121"/>
      <c r="I6" s="121"/>
      <c r="J6" s="121"/>
      <c r="K6" s="121"/>
    </row>
    <row r="7" spans="2:19" ht="12.5" x14ac:dyDescent="0.25">
      <c r="B7" s="100"/>
      <c r="C7" s="105"/>
      <c r="D7" s="112"/>
      <c r="E7" s="100"/>
      <c r="F7" s="99"/>
      <c r="G7" s="100"/>
      <c r="H7" s="36"/>
      <c r="I7" s="36"/>
    </row>
    <row r="8" spans="2:19" ht="13" x14ac:dyDescent="0.3">
      <c r="F8" s="28"/>
    </row>
    <row r="9" spans="2:19" ht="13" x14ac:dyDescent="0.3">
      <c r="B9" t="s">
        <v>262</v>
      </c>
      <c r="C9" t="s">
        <v>263</v>
      </c>
      <c r="D9" t="s">
        <v>230</v>
      </c>
      <c r="E9" t="s">
        <v>257</v>
      </c>
      <c r="F9" s="28" t="s">
        <v>264</v>
      </c>
    </row>
    <row r="10" spans="2:19" ht="13" x14ac:dyDescent="0.3">
      <c r="B10" t="s">
        <v>265</v>
      </c>
      <c r="C10" t="s">
        <v>53</v>
      </c>
      <c r="D10" s="119">
        <v>45382</v>
      </c>
      <c r="E10" t="s">
        <v>266</v>
      </c>
      <c r="F10" t="s">
        <v>267</v>
      </c>
      <c r="G10" s="28"/>
      <c r="H10" s="28"/>
      <c r="I10" s="28"/>
    </row>
    <row r="11" spans="2:19" ht="13" x14ac:dyDescent="0.3">
      <c r="B11" t="s">
        <v>268</v>
      </c>
      <c r="C11" t="s">
        <v>96</v>
      </c>
      <c r="D11" s="119">
        <v>45382</v>
      </c>
      <c r="E11" t="s">
        <v>259</v>
      </c>
      <c r="F11" t="s">
        <v>269</v>
      </c>
      <c r="G11" s="28"/>
      <c r="H11" s="28"/>
      <c r="I11" s="28"/>
      <c r="J11" s="28"/>
      <c r="K11" s="28"/>
      <c r="L11" s="28"/>
      <c r="M11" s="28"/>
      <c r="N11" s="28"/>
      <c r="O11" s="28"/>
      <c r="P11" s="28"/>
      <c r="Q11" s="28"/>
      <c r="R11" s="28"/>
      <c r="S11" s="28"/>
    </row>
    <row r="12" spans="2:19" ht="13" x14ac:dyDescent="0.3">
      <c r="B12" t="s">
        <v>270</v>
      </c>
      <c r="C12" t="s">
        <v>96</v>
      </c>
      <c r="D12" s="119">
        <v>45382</v>
      </c>
      <c r="E12" t="s">
        <v>259</v>
      </c>
      <c r="F12" t="s">
        <v>269</v>
      </c>
      <c r="G12" s="28"/>
      <c r="H12" s="28"/>
      <c r="I12" s="28"/>
      <c r="J12" s="28"/>
      <c r="K12" s="28"/>
      <c r="L12" s="28"/>
      <c r="M12" s="28"/>
    </row>
    <row r="13" spans="2:19" ht="25" x14ac:dyDescent="0.3">
      <c r="B13" s="178" t="s">
        <v>271</v>
      </c>
      <c r="C13" s="178" t="s">
        <v>53</v>
      </c>
      <c r="D13" s="179">
        <v>45382</v>
      </c>
      <c r="E13" s="178" t="s">
        <v>259</v>
      </c>
      <c r="F13" s="180" t="s">
        <v>272</v>
      </c>
      <c r="G13" s="28"/>
      <c r="H13" s="28"/>
      <c r="I13" s="28"/>
      <c r="J13" s="28"/>
      <c r="K13" s="28"/>
      <c r="L13" s="28"/>
      <c r="M13" s="28"/>
    </row>
    <row r="14" spans="2:19" ht="13" x14ac:dyDescent="0.3">
      <c r="B14" t="s">
        <v>273</v>
      </c>
      <c r="C14" t="s">
        <v>96</v>
      </c>
      <c r="D14" s="119">
        <v>45382</v>
      </c>
      <c r="E14" t="s">
        <v>259</v>
      </c>
      <c r="F14" t="s">
        <v>269</v>
      </c>
      <c r="G14" s="28"/>
      <c r="H14" s="28"/>
      <c r="I14" s="28"/>
      <c r="J14" s="28"/>
      <c r="K14" s="28"/>
      <c r="L14" s="28"/>
      <c r="M14" s="28"/>
    </row>
    <row r="15" spans="2:19" ht="13" x14ac:dyDescent="0.3">
      <c r="B15" t="s">
        <v>274</v>
      </c>
      <c r="C15" t="s">
        <v>151</v>
      </c>
      <c r="D15" s="119">
        <v>45382</v>
      </c>
      <c r="E15" t="s">
        <v>259</v>
      </c>
      <c r="F15" t="s">
        <v>275</v>
      </c>
      <c r="J15" s="28"/>
      <c r="K15" s="28"/>
      <c r="L15" s="28"/>
      <c r="M15" s="28"/>
    </row>
    <row r="16" spans="2:19" ht="12.5" x14ac:dyDescent="0.25">
      <c r="B16" t="s">
        <v>276</v>
      </c>
      <c r="C16" t="s">
        <v>53</v>
      </c>
      <c r="D16" s="119">
        <v>45382</v>
      </c>
      <c r="E16" t="s">
        <v>266</v>
      </c>
    </row>
    <row r="17" spans="2:6" ht="12.5" x14ac:dyDescent="0.25">
      <c r="B17" t="s">
        <v>277</v>
      </c>
      <c r="C17" t="s">
        <v>53</v>
      </c>
      <c r="D17" s="119">
        <v>45382</v>
      </c>
      <c r="E17" t="s">
        <v>259</v>
      </c>
      <c r="F17" t="s">
        <v>278</v>
      </c>
    </row>
    <row r="18" spans="2:6" ht="12.5" x14ac:dyDescent="0.25">
      <c r="B18" t="s">
        <v>279</v>
      </c>
      <c r="C18" t="s">
        <v>96</v>
      </c>
      <c r="D18" s="119">
        <v>45382</v>
      </c>
      <c r="E18" t="s">
        <v>259</v>
      </c>
      <c r="F18" t="s">
        <v>269</v>
      </c>
    </row>
    <row r="19" spans="2:6" ht="12.5" x14ac:dyDescent="0.25">
      <c r="B19" t="s">
        <v>280</v>
      </c>
      <c r="D19" s="119">
        <v>45382</v>
      </c>
      <c r="E19" t="s">
        <v>259</v>
      </c>
      <c r="F19" s="120" t="s">
        <v>281</v>
      </c>
    </row>
    <row r="20" spans="2:6" ht="12.5" x14ac:dyDescent="0.25">
      <c r="B20" t="s">
        <v>282</v>
      </c>
      <c r="C20" t="s">
        <v>53</v>
      </c>
      <c r="D20" s="119">
        <v>45382</v>
      </c>
      <c r="E20" t="s">
        <v>259</v>
      </c>
      <c r="F20" t="s">
        <v>283</v>
      </c>
    </row>
    <row r="21" spans="2:6" ht="12.5" x14ac:dyDescent="0.25">
      <c r="B21" t="s">
        <v>284</v>
      </c>
      <c r="C21" t="s">
        <v>53</v>
      </c>
      <c r="D21" s="119">
        <v>45382</v>
      </c>
      <c r="E21" t="s">
        <v>259</v>
      </c>
      <c r="F21" t="s">
        <v>285</v>
      </c>
    </row>
    <row r="22" spans="2:6" ht="12.5" x14ac:dyDescent="0.25">
      <c r="B22" t="s">
        <v>286</v>
      </c>
      <c r="C22" t="s">
        <v>96</v>
      </c>
      <c r="D22" s="119">
        <v>45382</v>
      </c>
      <c r="E22" t="s">
        <v>259</v>
      </c>
      <c r="F22" t="s">
        <v>269</v>
      </c>
    </row>
    <row r="23" spans="2:6" ht="12.5" x14ac:dyDescent="0.25">
      <c r="B23" t="s">
        <v>287</v>
      </c>
      <c r="C23" t="s">
        <v>151</v>
      </c>
      <c r="D23" s="119">
        <v>45382</v>
      </c>
      <c r="E23" t="s">
        <v>266</v>
      </c>
    </row>
    <row r="24" spans="2:6" ht="12.5" x14ac:dyDescent="0.25">
      <c r="B24" t="s">
        <v>288</v>
      </c>
      <c r="C24" t="s">
        <v>151</v>
      </c>
      <c r="D24" s="119">
        <v>45382</v>
      </c>
      <c r="E24" t="s">
        <v>266</v>
      </c>
    </row>
    <row r="25" spans="2:6" ht="12.5" x14ac:dyDescent="0.25">
      <c r="B25" t="s">
        <v>289</v>
      </c>
      <c r="C25" t="s">
        <v>151</v>
      </c>
      <c r="D25" s="119">
        <v>45382</v>
      </c>
      <c r="E25" t="s">
        <v>259</v>
      </c>
    </row>
    <row r="26" spans="2:6" ht="12.5" x14ac:dyDescent="0.25">
      <c r="B26" t="s">
        <v>290</v>
      </c>
      <c r="C26" t="s">
        <v>151</v>
      </c>
      <c r="D26" s="119">
        <v>45412</v>
      </c>
      <c r="E26" t="s">
        <v>259</v>
      </c>
      <c r="F26" t="s">
        <v>291</v>
      </c>
    </row>
    <row r="27" spans="2:6" ht="12.5" x14ac:dyDescent="0.25">
      <c r="B27" t="s">
        <v>292</v>
      </c>
      <c r="C27" t="s">
        <v>53</v>
      </c>
      <c r="D27" s="119">
        <v>45382</v>
      </c>
      <c r="E27" t="s">
        <v>266</v>
      </c>
    </row>
    <row r="28" spans="2:6" ht="12.5" x14ac:dyDescent="0.25">
      <c r="B28" t="s">
        <v>293</v>
      </c>
      <c r="C28" t="s">
        <v>96</v>
      </c>
      <c r="D28" s="119">
        <v>45382</v>
      </c>
      <c r="E28" t="s">
        <v>259</v>
      </c>
      <c r="F28" t="s">
        <v>269</v>
      </c>
    </row>
    <row r="29" spans="2:6" ht="12.5" x14ac:dyDescent="0.25">
      <c r="B29" t="s">
        <v>294</v>
      </c>
      <c r="C29" t="s">
        <v>18</v>
      </c>
      <c r="D29" s="119">
        <v>45382</v>
      </c>
      <c r="E29" t="s">
        <v>259</v>
      </c>
      <c r="F29" t="s">
        <v>295</v>
      </c>
    </row>
    <row r="30" spans="2:6" ht="12.5" x14ac:dyDescent="0.25">
      <c r="B30" t="s">
        <v>296</v>
      </c>
      <c r="C30" t="s">
        <v>96</v>
      </c>
      <c r="D30" s="119">
        <v>45382</v>
      </c>
      <c r="E30" t="s">
        <v>259</v>
      </c>
      <c r="F30" t="s">
        <v>297</v>
      </c>
    </row>
    <row r="31" spans="2:6" ht="13.4" customHeight="1" x14ac:dyDescent="0.25">
      <c r="B31" t="s">
        <v>298</v>
      </c>
      <c r="C31" t="s">
        <v>151</v>
      </c>
      <c r="D31" s="119">
        <v>45382</v>
      </c>
      <c r="E31" t="s">
        <v>266</v>
      </c>
    </row>
    <row r="32" spans="2:6" ht="13.4" customHeight="1" x14ac:dyDescent="0.25"/>
    <row r="33" ht="13.4" customHeight="1" x14ac:dyDescent="0.25"/>
    <row r="34" ht="13.4" customHeight="1" x14ac:dyDescent="0.25"/>
    <row r="35" ht="13.4" customHeight="1" x14ac:dyDescent="0.25"/>
    <row r="36" ht="13.4" customHeight="1" x14ac:dyDescent="0.25"/>
    <row r="37" ht="13.4" customHeight="1" x14ac:dyDescent="0.25"/>
    <row r="38" ht="13.4" customHeight="1" x14ac:dyDescent="0.25"/>
    <row r="39" ht="13.4" customHeight="1" x14ac:dyDescent="0.25"/>
    <row r="40" ht="13.4" customHeight="1" x14ac:dyDescent="0.25"/>
    <row r="41" ht="13.4" customHeight="1" x14ac:dyDescent="0.25"/>
    <row r="42" ht="13.4" customHeight="1" x14ac:dyDescent="0.25"/>
    <row r="43" ht="13.4" customHeight="1" x14ac:dyDescent="0.25"/>
    <row r="44" ht="13.4" customHeight="1" x14ac:dyDescent="0.25"/>
    <row r="45" ht="13.4" customHeight="1" x14ac:dyDescent="0.25"/>
    <row r="46" ht="13.4" customHeight="1" x14ac:dyDescent="0.25"/>
    <row r="47" ht="13.4" customHeight="1" x14ac:dyDescent="0.25"/>
    <row r="48" ht="13.4" customHeight="1" x14ac:dyDescent="0.25"/>
    <row r="49" ht="13.4" customHeight="1" x14ac:dyDescent="0.25"/>
    <row r="50" ht="13.4" customHeight="1" x14ac:dyDescent="0.25"/>
    <row r="51" ht="13.4" customHeight="1" x14ac:dyDescent="0.25"/>
    <row r="52" ht="13.4" customHeight="1" x14ac:dyDescent="0.25"/>
    <row r="53" ht="13.4" customHeight="1" x14ac:dyDescent="0.25"/>
    <row r="54" ht="13.4" customHeight="1" x14ac:dyDescent="0.25"/>
    <row r="55" ht="13.4" customHeight="1" x14ac:dyDescent="0.25"/>
    <row r="56" ht="13.4" customHeight="1" x14ac:dyDescent="0.25"/>
    <row r="57" ht="13.4" customHeight="1" x14ac:dyDescent="0.25"/>
    <row r="58" ht="13.4" customHeight="1" x14ac:dyDescent="0.25"/>
    <row r="59" ht="13.4" customHeight="1" x14ac:dyDescent="0.25"/>
    <row r="60" ht="13.4" customHeight="1" x14ac:dyDescent="0.25"/>
    <row r="61" ht="13.4" customHeight="1" x14ac:dyDescent="0.25"/>
    <row r="62" ht="13.4" customHeight="1" x14ac:dyDescent="0.25"/>
    <row r="63" ht="13.4" customHeight="1" x14ac:dyDescent="0.25"/>
    <row r="64" ht="13.4" customHeight="1" x14ac:dyDescent="0.25"/>
    <row r="65" ht="13.4" customHeight="1" x14ac:dyDescent="0.25"/>
    <row r="66" ht="13.4" customHeight="1" x14ac:dyDescent="0.25"/>
    <row r="67" ht="13.4" customHeight="1" x14ac:dyDescent="0.25"/>
  </sheetData>
  <mergeCells count="1">
    <mergeCell ref="D4:G6"/>
  </mergeCells>
  <dataValidations count="2">
    <dataValidation type="list" allowBlank="1" showInputMessage="1" showErrorMessage="1" sqref="C10:C31" xr:uid="{5D12BCD0-7A96-4145-8BDF-2F2DD086A7D2}">
      <formula1>INDIRECT("tbl_Responsible[Responsible]")</formula1>
    </dataValidation>
    <dataValidation type="list" allowBlank="1" showInputMessage="1" showErrorMessage="1" sqref="E10:E31" xr:uid="{B3770F73-A269-4C8B-AC11-EB5C62E560D0}">
      <formula1>"On Track,Delayed,Complete"</formula1>
    </dataValidation>
  </dataValidations>
  <pageMargins left="0.7" right="0.7" top="0.75" bottom="0.75" header="0.3" footer="0.3"/>
  <pageSetup scale="53" orientation="landscape"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F94EF-6035-4DDD-9713-2EA7A8A21413}">
  <sheetPr codeName="Sheet7">
    <pageSetUpPr fitToPage="1"/>
  </sheetPr>
  <dimension ref="A1:AB67"/>
  <sheetViews>
    <sheetView showGridLines="0" topLeftCell="D13" workbookViewId="0">
      <selection activeCell="D13" sqref="D13"/>
    </sheetView>
  </sheetViews>
  <sheetFormatPr defaultColWidth="0" defaultRowHeight="13.4" customHeight="1" zeroHeight="1" x14ac:dyDescent="0.25"/>
  <cols>
    <col min="1" max="1" width="1.1796875" customWidth="1"/>
    <col min="2" max="2" width="33.453125" customWidth="1"/>
    <col min="3" max="14" width="15.81640625" customWidth="1"/>
    <col min="15" max="15" width="12.81640625" customWidth="1"/>
    <col min="16" max="16" width="3.81640625" customWidth="1"/>
    <col min="17" max="17" width="12.81640625" hidden="1" customWidth="1"/>
    <col min="18" max="18" width="1.81640625" hidden="1" customWidth="1"/>
    <col min="19" max="19" width="3.1796875" hidden="1" customWidth="1"/>
    <col min="20" max="20" width="1.1796875" hidden="1" customWidth="1"/>
    <col min="21" max="21" width="37" hidden="1" customWidth="1"/>
    <col min="22" max="22" width="1.1796875" hidden="1" customWidth="1"/>
    <col min="23" max="23" width="21.453125" hidden="1" customWidth="1"/>
    <col min="24" max="24" width="3.81640625" customWidth="1"/>
    <col min="25" max="25" width="8.81640625" hidden="1" customWidth="1"/>
    <col min="26" max="28" width="0" hidden="1" customWidth="1"/>
    <col min="29" max="16384" width="8.81640625" hidden="1"/>
  </cols>
  <sheetData>
    <row r="1" spans="2:15" ht="12.5" x14ac:dyDescent="0.25"/>
    <row r="2" spans="2:15" ht="12.5" x14ac:dyDescent="0.25">
      <c r="B2" s="100"/>
      <c r="C2" s="105"/>
      <c r="D2" s="112"/>
      <c r="E2" s="100"/>
      <c r="F2" s="99"/>
      <c r="G2" s="100"/>
      <c r="H2" s="106"/>
      <c r="I2" s="106"/>
      <c r="J2" s="100"/>
      <c r="K2" s="100"/>
      <c r="L2" s="100"/>
      <c r="M2" s="100"/>
      <c r="N2" s="100"/>
      <c r="O2" s="100"/>
    </row>
    <row r="3" spans="2:15" ht="13.4" customHeight="1" x14ac:dyDescent="0.25">
      <c r="B3" s="100"/>
      <c r="C3" s="113"/>
      <c r="D3" s="107"/>
      <c r="E3" s="107"/>
      <c r="F3" s="100"/>
      <c r="G3" s="107"/>
      <c r="H3" s="107"/>
      <c r="I3" s="107"/>
      <c r="J3" s="107"/>
      <c r="K3" s="107"/>
      <c r="L3" s="107"/>
      <c r="M3" s="107"/>
      <c r="N3" s="107"/>
      <c r="O3" s="107"/>
    </row>
    <row r="4" spans="2:15" ht="13.4" customHeight="1" x14ac:dyDescent="0.25">
      <c r="B4" s="100"/>
      <c r="C4" s="113"/>
      <c r="D4" s="910" t="s">
        <v>299</v>
      </c>
      <c r="E4" s="910"/>
      <c r="F4" s="910"/>
      <c r="G4" s="910"/>
      <c r="H4" s="107"/>
      <c r="I4" s="107"/>
      <c r="J4" s="107"/>
      <c r="K4" s="107"/>
      <c r="L4" s="107"/>
      <c r="M4" s="107"/>
      <c r="N4" s="107"/>
      <c r="O4" s="107"/>
    </row>
    <row r="5" spans="2:15" ht="13.4" customHeight="1" x14ac:dyDescent="0.25">
      <c r="B5" s="100"/>
      <c r="C5" s="113"/>
      <c r="D5" s="910"/>
      <c r="E5" s="910"/>
      <c r="F5" s="910"/>
      <c r="G5" s="910"/>
      <c r="H5" s="107"/>
      <c r="I5" s="107"/>
      <c r="J5" s="107"/>
      <c r="K5" s="107"/>
      <c r="L5" s="107"/>
      <c r="M5" s="107"/>
      <c r="N5" s="107"/>
      <c r="O5" s="107"/>
    </row>
    <row r="6" spans="2:15" ht="13.4" customHeight="1" x14ac:dyDescent="0.25">
      <c r="B6" s="100"/>
      <c r="C6" s="113"/>
      <c r="D6" s="910"/>
      <c r="E6" s="910"/>
      <c r="F6" s="910"/>
      <c r="G6" s="910"/>
      <c r="H6" s="107"/>
      <c r="I6" s="107"/>
      <c r="J6" s="107"/>
      <c r="K6" s="107"/>
      <c r="L6" s="107"/>
      <c r="M6" s="107"/>
      <c r="N6" s="107"/>
      <c r="O6" s="107"/>
    </row>
    <row r="7" spans="2:15" ht="12.5" x14ac:dyDescent="0.25">
      <c r="B7" s="100"/>
      <c r="C7" s="105"/>
      <c r="D7" s="112"/>
      <c r="E7" s="100"/>
      <c r="F7" s="99"/>
      <c r="G7" s="100"/>
      <c r="H7" s="106"/>
      <c r="I7" s="106"/>
      <c r="J7" s="100"/>
      <c r="K7" s="100"/>
      <c r="L7" s="100"/>
      <c r="M7" s="100"/>
      <c r="N7" s="100"/>
      <c r="O7" s="100"/>
    </row>
    <row r="8" spans="2:15" ht="13" x14ac:dyDescent="0.3">
      <c r="F8" s="28"/>
    </row>
    <row r="9" spans="2:15" ht="13.4" customHeight="1" x14ac:dyDescent="0.25"/>
    <row r="10" spans="2:15" ht="13.4" customHeight="1" x14ac:dyDescent="0.25"/>
    <row r="11" spans="2:15" ht="13.4" customHeight="1" x14ac:dyDescent="0.25"/>
    <row r="12" spans="2:15" ht="13.4" customHeight="1" x14ac:dyDescent="0.25"/>
    <row r="13" spans="2:15" s="28" customFormat="1" ht="60.75" customHeight="1" x14ac:dyDescent="0.3">
      <c r="B13" s="171" t="s">
        <v>300</v>
      </c>
      <c r="C13" s="170" t="s">
        <v>301</v>
      </c>
      <c r="E13" s="170" t="s">
        <v>302</v>
      </c>
      <c r="G13" s="170" t="s">
        <v>303</v>
      </c>
      <c r="I13" s="170" t="s">
        <v>304</v>
      </c>
      <c r="K13" s="170" t="s">
        <v>305</v>
      </c>
      <c r="M13" s="170" t="s">
        <v>306</v>
      </c>
    </row>
    <row r="14" spans="2:15" ht="13.4" customHeight="1" x14ac:dyDescent="0.25"/>
    <row r="15" spans="2:15" ht="34.5" customHeight="1" x14ac:dyDescent="0.25">
      <c r="B15" s="171" t="s">
        <v>5</v>
      </c>
      <c r="C15" s="172" t="s">
        <v>307</v>
      </c>
      <c r="E15" s="173" t="s">
        <v>308</v>
      </c>
      <c r="G15" s="173" t="s">
        <v>96</v>
      </c>
      <c r="I15" s="173" t="s">
        <v>309</v>
      </c>
      <c r="K15" s="173" t="s">
        <v>99</v>
      </c>
      <c r="M15" s="173" t="s">
        <v>187</v>
      </c>
    </row>
    <row r="16" spans="2:15" ht="13.4" customHeight="1" x14ac:dyDescent="0.25"/>
    <row r="17" ht="13.4" customHeight="1" x14ac:dyDescent="0.25"/>
    <row r="18" ht="13.4" customHeight="1" x14ac:dyDescent="0.25"/>
    <row r="19" ht="13.4" customHeight="1" x14ac:dyDescent="0.25"/>
    <row r="20" ht="13.4" customHeight="1" x14ac:dyDescent="0.25"/>
    <row r="21" ht="13.4" customHeight="1" x14ac:dyDescent="0.25"/>
    <row r="22" ht="13.4" customHeight="1" x14ac:dyDescent="0.25"/>
    <row r="23" ht="13.4" customHeight="1" x14ac:dyDescent="0.25"/>
    <row r="24" ht="13.4" customHeight="1" x14ac:dyDescent="0.25"/>
    <row r="25" ht="13.4" customHeight="1" x14ac:dyDescent="0.25"/>
    <row r="26" ht="13.4" customHeight="1" x14ac:dyDescent="0.25"/>
    <row r="27" ht="13.4" customHeight="1" x14ac:dyDescent="0.25"/>
    <row r="28" ht="13.4" customHeight="1" x14ac:dyDescent="0.25"/>
    <row r="29" ht="13.4" customHeight="1" x14ac:dyDescent="0.25"/>
    <row r="30" ht="13.4" customHeight="1" x14ac:dyDescent="0.25"/>
    <row r="31" ht="13.4" customHeight="1" x14ac:dyDescent="0.25"/>
    <row r="32" ht="13.4" customHeight="1" x14ac:dyDescent="0.25"/>
    <row r="33" ht="13.4" customHeight="1" x14ac:dyDescent="0.25"/>
    <row r="34" ht="13.4" customHeight="1" x14ac:dyDescent="0.25"/>
    <row r="35" ht="13.4" customHeight="1" x14ac:dyDescent="0.25"/>
    <row r="36" ht="13.4" customHeight="1" x14ac:dyDescent="0.25"/>
    <row r="37" ht="13.4" customHeight="1" x14ac:dyDescent="0.25"/>
    <row r="38" ht="13.4" customHeight="1" x14ac:dyDescent="0.25"/>
    <row r="39" ht="13.4" customHeight="1" x14ac:dyDescent="0.25"/>
    <row r="40" ht="13.4" customHeight="1" x14ac:dyDescent="0.25"/>
    <row r="41" ht="13.4" customHeight="1" x14ac:dyDescent="0.25"/>
    <row r="42" ht="13.4" customHeight="1" x14ac:dyDescent="0.25"/>
    <row r="43" ht="13.4" customHeight="1" x14ac:dyDescent="0.25"/>
    <row r="44" ht="13.4" customHeight="1" x14ac:dyDescent="0.25"/>
    <row r="45" ht="13.4" customHeight="1" x14ac:dyDescent="0.25"/>
    <row r="46" ht="13.4" customHeight="1" x14ac:dyDescent="0.25"/>
    <row r="47" ht="13.4" customHeight="1" x14ac:dyDescent="0.25"/>
    <row r="48" ht="13.4" customHeight="1" x14ac:dyDescent="0.25"/>
    <row r="49" ht="13.4" customHeight="1" x14ac:dyDescent="0.25"/>
    <row r="50" ht="13.4" customHeight="1" x14ac:dyDescent="0.25"/>
    <row r="51" ht="13.4" customHeight="1" x14ac:dyDescent="0.25"/>
    <row r="52" ht="13.4" customHeight="1" x14ac:dyDescent="0.25"/>
    <row r="53" ht="13.4" customHeight="1" x14ac:dyDescent="0.25"/>
    <row r="54" ht="13.4" customHeight="1" x14ac:dyDescent="0.25"/>
    <row r="55" ht="13.4" customHeight="1" x14ac:dyDescent="0.25"/>
    <row r="56" ht="13.4" customHeight="1" x14ac:dyDescent="0.25"/>
    <row r="57" ht="13.4" customHeight="1" x14ac:dyDescent="0.25"/>
    <row r="58" ht="13.4" customHeight="1" x14ac:dyDescent="0.25"/>
    <row r="59" ht="13.4" customHeight="1" x14ac:dyDescent="0.25"/>
    <row r="60" ht="13.4" customHeight="1" x14ac:dyDescent="0.25"/>
    <row r="61" ht="13.4" customHeight="1" x14ac:dyDescent="0.25"/>
    <row r="62" ht="13.4" customHeight="1" x14ac:dyDescent="0.25"/>
    <row r="63" ht="13.4" customHeight="1" x14ac:dyDescent="0.25"/>
    <row r="64" ht="13.4" customHeight="1" x14ac:dyDescent="0.25"/>
    <row r="65" ht="13.4" customHeight="1" x14ac:dyDescent="0.25"/>
    <row r="66" ht="13.4" customHeight="1" x14ac:dyDescent="0.25"/>
    <row r="67" ht="13.4" customHeight="1" x14ac:dyDescent="0.25"/>
  </sheetData>
  <mergeCells count="1">
    <mergeCell ref="D4:G6"/>
  </mergeCells>
  <pageMargins left="0.7" right="0.7" top="0.75" bottom="0.75" header="0.3" footer="0.3"/>
  <pageSetup scale="53"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6AA28-5C73-4CBA-BA5B-74FA7CBEB493}">
  <sheetPr codeName="Sheet8">
    <pageSetUpPr fitToPage="1"/>
  </sheetPr>
  <dimension ref="A1:AE82"/>
  <sheetViews>
    <sheetView showGridLines="0" topLeftCell="A4" zoomScale="72" zoomScaleNormal="72" workbookViewId="0">
      <selection activeCell="B29" sqref="B29"/>
    </sheetView>
  </sheetViews>
  <sheetFormatPr defaultColWidth="0" defaultRowHeight="0" customHeight="1" zeroHeight="1" x14ac:dyDescent="0.3"/>
  <cols>
    <col min="1" max="1" width="1.1796875" style="28" customWidth="1"/>
    <col min="2" max="2" width="25.81640625" style="28" customWidth="1"/>
    <col min="3" max="3" width="35.81640625" style="28" customWidth="1"/>
    <col min="4" max="6" width="15.81640625" style="204" customWidth="1"/>
    <col min="7" max="7" width="19.1796875" style="204" bestFit="1" customWidth="1"/>
    <col min="8" max="8" width="18.453125" style="204" customWidth="1"/>
    <col min="9" max="9" width="15.81640625" style="204" customWidth="1"/>
    <col min="10" max="10" width="1.81640625" style="28" customWidth="1"/>
    <col min="11" max="11" width="25.81640625" style="28" bestFit="1" customWidth="1"/>
    <col min="12" max="12" width="14.54296875" style="204" customWidth="1"/>
    <col min="13" max="13" width="15.81640625" style="204" customWidth="1"/>
    <col min="14" max="14" width="31.453125" style="204" customWidth="1"/>
    <col min="15" max="15" width="14.81640625" style="204" customWidth="1"/>
    <col min="16" max="16" width="31" style="28" customWidth="1"/>
    <col min="17" max="17" width="16.81640625" style="28" customWidth="1"/>
    <col min="18" max="18" width="3.81640625" style="28" hidden="1" customWidth="1"/>
    <col min="19" max="19" width="12.81640625" style="28" hidden="1" customWidth="1"/>
    <col min="20" max="20" width="1.81640625" style="28" hidden="1" customWidth="1"/>
    <col min="21" max="21" width="3.1796875" style="28" hidden="1" customWidth="1"/>
    <col min="22" max="22" width="1.1796875" style="28" hidden="1" customWidth="1"/>
    <col min="23" max="23" width="37" style="28" hidden="1" customWidth="1"/>
    <col min="24" max="24" width="1.1796875" style="28" hidden="1" customWidth="1"/>
    <col min="25" max="25" width="21.453125" style="28" hidden="1" customWidth="1"/>
    <col min="26" max="26" width="3.81640625" style="28" hidden="1" customWidth="1"/>
    <col min="27" max="27" width="8.81640625" style="28" hidden="1" customWidth="1"/>
    <col min="28" max="31" width="0" style="28" hidden="1" customWidth="1"/>
    <col min="32" max="16384" width="8.81640625" style="28" hidden="1"/>
  </cols>
  <sheetData>
    <row r="1" spans="2:18" ht="13" x14ac:dyDescent="0.3"/>
    <row r="2" spans="2:18" ht="13" x14ac:dyDescent="0.3">
      <c r="B2" s="281"/>
      <c r="C2" s="282"/>
      <c r="D2" s="283"/>
      <c r="E2" s="284"/>
      <c r="F2" s="284"/>
      <c r="G2" s="284"/>
      <c r="H2" s="285"/>
      <c r="I2" s="285"/>
      <c r="J2" s="281"/>
      <c r="K2" s="281"/>
      <c r="L2" s="284"/>
      <c r="M2" s="284"/>
      <c r="N2" s="284"/>
      <c r="O2" s="284"/>
      <c r="P2" s="281"/>
      <c r="Q2" s="281"/>
    </row>
    <row r="3" spans="2:18" ht="13.4" customHeight="1" x14ac:dyDescent="0.3">
      <c r="B3" s="281"/>
      <c r="C3" s="286"/>
      <c r="D3" s="287"/>
      <c r="E3" s="287"/>
      <c r="F3" s="284"/>
      <c r="G3" s="287"/>
      <c r="H3" s="287"/>
      <c r="I3" s="287"/>
      <c r="J3" s="288"/>
      <c r="K3" s="288"/>
      <c r="L3" s="287"/>
      <c r="M3" s="287"/>
      <c r="N3" s="287"/>
      <c r="O3" s="287"/>
      <c r="P3" s="288"/>
      <c r="Q3" s="288"/>
    </row>
    <row r="4" spans="2:18" ht="13.4" customHeight="1" x14ac:dyDescent="0.3">
      <c r="B4" s="281"/>
      <c r="C4" s="286"/>
      <c r="D4" s="921" t="s">
        <v>310</v>
      </c>
      <c r="E4" s="921"/>
      <c r="F4" s="921"/>
      <c r="G4" s="921"/>
      <c r="H4" s="921"/>
      <c r="I4" s="921"/>
      <c r="J4" s="288"/>
      <c r="K4" s="288"/>
      <c r="L4" s="287"/>
      <c r="M4" s="287"/>
      <c r="N4" s="287"/>
      <c r="O4" s="287"/>
      <c r="P4" s="288"/>
      <c r="Q4" s="288"/>
    </row>
    <row r="5" spans="2:18" ht="13.4" customHeight="1" x14ac:dyDescent="0.3">
      <c r="B5" s="281"/>
      <c r="C5" s="286"/>
      <c r="D5" s="921"/>
      <c r="E5" s="921"/>
      <c r="F5" s="921"/>
      <c r="G5" s="921"/>
      <c r="H5" s="921"/>
      <c r="I5" s="921"/>
      <c r="J5" s="288"/>
      <c r="K5" s="288"/>
      <c r="L5" s="287"/>
      <c r="M5" s="287"/>
      <c r="N5" s="287"/>
      <c r="O5" s="287"/>
      <c r="P5" s="288"/>
      <c r="Q5" s="288"/>
    </row>
    <row r="6" spans="2:18" ht="13.4" customHeight="1" x14ac:dyDescent="0.3">
      <c r="B6" s="281"/>
      <c r="C6" s="286"/>
      <c r="D6" s="921"/>
      <c r="E6" s="921"/>
      <c r="F6" s="921"/>
      <c r="G6" s="921"/>
      <c r="H6" s="921"/>
      <c r="I6" s="921"/>
      <c r="J6" s="288"/>
      <c r="K6" s="288"/>
      <c r="L6" s="287"/>
      <c r="M6" s="287"/>
      <c r="N6" s="287"/>
      <c r="O6" s="287"/>
      <c r="P6" s="288"/>
      <c r="Q6" s="288"/>
    </row>
    <row r="7" spans="2:18" ht="13" x14ac:dyDescent="0.3">
      <c r="B7" s="281"/>
      <c r="C7" s="282"/>
      <c r="D7" s="283"/>
      <c r="E7" s="284"/>
      <c r="F7" s="284"/>
      <c r="G7" s="284"/>
      <c r="H7" s="285"/>
      <c r="I7" s="285"/>
      <c r="J7" s="281"/>
      <c r="K7" s="281"/>
      <c r="L7" s="284"/>
      <c r="M7" s="284"/>
      <c r="N7" s="284"/>
      <c r="O7" s="284"/>
      <c r="P7" s="281"/>
      <c r="Q7" s="281"/>
    </row>
    <row r="8" spans="2:18" ht="13" x14ac:dyDescent="0.3"/>
    <row r="9" spans="2:18" ht="13" x14ac:dyDescent="0.3">
      <c r="B9" s="289" t="s">
        <v>311</v>
      </c>
      <c r="C9" s="290">
        <v>45393</v>
      </c>
      <c r="D9" s="291">
        <f>(C9-DATE(2024,1,1))/365</f>
        <v>0.27671232876712326</v>
      </c>
    </row>
    <row r="10" spans="2:18" ht="13" x14ac:dyDescent="0.3">
      <c r="C10" s="292"/>
    </row>
    <row r="11" spans="2:18" ht="20.25" customHeight="1" x14ac:dyDescent="0.3">
      <c r="B11" s="923" t="s">
        <v>312</v>
      </c>
      <c r="C11" s="923"/>
      <c r="D11" s="923"/>
      <c r="E11" s="923"/>
      <c r="F11" s="923"/>
      <c r="G11" s="923"/>
      <c r="H11" s="923"/>
      <c r="I11" s="923"/>
      <c r="J11" s="293"/>
      <c r="K11" s="919" t="s">
        <v>313</v>
      </c>
      <c r="L11" s="919"/>
      <c r="M11" s="920"/>
      <c r="N11" s="919" t="s">
        <v>314</v>
      </c>
      <c r="O11" s="919"/>
      <c r="P11" s="919"/>
      <c r="Q11" s="294"/>
      <c r="R11" s="294"/>
    </row>
    <row r="12" spans="2:18" ht="13.4" customHeight="1" x14ac:dyDescent="0.3">
      <c r="M12" s="204" t="s">
        <v>315</v>
      </c>
      <c r="N12" s="28"/>
      <c r="P12" s="204" t="s">
        <v>315</v>
      </c>
      <c r="Q12" s="204"/>
      <c r="R12" s="204" t="s">
        <v>315</v>
      </c>
    </row>
    <row r="13" spans="2:18" ht="13.4" customHeight="1" x14ac:dyDescent="0.3">
      <c r="B13" s="922" t="s">
        <v>316</v>
      </c>
      <c r="C13" s="295" t="s">
        <v>317</v>
      </c>
      <c r="D13" s="296" t="s">
        <v>318</v>
      </c>
      <c r="E13" s="296" t="s">
        <v>319</v>
      </c>
      <c r="F13" s="296" t="s">
        <v>320</v>
      </c>
      <c r="G13" s="296" t="s">
        <v>321</v>
      </c>
      <c r="H13" s="296" t="s">
        <v>322</v>
      </c>
      <c r="I13" s="296" t="s">
        <v>323</v>
      </c>
      <c r="K13" s="296" t="s">
        <v>324</v>
      </c>
      <c r="L13" s="296" t="s">
        <v>325</v>
      </c>
      <c r="M13" s="296" t="s">
        <v>318</v>
      </c>
      <c r="N13" s="296" t="s">
        <v>326</v>
      </c>
      <c r="O13" s="296" t="s">
        <v>325</v>
      </c>
      <c r="P13" s="419" t="s">
        <v>318</v>
      </c>
      <c r="Q13" s="417"/>
      <c r="R13" s="421" t="s">
        <v>318</v>
      </c>
    </row>
    <row r="14" spans="2:18" ht="13.4" customHeight="1" x14ac:dyDescent="0.3">
      <c r="B14" s="923"/>
      <c r="C14" s="297" t="s">
        <v>327</v>
      </c>
      <c r="D14" s="298">
        <v>0.2</v>
      </c>
      <c r="E14" s="299">
        <f>(140+5)*12</f>
        <v>1740</v>
      </c>
      <c r="F14" s="299">
        <v>0</v>
      </c>
      <c r="G14" s="300">
        <v>200</v>
      </c>
      <c r="H14" s="301" t="str">
        <f>IF(G14&gt;$D$9*E14,"On Track","Behind")</f>
        <v>Behind</v>
      </c>
      <c r="I14" s="302">
        <f>F14/E14</f>
        <v>0</v>
      </c>
      <c r="K14" s="303" t="s">
        <v>328</v>
      </c>
      <c r="L14" s="301">
        <v>5</v>
      </c>
      <c r="M14" s="304">
        <v>0.2</v>
      </c>
      <c r="N14" s="303" t="s">
        <v>329</v>
      </c>
      <c r="O14" s="301">
        <v>5</v>
      </c>
      <c r="P14" s="304">
        <v>0.4</v>
      </c>
      <c r="Q14" s="204"/>
      <c r="R14" s="304">
        <v>0.1</v>
      </c>
    </row>
    <row r="15" spans="2:18" ht="13.4" customHeight="1" x14ac:dyDescent="0.3">
      <c r="B15" s="923"/>
      <c r="C15" s="305" t="s">
        <v>330</v>
      </c>
      <c r="D15" s="306">
        <v>0.35</v>
      </c>
      <c r="E15" s="307">
        <v>6020</v>
      </c>
      <c r="F15" s="307">
        <v>0</v>
      </c>
      <c r="G15" s="308">
        <v>4000</v>
      </c>
      <c r="H15" s="424" t="str">
        <f>IF(G15&gt;$D$9*E15,"On Track","Behind")</f>
        <v>On Track</v>
      </c>
      <c r="I15" s="310">
        <f>F15/E15</f>
        <v>0</v>
      </c>
      <c r="K15" s="311" t="s">
        <v>331</v>
      </c>
      <c r="L15" s="301">
        <v>5</v>
      </c>
      <c r="M15" s="310">
        <v>0.2</v>
      </c>
      <c r="N15" s="311" t="s">
        <v>332</v>
      </c>
      <c r="O15" s="309">
        <v>5</v>
      </c>
      <c r="P15" s="310">
        <v>0.2</v>
      </c>
      <c r="Q15" s="204"/>
      <c r="R15" s="310">
        <v>0.15</v>
      </c>
    </row>
    <row r="16" spans="2:18" ht="13.4" customHeight="1" x14ac:dyDescent="0.3">
      <c r="B16" s="923"/>
      <c r="C16" s="305" t="s">
        <v>313</v>
      </c>
      <c r="D16" s="306">
        <v>0.1</v>
      </c>
      <c r="E16" s="312">
        <v>5</v>
      </c>
      <c r="F16" s="312">
        <f>M20</f>
        <v>5</v>
      </c>
      <c r="G16" s="368"/>
      <c r="H16" s="423"/>
      <c r="I16" s="310">
        <f>F16/E16</f>
        <v>1</v>
      </c>
      <c r="K16" s="311" t="s">
        <v>333</v>
      </c>
      <c r="L16" s="301">
        <v>5</v>
      </c>
      <c r="M16" s="310">
        <v>0.2</v>
      </c>
      <c r="N16" s="311" t="s">
        <v>334</v>
      </c>
      <c r="O16" s="309">
        <v>5</v>
      </c>
      <c r="P16" s="310">
        <v>0.4</v>
      </c>
      <c r="Q16" s="204"/>
      <c r="R16" s="310">
        <v>0.3</v>
      </c>
    </row>
    <row r="17" spans="2:18" ht="13.4" customHeight="1" x14ac:dyDescent="0.3">
      <c r="C17" s="330" t="s">
        <v>335</v>
      </c>
      <c r="D17" s="310">
        <v>0.35</v>
      </c>
      <c r="E17" s="312">
        <v>5</v>
      </c>
      <c r="F17" s="312">
        <f>P20</f>
        <v>5</v>
      </c>
      <c r="G17" s="368"/>
      <c r="H17" s="425"/>
      <c r="I17" s="310">
        <f>F17/E17</f>
        <v>1</v>
      </c>
      <c r="K17" s="311" t="s">
        <v>336</v>
      </c>
      <c r="L17" s="301">
        <v>5</v>
      </c>
      <c r="M17" s="310">
        <v>0.2</v>
      </c>
      <c r="N17" s="311"/>
      <c r="O17" s="309"/>
      <c r="P17" s="310"/>
      <c r="Q17" s="204"/>
      <c r="R17" s="310">
        <v>0.25</v>
      </c>
    </row>
    <row r="18" spans="2:18" ht="13.4" customHeight="1" x14ac:dyDescent="0.3">
      <c r="G18" s="315" t="s">
        <v>337</v>
      </c>
      <c r="H18" s="316">
        <f>SUMPRODUCT(D14:D17,I14:I17)</f>
        <v>0.44999999999999996</v>
      </c>
      <c r="I18" s="317"/>
      <c r="K18" s="311" t="s">
        <v>338</v>
      </c>
      <c r="L18" s="301">
        <v>5</v>
      </c>
      <c r="M18" s="310">
        <v>0.2</v>
      </c>
      <c r="N18" s="311"/>
      <c r="O18" s="309"/>
      <c r="P18" s="310"/>
      <c r="Q18" s="204"/>
      <c r="R18" s="310">
        <v>0.1</v>
      </c>
    </row>
    <row r="19" spans="2:18" ht="13.4" customHeight="1" x14ac:dyDescent="0.3">
      <c r="G19" s="318" t="s">
        <v>339</v>
      </c>
      <c r="H19" s="319">
        <v>7500</v>
      </c>
      <c r="I19" s="320"/>
      <c r="K19" s="311"/>
      <c r="L19" s="309"/>
      <c r="M19" s="310"/>
      <c r="N19" s="311"/>
      <c r="O19" s="309"/>
      <c r="P19" s="310"/>
      <c r="Q19" s="204"/>
      <c r="R19" s="310">
        <v>0.1</v>
      </c>
    </row>
    <row r="20" spans="2:18" ht="13.4" customHeight="1" x14ac:dyDescent="0.3">
      <c r="G20" s="318" t="s">
        <v>340</v>
      </c>
      <c r="H20" s="319">
        <f>MIN(H18*H19,H19)</f>
        <v>3374.9999999999995</v>
      </c>
      <c r="I20" s="321"/>
      <c r="L20" s="315" t="s">
        <v>341</v>
      </c>
      <c r="M20" s="322">
        <f>SUMPRODUCT(L14:L19,M14:M19)</f>
        <v>5</v>
      </c>
      <c r="N20" s="28"/>
      <c r="O20" s="315" t="s">
        <v>341</v>
      </c>
      <c r="P20" s="420">
        <f>SUMPRODUCT(O14:O19,P14:P19)</f>
        <v>5</v>
      </c>
      <c r="Q20" s="418"/>
      <c r="R20" s="422">
        <f>SUMPRODUCT(Q14:Q19,R14:R19)</f>
        <v>0</v>
      </c>
    </row>
    <row r="21" spans="2:18" s="328" customFormat="1" ht="13.4" customHeight="1" x14ac:dyDescent="0.3">
      <c r="B21" s="323"/>
      <c r="C21" s="323"/>
      <c r="D21" s="324"/>
      <c r="E21" s="324"/>
      <c r="F21" s="324"/>
      <c r="G21" s="324"/>
      <c r="H21" s="325"/>
      <c r="I21" s="324"/>
      <c r="J21" s="326"/>
      <c r="K21" s="326"/>
      <c r="L21" s="327"/>
      <c r="M21" s="327"/>
      <c r="N21" s="326"/>
      <c r="O21" s="327"/>
      <c r="P21" s="327"/>
      <c r="Q21" s="324"/>
      <c r="R21" s="327"/>
    </row>
    <row r="22" spans="2:18" ht="13.4" customHeight="1" x14ac:dyDescent="0.3">
      <c r="N22" s="28"/>
      <c r="P22" s="204"/>
      <c r="Q22" s="204"/>
      <c r="R22" s="204"/>
    </row>
    <row r="23" spans="2:18" ht="13.4" customHeight="1" x14ac:dyDescent="0.3">
      <c r="B23" s="922" t="s">
        <v>342</v>
      </c>
      <c r="C23" s="296" t="str">
        <f t="shared" ref="C23:I23" si="0">C13</f>
        <v>Goals</v>
      </c>
      <c r="D23" s="296" t="str">
        <f t="shared" si="0"/>
        <v>Weight</v>
      </c>
      <c r="E23" s="296" t="str">
        <f t="shared" si="0"/>
        <v>EOY Goal</v>
      </c>
      <c r="F23" s="296" t="str">
        <f t="shared" si="0"/>
        <v>EOY Actuals</v>
      </c>
      <c r="G23" s="296" t="str">
        <f t="shared" si="0"/>
        <v>YTD actuals</v>
      </c>
      <c r="H23" s="296" t="str">
        <f t="shared" si="0"/>
        <v>On Track?</v>
      </c>
      <c r="I23" s="296" t="str">
        <f t="shared" si="0"/>
        <v>% EOY Attained</v>
      </c>
      <c r="K23" s="296" t="str">
        <f t="shared" ref="K23:P23" si="1">K13</f>
        <v>Skills</v>
      </c>
      <c r="L23" s="296" t="str">
        <f t="shared" si="1"/>
        <v>Score</v>
      </c>
      <c r="M23" s="296" t="str">
        <f t="shared" si="1"/>
        <v>Weight</v>
      </c>
      <c r="N23" s="296" t="str">
        <f t="shared" si="1"/>
        <v>Output</v>
      </c>
      <c r="O23" s="296" t="str">
        <f t="shared" si="1"/>
        <v>Score</v>
      </c>
      <c r="P23" s="419" t="str">
        <f t="shared" si="1"/>
        <v>Weight</v>
      </c>
      <c r="Q23" s="417"/>
      <c r="R23" s="421" t="str">
        <f>R13</f>
        <v>Weight</v>
      </c>
    </row>
    <row r="24" spans="2:18" ht="13.4" customHeight="1" x14ac:dyDescent="0.3">
      <c r="B24" s="922"/>
      <c r="C24" s="329" t="s">
        <v>343</v>
      </c>
      <c r="D24" s="304">
        <v>0.2</v>
      </c>
      <c r="E24" s="299">
        <f>(140+5)*12</f>
        <v>1740</v>
      </c>
      <c r="F24" s="299">
        <v>1700</v>
      </c>
      <c r="G24" s="300">
        <v>100</v>
      </c>
      <c r="H24" s="301" t="str">
        <f>IF(G24&gt;$D$9*E24,"On Track","Behind")</f>
        <v>Behind</v>
      </c>
      <c r="I24" s="304">
        <f>F24/E24</f>
        <v>0.97701149425287359</v>
      </c>
      <c r="K24" s="303" t="s">
        <v>328</v>
      </c>
      <c r="L24" s="301">
        <v>5</v>
      </c>
      <c r="M24" s="304">
        <v>0.2</v>
      </c>
      <c r="N24" s="303" t="s">
        <v>344</v>
      </c>
      <c r="O24" s="301">
        <v>1</v>
      </c>
      <c r="P24" s="304">
        <v>0.3</v>
      </c>
      <c r="Q24" s="204"/>
      <c r="R24" s="304">
        <v>0.1</v>
      </c>
    </row>
    <row r="25" spans="2:18" ht="13.4" customHeight="1" x14ac:dyDescent="0.3">
      <c r="B25" s="922"/>
      <c r="C25" s="330" t="s">
        <v>330</v>
      </c>
      <c r="D25" s="310">
        <v>0.35</v>
      </c>
      <c r="E25" s="307">
        <f>4800*12</f>
        <v>57600</v>
      </c>
      <c r="F25" s="307">
        <v>0</v>
      </c>
      <c r="G25" s="308">
        <v>5000</v>
      </c>
      <c r="H25" s="309" t="str">
        <f>IF(G25&gt;$D$9*E25,"On Track","Behind")</f>
        <v>Behind</v>
      </c>
      <c r="I25" s="310">
        <f>F25/E25</f>
        <v>0</v>
      </c>
      <c r="K25" s="311" t="s">
        <v>331</v>
      </c>
      <c r="L25" s="301">
        <v>5</v>
      </c>
      <c r="M25" s="310">
        <v>0.2</v>
      </c>
      <c r="N25" s="311" t="str">
        <f t="shared" ref="N25" si="2">N15</f>
        <v>Coord meets established guidelines</v>
      </c>
      <c r="O25" s="309">
        <v>1</v>
      </c>
      <c r="P25" s="310">
        <v>0.15</v>
      </c>
      <c r="Q25" s="204"/>
      <c r="R25" s="310">
        <v>0.15</v>
      </c>
    </row>
    <row r="26" spans="2:18" ht="13.4" customHeight="1" x14ac:dyDescent="0.3">
      <c r="B26" s="922"/>
      <c r="C26" s="330" t="s">
        <v>335</v>
      </c>
      <c r="D26" s="310">
        <v>0.35</v>
      </c>
      <c r="E26" s="312">
        <v>5</v>
      </c>
      <c r="F26" s="312">
        <f>P30</f>
        <v>1.8499999999999999</v>
      </c>
      <c r="G26" s="313"/>
      <c r="H26" s="314"/>
      <c r="I26" s="310">
        <f>F26/E26</f>
        <v>0.37</v>
      </c>
      <c r="K26" s="311" t="s">
        <v>333</v>
      </c>
      <c r="L26" s="301">
        <v>5</v>
      </c>
      <c r="M26" s="310">
        <v>0.2</v>
      </c>
      <c r="N26" s="311" t="s">
        <v>334</v>
      </c>
      <c r="O26" s="309">
        <v>2</v>
      </c>
      <c r="P26" s="310">
        <v>0.25</v>
      </c>
      <c r="Q26" s="204"/>
      <c r="R26" s="310">
        <v>0.3</v>
      </c>
    </row>
    <row r="27" spans="2:18" ht="13.4" customHeight="1" x14ac:dyDescent="0.3">
      <c r="B27" s="922"/>
      <c r="C27" s="330" t="s">
        <v>313</v>
      </c>
      <c r="D27" s="306">
        <v>0.1</v>
      </c>
      <c r="E27" s="312">
        <v>5</v>
      </c>
      <c r="F27" s="312">
        <f>M30</f>
        <v>5</v>
      </c>
      <c r="G27" s="313"/>
      <c r="H27" s="314"/>
      <c r="I27" s="310">
        <f>F27/E27</f>
        <v>1</v>
      </c>
      <c r="K27" s="311" t="s">
        <v>336</v>
      </c>
      <c r="L27" s="301">
        <v>5</v>
      </c>
      <c r="M27" s="310">
        <v>0.2</v>
      </c>
      <c r="N27" s="311" t="s">
        <v>345</v>
      </c>
      <c r="O27" s="309">
        <v>3</v>
      </c>
      <c r="P27" s="310">
        <v>0.3</v>
      </c>
      <c r="Q27" s="204"/>
      <c r="R27" s="310">
        <v>0.25</v>
      </c>
    </row>
    <row r="28" spans="2:18" ht="13.4" customHeight="1" x14ac:dyDescent="0.3">
      <c r="B28" s="922"/>
      <c r="C28" s="331"/>
      <c r="D28" s="332"/>
      <c r="I28" s="332"/>
      <c r="K28" s="311" t="s">
        <v>338</v>
      </c>
      <c r="L28" s="301">
        <v>5</v>
      </c>
      <c r="M28" s="310">
        <v>0.2</v>
      </c>
      <c r="N28" s="311"/>
      <c r="O28" s="309"/>
      <c r="P28" s="310"/>
      <c r="Q28" s="204"/>
      <c r="R28" s="310">
        <v>0.1</v>
      </c>
    </row>
    <row r="29" spans="2:18" ht="13.4" customHeight="1" x14ac:dyDescent="0.3">
      <c r="G29" s="315" t="s">
        <v>337</v>
      </c>
      <c r="H29" s="316">
        <f>SUMPRODUCT(D24:D27,I24:I27)</f>
        <v>0.42490229885057473</v>
      </c>
      <c r="K29" s="311"/>
      <c r="L29" s="309"/>
      <c r="M29" s="310"/>
      <c r="N29" s="311"/>
      <c r="O29" s="309"/>
      <c r="P29" s="310"/>
      <c r="Q29" s="204"/>
      <c r="R29" s="310"/>
    </row>
    <row r="30" spans="2:18" ht="13.4" customHeight="1" x14ac:dyDescent="0.3">
      <c r="G30" s="318" t="s">
        <v>339</v>
      </c>
      <c r="H30" s="319">
        <v>7500</v>
      </c>
      <c r="I30" s="320"/>
      <c r="L30" s="315" t="s">
        <v>341</v>
      </c>
      <c r="M30" s="322">
        <f>SUMPRODUCT(L24:L29,M24:M29)</f>
        <v>5</v>
      </c>
      <c r="N30" s="28"/>
      <c r="O30" s="315" t="s">
        <v>341</v>
      </c>
      <c r="P30" s="420">
        <f>SUMPRODUCT(O24:O29,P24:P29)</f>
        <v>1.8499999999999999</v>
      </c>
      <c r="Q30" s="418"/>
      <c r="R30" s="422">
        <f>SUMPRODUCT(Q24:Q29,R24:R29)</f>
        <v>0</v>
      </c>
    </row>
    <row r="31" spans="2:18" ht="13.4" customHeight="1" x14ac:dyDescent="0.3">
      <c r="G31" s="318" t="s">
        <v>340</v>
      </c>
      <c r="H31" s="319">
        <f>MIN(H29*H30,H30)</f>
        <v>3186.7672413793107</v>
      </c>
      <c r="M31" s="332"/>
      <c r="N31" s="28"/>
      <c r="P31" s="332"/>
      <c r="Q31" s="204"/>
      <c r="R31" s="332"/>
    </row>
    <row r="32" spans="2:18" ht="13.4" customHeight="1" x14ac:dyDescent="0.3">
      <c r="B32" s="412"/>
      <c r="C32" s="412"/>
      <c r="D32" s="413"/>
      <c r="E32" s="413"/>
      <c r="F32" s="413"/>
      <c r="G32" s="414"/>
      <c r="H32" s="415"/>
      <c r="I32" s="413"/>
      <c r="J32" s="412"/>
      <c r="K32" s="412"/>
      <c r="L32" s="413"/>
      <c r="M32" s="416"/>
      <c r="N32" s="412"/>
      <c r="O32" s="413"/>
      <c r="P32" s="416"/>
      <c r="Q32" s="413"/>
      <c r="R32" s="332"/>
    </row>
    <row r="33" spans="2:18" ht="13.4" customHeight="1" x14ac:dyDescent="0.3">
      <c r="G33" s="410"/>
      <c r="H33" s="411"/>
      <c r="M33" s="332"/>
      <c r="N33" s="28"/>
      <c r="P33" s="332"/>
      <c r="Q33" s="204"/>
      <c r="R33" s="332"/>
    </row>
    <row r="34" spans="2:18" ht="13.4" customHeight="1" x14ac:dyDescent="0.3">
      <c r="B34" s="922" t="s">
        <v>346</v>
      </c>
      <c r="C34" s="295" t="s">
        <v>317</v>
      </c>
      <c r="D34" s="296" t="s">
        <v>318</v>
      </c>
      <c r="E34" s="296" t="s">
        <v>319</v>
      </c>
      <c r="F34" s="296" t="s">
        <v>320</v>
      </c>
      <c r="G34" s="296" t="s">
        <v>321</v>
      </c>
      <c r="H34" s="296" t="s">
        <v>322</v>
      </c>
      <c r="I34" s="296" t="s">
        <v>323</v>
      </c>
      <c r="K34" s="296" t="s">
        <v>347</v>
      </c>
      <c r="L34" s="296" t="s">
        <v>325</v>
      </c>
      <c r="M34" s="296" t="s">
        <v>318</v>
      </c>
      <c r="N34" s="296" t="str">
        <f>N23</f>
        <v>Output</v>
      </c>
      <c r="O34" s="296" t="str">
        <f t="shared" ref="O34:P34" si="3">O23</f>
        <v>Score</v>
      </c>
      <c r="P34" s="296" t="str">
        <f t="shared" si="3"/>
        <v>Weight</v>
      </c>
    </row>
    <row r="35" spans="2:18" ht="13.4" customHeight="1" x14ac:dyDescent="0.3">
      <c r="B35" s="923"/>
      <c r="C35" s="297" t="s">
        <v>327</v>
      </c>
      <c r="D35" s="298">
        <v>0.2</v>
      </c>
      <c r="E35" s="299">
        <v>1740</v>
      </c>
      <c r="F35" s="299">
        <v>3000</v>
      </c>
      <c r="G35" s="300">
        <v>300</v>
      </c>
      <c r="H35" s="301" t="str">
        <f>IF(G35&gt;$D$9*E35,"On Track","Behind")</f>
        <v>Behind</v>
      </c>
      <c r="I35" s="302">
        <f>F35/E35</f>
        <v>1.7241379310344827</v>
      </c>
      <c r="K35" s="303" t="s">
        <v>328</v>
      </c>
      <c r="L35" s="301">
        <v>5</v>
      </c>
      <c r="M35" s="304">
        <v>0.2</v>
      </c>
      <c r="N35" s="303" t="s">
        <v>344</v>
      </c>
      <c r="O35" s="301">
        <v>5</v>
      </c>
      <c r="P35" s="304">
        <v>0.5</v>
      </c>
    </row>
    <row r="36" spans="2:18" ht="13.4" customHeight="1" x14ac:dyDescent="0.3">
      <c r="B36" s="923"/>
      <c r="C36" s="305" t="s">
        <v>348</v>
      </c>
      <c r="D36" s="306">
        <v>0.35</v>
      </c>
      <c r="E36" s="307">
        <f>E45/3</f>
        <v>19200</v>
      </c>
      <c r="F36" s="307">
        <v>20000</v>
      </c>
      <c r="G36" s="308">
        <v>100</v>
      </c>
      <c r="H36" s="424" t="str">
        <f>IF(G36&gt;$D$9*E36,"On Track","Behind")</f>
        <v>Behind</v>
      </c>
      <c r="I36" s="310">
        <f>F36/E36</f>
        <v>1.0416666666666667</v>
      </c>
      <c r="K36" s="311" t="s">
        <v>331</v>
      </c>
      <c r="L36" s="301">
        <v>5</v>
      </c>
      <c r="M36" s="310">
        <v>0.2</v>
      </c>
      <c r="N36" s="311" t="s">
        <v>349</v>
      </c>
      <c r="O36" s="309">
        <v>5</v>
      </c>
      <c r="P36" s="310">
        <v>0.5</v>
      </c>
    </row>
    <row r="37" spans="2:18" ht="13.4" customHeight="1" x14ac:dyDescent="0.3">
      <c r="B37" s="923"/>
      <c r="C37" s="305" t="s">
        <v>313</v>
      </c>
      <c r="D37" s="306">
        <v>0.1</v>
      </c>
      <c r="E37" s="312">
        <v>5</v>
      </c>
      <c r="F37" s="312">
        <f>M41</f>
        <v>5</v>
      </c>
      <c r="G37" s="368"/>
      <c r="H37" s="423"/>
      <c r="I37" s="310">
        <f>F37/E37</f>
        <v>1</v>
      </c>
      <c r="K37" s="311" t="s">
        <v>333</v>
      </c>
      <c r="L37" s="301">
        <v>5</v>
      </c>
      <c r="M37" s="310">
        <v>0.2</v>
      </c>
      <c r="N37" s="311"/>
      <c r="O37" s="309"/>
      <c r="P37" s="310"/>
    </row>
    <row r="38" spans="2:18" ht="13.4" customHeight="1" x14ac:dyDescent="0.3">
      <c r="C38" s="330" t="s">
        <v>335</v>
      </c>
      <c r="D38" s="310">
        <v>0.35</v>
      </c>
      <c r="E38" s="307">
        <v>5</v>
      </c>
      <c r="F38" s="312">
        <f>P41</f>
        <v>5</v>
      </c>
      <c r="G38" s="368"/>
      <c r="H38" s="425"/>
      <c r="I38" s="310">
        <f>F38/E38</f>
        <v>1</v>
      </c>
      <c r="K38" s="311" t="s">
        <v>336</v>
      </c>
      <c r="L38" s="301">
        <v>5</v>
      </c>
      <c r="M38" s="310">
        <v>0.2</v>
      </c>
      <c r="N38" s="311"/>
      <c r="O38" s="309"/>
      <c r="P38" s="310"/>
    </row>
    <row r="39" spans="2:18" ht="13.4" customHeight="1" x14ac:dyDescent="0.3">
      <c r="G39" s="315" t="s">
        <v>337</v>
      </c>
      <c r="H39" s="316">
        <f>SUMPRODUCT(D35:D38,I35:I38)</f>
        <v>1.1594109195402298</v>
      </c>
      <c r="I39" s="317"/>
      <c r="K39" s="311" t="s">
        <v>338</v>
      </c>
      <c r="L39" s="301">
        <v>5</v>
      </c>
      <c r="M39" s="310">
        <v>0.2</v>
      </c>
      <c r="N39" s="311"/>
      <c r="O39" s="309"/>
      <c r="P39" s="310"/>
    </row>
    <row r="40" spans="2:18" ht="13.4" customHeight="1" x14ac:dyDescent="0.3">
      <c r="G40" s="318" t="s">
        <v>339</v>
      </c>
      <c r="H40" s="319">
        <v>3000</v>
      </c>
      <c r="I40" s="320"/>
      <c r="N40" s="311"/>
      <c r="O40" s="309"/>
      <c r="P40" s="310"/>
    </row>
    <row r="41" spans="2:18" ht="13.4" customHeight="1" x14ac:dyDescent="0.3">
      <c r="G41" s="318" t="s">
        <v>340</v>
      </c>
      <c r="H41" s="319">
        <f>MIN(H39*H40,H40)</f>
        <v>3000</v>
      </c>
      <c r="I41" s="321"/>
      <c r="L41" s="315" t="s">
        <v>341</v>
      </c>
      <c r="M41" s="322">
        <f>SUMPRODUCT(L35:L39,M35:M39)</f>
        <v>5</v>
      </c>
      <c r="N41" s="28"/>
      <c r="O41" s="315" t="s">
        <v>341</v>
      </c>
      <c r="P41" s="420">
        <f>SUMPRODUCT(O35:O40,P35:P40)</f>
        <v>5</v>
      </c>
    </row>
    <row r="42" spans="2:18" ht="13.4" customHeight="1" x14ac:dyDescent="0.3">
      <c r="B42" s="323"/>
      <c r="C42" s="323"/>
      <c r="D42" s="324"/>
      <c r="E42" s="324"/>
      <c r="F42" s="324"/>
      <c r="G42" s="324"/>
      <c r="H42" s="324"/>
      <c r="I42" s="324"/>
      <c r="J42" s="323"/>
      <c r="K42" s="323"/>
      <c r="L42" s="324"/>
      <c r="M42" s="324"/>
      <c r="N42" s="323"/>
      <c r="O42" s="324"/>
      <c r="P42" s="324"/>
      <c r="Q42" s="324"/>
      <c r="R42" s="324"/>
    </row>
    <row r="43" spans="2:18" ht="13.4" customHeight="1" x14ac:dyDescent="0.3">
      <c r="N43" s="28"/>
      <c r="P43" s="204"/>
      <c r="Q43" s="204"/>
      <c r="R43" s="204"/>
    </row>
    <row r="44" spans="2:18" ht="13.4" customHeight="1" x14ac:dyDescent="0.3">
      <c r="B44" s="922" t="s">
        <v>350</v>
      </c>
      <c r="C44" s="296" t="str">
        <f>C23</f>
        <v>Goals</v>
      </c>
      <c r="D44" s="296" t="str">
        <f t="shared" ref="D44:I44" si="4">D23</f>
        <v>Weight</v>
      </c>
      <c r="E44" s="296" t="str">
        <f t="shared" si="4"/>
        <v>EOY Goal</v>
      </c>
      <c r="F44" s="296" t="str">
        <f t="shared" si="4"/>
        <v>EOY Actuals</v>
      </c>
      <c r="G44" s="296" t="str">
        <f t="shared" si="4"/>
        <v>YTD actuals</v>
      </c>
      <c r="H44" s="296" t="str">
        <f t="shared" si="4"/>
        <v>On Track?</v>
      </c>
      <c r="I44" s="296" t="str">
        <f t="shared" si="4"/>
        <v>% EOY Attained</v>
      </c>
      <c r="K44" s="296" t="str">
        <f t="shared" ref="K44:P44" si="5">K23</f>
        <v>Skills</v>
      </c>
      <c r="L44" s="296" t="str">
        <f t="shared" si="5"/>
        <v>Score</v>
      </c>
      <c r="M44" s="296" t="str">
        <f t="shared" si="5"/>
        <v>Weight</v>
      </c>
      <c r="N44" s="296" t="str">
        <f t="shared" si="5"/>
        <v>Output</v>
      </c>
      <c r="O44" s="296" t="str">
        <f t="shared" si="5"/>
        <v>Score</v>
      </c>
      <c r="P44" s="419" t="str">
        <f t="shared" si="5"/>
        <v>Weight</v>
      </c>
      <c r="Q44" s="417"/>
      <c r="R44" s="421" t="str">
        <f>R23</f>
        <v>Weight</v>
      </c>
    </row>
    <row r="45" spans="2:18" ht="13.4" customHeight="1" x14ac:dyDescent="0.3">
      <c r="B45" s="922"/>
      <c r="C45" s="329" t="s">
        <v>351</v>
      </c>
      <c r="D45" s="304">
        <v>0.3</v>
      </c>
      <c r="E45" s="299">
        <v>57600</v>
      </c>
      <c r="F45" s="299">
        <f>F25</f>
        <v>0</v>
      </c>
      <c r="G45" s="300">
        <v>0</v>
      </c>
      <c r="H45" s="301" t="str">
        <f>IF(G45&gt;$D$9*E45,"On Track","Behind")</f>
        <v>Behind</v>
      </c>
      <c r="I45" s="304">
        <f>F45/E45</f>
        <v>0</v>
      </c>
      <c r="K45" s="303" t="s">
        <v>328</v>
      </c>
      <c r="L45" s="301">
        <v>5</v>
      </c>
      <c r="M45" s="304">
        <v>0.2</v>
      </c>
      <c r="N45" s="303" t="s">
        <v>344</v>
      </c>
      <c r="O45" s="301">
        <v>2</v>
      </c>
      <c r="P45" s="304">
        <v>0.3</v>
      </c>
      <c r="Q45" s="204"/>
      <c r="R45" s="304">
        <v>0.15</v>
      </c>
    </row>
    <row r="46" spans="2:18" ht="13.4" customHeight="1" x14ac:dyDescent="0.3">
      <c r="B46" s="922"/>
      <c r="C46" s="330" t="s">
        <v>335</v>
      </c>
      <c r="D46" s="310">
        <v>0.3</v>
      </c>
      <c r="E46" s="409">
        <v>1</v>
      </c>
      <c r="F46" s="409">
        <f>P51</f>
        <v>2.2999999999999998</v>
      </c>
      <c r="G46" s="428"/>
      <c r="H46" s="429"/>
      <c r="I46" s="310">
        <f>F46/E46</f>
        <v>2.2999999999999998</v>
      </c>
      <c r="K46" s="311" t="s">
        <v>331</v>
      </c>
      <c r="L46" s="301">
        <v>5</v>
      </c>
      <c r="M46" s="310">
        <v>0.2</v>
      </c>
      <c r="N46" s="311" t="s">
        <v>352</v>
      </c>
      <c r="O46" s="309"/>
      <c r="P46" s="310">
        <v>0.2</v>
      </c>
      <c r="Q46" s="204"/>
      <c r="R46" s="310">
        <v>0.15</v>
      </c>
    </row>
    <row r="47" spans="2:18" ht="13.4" customHeight="1" x14ac:dyDescent="0.3">
      <c r="B47" s="922"/>
      <c r="C47" s="330" t="s">
        <v>353</v>
      </c>
      <c r="D47" s="310">
        <v>0.3</v>
      </c>
      <c r="E47" s="426" t="s">
        <v>354</v>
      </c>
      <c r="F47" s="426">
        <v>0.95</v>
      </c>
      <c r="G47" s="427"/>
      <c r="H47" s="423"/>
      <c r="I47" s="310">
        <v>1</v>
      </c>
      <c r="K47" s="311" t="s">
        <v>333</v>
      </c>
      <c r="L47" s="301">
        <v>5</v>
      </c>
      <c r="M47" s="310">
        <v>0.2</v>
      </c>
      <c r="N47" s="311" t="s">
        <v>349</v>
      </c>
      <c r="O47" s="309">
        <v>3</v>
      </c>
      <c r="P47" s="310">
        <v>0.3</v>
      </c>
      <c r="Q47" s="204"/>
      <c r="R47" s="310">
        <v>0.3</v>
      </c>
    </row>
    <row r="48" spans="2:18" ht="13.4" customHeight="1" x14ac:dyDescent="0.3">
      <c r="B48" s="922"/>
      <c r="C48" s="330" t="s">
        <v>313</v>
      </c>
      <c r="D48" s="306">
        <v>0.1</v>
      </c>
      <c r="E48" s="312">
        <v>5</v>
      </c>
      <c r="F48" s="312">
        <f>M51</f>
        <v>5</v>
      </c>
      <c r="G48" s="430"/>
      <c r="H48" s="425"/>
      <c r="I48" s="310">
        <f>F48/E48</f>
        <v>1</v>
      </c>
      <c r="K48" s="311" t="s">
        <v>336</v>
      </c>
      <c r="L48" s="301">
        <v>5</v>
      </c>
      <c r="M48" s="310">
        <v>0.2</v>
      </c>
      <c r="N48" s="311" t="s">
        <v>355</v>
      </c>
      <c r="O48" s="309">
        <v>4</v>
      </c>
      <c r="P48" s="310">
        <v>0.2</v>
      </c>
      <c r="Q48" s="204"/>
      <c r="R48" s="310">
        <v>0.25</v>
      </c>
    </row>
    <row r="49" spans="2:18" ht="13.4" customHeight="1" x14ac:dyDescent="0.3">
      <c r="B49" s="922"/>
      <c r="C49" s="331"/>
      <c r="D49" s="332"/>
      <c r="I49" s="332"/>
      <c r="K49" s="311" t="s">
        <v>338</v>
      </c>
      <c r="L49" s="301">
        <v>5</v>
      </c>
      <c r="M49" s="310">
        <v>0.2</v>
      </c>
      <c r="N49" s="311"/>
      <c r="O49" s="309"/>
      <c r="P49" s="310"/>
      <c r="Q49" s="204"/>
      <c r="R49" s="310">
        <v>0.15</v>
      </c>
    </row>
    <row r="50" spans="2:18" ht="13.4" customHeight="1" x14ac:dyDescent="0.3">
      <c r="G50" s="315" t="s">
        <v>337</v>
      </c>
      <c r="H50" s="316">
        <f>I45*D45+I46*D46+I47*D47</f>
        <v>0.99</v>
      </c>
      <c r="K50" s="311"/>
      <c r="L50" s="301"/>
      <c r="M50" s="310"/>
      <c r="N50" s="311"/>
      <c r="O50" s="309"/>
      <c r="P50" s="310"/>
      <c r="Q50" s="204"/>
      <c r="R50" s="310"/>
    </row>
    <row r="51" spans="2:18" ht="13.4" customHeight="1" x14ac:dyDescent="0.3">
      <c r="G51" s="318" t="s">
        <v>356</v>
      </c>
      <c r="H51" s="319">
        <v>10000</v>
      </c>
      <c r="I51" s="320"/>
      <c r="L51" s="315" t="s">
        <v>341</v>
      </c>
      <c r="M51" s="322">
        <f>SUMPRODUCT(L45:L50,M45:M50)</f>
        <v>5</v>
      </c>
      <c r="N51" s="28"/>
      <c r="O51" s="315" t="s">
        <v>341</v>
      </c>
      <c r="P51" s="420">
        <f>SUMPRODUCT(O45:O50,P45:P50)</f>
        <v>2.2999999999999998</v>
      </c>
      <c r="Q51" s="418"/>
      <c r="R51" s="422">
        <f>SUMPRODUCT(Q45:Q50,R45:R50)</f>
        <v>0</v>
      </c>
    </row>
    <row r="52" spans="2:18" ht="13.4" customHeight="1" x14ac:dyDescent="0.3">
      <c r="G52" s="318" t="s">
        <v>340</v>
      </c>
      <c r="H52" s="319">
        <f>MIN(H50*H51,H51)</f>
        <v>9900</v>
      </c>
      <c r="N52" s="28"/>
      <c r="P52" s="204"/>
      <c r="Q52" s="204"/>
      <c r="R52" s="204"/>
    </row>
    <row r="53" spans="2:18" ht="13.4" customHeight="1" x14ac:dyDescent="0.3">
      <c r="B53" s="323"/>
      <c r="C53" s="323"/>
      <c r="D53" s="324"/>
      <c r="E53" s="324"/>
      <c r="F53" s="324"/>
      <c r="G53" s="324"/>
      <c r="H53" s="324"/>
      <c r="I53" s="324"/>
      <c r="J53" s="323"/>
      <c r="K53" s="323"/>
      <c r="L53" s="324"/>
      <c r="M53" s="324"/>
      <c r="N53" s="323"/>
      <c r="O53" s="324"/>
      <c r="P53" s="324"/>
      <c r="Q53" s="324"/>
      <c r="R53" s="324"/>
    </row>
    <row r="54" spans="2:18" ht="13.4" customHeight="1" x14ac:dyDescent="0.3">
      <c r="N54" s="28"/>
      <c r="P54" s="204"/>
      <c r="Q54" s="204"/>
      <c r="R54" s="204"/>
    </row>
    <row r="55" spans="2:18" ht="13.4" customHeight="1" x14ac:dyDescent="0.3">
      <c r="E55" s="398"/>
      <c r="F55" s="398"/>
      <c r="G55" s="398"/>
      <c r="H55" s="398"/>
      <c r="K55" s="296" t="str">
        <f>K44</f>
        <v>Skills</v>
      </c>
      <c r="L55" s="296" t="str">
        <f>L44</f>
        <v>Score</v>
      </c>
      <c r="M55" s="419" t="str">
        <f>M44</f>
        <v>Weight</v>
      </c>
      <c r="N55" s="417"/>
      <c r="O55" s="417"/>
      <c r="P55" s="417"/>
      <c r="Q55" s="417"/>
      <c r="R55" s="421" t="str">
        <f>R44</f>
        <v>Weight</v>
      </c>
    </row>
    <row r="56" spans="2:18" ht="13.4" customHeight="1" x14ac:dyDescent="0.3">
      <c r="B56" s="922" t="s">
        <v>357</v>
      </c>
      <c r="C56" s="296" t="str">
        <f>C44</f>
        <v>Goals</v>
      </c>
      <c r="D56" s="296" t="str">
        <f>D44</f>
        <v>Weight</v>
      </c>
      <c r="E56" s="296" t="s">
        <v>358</v>
      </c>
      <c r="F56" s="692" t="s">
        <v>208</v>
      </c>
      <c r="G56" s="690" t="s">
        <v>359</v>
      </c>
      <c r="H56" s="692" t="s">
        <v>360</v>
      </c>
      <c r="I56" s="296" t="s">
        <v>361</v>
      </c>
      <c r="K56" s="303" t="s">
        <v>328</v>
      </c>
      <c r="L56" s="301">
        <v>3</v>
      </c>
      <c r="M56" s="304">
        <v>0.2</v>
      </c>
      <c r="N56" s="28"/>
      <c r="P56" s="332"/>
      <c r="Q56" s="204"/>
      <c r="R56" s="304">
        <v>0.1</v>
      </c>
    </row>
    <row r="57" spans="2:18" ht="13.4" customHeight="1" x14ac:dyDescent="0.3">
      <c r="B57" s="922"/>
      <c r="C57" s="329" t="s">
        <v>362</v>
      </c>
      <c r="D57" s="930" t="s">
        <v>363</v>
      </c>
      <c r="E57" s="936">
        <v>600000</v>
      </c>
      <c r="F57" s="691">
        <v>0</v>
      </c>
      <c r="G57" s="691">
        <v>150000</v>
      </c>
      <c r="H57" s="691">
        <v>0</v>
      </c>
      <c r="I57" s="934">
        <v>15564</v>
      </c>
      <c r="K57" s="311" t="s">
        <v>331</v>
      </c>
      <c r="L57" s="301">
        <v>4</v>
      </c>
      <c r="M57" s="304">
        <v>0.2</v>
      </c>
      <c r="N57" s="28"/>
      <c r="P57" s="332"/>
      <c r="Q57" s="204"/>
      <c r="R57" s="304">
        <v>0.1</v>
      </c>
    </row>
    <row r="58" spans="2:18" ht="13.4" customHeight="1" x14ac:dyDescent="0.3">
      <c r="B58" s="922"/>
      <c r="C58" s="330" t="s">
        <v>364</v>
      </c>
      <c r="D58" s="929"/>
      <c r="E58" s="935"/>
      <c r="F58" s="691">
        <v>0</v>
      </c>
      <c r="G58" s="691">
        <v>0</v>
      </c>
      <c r="H58" s="691">
        <v>0</v>
      </c>
      <c r="I58" s="935"/>
      <c r="K58" s="311" t="s">
        <v>333</v>
      </c>
      <c r="L58" s="301">
        <v>3</v>
      </c>
      <c r="M58" s="310">
        <v>0.2</v>
      </c>
      <c r="N58" s="28"/>
      <c r="P58" s="332"/>
      <c r="Q58" s="204"/>
      <c r="R58" s="310">
        <v>0.15</v>
      </c>
    </row>
    <row r="59" spans="2:18" ht="13.4" customHeight="1" x14ac:dyDescent="0.3">
      <c r="B59" s="922"/>
      <c r="C59" s="330" t="s">
        <v>365</v>
      </c>
      <c r="D59" s="927" t="s">
        <v>366</v>
      </c>
      <c r="E59" s="334">
        <v>8</v>
      </c>
      <c r="F59" s="334">
        <v>7</v>
      </c>
      <c r="G59" s="931" t="s">
        <v>367</v>
      </c>
      <c r="H59" s="310">
        <f>F59/E59</f>
        <v>0.875</v>
      </c>
      <c r="I59" s="924">
        <f>MIN(MIN(H59:H61)*1000,1000)</f>
        <v>571.42857142857144</v>
      </c>
      <c r="K59" s="311" t="s">
        <v>336</v>
      </c>
      <c r="L59" s="301">
        <v>5</v>
      </c>
      <c r="M59" s="310">
        <v>0.2</v>
      </c>
      <c r="N59" s="28"/>
      <c r="P59" s="332"/>
      <c r="Q59" s="204"/>
      <c r="R59" s="310">
        <v>0.25</v>
      </c>
    </row>
    <row r="60" spans="2:18" ht="13.4" customHeight="1" x14ac:dyDescent="0.3">
      <c r="B60" s="922"/>
      <c r="C60" s="330" t="s">
        <v>368</v>
      </c>
      <c r="D60" s="928"/>
      <c r="E60" s="334">
        <v>14</v>
      </c>
      <c r="F60" s="334">
        <v>8</v>
      </c>
      <c r="G60" s="932"/>
      <c r="H60" s="310">
        <f t="shared" ref="H60" si="6">F60/E60</f>
        <v>0.5714285714285714</v>
      </c>
      <c r="I60" s="925"/>
      <c r="K60" s="311" t="s">
        <v>338</v>
      </c>
      <c r="L60" s="301">
        <v>3</v>
      </c>
      <c r="M60" s="310">
        <v>0.2</v>
      </c>
      <c r="N60" s="28"/>
      <c r="P60" s="332"/>
      <c r="Q60" s="204"/>
      <c r="R60" s="310">
        <v>0.15</v>
      </c>
    </row>
    <row r="61" spans="2:18" ht="13.4" customHeight="1" x14ac:dyDescent="0.3">
      <c r="B61" s="922"/>
      <c r="C61" s="330"/>
      <c r="D61" s="929"/>
      <c r="E61" s="333"/>
      <c r="F61" s="334"/>
      <c r="G61" s="933"/>
      <c r="H61" s="310"/>
      <c r="I61" s="926"/>
      <c r="K61" s="311"/>
      <c r="L61" s="309"/>
      <c r="M61" s="310"/>
      <c r="N61" s="28"/>
      <c r="P61" s="332"/>
      <c r="Q61" s="204"/>
      <c r="R61" s="310">
        <v>0.15</v>
      </c>
    </row>
    <row r="62" spans="2:18" ht="13.4" customHeight="1" x14ac:dyDescent="0.3">
      <c r="B62" s="922"/>
      <c r="C62" s="330" t="s">
        <v>369</v>
      </c>
      <c r="D62" s="336" t="s">
        <v>370</v>
      </c>
      <c r="E62" s="309" t="s">
        <v>371</v>
      </c>
      <c r="F62" s="309">
        <v>10000</v>
      </c>
      <c r="G62" s="337" t="s">
        <v>372</v>
      </c>
      <c r="H62" s="309" t="str">
        <f>IF(F62&lt;=E62,"Yes","No")</f>
        <v>Yes</v>
      </c>
      <c r="I62" s="333">
        <f>IF(H62="Yes",250,0)</f>
        <v>250</v>
      </c>
      <c r="K62" s="311"/>
      <c r="L62" s="309"/>
      <c r="M62" s="310"/>
      <c r="N62" s="28"/>
      <c r="P62" s="332"/>
      <c r="Q62" s="204"/>
      <c r="R62" s="310">
        <v>0.1</v>
      </c>
    </row>
    <row r="63" spans="2:18" ht="13.4" customHeight="1" x14ac:dyDescent="0.3">
      <c r="B63" s="922"/>
      <c r="C63" s="330" t="s">
        <v>313</v>
      </c>
      <c r="D63" s="336" t="s">
        <v>370</v>
      </c>
      <c r="E63" s="312">
        <v>5</v>
      </c>
      <c r="F63" s="312">
        <f>M63</f>
        <v>3.6</v>
      </c>
      <c r="G63" s="335" t="s">
        <v>373</v>
      </c>
      <c r="H63" s="310">
        <f>F63/E63</f>
        <v>0.72</v>
      </c>
      <c r="I63" s="333">
        <f>H63*250</f>
        <v>180</v>
      </c>
      <c r="L63" s="315" t="s">
        <v>374</v>
      </c>
      <c r="M63" s="420">
        <f>SUMPRODUCT(L56:L61,M56:M61)</f>
        <v>3.6</v>
      </c>
      <c r="N63" s="28"/>
      <c r="O63" s="418"/>
      <c r="P63" s="431"/>
      <c r="Q63" s="418"/>
      <c r="R63" s="422">
        <f>SUMPRODUCT(Q57:Q62,R57:R62)</f>
        <v>0</v>
      </c>
    </row>
    <row r="64" spans="2:18" ht="13.4" customHeight="1" x14ac:dyDescent="0.3"/>
    <row r="65" spans="2:13" ht="13.4" customHeight="1" x14ac:dyDescent="0.3">
      <c r="B65" s="323"/>
      <c r="C65" s="323"/>
      <c r="D65" s="324"/>
      <c r="E65" s="324"/>
      <c r="F65" s="324"/>
      <c r="G65" s="324"/>
      <c r="H65" s="324"/>
      <c r="I65" s="324"/>
      <c r="J65" s="323"/>
      <c r="K65" s="323"/>
      <c r="L65" s="324"/>
      <c r="M65" s="324"/>
    </row>
    <row r="66" spans="2:13" ht="13.4" customHeight="1" x14ac:dyDescent="0.3"/>
    <row r="67" spans="2:13" ht="13.4" customHeight="1" x14ac:dyDescent="0.3"/>
    <row r="68" spans="2:13" ht="13.4" customHeight="1" x14ac:dyDescent="0.3"/>
    <row r="69" spans="2:13" ht="13.4" customHeight="1" x14ac:dyDescent="0.3">
      <c r="B69" s="28" t="s">
        <v>375</v>
      </c>
    </row>
    <row r="70" spans="2:13" ht="13.4" customHeight="1" x14ac:dyDescent="0.3"/>
    <row r="71" spans="2:13" ht="13.4" customHeight="1" x14ac:dyDescent="0.3"/>
    <row r="72" spans="2:13" ht="13.4" customHeight="1" x14ac:dyDescent="0.3"/>
    <row r="73" spans="2:13" ht="13.4" customHeight="1" x14ac:dyDescent="0.3"/>
    <row r="74" spans="2:13" ht="13.4" customHeight="1" x14ac:dyDescent="0.3"/>
    <row r="75" spans="2:13" ht="13.4" customHeight="1" x14ac:dyDescent="0.3"/>
    <row r="76" spans="2:13" ht="13.4" customHeight="1" x14ac:dyDescent="0.3"/>
    <row r="77" spans="2:13" ht="13.4" customHeight="1" x14ac:dyDescent="0.3"/>
    <row r="78" spans="2:13" ht="13.4" customHeight="1" x14ac:dyDescent="0.3"/>
    <row r="79" spans="2:13" ht="13.4" customHeight="1" x14ac:dyDescent="0.3"/>
    <row r="80" spans="2:13" ht="13.4" customHeight="1" x14ac:dyDescent="0.3"/>
    <row r="81" ht="13.4" hidden="1" customHeight="1" x14ac:dyDescent="0.3"/>
    <row r="82" ht="13.4" customHeight="1" x14ac:dyDescent="0.3"/>
  </sheetData>
  <mergeCells count="15">
    <mergeCell ref="I59:I61"/>
    <mergeCell ref="B56:B63"/>
    <mergeCell ref="B34:B37"/>
    <mergeCell ref="B23:B28"/>
    <mergeCell ref="B44:B49"/>
    <mergeCell ref="D59:D61"/>
    <mergeCell ref="D57:D58"/>
    <mergeCell ref="G59:G61"/>
    <mergeCell ref="I57:I58"/>
    <mergeCell ref="E57:E58"/>
    <mergeCell ref="K11:M11"/>
    <mergeCell ref="N11:P11"/>
    <mergeCell ref="D4:I6"/>
    <mergeCell ref="B13:B16"/>
    <mergeCell ref="B11:I11"/>
  </mergeCells>
  <conditionalFormatting sqref="H14:H15">
    <cfRule type="cellIs" dxfId="10" priority="23" operator="equal">
      <formula>"Behind"</formula>
    </cfRule>
    <cfRule type="cellIs" dxfId="9" priority="24" operator="equal">
      <formula>"On Track"</formula>
    </cfRule>
  </conditionalFormatting>
  <conditionalFormatting sqref="H24:H25">
    <cfRule type="cellIs" dxfId="8" priority="17" operator="equal">
      <formula>"Behind"</formula>
    </cfRule>
    <cfRule type="cellIs" dxfId="7" priority="18" operator="equal">
      <formula>"On Track"</formula>
    </cfRule>
  </conditionalFormatting>
  <conditionalFormatting sqref="H35:H36">
    <cfRule type="cellIs" dxfId="6" priority="3" operator="equal">
      <formula>"Behind"</formula>
    </cfRule>
    <cfRule type="cellIs" dxfId="5" priority="4" operator="equal">
      <formula>"On Track"</formula>
    </cfRule>
  </conditionalFormatting>
  <conditionalFormatting sqref="H45">
    <cfRule type="cellIs" dxfId="4" priority="9" operator="equal">
      <formula>"Behind"</formula>
    </cfRule>
    <cfRule type="cellIs" dxfId="3" priority="10" operator="equal">
      <formula>"On Track"</formula>
    </cfRule>
  </conditionalFormatting>
  <dataValidations count="2">
    <dataValidation type="list" allowBlank="1" showInputMessage="1" showErrorMessage="1" sqref="L35:L39 O35:O40 L45:L50 Q14:Q19 Q45:Q50 Q24:Q29 Q56:Q62 O14:O19 O45:O50 O24:O29 O56:O62 L14:L19 L24:L29 L56:L62" xr:uid="{EF029E6D-12A9-4DCB-8F24-743833A8DCF9}">
      <formula1>"1, 2, 3, 4, 5"</formula1>
    </dataValidation>
    <dataValidation allowBlank="1" showInputMessage="1" showErrorMessage="1" promptTitle="Soft Skills" sqref="F16 F48:F49 F27:F28 F60:F61 F63 F37" xr:uid="{E1507E4E-32B9-463E-A3E6-C4367CE19CB4}"/>
  </dataValidations>
  <pageMargins left="0.7" right="0.7" top="0.75" bottom="0.75" header="0.3" footer="0.3"/>
  <pageSetup scale="53" orientation="landscape" r:id="rId1"/>
  <ignoredErrors>
    <ignoredError sqref="H62" formula="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14920-DB23-4522-BE70-56E9EEDA5549}">
  <sheetPr>
    <pageSetUpPr fitToPage="1"/>
  </sheetPr>
  <dimension ref="B1:L53"/>
  <sheetViews>
    <sheetView showGridLines="0" topLeftCell="C1" workbookViewId="0">
      <selection activeCell="G19" sqref="G19"/>
    </sheetView>
  </sheetViews>
  <sheetFormatPr defaultColWidth="27.54296875" defaultRowHeight="0" customHeight="1" zeroHeight="1" x14ac:dyDescent="0.3"/>
  <cols>
    <col min="1" max="1" width="3" style="28" customWidth="1"/>
    <col min="2" max="2" width="7" style="28" customWidth="1"/>
    <col min="3" max="3" width="52.81640625" style="28" customWidth="1"/>
    <col min="4" max="4" width="10.1796875" style="204" customWidth="1"/>
    <col min="5" max="5" width="21.453125" style="204" customWidth="1"/>
    <col min="6" max="6" width="45.81640625" style="346" customWidth="1"/>
    <col min="7" max="7" width="21.81640625" style="204" customWidth="1"/>
    <col min="8" max="8" width="32.453125" style="346" customWidth="1"/>
    <col min="9" max="9" width="12.81640625" style="204" bestFit="1" customWidth="1"/>
    <col min="10" max="10" width="9.1796875" style="204"/>
    <col min="11" max="11" width="8" style="28" customWidth="1"/>
    <col min="12" max="12" width="9.1796875" style="28" customWidth="1"/>
    <col min="13" max="16384" width="27.54296875" style="28"/>
  </cols>
  <sheetData>
    <row r="1" spans="2:12" ht="13" x14ac:dyDescent="0.3"/>
    <row r="2" spans="2:12" ht="13" x14ac:dyDescent="0.3">
      <c r="B2" s="281"/>
      <c r="C2" s="282"/>
      <c r="D2" s="500"/>
      <c r="E2" s="500"/>
      <c r="F2" s="285"/>
      <c r="G2" s="284"/>
      <c r="H2" s="505"/>
      <c r="I2" s="283"/>
      <c r="J2" s="283"/>
      <c r="K2" s="281"/>
      <c r="L2" s="281"/>
    </row>
    <row r="3" spans="2:12" ht="13.4" customHeight="1" x14ac:dyDescent="0.3">
      <c r="B3" s="281"/>
      <c r="C3" s="286"/>
      <c r="D3" s="287"/>
      <c r="E3" s="287"/>
      <c r="F3" s="287"/>
      <c r="G3" s="284"/>
      <c r="H3" s="505"/>
      <c r="I3" s="283"/>
      <c r="J3" s="283"/>
      <c r="K3" s="281"/>
      <c r="L3" s="281"/>
    </row>
    <row r="4" spans="2:12" ht="13.4" customHeight="1" x14ac:dyDescent="0.3">
      <c r="B4" s="281"/>
      <c r="C4" s="286"/>
      <c r="D4" s="937" t="s">
        <v>376</v>
      </c>
      <c r="E4" s="937"/>
      <c r="F4" s="937"/>
      <c r="G4" s="288"/>
      <c r="H4" s="505"/>
      <c r="I4" s="283"/>
      <c r="J4" s="283"/>
      <c r="K4" s="281"/>
      <c r="L4" s="281"/>
    </row>
    <row r="5" spans="2:12" ht="13.4" customHeight="1" x14ac:dyDescent="0.3">
      <c r="B5" s="281"/>
      <c r="C5" s="286"/>
      <c r="D5" s="937"/>
      <c r="E5" s="937"/>
      <c r="F5" s="937"/>
      <c r="G5" s="288"/>
      <c r="H5" s="505"/>
      <c r="I5" s="283"/>
      <c r="J5" s="283"/>
      <c r="K5" s="281"/>
      <c r="L5" s="281"/>
    </row>
    <row r="6" spans="2:12" ht="28.5" x14ac:dyDescent="0.3">
      <c r="B6" s="281"/>
      <c r="C6" s="286"/>
      <c r="D6" s="937"/>
      <c r="E6" s="937"/>
      <c r="F6" s="937"/>
      <c r="G6" s="288"/>
      <c r="H6" s="505"/>
      <c r="I6" s="283"/>
      <c r="J6" s="283"/>
      <c r="K6" s="281"/>
      <c r="L6" s="281"/>
    </row>
    <row r="7" spans="2:12" ht="13" x14ac:dyDescent="0.3">
      <c r="B7" s="281"/>
      <c r="C7" s="282"/>
      <c r="D7" s="500"/>
      <c r="E7" s="500"/>
      <c r="F7" s="285"/>
      <c r="G7" s="284"/>
      <c r="H7" s="505"/>
      <c r="I7" s="283"/>
      <c r="J7" s="283"/>
      <c r="K7" s="281"/>
      <c r="L7" s="281"/>
    </row>
    <row r="8" spans="2:12" ht="13" x14ac:dyDescent="0.3"/>
    <row r="9" spans="2:12" ht="15" customHeight="1" x14ac:dyDescent="0.35">
      <c r="B9" s="502" t="s">
        <v>377</v>
      </c>
      <c r="C9" s="503" t="s">
        <v>378</v>
      </c>
      <c r="D9" s="503" t="s">
        <v>379</v>
      </c>
      <c r="E9" s="503" t="s">
        <v>257</v>
      </c>
      <c r="F9" s="506" t="s">
        <v>380</v>
      </c>
      <c r="G9" s="503" t="s">
        <v>381</v>
      </c>
      <c r="H9" s="506" t="s">
        <v>382</v>
      </c>
      <c r="I9" s="503" t="s">
        <v>383</v>
      </c>
      <c r="J9" s="503" t="s">
        <v>384</v>
      </c>
      <c r="K9" s="503" t="s">
        <v>385</v>
      </c>
      <c r="L9" s="504" t="s">
        <v>386</v>
      </c>
    </row>
    <row r="10" spans="2:12" ht="13" hidden="1" x14ac:dyDescent="0.3">
      <c r="B10" s="346">
        <v>1</v>
      </c>
      <c r="C10" s="545" t="s">
        <v>387</v>
      </c>
      <c r="D10" s="514" t="s">
        <v>388</v>
      </c>
      <c r="E10" s="514" t="s">
        <v>389</v>
      </c>
      <c r="F10" s="515" t="s">
        <v>390</v>
      </c>
      <c r="G10" s="514" t="s">
        <v>109</v>
      </c>
      <c r="H10" s="515" t="s">
        <v>391</v>
      </c>
      <c r="I10" s="516">
        <v>0.95</v>
      </c>
      <c r="J10" s="516">
        <v>0.75</v>
      </c>
      <c r="K10" s="516">
        <v>0.9</v>
      </c>
      <c r="L10" s="516">
        <v>0.95</v>
      </c>
    </row>
    <row r="11" spans="2:12" ht="26" x14ac:dyDescent="0.3">
      <c r="B11" s="346">
        <v>1</v>
      </c>
      <c r="C11" s="545" t="s">
        <v>387</v>
      </c>
      <c r="D11" s="501" t="s">
        <v>392</v>
      </c>
      <c r="E11" s="501" t="s">
        <v>266</v>
      </c>
      <c r="F11" s="517" t="s">
        <v>393</v>
      </c>
      <c r="G11" s="501" t="s">
        <v>29</v>
      </c>
      <c r="H11" s="517" t="s">
        <v>394</v>
      </c>
      <c r="I11" s="518">
        <v>1</v>
      </c>
      <c r="J11" s="518">
        <v>1</v>
      </c>
      <c r="K11" s="518">
        <v>1</v>
      </c>
      <c r="L11" s="518">
        <v>1</v>
      </c>
    </row>
    <row r="12" spans="2:12" ht="26" x14ac:dyDescent="0.3">
      <c r="B12" s="346">
        <v>1</v>
      </c>
      <c r="C12" s="545" t="s">
        <v>387</v>
      </c>
      <c r="D12" s="501" t="s">
        <v>395</v>
      </c>
      <c r="E12" s="501" t="s">
        <v>266</v>
      </c>
      <c r="F12" s="517" t="s">
        <v>396</v>
      </c>
      <c r="G12" s="501" t="s">
        <v>29</v>
      </c>
      <c r="H12" s="517" t="s">
        <v>397</v>
      </c>
      <c r="I12" s="501">
        <v>5</v>
      </c>
      <c r="J12" s="501">
        <v>2</v>
      </c>
      <c r="K12" s="501">
        <v>5</v>
      </c>
      <c r="L12" s="501">
        <v>5</v>
      </c>
    </row>
    <row r="13" spans="2:12" ht="24.75" hidden="1" customHeight="1" x14ac:dyDescent="0.3">
      <c r="B13" s="346">
        <v>1</v>
      </c>
      <c r="C13" s="545" t="s">
        <v>387</v>
      </c>
      <c r="D13" s="501" t="s">
        <v>398</v>
      </c>
      <c r="E13" s="501" t="s">
        <v>389</v>
      </c>
      <c r="F13" s="517" t="s">
        <v>399</v>
      </c>
      <c r="G13" s="501" t="s">
        <v>53</v>
      </c>
      <c r="H13" s="517" t="s">
        <v>400</v>
      </c>
      <c r="I13" s="519">
        <v>45436</v>
      </c>
      <c r="J13" s="501" t="s">
        <v>266</v>
      </c>
      <c r="K13" s="520"/>
      <c r="L13" s="520"/>
    </row>
    <row r="14" spans="2:12" ht="13" hidden="1" x14ac:dyDescent="0.3">
      <c r="B14" s="346">
        <v>1</v>
      </c>
      <c r="C14" s="545" t="s">
        <v>387</v>
      </c>
      <c r="D14" s="501" t="s">
        <v>401</v>
      </c>
      <c r="E14" s="501" t="s">
        <v>389</v>
      </c>
      <c r="F14" s="517" t="s">
        <v>402</v>
      </c>
      <c r="G14" s="501" t="s">
        <v>53</v>
      </c>
      <c r="H14" s="517" t="s">
        <v>403</v>
      </c>
      <c r="I14" s="519">
        <v>45467</v>
      </c>
      <c r="J14" s="519">
        <v>45467</v>
      </c>
      <c r="K14" s="520"/>
      <c r="L14" s="520"/>
    </row>
    <row r="15" spans="2:12" ht="13" hidden="1" x14ac:dyDescent="0.3">
      <c r="B15" s="346">
        <v>2</v>
      </c>
      <c r="C15" s="545" t="s">
        <v>404</v>
      </c>
      <c r="D15" s="514" t="s">
        <v>405</v>
      </c>
      <c r="E15" s="514" t="s">
        <v>389</v>
      </c>
      <c r="F15" s="515" t="s">
        <v>406</v>
      </c>
      <c r="G15" s="514" t="s">
        <v>96</v>
      </c>
      <c r="H15" s="515" t="s">
        <v>407</v>
      </c>
      <c r="I15" s="514">
        <v>3</v>
      </c>
      <c r="J15" s="514" t="s">
        <v>408</v>
      </c>
      <c r="K15" s="520"/>
      <c r="L15" s="520"/>
    </row>
    <row r="16" spans="2:12" ht="26.25" hidden="1" customHeight="1" x14ac:dyDescent="0.3">
      <c r="B16" s="346">
        <v>2</v>
      </c>
      <c r="C16" s="545" t="s">
        <v>404</v>
      </c>
      <c r="D16" s="501" t="s">
        <v>409</v>
      </c>
      <c r="E16" s="501" t="s">
        <v>389</v>
      </c>
      <c r="F16" s="517" t="s">
        <v>410</v>
      </c>
      <c r="G16" s="501" t="s">
        <v>7</v>
      </c>
      <c r="H16" s="517" t="s">
        <v>411</v>
      </c>
      <c r="I16" s="518">
        <v>0.1</v>
      </c>
      <c r="J16" s="518">
        <v>0.05</v>
      </c>
      <c r="K16" s="518">
        <v>0.1</v>
      </c>
      <c r="L16" s="518">
        <v>0.1</v>
      </c>
    </row>
    <row r="17" spans="2:12" ht="12.75" hidden="1" customHeight="1" x14ac:dyDescent="0.3">
      <c r="B17" s="346">
        <v>2</v>
      </c>
      <c r="C17" s="545" t="s">
        <v>404</v>
      </c>
      <c r="D17" s="501" t="s">
        <v>412</v>
      </c>
      <c r="E17" s="501" t="s">
        <v>389</v>
      </c>
      <c r="F17" s="517" t="s">
        <v>413</v>
      </c>
      <c r="G17" s="501" t="s">
        <v>151</v>
      </c>
      <c r="H17" s="517" t="s">
        <v>414</v>
      </c>
      <c r="I17" t="s">
        <v>415</v>
      </c>
      <c r="J17" s="519">
        <v>45650</v>
      </c>
      <c r="K17" s="520"/>
      <c r="L17" s="520"/>
    </row>
    <row r="18" spans="2:12" ht="12.75" hidden="1" customHeight="1" x14ac:dyDescent="0.3">
      <c r="B18" s="346">
        <v>2</v>
      </c>
      <c r="C18" s="545" t="s">
        <v>404</v>
      </c>
      <c r="D18" s="501" t="s">
        <v>416</v>
      </c>
      <c r="E18" s="501" t="s">
        <v>389</v>
      </c>
      <c r="F18" s="517" t="s">
        <v>417</v>
      </c>
      <c r="G18" s="501" t="s">
        <v>151</v>
      </c>
      <c r="H18" s="517" t="s">
        <v>418</v>
      </c>
      <c r="I18" s="501" t="s">
        <v>419</v>
      </c>
      <c r="J18" s="519">
        <v>45651</v>
      </c>
      <c r="K18" s="520"/>
      <c r="L18" s="520"/>
    </row>
    <row r="19" spans="2:12" ht="12.75" hidden="1" customHeight="1" x14ac:dyDescent="0.3">
      <c r="B19" s="346">
        <v>2</v>
      </c>
      <c r="C19" s="545" t="s">
        <v>404</v>
      </c>
      <c r="D19" s="501" t="s">
        <v>420</v>
      </c>
      <c r="E19" s="501" t="s">
        <v>389</v>
      </c>
      <c r="F19" s="517" t="s">
        <v>421</v>
      </c>
      <c r="G19" s="501" t="s">
        <v>7</v>
      </c>
      <c r="H19" s="517" t="s">
        <v>422</v>
      </c>
      <c r="I19" s="519">
        <v>45436</v>
      </c>
      <c r="J19" s="519">
        <v>45436</v>
      </c>
      <c r="K19" s="520"/>
      <c r="L19" s="520"/>
    </row>
    <row r="20" spans="2:12" ht="12.75" hidden="1" customHeight="1" x14ac:dyDescent="0.3">
      <c r="B20" s="346">
        <v>3</v>
      </c>
      <c r="C20" s="545" t="s">
        <v>423</v>
      </c>
      <c r="D20" s="514" t="s">
        <v>424</v>
      </c>
      <c r="E20" s="501" t="s">
        <v>389</v>
      </c>
      <c r="F20" s="515" t="s">
        <v>425</v>
      </c>
      <c r="G20" s="514" t="s">
        <v>151</v>
      </c>
      <c r="H20" s="515" t="s">
        <v>426</v>
      </c>
      <c r="I20" s="501" t="s">
        <v>415</v>
      </c>
      <c r="J20" s="521">
        <v>45650</v>
      </c>
      <c r="K20" s="520"/>
      <c r="L20" s="520"/>
    </row>
    <row r="21" spans="2:12" ht="12.75" hidden="1" customHeight="1" x14ac:dyDescent="0.3">
      <c r="B21" s="346">
        <v>3</v>
      </c>
      <c r="C21" s="545" t="s">
        <v>423</v>
      </c>
      <c r="D21" s="501" t="s">
        <v>427</v>
      </c>
      <c r="E21" s="501" t="s">
        <v>389</v>
      </c>
      <c r="F21" s="517" t="s">
        <v>428</v>
      </c>
      <c r="G21" s="501" t="s">
        <v>151</v>
      </c>
      <c r="H21" s="517" t="s">
        <v>429</v>
      </c>
      <c r="I21" s="501" t="s">
        <v>430</v>
      </c>
      <c r="J21" s="522"/>
      <c r="K21" s="519">
        <v>45651</v>
      </c>
      <c r="L21" s="520"/>
    </row>
    <row r="22" spans="2:12" ht="12.75" hidden="1" customHeight="1" x14ac:dyDescent="0.3">
      <c r="B22" s="346">
        <v>3</v>
      </c>
      <c r="C22" s="545" t="s">
        <v>423</v>
      </c>
      <c r="D22" s="501" t="s">
        <v>431</v>
      </c>
      <c r="E22" s="501" t="s">
        <v>389</v>
      </c>
      <c r="F22" s="517" t="s">
        <v>432</v>
      </c>
      <c r="G22" s="501" t="s">
        <v>151</v>
      </c>
      <c r="H22" s="517" t="s">
        <v>433</v>
      </c>
      <c r="I22" s="501" t="s">
        <v>415</v>
      </c>
      <c r="J22" s="519">
        <v>45650</v>
      </c>
      <c r="K22" s="520"/>
      <c r="L22" s="520"/>
    </row>
    <row r="23" spans="2:12" ht="12.75" hidden="1" customHeight="1" x14ac:dyDescent="0.3">
      <c r="B23" s="346">
        <v>3</v>
      </c>
      <c r="C23" s="545" t="s">
        <v>423</v>
      </c>
      <c r="D23" s="501" t="s">
        <v>434</v>
      </c>
      <c r="E23" s="501" t="s">
        <v>389</v>
      </c>
      <c r="F23" s="517" t="s">
        <v>435</v>
      </c>
      <c r="G23" s="501" t="s">
        <v>151</v>
      </c>
      <c r="H23" s="517" t="s">
        <v>436</v>
      </c>
      <c r="I23" s="501" t="s">
        <v>415</v>
      </c>
      <c r="J23" s="519">
        <v>45650</v>
      </c>
      <c r="K23" s="520"/>
      <c r="L23" s="520"/>
    </row>
    <row r="24" spans="2:12" ht="12.75" customHeight="1" x14ac:dyDescent="0.3">
      <c r="B24" s="346">
        <v>4</v>
      </c>
      <c r="C24" s="545" t="s">
        <v>437</v>
      </c>
      <c r="D24" s="514" t="s">
        <v>438</v>
      </c>
      <c r="E24" s="501" t="s">
        <v>389</v>
      </c>
      <c r="F24" s="515" t="s">
        <v>121</v>
      </c>
      <c r="G24" s="514" t="s">
        <v>29</v>
      </c>
      <c r="H24" s="515" t="s">
        <v>439</v>
      </c>
      <c r="I24" s="514" t="s">
        <v>440</v>
      </c>
      <c r="J24" s="514" t="s">
        <v>441</v>
      </c>
      <c r="K24" s="514">
        <v>1</v>
      </c>
      <c r="L24" s="514">
        <v>2</v>
      </c>
    </row>
    <row r="25" spans="2:12" ht="12.75" customHeight="1" x14ac:dyDescent="0.3">
      <c r="B25" s="346">
        <v>4</v>
      </c>
      <c r="C25" s="545" t="s">
        <v>437</v>
      </c>
      <c r="D25" s="501" t="s">
        <v>442</v>
      </c>
      <c r="E25" s="501" t="s">
        <v>266</v>
      </c>
      <c r="F25" s="517" t="s">
        <v>443</v>
      </c>
      <c r="G25" s="501" t="s">
        <v>29</v>
      </c>
      <c r="H25" s="517" t="s">
        <v>444</v>
      </c>
      <c r="I25" s="501" t="s">
        <v>445</v>
      </c>
      <c r="J25" s="519">
        <v>45559</v>
      </c>
      <c r="K25" s="514" t="s">
        <v>140</v>
      </c>
      <c r="L25" s="514" t="s">
        <v>140</v>
      </c>
    </row>
    <row r="26" spans="2:12" ht="26" x14ac:dyDescent="0.3">
      <c r="B26" s="346">
        <v>5</v>
      </c>
      <c r="C26" s="545" t="s">
        <v>446</v>
      </c>
      <c r="D26" s="514" t="s">
        <v>447</v>
      </c>
      <c r="E26" s="501" t="s">
        <v>266</v>
      </c>
      <c r="F26" s="515" t="s">
        <v>448</v>
      </c>
      <c r="G26" s="514" t="s">
        <v>29</v>
      </c>
      <c r="H26" s="515" t="s">
        <v>266</v>
      </c>
      <c r="I26" s="501" t="s">
        <v>415</v>
      </c>
      <c r="J26" s="521">
        <v>45467</v>
      </c>
      <c r="K26" s="520"/>
      <c r="L26" s="520"/>
    </row>
    <row r="27" spans="2:12" ht="12.75" hidden="1" customHeight="1" x14ac:dyDescent="0.3">
      <c r="B27" s="346">
        <v>6</v>
      </c>
      <c r="C27" s="545" t="s">
        <v>449</v>
      </c>
      <c r="D27" s="501" t="s">
        <v>450</v>
      </c>
      <c r="E27" s="501" t="s">
        <v>389</v>
      </c>
      <c r="F27" s="517" t="s">
        <v>451</v>
      </c>
      <c r="G27" s="501" t="s">
        <v>187</v>
      </c>
      <c r="H27" s="517" t="s">
        <v>452</v>
      </c>
      <c r="I27" s="501" t="s">
        <v>453</v>
      </c>
      <c r="J27" s="519">
        <v>45467</v>
      </c>
      <c r="K27" s="519">
        <v>45468</v>
      </c>
      <c r="L27" s="519">
        <v>45469</v>
      </c>
    </row>
    <row r="28" spans="2:12" ht="12.75" hidden="1" customHeight="1" x14ac:dyDescent="0.3">
      <c r="B28" s="346">
        <v>6</v>
      </c>
      <c r="C28" s="545" t="s">
        <v>449</v>
      </c>
      <c r="D28" s="501" t="s">
        <v>454</v>
      </c>
      <c r="E28" s="501" t="s">
        <v>389</v>
      </c>
      <c r="F28" s="517" t="s">
        <v>455</v>
      </c>
      <c r="G28" s="501" t="s">
        <v>96</v>
      </c>
      <c r="H28" s="517" t="s">
        <v>266</v>
      </c>
      <c r="I28" s="501" t="s">
        <v>415</v>
      </c>
      <c r="J28" s="519">
        <v>45559</v>
      </c>
      <c r="K28" s="523"/>
      <c r="L28" s="523"/>
    </row>
    <row r="29" spans="2:12" ht="12.75" hidden="1" customHeight="1" x14ac:dyDescent="0.3">
      <c r="B29" s="346">
        <v>6</v>
      </c>
      <c r="C29" s="545" t="s">
        <v>449</v>
      </c>
      <c r="D29" s="501" t="s">
        <v>456</v>
      </c>
      <c r="E29" s="501" t="s">
        <v>389</v>
      </c>
      <c r="F29" s="517" t="s">
        <v>457</v>
      </c>
      <c r="G29" s="501" t="s">
        <v>187</v>
      </c>
      <c r="H29" s="517" t="s">
        <v>266</v>
      </c>
      <c r="I29" s="501" t="s">
        <v>415</v>
      </c>
      <c r="J29" s="519">
        <v>45497</v>
      </c>
      <c r="K29" s="523"/>
      <c r="L29" s="523"/>
    </row>
    <row r="30" spans="2:12" ht="13" hidden="1" x14ac:dyDescent="0.3">
      <c r="B30" s="346">
        <v>6</v>
      </c>
      <c r="C30" s="545" t="s">
        <v>449</v>
      </c>
      <c r="D30" s="501" t="s">
        <v>458</v>
      </c>
      <c r="E30" s="501" t="s">
        <v>389</v>
      </c>
      <c r="F30" s="517" t="s">
        <v>459</v>
      </c>
      <c r="G30" s="501" t="s">
        <v>109</v>
      </c>
      <c r="H30" s="517" t="s">
        <v>266</v>
      </c>
      <c r="I30" s="501" t="s">
        <v>415</v>
      </c>
      <c r="J30" s="519">
        <v>45559</v>
      </c>
      <c r="K30" s="519">
        <v>45560</v>
      </c>
      <c r="L30" s="519">
        <v>45561</v>
      </c>
    </row>
    <row r="31" spans="2:12" ht="13.4" hidden="1" customHeight="1" x14ac:dyDescent="0.3">
      <c r="B31" s="346">
        <v>6</v>
      </c>
      <c r="C31" s="545" t="s">
        <v>449</v>
      </c>
      <c r="D31" s="501" t="s">
        <v>460</v>
      </c>
      <c r="E31" s="501" t="s">
        <v>389</v>
      </c>
      <c r="F31" s="517" t="s">
        <v>461</v>
      </c>
      <c r="G31" s="501" t="s">
        <v>7</v>
      </c>
      <c r="H31" s="517" t="s">
        <v>266</v>
      </c>
      <c r="I31" s="501" t="s">
        <v>415</v>
      </c>
      <c r="J31" s="519">
        <v>45497</v>
      </c>
      <c r="K31" s="523"/>
      <c r="L31" s="523"/>
    </row>
    <row r="32" spans="2:12" ht="26" hidden="1" x14ac:dyDescent="0.3">
      <c r="B32" s="346">
        <v>7</v>
      </c>
      <c r="C32" s="545" t="s">
        <v>462</v>
      </c>
      <c r="D32" s="514" t="s">
        <v>463</v>
      </c>
      <c r="E32" s="501" t="s">
        <v>389</v>
      </c>
      <c r="F32" s="515" t="s">
        <v>464</v>
      </c>
      <c r="G32" s="514" t="s">
        <v>7</v>
      </c>
      <c r="H32" s="515" t="s">
        <v>266</v>
      </c>
      <c r="I32" s="501" t="s">
        <v>415</v>
      </c>
      <c r="J32" s="521">
        <v>45528</v>
      </c>
      <c r="K32" s="520"/>
      <c r="L32" s="520"/>
    </row>
    <row r="33" spans="2:12" ht="13.4" hidden="1" customHeight="1" x14ac:dyDescent="0.3">
      <c r="B33" s="346">
        <v>7</v>
      </c>
      <c r="C33" s="545" t="s">
        <v>462</v>
      </c>
      <c r="D33" s="501" t="s">
        <v>465</v>
      </c>
      <c r="E33" s="501" t="s">
        <v>389</v>
      </c>
      <c r="F33" s="517" t="s">
        <v>466</v>
      </c>
      <c r="G33" s="501" t="s">
        <v>7</v>
      </c>
      <c r="H33" s="517" t="s">
        <v>266</v>
      </c>
      <c r="I33" s="501" t="s">
        <v>415</v>
      </c>
      <c r="J33" s="519">
        <v>45528</v>
      </c>
      <c r="K33" s="520"/>
      <c r="L33" s="520"/>
    </row>
    <row r="34" spans="2:12" ht="13.4" hidden="1" customHeight="1" x14ac:dyDescent="0.3">
      <c r="B34" s="346">
        <v>7</v>
      </c>
      <c r="C34" s="545" t="s">
        <v>462</v>
      </c>
      <c r="D34" s="501" t="s">
        <v>467</v>
      </c>
      <c r="E34" s="501" t="s">
        <v>389</v>
      </c>
      <c r="F34" s="517" t="s">
        <v>468</v>
      </c>
      <c r="G34" s="501" t="s">
        <v>151</v>
      </c>
      <c r="H34" s="517" t="s">
        <v>266</v>
      </c>
      <c r="I34" t="s">
        <v>415</v>
      </c>
      <c r="J34" s="519">
        <v>45650</v>
      </c>
      <c r="K34" s="520"/>
      <c r="L34" s="520"/>
    </row>
    <row r="35" spans="2:12" ht="13.4" customHeight="1" x14ac:dyDescent="0.3">
      <c r="D35" s="28"/>
      <c r="E35" s="28"/>
      <c r="F35" s="358"/>
      <c r="G35" s="28"/>
      <c r="H35" s="358"/>
      <c r="I35" s="28"/>
      <c r="J35" s="28"/>
    </row>
    <row r="36" spans="2:12" ht="13.4" customHeight="1" x14ac:dyDescent="0.3">
      <c r="D36" s="28"/>
      <c r="E36" s="28"/>
      <c r="F36" s="358"/>
      <c r="G36" s="28"/>
      <c r="H36" s="358"/>
      <c r="I36" s="28"/>
      <c r="J36" s="28"/>
    </row>
    <row r="37" spans="2:12" ht="13.4" customHeight="1" x14ac:dyDescent="0.3">
      <c r="D37" s="28"/>
      <c r="E37" s="28"/>
      <c r="F37" s="358"/>
      <c r="G37" s="28"/>
      <c r="H37" s="358"/>
      <c r="I37" s="28"/>
      <c r="J37" s="28"/>
    </row>
    <row r="38" spans="2:12" ht="13.4" customHeight="1" x14ac:dyDescent="0.3">
      <c r="D38" s="28"/>
      <c r="E38" s="28"/>
      <c r="F38" s="358"/>
      <c r="G38" s="28"/>
      <c r="H38" s="358"/>
      <c r="I38" s="28"/>
      <c r="J38" s="28"/>
    </row>
    <row r="39" spans="2:12" ht="13.4" customHeight="1" x14ac:dyDescent="0.3">
      <c r="D39" s="28"/>
      <c r="E39" s="28"/>
      <c r="F39" s="358"/>
      <c r="G39" s="28"/>
      <c r="H39" s="358"/>
      <c r="I39" s="28"/>
      <c r="J39" s="28"/>
    </row>
    <row r="40" spans="2:12" ht="13.4" customHeight="1" x14ac:dyDescent="0.3">
      <c r="D40" s="28"/>
      <c r="E40" s="28"/>
      <c r="F40" s="358"/>
      <c r="G40" s="28"/>
      <c r="H40" s="358"/>
      <c r="I40" s="28"/>
      <c r="J40" s="28"/>
    </row>
    <row r="41" spans="2:12" ht="13.4" customHeight="1" x14ac:dyDescent="0.3">
      <c r="D41" s="28"/>
      <c r="E41" s="28"/>
      <c r="F41" s="358"/>
      <c r="G41" s="28"/>
      <c r="H41" s="358"/>
      <c r="I41" s="28"/>
      <c r="J41" s="28"/>
    </row>
    <row r="42" spans="2:12" ht="13.4" customHeight="1" x14ac:dyDescent="0.3"/>
    <row r="43" spans="2:12" ht="13.4" customHeight="1" x14ac:dyDescent="0.3"/>
    <row r="44" spans="2:12" ht="13.4" customHeight="1" x14ac:dyDescent="0.3"/>
    <row r="45" spans="2:12" ht="13.4" customHeight="1" x14ac:dyDescent="0.3"/>
    <row r="46" spans="2:12" ht="13.4" customHeight="1" x14ac:dyDescent="0.3"/>
    <row r="47" spans="2:12" ht="13.4" customHeight="1" x14ac:dyDescent="0.3"/>
    <row r="48" spans="2:12" ht="13.4" customHeight="1" x14ac:dyDescent="0.3"/>
    <row r="49" ht="13.4" customHeight="1" x14ac:dyDescent="0.3"/>
    <row r="50" ht="13.4" customHeight="1" x14ac:dyDescent="0.3"/>
    <row r="51" ht="13.4" customHeight="1" x14ac:dyDescent="0.3"/>
    <row r="52" ht="11.5" hidden="1" customHeight="1" x14ac:dyDescent="0.3"/>
    <row r="53" ht="13.4" customHeight="1" x14ac:dyDescent="0.3"/>
  </sheetData>
  <mergeCells count="1">
    <mergeCell ref="D4:F6"/>
  </mergeCells>
  <conditionalFormatting sqref="K10:L34">
    <cfRule type="containsBlanks" dxfId="2" priority="1">
      <formula>LEN(TRIM(K10))=0</formula>
    </cfRule>
  </conditionalFormatting>
  <dataValidations count="1">
    <dataValidation type="list" allowBlank="1" showInputMessage="1" showErrorMessage="1" sqref="E10:E34" xr:uid="{52F59BAB-BC51-4257-A66D-6F6D54ADBEFE}">
      <formula1>"Waiting, In Progress, Complete, Delayed, Cancelled"</formula1>
    </dataValidation>
  </dataValidations>
  <pageMargins left="0.7" right="0.7" top="0.75" bottom="0.75" header="0.3" footer="0.3"/>
  <pageSetup scale="53" orientation="landscape"/>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31760-9AC4-44C9-AE21-DA5695FA5119}">
  <sheetPr codeName="Sheet9">
    <pageSetUpPr fitToPage="1"/>
  </sheetPr>
  <dimension ref="B1:O41"/>
  <sheetViews>
    <sheetView showGridLines="0" workbookViewId="0">
      <pane ySplit="9" topLeftCell="A18" activePane="bottomLeft" state="frozen"/>
      <selection pane="bottomLeft" activeCell="H17" sqref="H17"/>
    </sheetView>
  </sheetViews>
  <sheetFormatPr defaultColWidth="27.54296875" defaultRowHeight="0" customHeight="1" zeroHeight="1" x14ac:dyDescent="0.3"/>
  <cols>
    <col min="1" max="1" width="3" style="28" customWidth="1"/>
    <col min="2" max="2" width="4.81640625" style="28" customWidth="1"/>
    <col min="3" max="3" width="27.54296875" style="28"/>
    <col min="4" max="4" width="33.1796875" style="204" customWidth="1"/>
    <col min="5" max="5" width="29.81640625" style="204" customWidth="1"/>
    <col min="6" max="6" width="27.54296875" style="204"/>
    <col min="7" max="8" width="32.453125" style="204" customWidth="1"/>
    <col min="9" max="9" width="27.54296875" style="204"/>
    <col min="10" max="10" width="10.81640625" style="204" bestFit="1" customWidth="1"/>
    <col min="11" max="11" width="27.54296875" style="204"/>
    <col min="12" max="12" width="54.81640625" style="204" customWidth="1"/>
    <col min="13" max="16384" width="27.54296875" style="28"/>
  </cols>
  <sheetData>
    <row r="1" spans="2:15" ht="13" x14ac:dyDescent="0.3"/>
    <row r="2" spans="2:15" ht="13" x14ac:dyDescent="0.3">
      <c r="B2" s="281"/>
      <c r="C2" s="282"/>
      <c r="D2" s="283"/>
      <c r="E2" s="284"/>
      <c r="F2" s="284"/>
      <c r="G2" s="284"/>
      <c r="H2" s="284"/>
      <c r="I2" s="284"/>
      <c r="J2" s="284"/>
      <c r="K2" s="285"/>
      <c r="L2" s="285"/>
    </row>
    <row r="3" spans="2:15" ht="13.4" customHeight="1" x14ac:dyDescent="0.3">
      <c r="B3" s="281"/>
      <c r="C3" s="286"/>
      <c r="D3" s="287"/>
      <c r="E3" s="287"/>
      <c r="F3" s="284"/>
      <c r="G3" s="284"/>
      <c r="H3" s="287"/>
      <c r="I3" s="287"/>
      <c r="J3" s="287"/>
      <c r="K3" s="287"/>
      <c r="L3" s="285"/>
      <c r="M3" s="435"/>
      <c r="N3" s="435"/>
      <c r="O3" s="435"/>
    </row>
    <row r="4" spans="2:15" ht="13.4" customHeight="1" x14ac:dyDescent="0.3">
      <c r="B4" s="281"/>
      <c r="C4" s="286"/>
      <c r="D4" s="288"/>
      <c r="E4" s="921" t="s">
        <v>469</v>
      </c>
      <c r="F4" s="921"/>
      <c r="G4" s="921"/>
      <c r="H4" s="921"/>
      <c r="I4" s="288"/>
      <c r="J4" s="288"/>
      <c r="K4" s="288"/>
      <c r="L4" s="285"/>
      <c r="M4" s="435"/>
      <c r="N4" s="435"/>
      <c r="O4" s="435"/>
    </row>
    <row r="5" spans="2:15" ht="13.4" customHeight="1" x14ac:dyDescent="0.3">
      <c r="B5" s="281"/>
      <c r="C5" s="286"/>
      <c r="D5" s="288"/>
      <c r="E5" s="921"/>
      <c r="F5" s="921"/>
      <c r="G5" s="921"/>
      <c r="H5" s="921"/>
      <c r="I5" s="288"/>
      <c r="J5" s="288"/>
      <c r="K5" s="288"/>
      <c r="L5" s="285"/>
      <c r="M5" s="435"/>
      <c r="N5" s="435"/>
      <c r="O5" s="435"/>
    </row>
    <row r="6" spans="2:15" ht="28.5" x14ac:dyDescent="0.3">
      <c r="B6" s="281"/>
      <c r="C6" s="286"/>
      <c r="D6" s="288"/>
      <c r="E6" s="921"/>
      <c r="F6" s="921"/>
      <c r="G6" s="921"/>
      <c r="H6" s="921"/>
      <c r="I6" s="288"/>
      <c r="J6" s="288"/>
      <c r="K6" s="288"/>
      <c r="L6" s="285"/>
      <c r="M6" s="435"/>
      <c r="N6" s="435"/>
      <c r="O6" s="435"/>
    </row>
    <row r="7" spans="2:15" ht="13" x14ac:dyDescent="0.3">
      <c r="B7" s="281"/>
      <c r="C7" s="282"/>
      <c r="D7" s="283"/>
      <c r="E7" s="284"/>
      <c r="F7" s="284"/>
      <c r="G7" s="284"/>
      <c r="H7" s="284"/>
      <c r="I7" s="284"/>
      <c r="J7" s="284"/>
      <c r="K7" s="285"/>
      <c r="L7" s="285"/>
    </row>
    <row r="8" spans="2:15" ht="13" x14ac:dyDescent="0.3"/>
    <row r="9" spans="2:15" ht="14.5" x14ac:dyDescent="0.3">
      <c r="B9" s="441" t="s">
        <v>377</v>
      </c>
      <c r="C9" s="441" t="s">
        <v>470</v>
      </c>
      <c r="D9" s="441" t="s">
        <v>471</v>
      </c>
      <c r="E9" s="441" t="s">
        <v>472</v>
      </c>
      <c r="F9" s="441" t="s">
        <v>473</v>
      </c>
      <c r="G9" s="441" t="s">
        <v>474</v>
      </c>
      <c r="H9" s="441" t="s">
        <v>475</v>
      </c>
      <c r="I9" s="441" t="s">
        <v>476</v>
      </c>
      <c r="J9" s="441" t="s">
        <v>477</v>
      </c>
      <c r="K9" s="441" t="s">
        <v>478</v>
      </c>
      <c r="L9" s="441" t="s">
        <v>479</v>
      </c>
    </row>
    <row r="10" spans="2:15" ht="94.5" customHeight="1" x14ac:dyDescent="0.3">
      <c r="B10" s="436">
        <v>1</v>
      </c>
      <c r="C10" s="437" t="s">
        <v>480</v>
      </c>
      <c r="D10" s="439" t="s">
        <v>481</v>
      </c>
      <c r="E10" s="438" t="s">
        <v>480</v>
      </c>
      <c r="F10" s="439" t="s">
        <v>482</v>
      </c>
      <c r="G10" s="439" t="s">
        <v>483</v>
      </c>
      <c r="H10" s="439" t="s">
        <v>484</v>
      </c>
      <c r="I10" s="439" t="s">
        <v>485</v>
      </c>
      <c r="J10" s="439" t="s">
        <v>486</v>
      </c>
      <c r="K10" s="439" t="s">
        <v>487</v>
      </c>
      <c r="L10" s="499" t="s">
        <v>488</v>
      </c>
    </row>
    <row r="11" spans="2:15" ht="13" x14ac:dyDescent="0.3">
      <c r="B11" s="436">
        <v>2</v>
      </c>
      <c r="C11" s="437" t="s">
        <v>489</v>
      </c>
      <c r="D11" s="439"/>
      <c r="E11" s="438" t="s">
        <v>490</v>
      </c>
      <c r="F11" s="439" t="s">
        <v>491</v>
      </c>
      <c r="G11" s="439"/>
      <c r="H11" s="439"/>
      <c r="I11" s="439"/>
      <c r="J11" s="439"/>
      <c r="K11" s="439" t="s">
        <v>492</v>
      </c>
      <c r="L11" s="28"/>
    </row>
    <row r="12" spans="2:15" ht="60" x14ac:dyDescent="0.3">
      <c r="B12" s="436">
        <v>3</v>
      </c>
      <c r="C12" s="437" t="s">
        <v>493</v>
      </c>
      <c r="D12" s="439" t="s">
        <v>494</v>
      </c>
      <c r="E12" s="438" t="s">
        <v>495</v>
      </c>
      <c r="F12" s="439" t="s">
        <v>482</v>
      </c>
      <c r="G12" s="439" t="s">
        <v>496</v>
      </c>
      <c r="H12" s="439" t="s">
        <v>497</v>
      </c>
      <c r="I12" s="439" t="s">
        <v>498</v>
      </c>
      <c r="J12" s="439" t="s">
        <v>499</v>
      </c>
      <c r="K12" s="439"/>
      <c r="L12" s="498" t="s">
        <v>500</v>
      </c>
    </row>
    <row r="13" spans="2:15" ht="26" x14ac:dyDescent="0.3">
      <c r="B13" s="436">
        <v>4</v>
      </c>
      <c r="C13" s="437" t="s">
        <v>501</v>
      </c>
      <c r="D13" s="439"/>
      <c r="E13" s="438" t="s">
        <v>502</v>
      </c>
      <c r="F13" s="439" t="s">
        <v>503</v>
      </c>
      <c r="G13" s="439" t="s">
        <v>504</v>
      </c>
      <c r="H13" s="439"/>
      <c r="I13" s="439"/>
      <c r="J13" s="439"/>
      <c r="K13" s="439" t="s">
        <v>505</v>
      </c>
      <c r="L13" s="28"/>
    </row>
    <row r="14" spans="2:15" ht="83.25" customHeight="1" x14ac:dyDescent="0.3">
      <c r="B14" s="436">
        <v>5</v>
      </c>
      <c r="C14" s="437" t="s">
        <v>506</v>
      </c>
      <c r="D14" s="439" t="s">
        <v>507</v>
      </c>
      <c r="E14" s="438" t="s">
        <v>508</v>
      </c>
      <c r="F14" s="439" t="s">
        <v>482</v>
      </c>
      <c r="G14" s="439" t="s">
        <v>509</v>
      </c>
      <c r="H14" s="439" t="s">
        <v>510</v>
      </c>
      <c r="I14" s="439" t="s">
        <v>511</v>
      </c>
      <c r="J14" s="439" t="s">
        <v>499</v>
      </c>
      <c r="K14" s="439" t="s">
        <v>512</v>
      </c>
      <c r="L14" s="497" t="s">
        <v>513</v>
      </c>
    </row>
    <row r="15" spans="2:15" ht="26" x14ac:dyDescent="0.3">
      <c r="B15" s="436">
        <v>6</v>
      </c>
      <c r="C15" s="437" t="s">
        <v>514</v>
      </c>
      <c r="D15" s="439"/>
      <c r="E15" s="438" t="s">
        <v>515</v>
      </c>
      <c r="F15" s="439" t="s">
        <v>491</v>
      </c>
      <c r="G15" s="439" t="s">
        <v>516</v>
      </c>
      <c r="H15" s="439"/>
      <c r="I15" s="439"/>
      <c r="J15" s="439"/>
      <c r="K15" s="439"/>
      <c r="L15" s="28"/>
    </row>
    <row r="16" spans="2:15" ht="26" x14ac:dyDescent="0.3">
      <c r="B16" s="436">
        <v>7</v>
      </c>
      <c r="C16" s="437" t="s">
        <v>517</v>
      </c>
      <c r="D16" s="439"/>
      <c r="E16" s="438" t="s">
        <v>518</v>
      </c>
      <c r="F16" s="439" t="s">
        <v>491</v>
      </c>
      <c r="G16" s="439" t="s">
        <v>519</v>
      </c>
      <c r="H16" s="439"/>
      <c r="I16" s="439"/>
      <c r="J16" s="439"/>
      <c r="K16" s="439"/>
      <c r="L16" s="28"/>
    </row>
    <row r="17" spans="2:12" ht="80.150000000000006" customHeight="1" x14ac:dyDescent="0.3">
      <c r="B17" s="443">
        <v>8</v>
      </c>
      <c r="C17" s="444" t="s">
        <v>520</v>
      </c>
      <c r="D17" s="445" t="s">
        <v>521</v>
      </c>
      <c r="E17" s="446" t="s">
        <v>522</v>
      </c>
      <c r="F17" s="445" t="s">
        <v>482</v>
      </c>
      <c r="G17" s="445" t="s">
        <v>523</v>
      </c>
      <c r="H17" s="445" t="s">
        <v>524</v>
      </c>
      <c r="I17" s="546" t="s">
        <v>525</v>
      </c>
      <c r="J17" s="445" t="s">
        <v>526</v>
      </c>
      <c r="K17" s="447"/>
      <c r="L17" s="447" t="s">
        <v>527</v>
      </c>
    </row>
    <row r="18" spans="2:12" ht="201" customHeight="1" x14ac:dyDescent="0.3">
      <c r="B18" s="436">
        <v>9</v>
      </c>
      <c r="C18" s="437" t="s">
        <v>528</v>
      </c>
      <c r="D18" s="439" t="s">
        <v>529</v>
      </c>
      <c r="E18" s="438" t="s">
        <v>530</v>
      </c>
      <c r="F18" s="439" t="s">
        <v>482</v>
      </c>
      <c r="G18" s="439" t="s">
        <v>531</v>
      </c>
      <c r="H18" s="439" t="s">
        <v>532</v>
      </c>
      <c r="I18" s="439" t="s">
        <v>533</v>
      </c>
      <c r="J18" s="440" t="s">
        <v>534</v>
      </c>
      <c r="K18" s="440" t="s">
        <v>535</v>
      </c>
      <c r="L18" s="28"/>
    </row>
    <row r="19" spans="2:12" ht="13.4" customHeight="1" x14ac:dyDescent="0.3">
      <c r="K19" s="28"/>
      <c r="L19" s="28"/>
    </row>
    <row r="20" spans="2:12" ht="13.4" customHeight="1" x14ac:dyDescent="0.3"/>
    <row r="21" spans="2:12" ht="13.4" customHeight="1" x14ac:dyDescent="0.35">
      <c r="B21" s="938"/>
      <c r="C21" s="938"/>
    </row>
    <row r="22" spans="2:12" ht="13.4" customHeight="1" x14ac:dyDescent="0.35">
      <c r="B22" s="938"/>
      <c r="C22" s="938"/>
    </row>
    <row r="23" spans="2:12" ht="13.4" customHeight="1" x14ac:dyDescent="0.3"/>
    <row r="24" spans="2:12" ht="13.4" customHeight="1" x14ac:dyDescent="0.3"/>
    <row r="25" spans="2:12" ht="13.4" customHeight="1" x14ac:dyDescent="0.3"/>
    <row r="26" spans="2:12" ht="13.4" customHeight="1" x14ac:dyDescent="0.3"/>
    <row r="27" spans="2:12" ht="13.4" customHeight="1" x14ac:dyDescent="0.3"/>
    <row r="28" spans="2:12" ht="13.4" customHeight="1" x14ac:dyDescent="0.3"/>
    <row r="29" spans="2:12" ht="13.4" customHeight="1" x14ac:dyDescent="0.3"/>
    <row r="30" spans="2:12" ht="13.4" customHeight="1" x14ac:dyDescent="0.3"/>
    <row r="31" spans="2:12" ht="13.4" customHeight="1" x14ac:dyDescent="0.3"/>
    <row r="32" spans="2:12" ht="13.4" customHeight="1" x14ac:dyDescent="0.3"/>
    <row r="33" ht="13.4" customHeight="1" x14ac:dyDescent="0.3"/>
    <row r="34" ht="13.4" customHeight="1" x14ac:dyDescent="0.3"/>
    <row r="35" ht="13.4" customHeight="1" x14ac:dyDescent="0.3"/>
    <row r="36" ht="13.4" customHeight="1" x14ac:dyDescent="0.3"/>
    <row r="37" ht="13.4" customHeight="1" x14ac:dyDescent="0.3"/>
    <row r="38" ht="13.4" customHeight="1" x14ac:dyDescent="0.3"/>
    <row r="39" ht="13.4" customHeight="1" x14ac:dyDescent="0.3"/>
    <row r="40" ht="14.15" hidden="1" customHeight="1" x14ac:dyDescent="0.3"/>
    <row r="41" ht="13.4" customHeight="1" x14ac:dyDescent="0.3"/>
  </sheetData>
  <mergeCells count="3">
    <mergeCell ref="B22:C22"/>
    <mergeCell ref="B21:C21"/>
    <mergeCell ref="E4:H6"/>
  </mergeCells>
  <dataValidations count="1">
    <dataValidation type="list" allowBlank="1" showInputMessage="1" showErrorMessage="1" sqref="G11 F10:F18" xr:uid="{8152BFF0-80F5-4122-BAF8-4F2256AF7DA6}">
      <formula1>"To be Contacted, Got response from the company, Emailed to the company, No response"</formula1>
    </dataValidation>
  </dataValidations>
  <hyperlinks>
    <hyperlink ref="E10" r:id="rId1" xr:uid="{A70CBA5B-5306-4C50-8FF6-6247EA83B89F}"/>
    <hyperlink ref="E11" r:id="rId2" xr:uid="{C77901B7-6DC7-4F6A-A872-11290C7DB448}"/>
    <hyperlink ref="E12" r:id="rId3" location="open" xr:uid="{96BEDE27-A267-4F98-A57F-6CC5B6B00F05}"/>
    <hyperlink ref="E13" r:id="rId4" xr:uid="{734217C9-7C94-4ACC-AAE0-8FDC2963FE47}"/>
    <hyperlink ref="E14" r:id="rId5" xr:uid="{0E367268-5C95-4A80-87B8-04D730813DDE}"/>
    <hyperlink ref="E15" r:id="rId6" xr:uid="{50A00C71-9772-4C86-9ECE-6BD9CC9D8C5E}"/>
    <hyperlink ref="E16" r:id="rId7" xr:uid="{B5CFED80-0A38-4510-B900-FD785447B7E6}"/>
    <hyperlink ref="E17" r:id="rId8" xr:uid="{310A08BE-5910-457D-A760-6CF7C87EB5FA}"/>
    <hyperlink ref="E18" r:id="rId9" xr:uid="{8B57622E-AE7F-418D-8EE7-838A006933FF}"/>
  </hyperlinks>
  <pageMargins left="0.7" right="0.7" top="0.75" bottom="0.75" header="0.3" footer="0.3"/>
  <pageSetup scale="53" orientation="landscape"/>
  <drawing r:id="rId10"/>
  <tableParts count="1">
    <tablePart r:id="rId1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A2240-F5FD-4E0D-A512-879D2FDC7E0B}">
  <sheetPr codeName="Sheet13">
    <pageSetUpPr fitToPage="1"/>
  </sheetPr>
  <dimension ref="A1:X67"/>
  <sheetViews>
    <sheetView showGridLines="0" workbookViewId="0">
      <selection activeCell="D50" sqref="D50"/>
    </sheetView>
  </sheetViews>
  <sheetFormatPr defaultColWidth="0" defaultRowHeight="13.4" customHeight="1" zeroHeight="1" x14ac:dyDescent="0.25"/>
  <cols>
    <col min="1" max="1" width="1.1796875" customWidth="1"/>
    <col min="2" max="2" width="27.81640625" customWidth="1"/>
    <col min="3" max="3" width="4.81640625" customWidth="1"/>
    <col min="4" max="4" width="58.54296875" customWidth="1"/>
    <col min="5" max="5" width="5.1796875" customWidth="1"/>
    <col min="6" max="6" width="14.1796875" customWidth="1"/>
    <col min="7" max="7" width="27.81640625" customWidth="1"/>
    <col min="8" max="8" width="16.1796875" customWidth="1"/>
    <col min="9" max="9" width="116.81640625" bestFit="1" customWidth="1"/>
    <col min="10" max="11" width="12.81640625" customWidth="1"/>
    <col min="12" max="12" width="3.81640625" customWidth="1"/>
    <col min="13" max="13" width="12.81640625" customWidth="1"/>
    <col min="14" max="14" width="1.81640625" customWidth="1"/>
    <col min="15" max="15" width="3.1796875" customWidth="1"/>
    <col min="16" max="16" width="1.1796875" customWidth="1"/>
    <col min="17" max="17" width="37" customWidth="1"/>
    <col min="18" max="18" width="1.1796875" customWidth="1"/>
    <col min="19" max="19" width="21.453125" customWidth="1"/>
    <col min="20" max="20" width="3.81640625" customWidth="1"/>
    <col min="21" max="21" width="8.81640625" hidden="1" customWidth="1"/>
    <col min="22" max="24" width="0" hidden="1" customWidth="1"/>
    <col min="25" max="16384" width="8.81640625" hidden="1"/>
  </cols>
  <sheetData>
    <row r="1" spans="2:6" ht="12.5" x14ac:dyDescent="0.25"/>
    <row r="2" spans="2:6" ht="12.5" x14ac:dyDescent="0.25">
      <c r="B2" t="s">
        <v>91</v>
      </c>
      <c r="D2" t="s">
        <v>92</v>
      </c>
      <c r="F2" t="s">
        <v>536</v>
      </c>
    </row>
    <row r="3" spans="2:6" ht="12.5" x14ac:dyDescent="0.25">
      <c r="B3" t="s">
        <v>537</v>
      </c>
      <c r="D3" t="s">
        <v>537</v>
      </c>
      <c r="F3" s="29">
        <v>100</v>
      </c>
    </row>
    <row r="4" spans="2:6" ht="12.5" x14ac:dyDescent="0.25">
      <c r="B4" t="s">
        <v>53</v>
      </c>
      <c r="D4" t="s">
        <v>53</v>
      </c>
      <c r="F4" s="29">
        <v>50</v>
      </c>
    </row>
    <row r="5" spans="2:6" ht="12.5" x14ac:dyDescent="0.25">
      <c r="B5" t="s">
        <v>29</v>
      </c>
      <c r="D5" t="s">
        <v>29</v>
      </c>
      <c r="F5" s="29">
        <v>0</v>
      </c>
    </row>
    <row r="6" spans="2:6" ht="12.5" x14ac:dyDescent="0.25">
      <c r="B6" t="s">
        <v>96</v>
      </c>
      <c r="D6" t="s">
        <v>96</v>
      </c>
    </row>
    <row r="7" spans="2:6" ht="12.5" x14ac:dyDescent="0.25">
      <c r="B7" t="s">
        <v>109</v>
      </c>
      <c r="D7" t="s">
        <v>109</v>
      </c>
    </row>
    <row r="8" spans="2:6" ht="12.5" x14ac:dyDescent="0.25">
      <c r="B8" t="s">
        <v>538</v>
      </c>
      <c r="D8" t="s">
        <v>538</v>
      </c>
    </row>
    <row r="9" spans="2:6" ht="12.5" x14ac:dyDescent="0.25">
      <c r="B9" t="s">
        <v>132</v>
      </c>
      <c r="D9" t="s">
        <v>132</v>
      </c>
    </row>
    <row r="10" spans="2:6" ht="12.5" x14ac:dyDescent="0.25">
      <c r="B10" t="s">
        <v>187</v>
      </c>
      <c r="D10" t="s">
        <v>187</v>
      </c>
    </row>
    <row r="11" spans="2:6" ht="12.5" x14ac:dyDescent="0.25">
      <c r="B11" t="s">
        <v>539</v>
      </c>
      <c r="D11" t="s">
        <v>539</v>
      </c>
    </row>
    <row r="12" spans="2:6" ht="12.5" x14ac:dyDescent="0.25">
      <c r="B12" t="s">
        <v>151</v>
      </c>
      <c r="D12" t="s">
        <v>99</v>
      </c>
    </row>
    <row r="13" spans="2:6" ht="12.5" x14ac:dyDescent="0.25">
      <c r="B13" t="s">
        <v>18</v>
      </c>
    </row>
    <row r="14" spans="2:6" ht="12.5" x14ac:dyDescent="0.25">
      <c r="B14" t="s">
        <v>99</v>
      </c>
    </row>
    <row r="15" spans="2:6" ht="12.5" x14ac:dyDescent="0.25"/>
    <row r="16" spans="2:6" ht="12.5" x14ac:dyDescent="0.25"/>
    <row r="17" spans="2:19" ht="12.5" x14ac:dyDescent="0.25"/>
    <row r="18" spans="2:19" ht="12.5" x14ac:dyDescent="0.25"/>
    <row r="19" spans="2:19" ht="12.5" x14ac:dyDescent="0.25"/>
    <row r="20" spans="2:19" ht="12.5" x14ac:dyDescent="0.25"/>
    <row r="21" spans="2:19" ht="12.5" x14ac:dyDescent="0.25"/>
    <row r="22" spans="2:19" ht="12.5" x14ac:dyDescent="0.25"/>
    <row r="23" spans="2:19" ht="12.5" x14ac:dyDescent="0.25"/>
    <row r="24" spans="2:19" ht="12.5" hidden="1" x14ac:dyDescent="0.25"/>
    <row r="25" spans="2:19" ht="13" hidden="1" x14ac:dyDescent="0.3">
      <c r="F25" s="28"/>
    </row>
    <row r="26" spans="2:19" ht="13" hidden="1" x14ac:dyDescent="0.3">
      <c r="F26" s="28"/>
    </row>
    <row r="27" spans="2:19" ht="13" hidden="1" x14ac:dyDescent="0.3">
      <c r="F27" s="28"/>
    </row>
    <row r="28" spans="2:19" ht="13" hidden="1" x14ac:dyDescent="0.3">
      <c r="F28" s="28"/>
    </row>
    <row r="29" spans="2:19" ht="13" hidden="1" x14ac:dyDescent="0.3">
      <c r="F29" s="28"/>
    </row>
    <row r="30" spans="2:19" ht="13" hidden="1" x14ac:dyDescent="0.3">
      <c r="G30" s="28"/>
      <c r="H30" s="28"/>
      <c r="I30" s="28"/>
    </row>
    <row r="31" spans="2:19" ht="13" hidden="1" x14ac:dyDescent="0.3">
      <c r="B31" s="28"/>
      <c r="C31" s="28"/>
      <c r="D31" s="28"/>
      <c r="E31" s="28"/>
      <c r="G31" s="28"/>
      <c r="H31" s="28"/>
      <c r="I31" s="28"/>
      <c r="J31" s="28"/>
      <c r="K31" s="28"/>
      <c r="L31" s="28"/>
      <c r="M31" s="28"/>
      <c r="N31" s="28"/>
      <c r="O31" s="28"/>
      <c r="P31" s="28"/>
      <c r="Q31" s="28"/>
      <c r="R31" s="28"/>
      <c r="S31" s="28"/>
    </row>
    <row r="32" spans="2:19" ht="13" hidden="1" x14ac:dyDescent="0.3">
      <c r="E32" s="28"/>
      <c r="G32" s="28"/>
      <c r="H32" s="28"/>
      <c r="I32" s="28"/>
      <c r="J32" s="28"/>
      <c r="K32" s="28"/>
      <c r="L32" s="28"/>
      <c r="M32" s="28"/>
    </row>
    <row r="33" spans="5:13" ht="13" hidden="1" x14ac:dyDescent="0.3">
      <c r="E33" s="28"/>
      <c r="G33" s="28"/>
      <c r="H33" s="28"/>
      <c r="I33" s="28"/>
      <c r="J33" s="28"/>
      <c r="K33" s="28"/>
      <c r="L33" s="28"/>
      <c r="M33" s="28"/>
    </row>
    <row r="34" spans="5:13" ht="13" hidden="1" x14ac:dyDescent="0.3">
      <c r="E34" s="28"/>
      <c r="G34" s="28"/>
      <c r="H34" s="28"/>
      <c r="I34" s="28"/>
      <c r="J34" s="28"/>
      <c r="K34" s="28"/>
      <c r="L34" s="28"/>
      <c r="M34" s="28"/>
    </row>
    <row r="35" spans="5:13" ht="13" hidden="1" x14ac:dyDescent="0.3">
      <c r="E35" s="28"/>
      <c r="J35" s="28"/>
      <c r="K35" s="28"/>
      <c r="L35" s="28"/>
      <c r="M35" s="28"/>
    </row>
    <row r="36" spans="5:13" ht="12.5" hidden="1" x14ac:dyDescent="0.25"/>
    <row r="37" spans="5:13" ht="12.5" hidden="1" x14ac:dyDescent="0.25"/>
    <row r="38" spans="5:13" ht="12.5" hidden="1" x14ac:dyDescent="0.25"/>
    <row r="39" spans="5:13" ht="12.5" hidden="1" x14ac:dyDescent="0.25"/>
    <row r="40" spans="5:13" ht="12.5" hidden="1" x14ac:dyDescent="0.25"/>
    <row r="41" spans="5:13" ht="12.5" hidden="1" x14ac:dyDescent="0.25"/>
    <row r="42" spans="5:13" ht="12.5" hidden="1" x14ac:dyDescent="0.25"/>
    <row r="43" spans="5:13" ht="12.5" hidden="1" x14ac:dyDescent="0.25"/>
    <row r="44" spans="5:13" ht="12.5" hidden="1" x14ac:dyDescent="0.25"/>
    <row r="45" spans="5:13" ht="12.5" hidden="1" x14ac:dyDescent="0.25"/>
    <row r="46" spans="5:13" ht="12.5" hidden="1" x14ac:dyDescent="0.25"/>
    <row r="47" spans="5:13" ht="12.5" hidden="1" x14ac:dyDescent="0.25"/>
    <row r="48" spans="5:13" ht="12.5" hidden="1" x14ac:dyDescent="0.25"/>
    <row r="49" ht="13.4" customHeight="1" x14ac:dyDescent="0.25"/>
    <row r="50" ht="13.4" customHeight="1" x14ac:dyDescent="0.25"/>
    <row r="51" ht="13.4" customHeight="1" x14ac:dyDescent="0.25"/>
    <row r="52" ht="13.4" customHeight="1" x14ac:dyDescent="0.25"/>
    <row r="53" ht="13.4" customHeight="1" x14ac:dyDescent="0.25"/>
    <row r="54" ht="13.4" customHeight="1" x14ac:dyDescent="0.25"/>
    <row r="55" ht="13.4" customHeight="1" x14ac:dyDescent="0.25"/>
    <row r="56" ht="13.4" customHeight="1" x14ac:dyDescent="0.25"/>
    <row r="57" ht="13.4" customHeight="1" x14ac:dyDescent="0.25"/>
    <row r="58" ht="13.4" customHeight="1" x14ac:dyDescent="0.25"/>
    <row r="59" ht="13.4" customHeight="1" x14ac:dyDescent="0.25"/>
    <row r="60" ht="13.4" customHeight="1" x14ac:dyDescent="0.25"/>
    <row r="61" ht="13.4" customHeight="1" x14ac:dyDescent="0.25"/>
    <row r="62" ht="13.4" customHeight="1" x14ac:dyDescent="0.25"/>
    <row r="63" ht="13.4" customHeight="1" x14ac:dyDescent="0.25"/>
    <row r="64" ht="13.4" customHeight="1" x14ac:dyDescent="0.25"/>
    <row r="65" ht="13.4" customHeight="1" x14ac:dyDescent="0.25"/>
    <row r="66" ht="13.4" customHeight="1" x14ac:dyDescent="0.25"/>
    <row r="67" ht="13.4" customHeight="1" x14ac:dyDescent="0.25"/>
  </sheetData>
  <pageMargins left="0.7" right="0.7" top="0.75" bottom="0.75" header="0.3" footer="0.3"/>
  <pageSetup scale="53" orientation="landscape"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0C2E5-9332-46C1-8EA4-B355E3550FAD}">
  <sheetPr>
    <pageSetUpPr fitToPage="1"/>
  </sheetPr>
  <dimension ref="A1:BX115"/>
  <sheetViews>
    <sheetView showGridLines="0" topLeftCell="A19" zoomScale="80" zoomScaleNormal="80" workbookViewId="0">
      <pane xSplit="3" topLeftCell="L1" activePane="topRight" state="frozen"/>
      <selection pane="topRight" activeCell="L79" sqref="L79"/>
    </sheetView>
  </sheetViews>
  <sheetFormatPr defaultColWidth="27.54296875" defaultRowHeight="0" customHeight="1" zeroHeight="1" x14ac:dyDescent="0.3"/>
  <cols>
    <col min="1" max="1" width="3" style="28" customWidth="1"/>
    <col min="2" max="2" width="32.54296875" style="28" bestFit="1" customWidth="1"/>
    <col min="3" max="3" width="15.453125" style="28" customWidth="1"/>
    <col min="4" max="5" width="12.54296875" style="204" customWidth="1"/>
    <col min="6" max="6" width="12.54296875" style="346" customWidth="1"/>
    <col min="7" max="7" width="12.54296875" style="204" customWidth="1"/>
    <col min="8" max="8" width="12.54296875" style="346" customWidth="1"/>
    <col min="9" max="10" width="12.54296875" style="204" customWidth="1"/>
    <col min="11" max="15" width="12.54296875" style="28" customWidth="1"/>
    <col min="16" max="16" width="17.453125" style="28" customWidth="1"/>
    <col min="17" max="19" width="13.81640625" style="28" customWidth="1"/>
    <col min="20" max="20" width="11.7265625" style="28" customWidth="1"/>
    <col min="21" max="21" width="14.453125" style="28" bestFit="1" customWidth="1"/>
    <col min="22" max="28" width="10.54296875" style="28" customWidth="1"/>
    <col min="29" max="30" width="11.453125" style="28" customWidth="1"/>
    <col min="31" max="31" width="12" style="28" customWidth="1"/>
    <col min="32" max="32" width="22.7265625" style="28" bestFit="1" customWidth="1"/>
    <col min="33" max="34" width="10.54296875" style="28" customWidth="1"/>
    <col min="35" max="16384" width="27.54296875" style="28"/>
  </cols>
  <sheetData>
    <row r="1" spans="1:32" ht="13" x14ac:dyDescent="0.3"/>
    <row r="2" spans="1:32" ht="13" x14ac:dyDescent="0.3">
      <c r="B2" s="281"/>
      <c r="C2" s="282"/>
      <c r="D2" s="768"/>
      <c r="E2" s="768"/>
      <c r="F2" s="768"/>
      <c r="G2" s="768"/>
      <c r="H2" s="768"/>
      <c r="I2" s="768"/>
      <c r="J2" s="768"/>
      <c r="K2" s="768"/>
      <c r="L2" s="768"/>
      <c r="M2" s="768"/>
      <c r="N2" s="768"/>
      <c r="O2" s="281"/>
      <c r="P2" s="281"/>
      <c r="Q2" s="281"/>
      <c r="R2" s="281"/>
      <c r="S2" s="281"/>
      <c r="T2" s="281"/>
      <c r="U2" s="281"/>
      <c r="V2" s="281"/>
      <c r="W2" s="281"/>
      <c r="X2" s="281"/>
      <c r="Y2" s="281"/>
      <c r="Z2" s="281"/>
      <c r="AA2" s="281"/>
      <c r="AB2" s="281"/>
      <c r="AC2" s="281"/>
      <c r="AD2" s="281"/>
      <c r="AE2" s="281"/>
      <c r="AF2" s="281"/>
    </row>
    <row r="3" spans="1:32" ht="12.65" customHeight="1" x14ac:dyDescent="0.3">
      <c r="B3" s="281"/>
      <c r="C3" s="286"/>
      <c r="D3" s="768"/>
      <c r="E3" s="768"/>
      <c r="F3" s="768"/>
      <c r="G3" s="768"/>
      <c r="H3" s="768"/>
      <c r="I3" s="768"/>
      <c r="J3" s="768"/>
      <c r="K3" s="768"/>
      <c r="L3" s="768"/>
      <c r="M3" s="768"/>
      <c r="N3" s="768"/>
      <c r="O3" s="281"/>
      <c r="P3" s="281"/>
      <c r="Q3" s="281"/>
      <c r="R3" s="281"/>
      <c r="S3" s="281"/>
      <c r="T3" s="281"/>
      <c r="U3" s="281"/>
      <c r="V3" s="281"/>
      <c r="W3" s="281"/>
      <c r="X3" s="281"/>
      <c r="Y3" s="281"/>
      <c r="Z3" s="281"/>
      <c r="AA3" s="281"/>
      <c r="AB3" s="281"/>
      <c r="AC3" s="281"/>
      <c r="AD3" s="281"/>
      <c r="AE3" s="281"/>
      <c r="AF3" s="281"/>
    </row>
    <row r="4" spans="1:32" ht="13.4" customHeight="1" x14ac:dyDescent="0.3">
      <c r="B4" s="281"/>
      <c r="C4" s="286"/>
      <c r="D4" s="768"/>
      <c r="E4" s="768"/>
      <c r="F4" s="768"/>
      <c r="G4" s="768"/>
      <c r="H4" s="768"/>
      <c r="I4" s="768"/>
      <c r="J4" s="768"/>
      <c r="K4" s="768"/>
      <c r="L4" s="768"/>
      <c r="M4" s="768"/>
      <c r="N4" s="768"/>
      <c r="O4" s="281"/>
      <c r="P4" s="281"/>
      <c r="Q4" s="281"/>
      <c r="R4" s="281"/>
      <c r="S4" s="281"/>
      <c r="T4" s="281"/>
      <c r="U4" s="281"/>
      <c r="V4" s="281"/>
      <c r="W4" s="281"/>
      <c r="X4" s="281"/>
      <c r="Y4" s="281"/>
      <c r="Z4" s="281"/>
      <c r="AA4" s="281"/>
      <c r="AB4" s="281"/>
      <c r="AC4" s="281"/>
      <c r="AD4" s="281"/>
      <c r="AE4" s="281"/>
      <c r="AF4" s="281"/>
    </row>
    <row r="5" spans="1:32" ht="26.5" customHeight="1" x14ac:dyDescent="0.3">
      <c r="B5" s="281"/>
      <c r="C5" s="286"/>
      <c r="D5" s="768"/>
      <c r="E5" s="768"/>
      <c r="F5" s="940" t="s">
        <v>540</v>
      </c>
      <c r="G5" s="940"/>
      <c r="H5" s="940"/>
      <c r="I5" s="940"/>
      <c r="J5" s="940"/>
      <c r="K5" s="940"/>
      <c r="L5" s="768"/>
      <c r="M5" s="768"/>
      <c r="N5" s="768"/>
      <c r="O5" s="281"/>
      <c r="P5" s="281"/>
      <c r="Q5" s="281"/>
      <c r="R5" s="281"/>
      <c r="S5" s="281"/>
      <c r="T5" s="281"/>
      <c r="U5" s="281"/>
      <c r="V5" s="281"/>
      <c r="W5" s="281"/>
      <c r="X5" s="281"/>
      <c r="Y5" s="281"/>
      <c r="Z5" s="281"/>
      <c r="AA5" s="281"/>
      <c r="AB5" s="281"/>
      <c r="AC5" s="281"/>
      <c r="AD5" s="281"/>
      <c r="AE5" s="281"/>
      <c r="AF5" s="281"/>
    </row>
    <row r="6" spans="1:32" ht="17.149999999999999" customHeight="1" x14ac:dyDescent="0.3">
      <c r="B6" s="281"/>
      <c r="C6" s="286"/>
      <c r="D6" s="768"/>
      <c r="E6" s="768"/>
      <c r="F6" s="768"/>
      <c r="G6" s="768"/>
      <c r="H6" s="768"/>
      <c r="I6" s="768"/>
      <c r="J6" s="768"/>
      <c r="K6" s="768"/>
      <c r="L6" s="768"/>
      <c r="M6" s="768"/>
      <c r="N6" s="768"/>
      <c r="O6" s="281"/>
      <c r="P6" s="281"/>
      <c r="Q6" s="281"/>
      <c r="R6" s="281"/>
      <c r="S6" s="281"/>
      <c r="T6" s="281"/>
      <c r="U6" s="281"/>
      <c r="V6" s="281"/>
      <c r="W6" s="281"/>
      <c r="X6" s="281"/>
      <c r="Y6" s="281"/>
      <c r="Z6" s="281"/>
      <c r="AA6" s="281"/>
      <c r="AB6" s="281"/>
      <c r="AC6" s="281"/>
      <c r="AD6" s="281"/>
      <c r="AE6" s="281"/>
      <c r="AF6" s="281"/>
    </row>
    <row r="7" spans="1:32" ht="13" x14ac:dyDescent="0.3">
      <c r="B7" s="281"/>
      <c r="C7" s="282"/>
      <c r="D7" s="768"/>
      <c r="E7" s="768"/>
      <c r="F7" s="768"/>
      <c r="G7" s="768"/>
      <c r="H7" s="768"/>
      <c r="I7" s="768"/>
      <c r="J7" s="768"/>
      <c r="K7" s="768"/>
      <c r="L7" s="768"/>
      <c r="M7" s="768"/>
      <c r="N7" s="768"/>
      <c r="O7" s="281"/>
      <c r="P7" s="281"/>
      <c r="Q7" s="281"/>
      <c r="R7" s="281"/>
      <c r="S7" s="281"/>
      <c r="T7" s="281"/>
      <c r="U7" s="281"/>
      <c r="V7" s="281"/>
      <c r="W7" s="281"/>
      <c r="X7" s="281"/>
      <c r="Y7" s="281"/>
      <c r="Z7" s="281"/>
      <c r="AA7" s="281"/>
      <c r="AB7" s="281"/>
      <c r="AC7" s="281"/>
      <c r="AD7" s="281"/>
      <c r="AE7" s="281"/>
      <c r="AF7" s="281"/>
    </row>
    <row r="8" spans="1:32" ht="13" x14ac:dyDescent="0.3"/>
    <row r="9" spans="1:32" ht="14.5" x14ac:dyDescent="0.35">
      <c r="B9" s="769" t="s">
        <v>541</v>
      </c>
      <c r="C9" s="941" t="s">
        <v>542</v>
      </c>
      <c r="D9" s="941"/>
      <c r="F9" s="770"/>
      <c r="G9" s="346"/>
      <c r="K9" s="771" t="s">
        <v>543</v>
      </c>
      <c r="L9" s="773" t="s">
        <v>544</v>
      </c>
      <c r="M9" s="772"/>
      <c r="Q9" s="651" t="s">
        <v>545</v>
      </c>
      <c r="R9" s="941" t="s">
        <v>546</v>
      </c>
      <c r="S9" s="941"/>
      <c r="AB9" s="771"/>
      <c r="AC9" s="939"/>
      <c r="AD9" s="939"/>
    </row>
    <row r="10" spans="1:32" ht="13" x14ac:dyDescent="0.3">
      <c r="A10" s="783"/>
      <c r="B10" s="783"/>
      <c r="C10" s="783"/>
      <c r="D10" s="784"/>
      <c r="E10" s="784"/>
      <c r="F10" s="781"/>
      <c r="G10" s="784"/>
      <c r="H10" s="781"/>
      <c r="I10" s="784"/>
      <c r="J10" s="784"/>
      <c r="K10" s="783"/>
      <c r="L10" s="783"/>
      <c r="M10" s="783"/>
      <c r="N10" s="783"/>
    </row>
    <row r="11" spans="1:32" ht="13" x14ac:dyDescent="0.3">
      <c r="A11" s="783"/>
      <c r="B11" s="808"/>
      <c r="C11" s="808"/>
      <c r="D11" s="809"/>
      <c r="E11" s="809"/>
      <c r="F11" s="811"/>
      <c r="G11" s="784"/>
      <c r="H11" s="781"/>
      <c r="I11" s="784"/>
      <c r="J11" s="784"/>
      <c r="K11" s="783"/>
      <c r="L11" s="783"/>
      <c r="M11" s="783"/>
      <c r="N11" s="783"/>
      <c r="Q11" s="815"/>
      <c r="R11" s="815"/>
      <c r="S11" s="815"/>
      <c r="T11" s="815"/>
    </row>
    <row r="12" spans="1:32" ht="13" x14ac:dyDescent="0.3">
      <c r="A12" s="783"/>
      <c r="B12" s="808"/>
      <c r="C12" s="808"/>
      <c r="D12" s="809"/>
      <c r="E12" s="809"/>
      <c r="F12" s="811"/>
      <c r="G12" s="784"/>
      <c r="H12" s="781"/>
      <c r="I12" s="784"/>
      <c r="J12" s="784"/>
      <c r="K12" s="783"/>
      <c r="L12" s="783"/>
      <c r="M12" s="783"/>
      <c r="N12" s="783"/>
      <c r="Q12" s="815"/>
      <c r="R12" s="815"/>
      <c r="S12" s="815"/>
      <c r="T12" s="815"/>
    </row>
    <row r="13" spans="1:32" ht="13" x14ac:dyDescent="0.3">
      <c r="A13" s="783"/>
      <c r="B13" s="808"/>
      <c r="C13" s="808" t="s">
        <v>547</v>
      </c>
      <c r="D13" s="809" t="s">
        <v>548</v>
      </c>
      <c r="E13" s="809" t="s">
        <v>549</v>
      </c>
      <c r="F13" s="811" t="s">
        <v>550</v>
      </c>
      <c r="G13" s="784"/>
      <c r="H13" s="781"/>
      <c r="I13" s="784"/>
      <c r="J13" s="784"/>
      <c r="K13" s="783"/>
      <c r="L13" s="783"/>
      <c r="M13" s="783"/>
      <c r="N13" s="783"/>
      <c r="Q13" s="815"/>
      <c r="R13" s="815"/>
      <c r="S13" s="815"/>
      <c r="T13" s="815"/>
    </row>
    <row r="14" spans="1:32" ht="13" x14ac:dyDescent="0.3">
      <c r="A14" s="783"/>
      <c r="B14" s="810" t="s">
        <v>551</v>
      </c>
      <c r="C14" s="808">
        <f>VLOOKUP($C$9,$B$36:$G$104,3,0)</f>
        <v>0</v>
      </c>
      <c r="D14" s="808">
        <f>VLOOKUP($C$9,$B$36:$G$104,4,0)</f>
        <v>0</v>
      </c>
      <c r="E14" s="808">
        <f>VLOOKUP($C$9,$B$36:$G$104,5,0)</f>
        <v>0</v>
      </c>
      <c r="F14" s="808">
        <f>VLOOKUP($C$9,$B$36:$G$104,6,0)</f>
        <v>0</v>
      </c>
      <c r="G14" s="784"/>
      <c r="H14" s="781"/>
      <c r="I14" s="784"/>
      <c r="J14" s="784"/>
      <c r="K14" s="783"/>
      <c r="L14" s="783"/>
      <c r="M14" s="783"/>
      <c r="N14" s="783"/>
      <c r="Q14" s="815"/>
      <c r="R14" s="815"/>
      <c r="S14" s="815"/>
      <c r="T14" s="815"/>
    </row>
    <row r="15" spans="1:32" ht="13" x14ac:dyDescent="0.3">
      <c r="A15" s="783"/>
      <c r="B15" s="810" t="s">
        <v>552</v>
      </c>
      <c r="C15" s="808">
        <f>VLOOKUP($C$9,$B$36:$K$104,7,0)</f>
        <v>0</v>
      </c>
      <c r="D15" s="808">
        <f>VLOOKUP($C$9,$B$36:$K$104,8,0)</f>
        <v>0</v>
      </c>
      <c r="E15" s="808">
        <f>VLOOKUP($C$9,$B$36:$K$104,9,0)</f>
        <v>0</v>
      </c>
      <c r="F15" s="808">
        <f>VLOOKUP($C$9,$B$36:$K$104,10,0)</f>
        <v>0</v>
      </c>
      <c r="G15" s="784"/>
      <c r="H15" s="781"/>
      <c r="I15" s="784"/>
      <c r="J15" s="784"/>
      <c r="K15" s="783"/>
      <c r="L15" s="783"/>
      <c r="M15" s="783"/>
      <c r="N15" s="783"/>
      <c r="Q15" s="815"/>
      <c r="R15" s="815"/>
      <c r="S15" s="815"/>
      <c r="T15" s="815"/>
    </row>
    <row r="16" spans="1:32" ht="13" x14ac:dyDescent="0.3">
      <c r="A16" s="783"/>
      <c r="B16" s="810" t="s">
        <v>553</v>
      </c>
      <c r="C16" s="808">
        <f>VLOOKUP($C$9,$B$36:$O$104,11,0)</f>
        <v>5374.18</v>
      </c>
      <c r="D16" s="808">
        <f>VLOOKUP($C$9,$B$36:$O$104,12,0)</f>
        <v>0</v>
      </c>
      <c r="E16" s="808">
        <f>VLOOKUP($C$9,$B$36:$O$104,13,0)</f>
        <v>0</v>
      </c>
      <c r="F16" s="808">
        <f>VLOOKUP($C$9,$B$36:$O$104,14,0)</f>
        <v>0</v>
      </c>
      <c r="G16" s="784"/>
      <c r="H16" s="781"/>
      <c r="I16" s="784"/>
      <c r="J16" s="784"/>
      <c r="K16" s="783"/>
      <c r="L16" s="783"/>
      <c r="M16" s="783"/>
      <c r="N16" s="783"/>
      <c r="Q16" s="815"/>
      <c r="R16" s="815"/>
      <c r="S16" s="815"/>
      <c r="T16" s="815"/>
    </row>
    <row r="17" spans="1:76" ht="13" x14ac:dyDescent="0.3">
      <c r="A17" s="783"/>
      <c r="B17" s="810"/>
      <c r="C17" s="808"/>
      <c r="D17" s="808"/>
      <c r="E17" s="808"/>
      <c r="F17" s="808"/>
      <c r="G17" s="784"/>
      <c r="H17" s="781"/>
      <c r="I17" s="807" t="s">
        <v>554</v>
      </c>
      <c r="J17" s="807" t="s">
        <v>555</v>
      </c>
      <c r="K17" s="807" t="s">
        <v>542</v>
      </c>
      <c r="L17" s="807" t="s">
        <v>556</v>
      </c>
      <c r="M17" s="807" t="s">
        <v>556</v>
      </c>
      <c r="N17" s="807" t="s">
        <v>557</v>
      </c>
      <c r="O17" s="812" t="s">
        <v>558</v>
      </c>
      <c r="P17" s="812" t="s">
        <v>559</v>
      </c>
      <c r="Q17" s="812" t="s">
        <v>560</v>
      </c>
      <c r="R17" s="812" t="s">
        <v>561</v>
      </c>
      <c r="S17" s="812" t="s">
        <v>546</v>
      </c>
      <c r="T17" s="812" t="s">
        <v>562</v>
      </c>
      <c r="U17" s="812" t="s">
        <v>563</v>
      </c>
      <c r="V17" s="812" t="s">
        <v>564</v>
      </c>
      <c r="W17" s="812" t="s">
        <v>565</v>
      </c>
      <c r="X17" s="812" t="s">
        <v>566</v>
      </c>
      <c r="Y17" s="812" t="s">
        <v>567</v>
      </c>
      <c r="Z17" s="812" t="s">
        <v>568</v>
      </c>
      <c r="AA17" s="812" t="s">
        <v>569</v>
      </c>
      <c r="AB17" s="812" t="s">
        <v>570</v>
      </c>
      <c r="AC17" s="812" t="s">
        <v>571</v>
      </c>
      <c r="AD17" s="812" t="s">
        <v>572</v>
      </c>
      <c r="AE17" s="812" t="s">
        <v>573</v>
      </c>
      <c r="AF17" s="812" t="s">
        <v>574</v>
      </c>
      <c r="AG17" s="812" t="s">
        <v>575</v>
      </c>
      <c r="AH17" s="812" t="s">
        <v>576</v>
      </c>
      <c r="AI17" s="812" t="s">
        <v>577</v>
      </c>
      <c r="AJ17" s="812" t="s">
        <v>578</v>
      </c>
      <c r="AK17" s="812" t="s">
        <v>579</v>
      </c>
      <c r="AL17" s="812" t="s">
        <v>580</v>
      </c>
      <c r="AM17" s="812" t="s">
        <v>581</v>
      </c>
      <c r="AN17" s="812" t="s">
        <v>582</v>
      </c>
      <c r="AO17" s="812" t="s">
        <v>583</v>
      </c>
      <c r="AP17" s="812" t="s">
        <v>584</v>
      </c>
      <c r="AQ17" s="812" t="s">
        <v>585</v>
      </c>
      <c r="AR17" s="812" t="s">
        <v>586</v>
      </c>
      <c r="AS17" s="812" t="s">
        <v>587</v>
      </c>
      <c r="AT17" s="812" t="s">
        <v>588</v>
      </c>
      <c r="AU17" s="812" t="s">
        <v>589</v>
      </c>
      <c r="AV17" s="812" t="s">
        <v>590</v>
      </c>
      <c r="AW17" s="812" t="s">
        <v>591</v>
      </c>
      <c r="AX17" s="812" t="s">
        <v>592</v>
      </c>
      <c r="AY17" s="812" t="s">
        <v>593</v>
      </c>
      <c r="AZ17" s="812" t="s">
        <v>594</v>
      </c>
      <c r="BA17" s="812" t="s">
        <v>595</v>
      </c>
      <c r="BB17" s="812" t="s">
        <v>596</v>
      </c>
      <c r="BC17" s="812" t="s">
        <v>597</v>
      </c>
      <c r="BD17" s="812" t="s">
        <v>598</v>
      </c>
      <c r="BE17" s="812" t="s">
        <v>599</v>
      </c>
      <c r="BF17" s="812" t="s">
        <v>600</v>
      </c>
      <c r="BG17" s="812" t="s">
        <v>601</v>
      </c>
      <c r="BH17" s="812" t="s">
        <v>602</v>
      </c>
      <c r="BI17" s="812" t="s">
        <v>603</v>
      </c>
      <c r="BJ17" s="812" t="s">
        <v>604</v>
      </c>
      <c r="BK17" s="812" t="s">
        <v>605</v>
      </c>
      <c r="BL17" s="812" t="s">
        <v>606</v>
      </c>
      <c r="BM17" s="812" t="s">
        <v>607</v>
      </c>
      <c r="BN17" s="812" t="s">
        <v>608</v>
      </c>
      <c r="BO17" s="812" t="s">
        <v>609</v>
      </c>
      <c r="BP17" s="812" t="s">
        <v>610</v>
      </c>
      <c r="BQ17" s="812" t="s">
        <v>611</v>
      </c>
      <c r="BR17" s="812" t="s">
        <v>612</v>
      </c>
      <c r="BS17" s="812" t="s">
        <v>613</v>
      </c>
      <c r="BT17" s="812" t="s">
        <v>614</v>
      </c>
      <c r="BU17" s="812" t="s">
        <v>615</v>
      </c>
      <c r="BV17" s="812" t="s">
        <v>616</v>
      </c>
      <c r="BW17" s="812" t="s">
        <v>617</v>
      </c>
      <c r="BX17" s="812" t="s">
        <v>618</v>
      </c>
    </row>
    <row r="18" spans="1:76" ht="13" x14ac:dyDescent="0.3">
      <c r="A18" s="783"/>
      <c r="B18" s="808"/>
      <c r="C18" s="808"/>
      <c r="D18" s="809"/>
      <c r="E18" s="809"/>
      <c r="F18" s="811"/>
      <c r="G18" s="784"/>
      <c r="H18" s="781"/>
      <c r="I18" s="784">
        <f>INDEX(Clients[],MATCH(I17,Clients[Clients],0),MATCH($L$9,$B$35:$O$35,0))</f>
        <v>0</v>
      </c>
      <c r="J18" s="784">
        <f>INDEX(Clients[],MATCH(J17,Clients[Clients],0),MATCH($L$9,$B$35:$O$35,0))</f>
        <v>64852.23</v>
      </c>
      <c r="K18" s="784">
        <f>INDEX(Clients[],MATCH(K17,Clients[Clients],0),MATCH($L$9,$B$35:$O$35,0))</f>
        <v>5374.18</v>
      </c>
      <c r="L18" s="784">
        <f>INDEX(Clients[],MATCH(L17,Clients[Clients],0),MATCH($L$9,$B$35:$O$35,0))</f>
        <v>0</v>
      </c>
      <c r="M18" s="784">
        <f>INDEX(Clients[],MATCH(M17,Clients[Clients],0),MATCH($L$9,$B$35:$O$35,0))</f>
        <v>0</v>
      </c>
      <c r="N18" s="784">
        <f>INDEX(Clients[],MATCH(N17,Clients[Clients],0),MATCH($L$9,$B$35:$O$35,0))</f>
        <v>3632.7</v>
      </c>
      <c r="O18" s="813">
        <f>INDEX(Clients[],MATCH(O17,Clients[Clients],0),MATCH($L$9,$B$35:$O$35,0))</f>
        <v>0</v>
      </c>
      <c r="P18" s="813">
        <f>INDEX(Clients[],MATCH(P17,Clients[Clients],0),MATCH($L$9,$B$35:$O$35,0))</f>
        <v>150929.54999999999</v>
      </c>
      <c r="Q18" s="813">
        <f>INDEX(Clients[],MATCH(Q17,Clients[Clients],0),MATCH($L$9,$B$35:$O$35,0))</f>
        <v>2784</v>
      </c>
      <c r="R18" s="813">
        <f>INDEX(Clients[],MATCH(R17,Clients[Clients],0),MATCH($L$9,$B$35:$O$35,0))</f>
        <v>85596.11</v>
      </c>
      <c r="S18" s="813">
        <f>INDEX(Clients[],MATCH(S17,Clients[Clients],0),MATCH($L$9,$B$35:$O$35,0))</f>
        <v>4764</v>
      </c>
      <c r="T18" s="813">
        <f>INDEX(Clients[],MATCH(T17,Clients[Clients],0),MATCH($L$9,$B$35:$O$35,0))</f>
        <v>0</v>
      </c>
      <c r="U18" s="813">
        <f>INDEX(Clients[],MATCH(U17,Clients[Clients],0),MATCH($L$9,$B$35:$O$35,0))</f>
        <v>18268.09</v>
      </c>
      <c r="V18" s="362"/>
      <c r="W18" s="362"/>
      <c r="X18" s="362"/>
      <c r="Y18" s="362"/>
      <c r="Z18" s="362"/>
      <c r="AA18" s="362"/>
      <c r="AB18" s="813">
        <f>INDEX(Clients[],MATCH(AB17,Clients[Clients],0),MATCH($L$9,$B$35:$O$35,0))</f>
        <v>5373.5</v>
      </c>
      <c r="AC18" s="813">
        <f>INDEX(Clients[],MATCH(AC17,Clients[Clients],0),MATCH($L$9,$B$35:$O$35,0))</f>
        <v>28991.56</v>
      </c>
      <c r="AD18" s="813">
        <f>INDEX(Clients[],MATCH(AD17,Clients[Clients],0),MATCH($L$9,$B$35:$O$35,0))</f>
        <v>0</v>
      </c>
      <c r="AE18" s="813">
        <f>INDEX(Clients[],MATCH(AE17,Clients[Clients],0),MATCH($L$9,$B$35:$O$35,0))</f>
        <v>58817.54</v>
      </c>
      <c r="AF18" s="813">
        <f>INDEX(Clients[],MATCH(AF17,Clients[Clients],0),MATCH($L$9,$B$35:$O$35,0))</f>
        <v>0</v>
      </c>
      <c r="AG18" s="813">
        <f>INDEX(Clients[],MATCH(AG17,Clients[Clients],0),MATCH($L$9,$B$35:$O$35,0))</f>
        <v>171217.08</v>
      </c>
      <c r="AH18" s="813">
        <f>INDEX(Clients[],MATCH(AH17,Clients[Clients],0),MATCH($L$9,$B$35:$O$35,0))</f>
        <v>2712</v>
      </c>
      <c r="AI18" s="813">
        <f>INDEX(Clients[],MATCH(AI17,Clients[Clients],0),MATCH($L$9,$B$35:$O$35,0))</f>
        <v>0</v>
      </c>
      <c r="AJ18" s="813">
        <f>INDEX(Clients[],MATCH(AJ17,Clients[Clients],0),MATCH($L$9,$B$35:$O$35,0))</f>
        <v>0</v>
      </c>
      <c r="AK18" s="813">
        <f>INDEX(Clients[],MATCH(AK17,Clients[Clients],0),MATCH($L$9,$B$35:$O$35,0))</f>
        <v>116540.47</v>
      </c>
      <c r="AL18" s="813">
        <f>INDEX(Clients[],MATCH(AL17,Clients[Clients],0),MATCH($L$9,$B$35:$O$35,0))</f>
        <v>0</v>
      </c>
      <c r="AM18" s="813">
        <f>INDEX(Clients[],MATCH(AM17,Clients[Clients],0),MATCH($L$9,$B$35:$O$35,0))</f>
        <v>0</v>
      </c>
      <c r="AN18" s="813">
        <f>INDEX(Clients[],MATCH(AN17,Clients[Clients],0),MATCH($L$9,$B$35:$O$35,0))</f>
        <v>108328.95</v>
      </c>
      <c r="AO18" s="813">
        <f>INDEX(Clients[],MATCH(AO17,Clients[Clients],0),MATCH($L$9,$B$35:$O$35,0))</f>
        <v>51355.03</v>
      </c>
      <c r="AP18" s="813">
        <f>INDEX(Clients[],MATCH(AP17,Clients[Clients],0),MATCH($L$9,$B$35:$O$35,0))</f>
        <v>0</v>
      </c>
      <c r="AQ18" s="813">
        <f>INDEX(Clients[],MATCH(AQ17,Clients[Clients],0),MATCH($L$9,$B$35:$O$35,0))</f>
        <v>29913.06</v>
      </c>
      <c r="AR18" s="813">
        <f>INDEX(Clients[],MATCH(AR17,Clients[Clients],0),MATCH($L$9,$B$35:$O$35,0))</f>
        <v>0</v>
      </c>
      <c r="AS18" s="813">
        <f>INDEX(Clients[],MATCH(AS17,Clients[Clients],0),MATCH($L$9,$B$35:$O$35,0))</f>
        <v>5162</v>
      </c>
      <c r="AT18" s="813">
        <f>INDEX(Clients[],MATCH(AT17,Clients[Clients],0),MATCH($L$9,$B$35:$O$35,0))</f>
        <v>1284</v>
      </c>
      <c r="AU18" s="813">
        <f>INDEX(Clients[],MATCH(AU17,Clients[Clients],0),MATCH($L$9,$B$35:$O$35,0))</f>
        <v>3010</v>
      </c>
      <c r="AV18" s="813">
        <f>INDEX(Clients[],MATCH(AV17,Clients[Clients],0),MATCH($L$9,$B$35:$O$35,0))</f>
        <v>23440.44</v>
      </c>
      <c r="AW18" s="813">
        <f>INDEX(Clients[],MATCH(AW17,Clients[Clients],0),MATCH($L$9,$B$35:$O$35,0))</f>
        <v>14644.38</v>
      </c>
      <c r="AX18" s="813">
        <f>INDEX(Clients[],MATCH(AX17,Clients[Clients],0),MATCH($L$9,$B$35:$O$35,0))</f>
        <v>50304.78</v>
      </c>
      <c r="AY18" s="813">
        <f>INDEX(Clients[],MATCH(AY17,Clients[Clients],0),MATCH($L$9,$B$35:$O$35,0))</f>
        <v>0</v>
      </c>
      <c r="AZ18" s="813">
        <f>INDEX(Clients[],MATCH(AZ17,Clients[Clients],0),MATCH($L$9,$B$35:$O$35,0))</f>
        <v>92195.56</v>
      </c>
      <c r="BA18" s="813">
        <f>INDEX(Clients[],MATCH(BA17,Clients[Clients],0),MATCH($L$9,$B$35:$O$35,0))</f>
        <v>1788</v>
      </c>
      <c r="BB18" s="813">
        <f>INDEX(Clients[],MATCH(BB17,Clients[Clients],0),MATCH($L$9,$B$35:$O$35,0))</f>
        <v>15806.28</v>
      </c>
      <c r="BC18" s="813">
        <f>INDEX(Clients[],MATCH(BC17,Clients[Clients],0),MATCH($L$9,$B$35:$O$35,0))</f>
        <v>9961.2900000000009</v>
      </c>
      <c r="BD18" s="813">
        <f>INDEX(Clients[],MATCH(BD17,Clients[Clients],0),MATCH($L$9,$B$35:$O$35,0))</f>
        <v>5125.3999999999996</v>
      </c>
      <c r="BE18" s="813">
        <f>INDEX(Clients[],MATCH(BE17,Clients[Clients],0),MATCH($L$9,$B$35:$O$35,0))</f>
        <v>0</v>
      </c>
      <c r="BF18" s="813">
        <f>INDEX(Clients[],MATCH(BF17,Clients[Clients],0),MATCH($L$9,$B$35:$O$35,0))</f>
        <v>0</v>
      </c>
      <c r="BG18" s="813">
        <f>INDEX(Clients[],MATCH(BG17,Clients[Clients],0),MATCH($L$9,$B$35:$O$35,0))</f>
        <v>0</v>
      </c>
      <c r="BH18" s="813">
        <f>INDEX(Clients[],MATCH(BH17,Clients[Clients],0),MATCH($L$9,$B$35:$O$35,0))</f>
        <v>0</v>
      </c>
      <c r="BI18" s="813">
        <f>INDEX(Clients[],MATCH(BI17,Clients[Clients],0),MATCH($L$9,$B$35:$O$35,0))</f>
        <v>0</v>
      </c>
      <c r="BJ18" s="813">
        <f>INDEX(Clients[],MATCH(BJ17,Clients[Clients],0),MATCH($L$9,$B$35:$O$35,0))</f>
        <v>0</v>
      </c>
      <c r="BK18" s="813">
        <f>INDEX(Clients[],MATCH(BK17,Clients[Clients],0),MATCH($L$9,$B$35:$O$35,0))</f>
        <v>0</v>
      </c>
      <c r="BL18" s="813">
        <f>INDEX(Clients[],MATCH(BL17,Clients[Clients],0),MATCH($L$9,$B$35:$O$35,0))</f>
        <v>28835.89</v>
      </c>
      <c r="BM18" s="813">
        <f>INDEX(Clients[],MATCH(BM17,Clients[Clients],0),MATCH($L$9,$B$35:$O$35,0))</f>
        <v>202393.11</v>
      </c>
      <c r="BN18" s="813">
        <f>INDEX(Clients[],MATCH(BN17,Clients[Clients],0),MATCH($L$9,$B$35:$O$35,0))</f>
        <v>13409</v>
      </c>
      <c r="BO18" s="813">
        <f>INDEX(Clients[],MATCH(BO17,Clients[Clients],0),MATCH($L$9,$B$35:$O$35,0))</f>
        <v>0</v>
      </c>
      <c r="BP18" s="813">
        <f>INDEX(Clients[],MATCH(BP17,Clients[Clients],0),MATCH($L$9,$B$35:$O$35,0))</f>
        <v>0</v>
      </c>
      <c r="BQ18" s="813">
        <f>INDEX(Clients[],MATCH(BQ17,Clients[Clients],0),MATCH($L$9,$B$35:$O$35,0))</f>
        <v>240938.86</v>
      </c>
      <c r="BR18" s="813">
        <f>INDEX(Clients[],MATCH(BR17,Clients[Clients],0),MATCH($L$9,$B$35:$O$35,0))</f>
        <v>0</v>
      </c>
      <c r="BS18" s="813">
        <f>INDEX(Clients[],MATCH(BS17,Clients[Clients],0),MATCH($L$9,$B$35:$O$35,0))</f>
        <v>62172.49</v>
      </c>
      <c r="BT18" s="813">
        <f>INDEX(Clients[],MATCH(BT17,Clients[Clients],0),MATCH($L$9,$B$35:$O$35,0))</f>
        <v>2964</v>
      </c>
      <c r="BU18" s="813">
        <f>INDEX(Clients[],MATCH(BU17,Clients[Clients],0),MATCH($L$9,$B$35:$O$35,0))</f>
        <v>0</v>
      </c>
      <c r="BV18" s="813">
        <f>INDEX(Clients[],MATCH(BV17,Clients[Clients],0),MATCH($L$9,$B$35:$O$35,0))</f>
        <v>106276.6</v>
      </c>
      <c r="BW18" s="813">
        <f>INDEX(Clients[],MATCH(BW17,Clients[Clients],0),MATCH($L$9,$B$35:$O$35,0))</f>
        <v>0</v>
      </c>
      <c r="BX18" s="813">
        <f>INDEX(Clients[],MATCH(BX17,Clients[Clients],0),MATCH($L$9,$B$35:$O$35,0))</f>
        <v>57433.21</v>
      </c>
    </row>
    <row r="19" spans="1:76" ht="13" x14ac:dyDescent="0.3">
      <c r="A19" s="783"/>
      <c r="B19" s="808"/>
      <c r="C19" s="808"/>
      <c r="D19" s="809"/>
      <c r="E19" s="809"/>
      <c r="F19" s="811"/>
      <c r="G19" s="784"/>
      <c r="H19" s="781"/>
      <c r="I19" s="784"/>
      <c r="J19" s="784"/>
      <c r="K19" s="783"/>
      <c r="L19" s="783"/>
      <c r="M19" s="783"/>
      <c r="N19" s="783"/>
      <c r="Q19" s="815"/>
      <c r="R19" s="815"/>
      <c r="S19" s="815"/>
      <c r="T19" s="815"/>
      <c r="V19" s="362"/>
      <c r="W19" s="817" t="s">
        <v>619</v>
      </c>
      <c r="X19" s="817" t="s">
        <v>620</v>
      </c>
      <c r="Y19" s="817" t="s">
        <v>621</v>
      </c>
      <c r="Z19" s="817" t="s">
        <v>622</v>
      </c>
      <c r="AA19" s="397" t="s">
        <v>544</v>
      </c>
    </row>
    <row r="20" spans="1:76" ht="13" x14ac:dyDescent="0.3">
      <c r="A20" s="783"/>
      <c r="B20" s="783"/>
      <c r="C20" s="783"/>
      <c r="D20" s="784"/>
      <c r="E20" s="784"/>
      <c r="F20" s="781"/>
      <c r="G20" s="784"/>
      <c r="H20" s="781"/>
      <c r="I20" s="784"/>
      <c r="J20" s="784"/>
      <c r="K20" s="783"/>
      <c r="L20" s="783"/>
      <c r="M20" s="783"/>
      <c r="N20" s="783"/>
      <c r="Q20" s="815"/>
      <c r="R20" s="815"/>
      <c r="S20" s="815"/>
      <c r="T20" s="815"/>
      <c r="V20" s="362" t="s">
        <v>623</v>
      </c>
      <c r="W20" s="818">
        <f>SUMIF(Clients[[Account]:[Account]],$V$20,Clients[Apr - Jun 23])</f>
        <v>984704.61999999988</v>
      </c>
      <c r="X20" s="818">
        <f>SUMIF(Clients[[Account]:[Account]],$V$20,Clients[Jul - Sep 23])</f>
        <v>1136892.93</v>
      </c>
      <c r="Y20" s="818">
        <f>SUMIF(Clients[[Account]:[Account]],$V$20,Clients[Oct - Dec 23])</f>
        <v>1289629.03</v>
      </c>
      <c r="Z20" s="818">
        <f>SUMIF(Clients[[Account]:[Account]],$V$20,Clients[Jan - Mar 24])</f>
        <v>1373990.99</v>
      </c>
      <c r="AA20" s="818">
        <f>SUMIF(Clients[Account],$V$20,Clients[Apr - Jun 24])</f>
        <v>1829675.8599999996</v>
      </c>
      <c r="AE20" s="787"/>
      <c r="AF20" s="787"/>
      <c r="AG20" s="787"/>
      <c r="AH20" s="787"/>
    </row>
    <row r="21" spans="1:76" ht="13" x14ac:dyDescent="0.3">
      <c r="A21" s="783"/>
      <c r="B21" s="783"/>
      <c r="C21" s="783"/>
      <c r="D21" s="784"/>
      <c r="E21" s="784"/>
      <c r="F21" s="781"/>
      <c r="G21" s="784"/>
      <c r="H21" s="781"/>
      <c r="I21" s="784"/>
      <c r="J21" s="784"/>
      <c r="K21" s="783"/>
      <c r="L21" s="783"/>
      <c r="M21" s="783"/>
      <c r="N21" s="783"/>
      <c r="Q21" s="397" t="str">
        <f>YoY_change[[#Headers],[YoY% 23]]</f>
        <v>YoY% 23</v>
      </c>
      <c r="R21" s="397" t="str">
        <f>YoY_change[[#Headers],[YoY% 24]]</f>
        <v>YoY% 24</v>
      </c>
      <c r="S21" s="815"/>
      <c r="T21" s="815"/>
      <c r="V21" s="362" t="s">
        <v>624</v>
      </c>
      <c r="W21" s="818">
        <f>SUMIF(Clients[[Account]:[Account]],$V$21,Clients[Apr - Jun 23])</f>
        <v>367603.69999999995</v>
      </c>
      <c r="X21" s="818">
        <f>SUMIF(Clients[[Account]:[Account]],$V$21,Clients[Jul - Sep 23])</f>
        <v>433048.39</v>
      </c>
      <c r="Y21" s="818">
        <f>SUMIF(Clients[[Account]:[Account]],$V$21,Clients[Oct - Dec 23])</f>
        <v>481970.24000000005</v>
      </c>
      <c r="Z21" s="818">
        <f>SUMIF(Clients[[Account]:[Account]],$V$21,Clients[Jan - Mar 24])</f>
        <v>511456.65</v>
      </c>
      <c r="AA21" s="818">
        <f>SUMIF(Clients[Account],$V$21,Clients[Apr - Jun 24])</f>
        <v>227377.25</v>
      </c>
    </row>
    <row r="22" spans="1:76" ht="13" x14ac:dyDescent="0.3">
      <c r="A22" s="783"/>
      <c r="B22" s="783"/>
      <c r="C22" s="783"/>
      <c r="D22" s="784"/>
      <c r="E22" s="784"/>
      <c r="F22" s="781"/>
      <c r="G22" s="784"/>
      <c r="H22" s="781"/>
      <c r="I22" s="784"/>
      <c r="J22" s="784"/>
      <c r="K22" s="783"/>
      <c r="L22" s="783"/>
      <c r="M22" s="783"/>
      <c r="N22" s="783"/>
      <c r="Q22" s="696">
        <f>INDEX($B$36:$U$90,MATCH($R$9,$B$36:$B$104,0),MATCH(Q21,$B$35:$U$35,0))</f>
        <v>9.5803326524657137</v>
      </c>
      <c r="R22" s="696">
        <f>INDEX($B$36:$U$90,MATCH($R$9,$B$36:$B$104,0),MATCH(R21,$B$35:$U$35,0))</f>
        <v>0</v>
      </c>
      <c r="S22" s="815"/>
      <c r="T22" s="815"/>
      <c r="V22" s="362" t="s">
        <v>625</v>
      </c>
      <c r="W22" s="397" t="s">
        <v>626</v>
      </c>
      <c r="X22" s="667">
        <f>(X20-W20)/W20</f>
        <v>0.15455224532205411</v>
      </c>
      <c r="Y22" s="667">
        <f>(Y20-X20)/X20</f>
        <v>0.13434519291099831</v>
      </c>
      <c r="Z22" s="667">
        <f>(Z20-Y20)/Y20</f>
        <v>6.5415680042500257E-2</v>
      </c>
      <c r="AA22" s="670">
        <f>(AA20-Z20)/Z20</f>
        <v>0.33165055179874187</v>
      </c>
    </row>
    <row r="23" spans="1:76" ht="13" x14ac:dyDescent="0.3">
      <c r="A23" s="783"/>
      <c r="B23" s="783"/>
      <c r="C23" s="783"/>
      <c r="D23" s="784"/>
      <c r="E23" s="784"/>
      <c r="F23" s="781"/>
      <c r="G23" s="784"/>
      <c r="H23" s="781"/>
      <c r="I23" s="784"/>
      <c r="J23" s="784"/>
      <c r="K23" s="783"/>
      <c r="L23" s="783"/>
      <c r="M23" s="783"/>
      <c r="N23" s="783"/>
      <c r="Q23" s="815"/>
      <c r="R23" s="815"/>
      <c r="S23" s="815"/>
      <c r="T23" s="815"/>
      <c r="V23" s="362" t="s">
        <v>627</v>
      </c>
      <c r="W23" s="397" t="s">
        <v>626</v>
      </c>
      <c r="X23" s="667">
        <f>(X21-W21)/W21</f>
        <v>0.17803055301130014</v>
      </c>
      <c r="Y23" s="667">
        <f t="shared" ref="Y23:Z23" si="0">(Y21-X21)/X21</f>
        <v>0.11297086221703777</v>
      </c>
      <c r="Z23" s="667">
        <f t="shared" si="0"/>
        <v>6.1178901834270868E-2</v>
      </c>
      <c r="AA23" s="670">
        <f>(AA21-Z21)/Z21</f>
        <v>-0.5554320195074206</v>
      </c>
    </row>
    <row r="24" spans="1:76" ht="13" x14ac:dyDescent="0.3">
      <c r="A24" s="783"/>
      <c r="B24" s="783"/>
      <c r="C24" s="783"/>
      <c r="D24" s="784"/>
      <c r="E24" s="784"/>
      <c r="F24" s="781"/>
      <c r="G24" s="784"/>
      <c r="H24" s="781"/>
      <c r="I24" s="784"/>
      <c r="J24" s="784"/>
      <c r="K24" s="783"/>
      <c r="L24" s="783"/>
      <c r="M24" s="783"/>
      <c r="N24" s="783"/>
      <c r="Q24" s="815"/>
      <c r="R24" s="815"/>
      <c r="S24" s="815"/>
      <c r="T24" s="815"/>
    </row>
    <row r="25" spans="1:76" ht="13" x14ac:dyDescent="0.3">
      <c r="A25" s="783"/>
      <c r="B25" s="783"/>
      <c r="C25" s="783"/>
      <c r="D25" s="784"/>
      <c r="E25" s="784"/>
      <c r="F25" s="781"/>
      <c r="G25" s="784"/>
      <c r="H25" s="781"/>
      <c r="I25" s="784"/>
      <c r="J25" s="784"/>
      <c r="K25" s="783"/>
      <c r="L25" s="783"/>
      <c r="M25" s="783"/>
      <c r="N25" s="783"/>
      <c r="Q25" s="815"/>
      <c r="R25" s="815"/>
      <c r="S25" s="815"/>
      <c r="T25" s="815"/>
    </row>
    <row r="26" spans="1:76" ht="13" x14ac:dyDescent="0.3">
      <c r="A26" s="783"/>
      <c r="B26" s="783"/>
      <c r="C26" s="783"/>
      <c r="D26" s="784"/>
      <c r="E26" s="784"/>
      <c r="F26" s="781"/>
      <c r="G26" s="784"/>
      <c r="H26" s="781"/>
      <c r="I26" s="784"/>
      <c r="J26" s="784"/>
      <c r="K26" s="783"/>
      <c r="L26" s="783"/>
      <c r="M26" s="783"/>
      <c r="N26" s="783"/>
      <c r="Q26" s="815"/>
      <c r="R26" s="815"/>
      <c r="S26" s="815"/>
      <c r="T26" s="815"/>
    </row>
    <row r="27" spans="1:76" ht="13" x14ac:dyDescent="0.3">
      <c r="A27" s="783"/>
      <c r="B27" s="783"/>
      <c r="C27" s="783"/>
      <c r="D27" s="784"/>
      <c r="E27" s="784"/>
      <c r="F27" s="781"/>
      <c r="G27" s="784"/>
      <c r="H27" s="781"/>
      <c r="I27" s="784"/>
      <c r="J27" s="784"/>
      <c r="K27" s="783"/>
      <c r="L27" s="783"/>
      <c r="M27" s="783"/>
      <c r="N27" s="783"/>
      <c r="Q27" s="815"/>
      <c r="R27" s="815"/>
      <c r="S27" s="815"/>
      <c r="T27" s="815"/>
    </row>
    <row r="28" spans="1:76" ht="13" x14ac:dyDescent="0.3">
      <c r="A28" s="783"/>
      <c r="B28" s="783"/>
      <c r="C28" s="783"/>
      <c r="D28" s="784"/>
      <c r="E28" s="784"/>
      <c r="F28" s="781"/>
      <c r="G28" s="784"/>
      <c r="H28" s="781"/>
      <c r="I28" s="784"/>
      <c r="J28" s="784"/>
      <c r="K28" s="783"/>
      <c r="L28" s="783"/>
      <c r="M28" s="783"/>
      <c r="N28" s="783"/>
      <c r="Q28" s="815"/>
      <c r="R28" s="815"/>
      <c r="S28" s="815"/>
      <c r="T28" s="815"/>
    </row>
    <row r="29" spans="1:76" ht="13" x14ac:dyDescent="0.3">
      <c r="A29" s="783"/>
      <c r="B29" s="783"/>
      <c r="C29" s="783"/>
      <c r="D29" s="784"/>
      <c r="E29" s="784"/>
      <c r="F29" s="781"/>
      <c r="G29" s="784"/>
      <c r="H29" s="781"/>
      <c r="I29" s="784"/>
      <c r="J29" s="784"/>
      <c r="K29" s="783"/>
      <c r="L29" s="783"/>
      <c r="M29" s="783"/>
      <c r="N29" s="783"/>
      <c r="Q29" s="815"/>
      <c r="R29" s="815"/>
      <c r="S29" s="815"/>
      <c r="T29" s="815"/>
    </row>
    <row r="30" spans="1:76" ht="13" x14ac:dyDescent="0.3">
      <c r="A30" s="783"/>
      <c r="B30" s="783"/>
      <c r="C30" s="783"/>
      <c r="D30" s="784"/>
      <c r="E30" s="784"/>
      <c r="F30" s="781"/>
      <c r="G30" s="784"/>
      <c r="H30" s="781"/>
      <c r="I30" s="784"/>
      <c r="J30" s="784"/>
      <c r="K30" s="783"/>
      <c r="L30" s="783"/>
      <c r="M30" s="783"/>
      <c r="N30" s="783"/>
      <c r="Q30" s="815"/>
      <c r="R30" s="815"/>
      <c r="S30" s="815"/>
      <c r="T30" s="815"/>
    </row>
    <row r="31" spans="1:76" ht="15" customHeight="1" x14ac:dyDescent="0.35">
      <c r="B31" s="761"/>
      <c r="C31" s="761"/>
      <c r="D31" s="761"/>
      <c r="E31" s="761"/>
      <c r="F31" s="762"/>
      <c r="G31" s="761"/>
      <c r="H31" s="762"/>
      <c r="I31" s="761"/>
      <c r="J31" s="761"/>
      <c r="K31" s="761"/>
      <c r="L31" s="761"/>
      <c r="Q31" s="815"/>
      <c r="R31" s="815"/>
      <c r="S31" s="815"/>
      <c r="T31" s="815"/>
    </row>
    <row r="32" spans="1:76" ht="13" hidden="1" x14ac:dyDescent="0.3">
      <c r="B32" s="346"/>
      <c r="C32" s="545"/>
      <c r="D32" s="514"/>
      <c r="E32" s="514"/>
      <c r="F32" s="515"/>
      <c r="G32" s="514"/>
      <c r="H32" s="515"/>
      <c r="I32" s="516"/>
      <c r="J32" s="516"/>
      <c r="K32" s="516"/>
      <c r="L32" s="516"/>
    </row>
    <row r="33" spans="2:25" ht="13" hidden="1" x14ac:dyDescent="0.3">
      <c r="B33" s="346"/>
      <c r="C33" s="545"/>
      <c r="D33" s="501"/>
      <c r="E33" s="501"/>
      <c r="F33" s="517"/>
      <c r="G33" s="501"/>
      <c r="H33" s="517"/>
      <c r="I33" s="518"/>
      <c r="J33" s="518"/>
      <c r="K33" s="518"/>
      <c r="L33" s="518"/>
    </row>
    <row r="34" spans="2:25" ht="15" customHeight="1" x14ac:dyDescent="0.35">
      <c r="B34" s="766"/>
      <c r="C34" s="785"/>
      <c r="D34" s="942" t="s">
        <v>551</v>
      </c>
      <c r="E34" s="942"/>
      <c r="F34" s="942"/>
      <c r="G34" s="942"/>
      <c r="H34" s="943" t="s">
        <v>552</v>
      </c>
      <c r="I34" s="943"/>
      <c r="J34" s="943"/>
      <c r="K34" s="943"/>
      <c r="L34" s="944" t="s">
        <v>553</v>
      </c>
      <c r="M34" s="944"/>
      <c r="N34" s="944"/>
      <c r="O34" s="944"/>
      <c r="P34" s="819" t="s">
        <v>628</v>
      </c>
      <c r="Q34" s="816"/>
      <c r="R34" s="946" t="s">
        <v>551</v>
      </c>
      <c r="S34" s="947"/>
      <c r="T34" s="946" t="s">
        <v>552</v>
      </c>
      <c r="U34" s="947"/>
      <c r="V34" s="945"/>
      <c r="W34" s="945"/>
      <c r="X34" s="945"/>
      <c r="Y34" s="945"/>
    </row>
    <row r="35" spans="2:25" ht="17.5" customHeight="1" x14ac:dyDescent="0.3">
      <c r="B35" s="767" t="s">
        <v>629</v>
      </c>
      <c r="C35" s="767" t="s">
        <v>630</v>
      </c>
      <c r="D35" s="767" t="s">
        <v>631</v>
      </c>
      <c r="E35" s="767" t="s">
        <v>632</v>
      </c>
      <c r="F35" s="767" t="s">
        <v>633</v>
      </c>
      <c r="G35" s="767" t="s">
        <v>634</v>
      </c>
      <c r="H35" s="767" t="s">
        <v>619</v>
      </c>
      <c r="I35" s="767" t="s">
        <v>620</v>
      </c>
      <c r="J35" s="767" t="s">
        <v>621</v>
      </c>
      <c r="K35" s="767" t="s">
        <v>622</v>
      </c>
      <c r="L35" s="805" t="s">
        <v>544</v>
      </c>
      <c r="M35" s="805" t="s">
        <v>635</v>
      </c>
      <c r="N35" s="805" t="s">
        <v>636</v>
      </c>
      <c r="O35" s="805" t="s">
        <v>637</v>
      </c>
      <c r="P35" s="805" t="s">
        <v>552</v>
      </c>
      <c r="Q35" s="758"/>
      <c r="R35" s="779" t="s">
        <v>638</v>
      </c>
      <c r="S35" s="779" t="s">
        <v>639</v>
      </c>
      <c r="T35" s="779" t="s">
        <v>640</v>
      </c>
      <c r="U35" s="779" t="s">
        <v>641</v>
      </c>
    </row>
    <row r="36" spans="2:25" ht="13" x14ac:dyDescent="0.3">
      <c r="B36" s="765" t="s">
        <v>554</v>
      </c>
      <c r="C36" s="765" t="s">
        <v>623</v>
      </c>
      <c r="D36" s="782">
        <v>1397</v>
      </c>
      <c r="E36" s="782">
        <v>2079</v>
      </c>
      <c r="F36" s="782">
        <v>1607.75</v>
      </c>
      <c r="G36" s="782">
        <v>0</v>
      </c>
      <c r="H36" s="782">
        <v>0</v>
      </c>
      <c r="I36" s="782">
        <v>0</v>
      </c>
      <c r="J36" s="782">
        <v>0</v>
      </c>
      <c r="K36" s="782">
        <v>0</v>
      </c>
      <c r="L36" s="806">
        <v>0</v>
      </c>
      <c r="M36" s="806"/>
      <c r="N36" s="806"/>
      <c r="O36" s="806"/>
      <c r="P36" s="804"/>
      <c r="Q36" s="760"/>
      <c r="R36" s="783">
        <f>SUM(Clients[[#This Row],[Apr - Jun 23]:[Jan - Mar 24]])-SUM(Clients[[#This Row],[Apr - Jun 22]:[Jan - Mar 23]])</f>
        <v>-5083.75</v>
      </c>
      <c r="S36" s="652">
        <f>IFERROR(R36/SUM(Clients[[#This Row],[Apr - Jun 22]:[Jan - Mar 23]]),0)</f>
        <v>-1</v>
      </c>
      <c r="T36" s="783"/>
      <c r="U36" s="652"/>
    </row>
    <row r="37" spans="2:25" ht="13" x14ac:dyDescent="0.3">
      <c r="B37" s="765" t="s">
        <v>555</v>
      </c>
      <c r="C37" s="765" t="s">
        <v>623</v>
      </c>
      <c r="D37" s="782">
        <v>3488.39</v>
      </c>
      <c r="E37" s="782">
        <v>2503.75</v>
      </c>
      <c r="F37" s="782">
        <v>6667.75</v>
      </c>
      <c r="G37" s="782">
        <v>10070.280000000001</v>
      </c>
      <c r="H37" s="782">
        <v>30016.79</v>
      </c>
      <c r="I37" s="782">
        <v>42844.25</v>
      </c>
      <c r="J37" s="782">
        <v>65226.03</v>
      </c>
      <c r="K37" s="782">
        <v>75348.89</v>
      </c>
      <c r="L37" s="782">
        <v>64852.23</v>
      </c>
      <c r="M37" s="806"/>
      <c r="N37" s="806"/>
      <c r="O37" s="806"/>
      <c r="P37" s="804"/>
      <c r="Q37" s="760"/>
      <c r="R37" s="783">
        <f>SUM(Clients[[#This Row],[Apr - Jun 23]:[Jan - Mar 24]])-SUM(Clients[[#This Row],[Apr - Jun 22]:[Jan - Mar 23]])</f>
        <v>190705.79000000004</v>
      </c>
      <c r="S37" s="652">
        <f>IFERROR(R37/SUM(Clients[[#This Row],[Apr - Jun 22]:[Jan - Mar 23]]),0)</f>
        <v>8.3899852046861092</v>
      </c>
      <c r="T37" s="783"/>
      <c r="U37" s="652"/>
    </row>
    <row r="38" spans="2:25" ht="13" x14ac:dyDescent="0.3">
      <c r="B38" s="765" t="s">
        <v>542</v>
      </c>
      <c r="C38" s="765" t="s">
        <v>623</v>
      </c>
      <c r="D38" s="782">
        <v>0</v>
      </c>
      <c r="E38" s="782">
        <v>0</v>
      </c>
      <c r="F38" s="782">
        <v>0</v>
      </c>
      <c r="G38" s="782">
        <v>0</v>
      </c>
      <c r="H38" s="782">
        <v>0</v>
      </c>
      <c r="I38" s="782">
        <v>0</v>
      </c>
      <c r="J38" s="782">
        <v>0</v>
      </c>
      <c r="K38" s="782">
        <v>0</v>
      </c>
      <c r="L38" s="782">
        <v>5374.18</v>
      </c>
      <c r="M38" s="782"/>
      <c r="N38" s="782"/>
      <c r="O38" s="782"/>
      <c r="P38" s="804"/>
      <c r="Q38" s="760"/>
      <c r="R38" s="783">
        <f>SUM(Clients[[#This Row],[Apr - Jun 23]:[Jan - Mar 24]])-SUM(Clients[[#This Row],[Apr - Jun 22]:[Jan - Mar 23]])</f>
        <v>0</v>
      </c>
      <c r="S38" s="652">
        <f>IFERROR(R38/SUM(Clients[[#This Row],[Apr - Jun 22]:[Jan - Mar 23]]),0)</f>
        <v>0</v>
      </c>
      <c r="T38" s="783"/>
      <c r="U38" s="652"/>
    </row>
    <row r="39" spans="2:25" ht="13" x14ac:dyDescent="0.3">
      <c r="B39" s="788" t="s">
        <v>556</v>
      </c>
      <c r="C39" s="765" t="s">
        <v>624</v>
      </c>
      <c r="D39" s="782">
        <v>20314.77</v>
      </c>
      <c r="E39" s="782">
        <v>9626.75</v>
      </c>
      <c r="F39" s="782">
        <v>4701</v>
      </c>
      <c r="G39" s="782">
        <v>1812.15</v>
      </c>
      <c r="H39" s="782">
        <v>242</v>
      </c>
      <c r="I39" s="782">
        <v>0</v>
      </c>
      <c r="J39" s="782">
        <v>0</v>
      </c>
      <c r="K39" s="782">
        <v>0</v>
      </c>
      <c r="L39" s="806">
        <v>0</v>
      </c>
      <c r="M39" s="806"/>
      <c r="N39" s="806"/>
      <c r="O39" s="806"/>
      <c r="P39" s="804"/>
      <c r="Q39" s="760"/>
      <c r="R39" s="783">
        <f>SUM(Clients[[#This Row],[Apr - Jun 23]:[Jan - Mar 24]])-SUM(Clients[[#This Row],[Apr - Jun 22]:[Jan - Mar 23]])</f>
        <v>-36212.670000000006</v>
      </c>
      <c r="S39" s="652">
        <f>IFERROR(R39/SUM(Clients[[#This Row],[Apr - Jun 22]:[Jan - Mar 23]]),0)</f>
        <v>-0.99336161868973161</v>
      </c>
      <c r="T39" s="783"/>
      <c r="U39" s="652"/>
    </row>
    <row r="40" spans="2:25" ht="13" x14ac:dyDescent="0.3">
      <c r="B40" s="788" t="s">
        <v>556</v>
      </c>
      <c r="C40" s="765" t="s">
        <v>623</v>
      </c>
      <c r="D40" s="782">
        <v>0</v>
      </c>
      <c r="E40" s="782">
        <v>0</v>
      </c>
      <c r="F40" s="782">
        <v>3916</v>
      </c>
      <c r="G40" s="782">
        <v>2429.39</v>
      </c>
      <c r="H40" s="782">
        <v>1466.32</v>
      </c>
      <c r="I40" s="782">
        <v>0</v>
      </c>
      <c r="J40" s="782">
        <v>0</v>
      </c>
      <c r="K40" s="782">
        <v>0</v>
      </c>
      <c r="L40" s="806">
        <v>0</v>
      </c>
      <c r="M40" s="806"/>
      <c r="N40" s="806"/>
      <c r="O40" s="806"/>
      <c r="P40" s="804"/>
      <c r="Q40" s="760"/>
      <c r="R40" s="783">
        <f>SUM(Clients[[#This Row],[Apr - Jun 23]:[Jan - Mar 24]])-SUM(Clients[[#This Row],[Apr - Jun 22]:[Jan - Mar 23]])</f>
        <v>-4879.07</v>
      </c>
      <c r="S40" s="652">
        <f>IFERROR(R40/SUM(Clients[[#This Row],[Apr - Jun 22]:[Jan - Mar 23]]),0)</f>
        <v>-0.76891570100498163</v>
      </c>
      <c r="T40" s="783"/>
      <c r="U40" s="652"/>
    </row>
    <row r="41" spans="2:25" ht="13" x14ac:dyDescent="0.3">
      <c r="B41" s="765" t="s">
        <v>557</v>
      </c>
      <c r="C41" s="765" t="s">
        <v>623</v>
      </c>
      <c r="D41" s="782">
        <v>1594.08</v>
      </c>
      <c r="E41" s="782">
        <v>6829.25</v>
      </c>
      <c r="F41" s="782">
        <v>2722.5</v>
      </c>
      <c r="G41" s="782">
        <v>2449.69</v>
      </c>
      <c r="H41" s="782">
        <v>6963.08</v>
      </c>
      <c r="I41" s="782">
        <v>4323.82</v>
      </c>
      <c r="J41" s="782">
        <v>4528.2700000000004</v>
      </c>
      <c r="K41" s="782">
        <v>3302.22</v>
      </c>
      <c r="L41" s="806">
        <v>3632.7</v>
      </c>
      <c r="M41" s="806"/>
      <c r="N41" s="806"/>
      <c r="O41" s="806"/>
      <c r="P41" s="804"/>
      <c r="Q41" s="760"/>
      <c r="R41" s="783">
        <f>SUM(Clients[[#This Row],[Apr - Jun 23]:[Jan - Mar 24]])-SUM(Clients[[#This Row],[Apr - Jun 22]:[Jan - Mar 23]])</f>
        <v>5521.869999999999</v>
      </c>
      <c r="S41" s="652">
        <f>IFERROR(R41/SUM(Clients[[#This Row],[Apr - Jun 22]:[Jan - Mar 23]]),0)</f>
        <v>0.40615364473002863</v>
      </c>
      <c r="T41" s="783"/>
      <c r="U41" s="652"/>
    </row>
    <row r="42" spans="2:25" ht="13" x14ac:dyDescent="0.3">
      <c r="B42" s="788" t="s">
        <v>558</v>
      </c>
      <c r="C42" s="765" t="s">
        <v>624</v>
      </c>
      <c r="D42" s="782">
        <v>0</v>
      </c>
      <c r="E42" s="782">
        <v>0</v>
      </c>
      <c r="F42" s="782">
        <v>0</v>
      </c>
      <c r="G42" s="782">
        <v>9297.32</v>
      </c>
      <c r="H42" s="782">
        <v>27394.76</v>
      </c>
      <c r="I42" s="782">
        <v>43197.15</v>
      </c>
      <c r="J42" s="782">
        <v>26257.98</v>
      </c>
      <c r="K42" s="782">
        <v>21962.65</v>
      </c>
      <c r="L42" s="806">
        <v>0</v>
      </c>
      <c r="M42" s="806"/>
      <c r="N42" s="806"/>
      <c r="O42" s="806"/>
      <c r="P42" s="804"/>
      <c r="Q42" s="760"/>
      <c r="R42" s="783">
        <f>SUM(Clients[[#This Row],[Apr - Jun 23]:[Jan - Mar 24]])-SUM(Clients[[#This Row],[Apr - Jun 22]:[Jan - Mar 23]])</f>
        <v>109515.22</v>
      </c>
      <c r="S42" s="652">
        <f>IFERROR(R42/SUM(Clients[[#This Row],[Apr - Jun 22]:[Jan - Mar 23]]),0)</f>
        <v>11.779224550730749</v>
      </c>
      <c r="T42" s="783"/>
      <c r="U42" s="652"/>
    </row>
    <row r="43" spans="2:25" ht="13" x14ac:dyDescent="0.3">
      <c r="B43" s="788" t="s">
        <v>559</v>
      </c>
      <c r="C43" s="765" t="s">
        <v>623</v>
      </c>
      <c r="D43" s="782">
        <v>199305.59</v>
      </c>
      <c r="E43" s="782">
        <v>204113.01</v>
      </c>
      <c r="F43" s="782">
        <v>138320.63</v>
      </c>
      <c r="G43" s="782">
        <v>117674.26</v>
      </c>
      <c r="H43" s="782">
        <v>84080.02</v>
      </c>
      <c r="I43" s="782">
        <v>98103.96</v>
      </c>
      <c r="J43" s="782">
        <v>100062.71</v>
      </c>
      <c r="K43" s="782">
        <v>99836.27</v>
      </c>
      <c r="L43" s="806">
        <v>150929.54999999999</v>
      </c>
      <c r="M43" s="806"/>
      <c r="N43" s="806"/>
      <c r="O43" s="806"/>
      <c r="P43" s="804"/>
      <c r="Q43" s="760"/>
      <c r="R43" s="783">
        <f>SUM(Clients[[#This Row],[Apr - Jun 23]:[Jan - Mar 24]])-SUM(Clients[[#This Row],[Apr - Jun 22]:[Jan - Mar 23]])</f>
        <v>-277330.52999999997</v>
      </c>
      <c r="S43" s="652">
        <f>IFERROR(R43/SUM(Clients[[#This Row],[Apr - Jun 22]:[Jan - Mar 23]]),0)</f>
        <v>-0.42057151424063222</v>
      </c>
      <c r="T43" s="783"/>
      <c r="U43" s="652"/>
    </row>
    <row r="44" spans="2:25" ht="13" x14ac:dyDescent="0.3">
      <c r="B44" s="765" t="s">
        <v>560</v>
      </c>
      <c r="C44" s="765" t="s">
        <v>623</v>
      </c>
      <c r="D44" s="782">
        <v>0</v>
      </c>
      <c r="E44" s="782">
        <v>0</v>
      </c>
      <c r="F44" s="782">
        <v>0</v>
      </c>
      <c r="G44" s="782">
        <v>11964.09</v>
      </c>
      <c r="H44" s="782">
        <v>15363.18</v>
      </c>
      <c r="I44" s="782">
        <v>19947.8</v>
      </c>
      <c r="J44" s="782">
        <v>22695.68</v>
      </c>
      <c r="K44" s="782">
        <v>9172.92</v>
      </c>
      <c r="L44" s="806">
        <v>2784</v>
      </c>
      <c r="M44" s="806"/>
      <c r="N44" s="806"/>
      <c r="O44" s="806"/>
      <c r="P44" s="804"/>
      <c r="Q44" s="760"/>
      <c r="R44" s="783">
        <f>SUM(Clients[[#This Row],[Apr - Jun 23]:[Jan - Mar 24]])-SUM(Clients[[#This Row],[Apr - Jun 22]:[Jan - Mar 23]])</f>
        <v>55215.490000000005</v>
      </c>
      <c r="S44" s="652">
        <f>IFERROR(R44/SUM(Clients[[#This Row],[Apr - Jun 22]:[Jan - Mar 23]]),0)</f>
        <v>4.6151015246458362</v>
      </c>
      <c r="T44" s="783"/>
      <c r="U44" s="652"/>
    </row>
    <row r="45" spans="2:25" ht="13" x14ac:dyDescent="0.3">
      <c r="B45" s="765" t="s">
        <v>561</v>
      </c>
      <c r="C45" s="765" t="s">
        <v>623</v>
      </c>
      <c r="D45" s="782">
        <v>0</v>
      </c>
      <c r="E45" s="782">
        <v>0</v>
      </c>
      <c r="F45" s="782">
        <v>0</v>
      </c>
      <c r="G45" s="782">
        <v>0</v>
      </c>
      <c r="H45" s="782">
        <v>0</v>
      </c>
      <c r="I45" s="782">
        <v>1060.5899999999999</v>
      </c>
      <c r="J45" s="782">
        <v>35977.69</v>
      </c>
      <c r="K45" s="782">
        <v>74845.460000000006</v>
      </c>
      <c r="L45" s="806">
        <v>85596.11</v>
      </c>
      <c r="M45" s="806"/>
      <c r="N45" s="806"/>
      <c r="O45" s="806"/>
      <c r="P45" s="804"/>
      <c r="Q45" s="760"/>
      <c r="R45" s="783">
        <f>SUM(Clients[[#This Row],[Apr - Jun 23]:[Jan - Mar 24]])-SUM(Clients[[#This Row],[Apr - Jun 22]:[Jan - Mar 23]])</f>
        <v>111883.74</v>
      </c>
      <c r="S45" s="652">
        <f>IFERROR(R45/SUM(Clients[[#This Row],[Apr - Jun 22]:[Jan - Mar 23]]),0)</f>
        <v>0</v>
      </c>
      <c r="T45" s="783"/>
      <c r="U45" s="652"/>
    </row>
    <row r="46" spans="2:25" ht="13" x14ac:dyDescent="0.3">
      <c r="B46" s="765" t="s">
        <v>546</v>
      </c>
      <c r="C46" s="765" t="s">
        <v>624</v>
      </c>
      <c r="D46" s="782">
        <v>0</v>
      </c>
      <c r="E46" s="782">
        <v>0</v>
      </c>
      <c r="F46" s="782">
        <v>0</v>
      </c>
      <c r="G46" s="782">
        <v>5140.5</v>
      </c>
      <c r="H46" s="782">
        <v>15981.58</v>
      </c>
      <c r="I46" s="782">
        <v>18988.330000000002</v>
      </c>
      <c r="J46" s="782">
        <v>14558.29</v>
      </c>
      <c r="K46" s="782">
        <v>4860</v>
      </c>
      <c r="L46" s="806">
        <v>4764</v>
      </c>
      <c r="M46" s="806"/>
      <c r="N46" s="806"/>
      <c r="O46" s="806"/>
      <c r="P46" s="804"/>
      <c r="Q46" s="760"/>
      <c r="R46" s="783">
        <f>SUM(Clients[[#This Row],[Apr - Jun 23]:[Jan - Mar 24]])-SUM(Clients[[#This Row],[Apr - Jun 22]:[Jan - Mar 23]])</f>
        <v>49247.700000000004</v>
      </c>
      <c r="S46" s="652">
        <f>IFERROR(R46/SUM(Clients[[#This Row],[Apr - Jun 22]:[Jan - Mar 23]]),0)</f>
        <v>9.5803326524657137</v>
      </c>
      <c r="T46" s="783"/>
      <c r="U46" s="652"/>
    </row>
    <row r="47" spans="2:25" ht="13" x14ac:dyDescent="0.3">
      <c r="B47" s="765" t="s">
        <v>562</v>
      </c>
      <c r="C47" s="765" t="s">
        <v>624</v>
      </c>
      <c r="D47" s="782">
        <v>0</v>
      </c>
      <c r="E47" s="782">
        <v>0</v>
      </c>
      <c r="F47" s="782">
        <v>0</v>
      </c>
      <c r="G47" s="782">
        <v>816.5</v>
      </c>
      <c r="H47" s="782">
        <v>0</v>
      </c>
      <c r="I47" s="782">
        <v>0</v>
      </c>
      <c r="J47" s="782">
        <v>0</v>
      </c>
      <c r="K47" s="782">
        <v>0</v>
      </c>
      <c r="L47" s="806">
        <v>0</v>
      </c>
      <c r="M47" s="806"/>
      <c r="N47" s="806"/>
      <c r="O47" s="806"/>
      <c r="P47" s="804"/>
      <c r="Q47" s="760"/>
      <c r="R47" s="783">
        <f>SUM(Clients[[#This Row],[Apr - Jun 23]:[Jan - Mar 24]])-SUM(Clients[[#This Row],[Apr - Jun 22]:[Jan - Mar 23]])</f>
        <v>-816.5</v>
      </c>
      <c r="S47" s="652">
        <f>IFERROR(R47/SUM(Clients[[#This Row],[Apr - Jun 22]:[Jan - Mar 23]]),0)</f>
        <v>-1</v>
      </c>
      <c r="T47" s="783"/>
      <c r="U47" s="652"/>
    </row>
    <row r="48" spans="2:25" ht="13" x14ac:dyDescent="0.3">
      <c r="B48" s="765" t="s">
        <v>563</v>
      </c>
      <c r="C48" s="765" t="s">
        <v>624</v>
      </c>
      <c r="D48" s="782">
        <v>0</v>
      </c>
      <c r="E48" s="782">
        <v>0</v>
      </c>
      <c r="F48" s="782">
        <v>5591.25</v>
      </c>
      <c r="G48" s="782">
        <v>7004.06</v>
      </c>
      <c r="H48" s="782">
        <v>5771.9</v>
      </c>
      <c r="I48" s="782">
        <v>14918.71</v>
      </c>
      <c r="J48" s="782">
        <v>14371.61</v>
      </c>
      <c r="K48" s="782">
        <v>19748.71</v>
      </c>
      <c r="L48" s="806">
        <v>18268.09</v>
      </c>
      <c r="M48" s="806"/>
      <c r="N48" s="806"/>
      <c r="O48" s="806"/>
      <c r="P48" s="804"/>
      <c r="Q48" s="760"/>
      <c r="R48" s="783">
        <f>SUM(Clients[[#This Row],[Apr - Jun 23]:[Jan - Mar 24]])-SUM(Clients[[#This Row],[Apr - Jun 22]:[Jan - Mar 23]])</f>
        <v>42215.619999999995</v>
      </c>
      <c r="S48" s="652">
        <f>IFERROR(R48/SUM(Clients[[#This Row],[Apr - Jun 22]:[Jan - Mar 23]]),0)</f>
        <v>3.3516936065884835</v>
      </c>
      <c r="T48" s="783"/>
      <c r="U48" s="652"/>
    </row>
    <row r="49" spans="2:21" ht="13" x14ac:dyDescent="0.3">
      <c r="B49" s="765" t="s">
        <v>564</v>
      </c>
      <c r="C49" s="765" t="s">
        <v>623</v>
      </c>
      <c r="D49" s="782">
        <v>27511.15</v>
      </c>
      <c r="E49" s="782">
        <v>24759.75</v>
      </c>
      <c r="F49" s="782">
        <v>24478.95</v>
      </c>
      <c r="G49" s="782">
        <v>21402.06</v>
      </c>
      <c r="H49" s="782">
        <v>16220.36</v>
      </c>
      <c r="I49" s="782">
        <v>13571.51</v>
      </c>
      <c r="J49" s="782">
        <v>10460.17</v>
      </c>
      <c r="K49" s="782">
        <v>28958.86</v>
      </c>
      <c r="L49" s="806">
        <v>33122.18</v>
      </c>
      <c r="M49" s="806"/>
      <c r="N49" s="806"/>
      <c r="O49" s="806"/>
      <c r="P49" s="804"/>
      <c r="Q49" s="760"/>
      <c r="R49" s="783">
        <f>SUM(Clients[[#This Row],[Apr - Jun 23]:[Jan - Mar 24]])-SUM(Clients[[#This Row],[Apr - Jun 22]:[Jan - Mar 23]])</f>
        <v>-28941.010000000009</v>
      </c>
      <c r="S49" s="652">
        <f>IFERROR(R49/SUM(Clients[[#This Row],[Apr - Jun 22]:[Jan - Mar 23]]),0)</f>
        <v>-0.29485936646571637</v>
      </c>
      <c r="T49" s="783"/>
      <c r="U49" s="652"/>
    </row>
    <row r="50" spans="2:21" ht="13" x14ac:dyDescent="0.3">
      <c r="B50" s="765" t="s">
        <v>565</v>
      </c>
      <c r="C50" s="765" t="s">
        <v>623</v>
      </c>
      <c r="D50" s="782">
        <v>0</v>
      </c>
      <c r="E50" s="782">
        <v>0</v>
      </c>
      <c r="F50" s="782">
        <v>5586.5</v>
      </c>
      <c r="G50" s="782">
        <v>33255.33</v>
      </c>
      <c r="H50" s="782">
        <v>41477.35</v>
      </c>
      <c r="I50" s="782">
        <v>82593.440000000002</v>
      </c>
      <c r="J50" s="782">
        <v>0</v>
      </c>
      <c r="K50" s="782">
        <v>0</v>
      </c>
      <c r="L50" s="806">
        <v>0</v>
      </c>
      <c r="M50" s="806"/>
      <c r="N50" s="806"/>
      <c r="O50" s="806"/>
      <c r="P50" s="804"/>
      <c r="Q50" s="760"/>
      <c r="R50" s="783">
        <f>SUM(Clients[[#This Row],[Apr - Jun 23]:[Jan - Mar 24]])-SUM(Clients[[#This Row],[Apr - Jun 22]:[Jan - Mar 23]])</f>
        <v>85228.96</v>
      </c>
      <c r="S50" s="652">
        <f>IFERROR(R50/SUM(Clients[[#This Row],[Apr - Jun 22]:[Jan - Mar 23]]),0)</f>
        <v>2.1942570677025257</v>
      </c>
      <c r="T50" s="783"/>
      <c r="U50" s="652"/>
    </row>
    <row r="51" spans="2:21" ht="13" x14ac:dyDescent="0.3">
      <c r="B51" s="788" t="s">
        <v>566</v>
      </c>
      <c r="C51" s="765" t="s">
        <v>624</v>
      </c>
      <c r="D51" s="782">
        <v>0</v>
      </c>
      <c r="E51" s="782">
        <v>1146.5999999999999</v>
      </c>
      <c r="F51" s="782">
        <v>41633.199999999997</v>
      </c>
      <c r="G51" s="782">
        <v>42252.32</v>
      </c>
      <c r="H51" s="782">
        <v>35373.15</v>
      </c>
      <c r="I51" s="782">
        <v>40510.99</v>
      </c>
      <c r="J51" s="782">
        <v>62149.59</v>
      </c>
      <c r="K51" s="782">
        <v>47948.09</v>
      </c>
      <c r="L51" s="806">
        <v>0</v>
      </c>
      <c r="M51" s="806"/>
      <c r="N51" s="806"/>
      <c r="O51" s="806"/>
      <c r="P51" s="804"/>
      <c r="Q51" s="760"/>
      <c r="R51" s="783">
        <f>SUM(Clients[[#This Row],[Apr - Jun 23]:[Jan - Mar 24]])-SUM(Clients[[#This Row],[Apr - Jun 22]:[Jan - Mar 23]])</f>
        <v>100949.69999999998</v>
      </c>
      <c r="S51" s="652">
        <f>IFERROR(R51/SUM(Clients[[#This Row],[Apr - Jun 22]:[Jan - Mar 23]]),0)</f>
        <v>1.1871949094059984</v>
      </c>
      <c r="T51" s="783"/>
      <c r="U51" s="652"/>
    </row>
    <row r="52" spans="2:21" ht="13" x14ac:dyDescent="0.3">
      <c r="B52" s="788" t="s">
        <v>567</v>
      </c>
      <c r="C52" s="765" t="s">
        <v>623</v>
      </c>
      <c r="D52" s="782">
        <v>59872.73</v>
      </c>
      <c r="E52" s="782">
        <v>55843.67</v>
      </c>
      <c r="F52" s="782">
        <v>51286.53</v>
      </c>
      <c r="G52" s="782">
        <v>56828.37</v>
      </c>
      <c r="H52" s="782">
        <v>55739.340000000004</v>
      </c>
      <c r="I52" s="782">
        <v>53640.080000000009</v>
      </c>
      <c r="J52" s="782">
        <v>86596.6</v>
      </c>
      <c r="K52" s="782">
        <v>79438.33</v>
      </c>
      <c r="L52" s="806">
        <v>171503.59</v>
      </c>
      <c r="M52" s="806"/>
      <c r="N52" s="806"/>
      <c r="O52" s="806"/>
      <c r="P52" s="804"/>
      <c r="Q52" s="760"/>
      <c r="R52" s="783">
        <f>SUM(Clients[[#This Row],[Apr - Jun 23]:[Jan - Mar 24]])-SUM(Clients[[#This Row],[Apr - Jun 22]:[Jan - Mar 23]])</f>
        <v>51583.050000000047</v>
      </c>
      <c r="S52" s="652">
        <f>IFERROR(R52/SUM(Clients[[#This Row],[Apr - Jun 22]:[Jan - Mar 23]]),0)</f>
        <v>0.23045503466226594</v>
      </c>
      <c r="T52" s="783"/>
      <c r="U52" s="652"/>
    </row>
    <row r="53" spans="2:21" ht="13" x14ac:dyDescent="0.3">
      <c r="B53" s="788" t="s">
        <v>568</v>
      </c>
      <c r="C53" s="765" t="s">
        <v>624</v>
      </c>
      <c r="D53" s="789">
        <v>3728.7</v>
      </c>
      <c r="E53" s="789">
        <v>6213.75</v>
      </c>
      <c r="F53" s="789">
        <v>5667</v>
      </c>
      <c r="G53" s="789">
        <v>4659</v>
      </c>
      <c r="H53" s="789">
        <v>3586</v>
      </c>
      <c r="I53" s="789">
        <v>3205</v>
      </c>
      <c r="J53" s="789">
        <v>3228</v>
      </c>
      <c r="K53" s="789">
        <v>4164</v>
      </c>
      <c r="L53" s="806">
        <v>0</v>
      </c>
      <c r="M53" s="806"/>
      <c r="N53" s="806"/>
      <c r="O53" s="806"/>
      <c r="P53" s="804"/>
      <c r="Q53" s="760"/>
      <c r="R53" s="783">
        <f>SUM(Clients[[#This Row],[Apr - Jun 23]:[Jan - Mar 24]])-SUM(Clients[[#This Row],[Apr - Jun 22]:[Jan - Mar 23]])</f>
        <v>-6085.4500000000007</v>
      </c>
      <c r="S53" s="652">
        <f>IFERROR(R53/SUM(Clients[[#This Row],[Apr - Jun 22]:[Jan - Mar 23]]),0)</f>
        <v>-0.30024249510939416</v>
      </c>
      <c r="T53" s="783"/>
      <c r="U53" s="652"/>
    </row>
    <row r="54" spans="2:21" ht="13" x14ac:dyDescent="0.3">
      <c r="B54" s="788" t="s">
        <v>569</v>
      </c>
      <c r="C54" s="765" t="s">
        <v>623</v>
      </c>
      <c r="D54" s="782">
        <v>3157</v>
      </c>
      <c r="E54" s="782">
        <v>1617</v>
      </c>
      <c r="F54" s="782">
        <v>1133</v>
      </c>
      <c r="G54" s="782">
        <v>1408</v>
      </c>
      <c r="H54" s="782">
        <v>1408</v>
      </c>
      <c r="I54" s="782">
        <v>1025</v>
      </c>
      <c r="J54" s="782">
        <v>612</v>
      </c>
      <c r="K54" s="782">
        <v>456</v>
      </c>
      <c r="L54" s="806">
        <v>5832</v>
      </c>
      <c r="M54" s="806"/>
      <c r="N54" s="806"/>
      <c r="O54" s="806"/>
      <c r="P54" s="804"/>
      <c r="Q54" s="760"/>
      <c r="R54" s="783">
        <f>SUM(Clients[[#This Row],[Apr - Jun 23]:[Jan - Mar 24]])-SUM(Clients[[#This Row],[Apr - Jun 22]:[Jan - Mar 23]])</f>
        <v>-3814</v>
      </c>
      <c r="S54" s="652">
        <f>IFERROR(R54/SUM(Clients[[#This Row],[Apr - Jun 22]:[Jan - Mar 23]]),0)</f>
        <v>-0.52139439507860563</v>
      </c>
      <c r="T54" s="783"/>
      <c r="U54" s="652"/>
    </row>
    <row r="55" spans="2:21" ht="13" x14ac:dyDescent="0.3">
      <c r="B55" s="765" t="s">
        <v>570</v>
      </c>
      <c r="C55" s="765" t="s">
        <v>623</v>
      </c>
      <c r="D55" s="782">
        <v>4069.89</v>
      </c>
      <c r="E55" s="782">
        <v>1995.63</v>
      </c>
      <c r="F55" s="782">
        <v>3007.63</v>
      </c>
      <c r="G55" s="782">
        <v>4344.76</v>
      </c>
      <c r="H55" s="782">
        <v>6841.51</v>
      </c>
      <c r="I55" s="782">
        <v>7517.13</v>
      </c>
      <c r="J55" s="782">
        <v>6887.21</v>
      </c>
      <c r="K55" s="782">
        <v>6321.19</v>
      </c>
      <c r="L55" s="806">
        <v>5373.5</v>
      </c>
      <c r="M55" s="806"/>
      <c r="N55" s="806"/>
      <c r="O55" s="806"/>
      <c r="P55" s="804"/>
      <c r="Q55" s="760"/>
      <c r="R55" s="783">
        <f>SUM(Clients[[#This Row],[Apr - Jun 23]:[Jan - Mar 24]])-SUM(Clients[[#This Row],[Apr - Jun 22]:[Jan - Mar 23]])</f>
        <v>14149.129999999996</v>
      </c>
      <c r="S55" s="652">
        <f>IFERROR(R55/SUM(Clients[[#This Row],[Apr - Jun 22]:[Jan - Mar 23]]),0)</f>
        <v>1.0544958193936309</v>
      </c>
      <c r="T55" s="783"/>
      <c r="U55" s="652"/>
    </row>
    <row r="56" spans="2:21" ht="13" x14ac:dyDescent="0.3">
      <c r="B56" s="765" t="s">
        <v>571</v>
      </c>
      <c r="C56" s="765" t="s">
        <v>623</v>
      </c>
      <c r="D56" s="782">
        <v>20949.669999999998</v>
      </c>
      <c r="E56" s="782">
        <v>42848.51</v>
      </c>
      <c r="F56" s="782">
        <v>32153.51</v>
      </c>
      <c r="G56" s="782">
        <v>31406.76</v>
      </c>
      <c r="H56" s="782">
        <v>21654.91</v>
      </c>
      <c r="I56" s="782">
        <v>18433.91</v>
      </c>
      <c r="J56" s="782">
        <v>13251.62</v>
      </c>
      <c r="K56" s="782">
        <v>18219.759999999998</v>
      </c>
      <c r="L56" s="806">
        <v>28991.56</v>
      </c>
      <c r="M56" s="806"/>
      <c r="N56" s="806"/>
      <c r="O56" s="806"/>
      <c r="P56" s="804"/>
      <c r="Q56" s="760"/>
      <c r="R56" s="783">
        <f>SUM(Clients[[#This Row],[Apr - Jun 23]:[Jan - Mar 24]])-SUM(Clients[[#This Row],[Apr - Jun 22]:[Jan - Mar 23]])</f>
        <v>-55798.25</v>
      </c>
      <c r="S56" s="652">
        <f>IFERROR(R56/SUM(Clients[[#This Row],[Apr - Jun 22]:[Jan - Mar 23]]),0)</f>
        <v>-0.43811973214184063</v>
      </c>
      <c r="T56" s="783"/>
      <c r="U56" s="652"/>
    </row>
    <row r="57" spans="2:21" ht="13" x14ac:dyDescent="0.3">
      <c r="B57" s="765" t="s">
        <v>572</v>
      </c>
      <c r="C57" s="765" t="s">
        <v>623</v>
      </c>
      <c r="D57" s="782">
        <v>0</v>
      </c>
      <c r="E57" s="782">
        <v>0</v>
      </c>
      <c r="F57" s="782">
        <v>0</v>
      </c>
      <c r="G57" s="782">
        <v>0</v>
      </c>
      <c r="H57" s="782">
        <v>678.5</v>
      </c>
      <c r="I57" s="782">
        <v>0</v>
      </c>
      <c r="J57" s="782">
        <v>0</v>
      </c>
      <c r="K57" s="782">
        <v>2064</v>
      </c>
      <c r="L57" s="806">
        <v>0</v>
      </c>
      <c r="M57" s="806"/>
      <c r="N57" s="806"/>
      <c r="O57" s="806"/>
      <c r="P57" s="804"/>
      <c r="Q57" s="760"/>
      <c r="R57" s="783">
        <f>SUM(Clients[[#This Row],[Apr - Jun 23]:[Jan - Mar 24]])-SUM(Clients[[#This Row],[Apr - Jun 22]:[Jan - Mar 23]])</f>
        <v>2742.5</v>
      </c>
      <c r="S57" s="652">
        <f>IFERROR(R57/SUM(Clients[[#This Row],[Apr - Jun 22]:[Jan - Mar 23]]),0)</f>
        <v>0</v>
      </c>
      <c r="T57" s="783"/>
      <c r="U57" s="652"/>
    </row>
    <row r="58" spans="2:21" ht="13" x14ac:dyDescent="0.3">
      <c r="B58" s="765" t="s">
        <v>573</v>
      </c>
      <c r="C58" s="765" t="s">
        <v>624</v>
      </c>
      <c r="D58" s="782">
        <v>655.5</v>
      </c>
      <c r="E58" s="782">
        <v>24250.25</v>
      </c>
      <c r="F58" s="782">
        <v>33022.879999999997</v>
      </c>
      <c r="G58" s="782">
        <v>35537.93</v>
      </c>
      <c r="H58" s="782">
        <v>55424.28</v>
      </c>
      <c r="I58" s="782">
        <v>53458.5</v>
      </c>
      <c r="J58" s="782">
        <v>42369.8</v>
      </c>
      <c r="K58" s="782">
        <v>53468.41</v>
      </c>
      <c r="L58" s="806">
        <v>58817.54</v>
      </c>
      <c r="M58" s="806"/>
      <c r="N58" s="806"/>
      <c r="O58" s="806"/>
      <c r="P58" s="804"/>
      <c r="Q58" s="760"/>
      <c r="R58" s="783">
        <f>SUM(Clients[[#This Row],[Apr - Jun 23]:[Jan - Mar 24]])-SUM(Clients[[#This Row],[Apr - Jun 22]:[Jan - Mar 23]])</f>
        <v>111254.43000000002</v>
      </c>
      <c r="S58" s="652">
        <f>IFERROR(R58/SUM(Clients[[#This Row],[Apr - Jun 22]:[Jan - Mar 23]]),0)</f>
        <v>1.1903126636949088</v>
      </c>
      <c r="T58" s="783"/>
      <c r="U58" s="652"/>
    </row>
    <row r="59" spans="2:21" ht="13" x14ac:dyDescent="0.3">
      <c r="B59" s="788" t="s">
        <v>574</v>
      </c>
      <c r="C59" s="765" t="s">
        <v>624</v>
      </c>
      <c r="D59" s="789">
        <v>4858.21</v>
      </c>
      <c r="E59" s="789">
        <v>3219.5</v>
      </c>
      <c r="F59" s="789">
        <v>5347.75</v>
      </c>
      <c r="G59" s="789">
        <v>24347.46</v>
      </c>
      <c r="H59" s="789">
        <v>26591.17</v>
      </c>
      <c r="I59" s="789">
        <v>39623.11</v>
      </c>
      <c r="J59" s="789">
        <v>68687.06</v>
      </c>
      <c r="K59" s="789">
        <v>110081.07</v>
      </c>
      <c r="L59" s="806">
        <v>0</v>
      </c>
      <c r="M59" s="806"/>
      <c r="N59" s="806"/>
      <c r="O59" s="806"/>
      <c r="P59" s="804"/>
      <c r="Q59" s="760"/>
      <c r="R59" s="783">
        <f>SUM(Clients[[#This Row],[Apr - Jun 23]:[Jan - Mar 24]])-SUM(Clients[[#This Row],[Apr - Jun 22]:[Jan - Mar 23]])</f>
        <v>207209.49</v>
      </c>
      <c r="S59" s="652">
        <f>IFERROR(R59/SUM(Clients[[#This Row],[Apr - Jun 22]:[Jan - Mar 23]]),0)</f>
        <v>5.4856624798930032</v>
      </c>
      <c r="T59" s="783"/>
      <c r="U59" s="652"/>
    </row>
    <row r="60" spans="2:21" ht="13" x14ac:dyDescent="0.3">
      <c r="B60" s="788" t="s">
        <v>575</v>
      </c>
      <c r="C60" s="765" t="s">
        <v>623</v>
      </c>
      <c r="D60" s="782">
        <v>1956.3199999999997</v>
      </c>
      <c r="E60" s="782">
        <v>3091.25</v>
      </c>
      <c r="F60" s="782">
        <v>8288.25</v>
      </c>
      <c r="G60" s="782">
        <v>33732.06</v>
      </c>
      <c r="H60" s="782">
        <v>52190.81</v>
      </c>
      <c r="I60" s="782">
        <v>78468.539999999994</v>
      </c>
      <c r="J60" s="782">
        <v>82187.03</v>
      </c>
      <c r="K60" s="782">
        <v>59283.929999999993</v>
      </c>
      <c r="L60" s="806">
        <v>171217.08</v>
      </c>
      <c r="M60" s="806"/>
      <c r="N60" s="806"/>
      <c r="O60" s="806"/>
      <c r="P60" s="804"/>
      <c r="Q60" s="760"/>
      <c r="R60" s="783">
        <f>SUM(Clients[[#This Row],[Apr - Jun 23]:[Jan - Mar 24]])-SUM(Clients[[#This Row],[Apr - Jun 22]:[Jan - Mar 23]])</f>
        <v>225062.43</v>
      </c>
      <c r="S60" s="652">
        <f>IFERROR(R60/SUM(Clients[[#This Row],[Apr - Jun 22]:[Jan - Mar 23]]),0)</f>
        <v>4.7816564077243333</v>
      </c>
      <c r="T60" s="783"/>
      <c r="U60" s="652"/>
    </row>
    <row r="61" spans="2:21" ht="13" x14ac:dyDescent="0.3">
      <c r="B61" s="765" t="s">
        <v>576</v>
      </c>
      <c r="C61" s="765" t="s">
        <v>624</v>
      </c>
      <c r="D61" s="782">
        <v>0</v>
      </c>
      <c r="E61" s="782">
        <v>0</v>
      </c>
      <c r="F61" s="782">
        <v>1781</v>
      </c>
      <c r="G61" s="782">
        <v>2881.25</v>
      </c>
      <c r="H61" s="782">
        <v>4255.71</v>
      </c>
      <c r="I61" s="782">
        <v>6217.26</v>
      </c>
      <c r="J61" s="782">
        <v>4424.17</v>
      </c>
      <c r="K61" s="782">
        <v>5424.83</v>
      </c>
      <c r="L61" s="806">
        <v>2712</v>
      </c>
      <c r="M61" s="806"/>
      <c r="N61" s="806"/>
      <c r="O61" s="806"/>
      <c r="P61" s="804"/>
      <c r="Q61" s="760"/>
      <c r="R61" s="783">
        <f>SUM(Clients[[#This Row],[Apr - Jun 23]:[Jan - Mar 24]])-SUM(Clients[[#This Row],[Apr - Jun 22]:[Jan - Mar 23]])</f>
        <v>15659.720000000001</v>
      </c>
      <c r="S61" s="652">
        <f>IFERROR(R61/SUM(Clients[[#This Row],[Apr - Jun 22]:[Jan - Mar 23]]),0)</f>
        <v>3.358833181403829</v>
      </c>
      <c r="T61" s="783"/>
      <c r="U61" s="652"/>
    </row>
    <row r="62" spans="2:21" ht="13" x14ac:dyDescent="0.3">
      <c r="B62" s="765" t="s">
        <v>577</v>
      </c>
      <c r="C62" s="765" t="s">
        <v>624</v>
      </c>
      <c r="D62" s="782">
        <v>0</v>
      </c>
      <c r="E62" s="782">
        <v>0</v>
      </c>
      <c r="F62" s="782">
        <v>0</v>
      </c>
      <c r="G62" s="782">
        <v>0</v>
      </c>
      <c r="H62" s="782">
        <v>0</v>
      </c>
      <c r="I62" s="782">
        <v>0</v>
      </c>
      <c r="J62" s="782">
        <v>0</v>
      </c>
      <c r="K62" s="782">
        <v>268.39999999999998</v>
      </c>
      <c r="L62" s="806">
        <v>0</v>
      </c>
      <c r="M62" s="806"/>
      <c r="N62" s="806"/>
      <c r="O62" s="806"/>
      <c r="P62" s="804"/>
      <c r="Q62" s="760"/>
      <c r="R62" s="783">
        <f>SUM(Clients[[#This Row],[Apr - Jun 23]:[Jan - Mar 24]])-SUM(Clients[[#This Row],[Apr - Jun 22]:[Jan - Mar 23]])</f>
        <v>268.39999999999998</v>
      </c>
      <c r="S62" s="652">
        <f>IFERROR(R62/SUM(Clients[[#This Row],[Apr - Jun 22]:[Jan - Mar 23]]),0)</f>
        <v>0</v>
      </c>
      <c r="T62" s="783"/>
      <c r="U62" s="652"/>
    </row>
    <row r="63" spans="2:21" ht="13" x14ac:dyDescent="0.3">
      <c r="B63" s="788" t="s">
        <v>578</v>
      </c>
      <c r="C63" s="765" t="s">
        <v>624</v>
      </c>
      <c r="D63" s="789">
        <v>0</v>
      </c>
      <c r="E63" s="789">
        <v>0</v>
      </c>
      <c r="F63" s="789">
        <v>0</v>
      </c>
      <c r="G63" s="789">
        <v>3784</v>
      </c>
      <c r="H63" s="789">
        <v>3487</v>
      </c>
      <c r="I63" s="789">
        <v>600</v>
      </c>
      <c r="J63" s="789">
        <v>0</v>
      </c>
      <c r="K63" s="789">
        <v>0</v>
      </c>
      <c r="L63" s="806">
        <v>0</v>
      </c>
      <c r="M63" s="806"/>
      <c r="N63" s="806"/>
      <c r="O63" s="806"/>
      <c r="P63" s="804"/>
      <c r="Q63" s="760"/>
      <c r="R63" s="783">
        <f>SUM(Clients[[#This Row],[Apr - Jun 23]:[Jan - Mar 24]])-SUM(Clients[[#This Row],[Apr - Jun 22]:[Jan - Mar 23]])</f>
        <v>303</v>
      </c>
      <c r="S63" s="652">
        <f>IFERROR(R63/SUM(Clients[[#This Row],[Apr - Jun 22]:[Jan - Mar 23]]),0)</f>
        <v>8.0073995771670195E-2</v>
      </c>
      <c r="T63" s="783"/>
      <c r="U63" s="652"/>
    </row>
    <row r="64" spans="2:21" ht="13" x14ac:dyDescent="0.3">
      <c r="B64" s="788" t="s">
        <v>579</v>
      </c>
      <c r="C64" s="765" t="s">
        <v>623</v>
      </c>
      <c r="D64" s="782">
        <v>71643.289999999994</v>
      </c>
      <c r="E64" s="782">
        <v>69850.509999999995</v>
      </c>
      <c r="F64" s="782">
        <v>54975.51</v>
      </c>
      <c r="G64" s="782">
        <v>49373.32</v>
      </c>
      <c r="H64" s="782">
        <v>49152.79</v>
      </c>
      <c r="I64" s="782">
        <v>60486.46</v>
      </c>
      <c r="J64" s="782">
        <v>72930.880000000005</v>
      </c>
      <c r="K64" s="782">
        <v>97734.98</v>
      </c>
      <c r="L64" s="806">
        <v>116540.47</v>
      </c>
      <c r="M64" s="806"/>
      <c r="N64" s="806"/>
      <c r="O64" s="806"/>
      <c r="P64" s="804"/>
      <c r="Q64" s="760"/>
      <c r="R64" s="783">
        <f>SUM(Clients[[#This Row],[Apr - Jun 23]:[Jan - Mar 24]])-SUM(Clients[[#This Row],[Apr - Jun 22]:[Jan - Mar 23]])</f>
        <v>34462.479999999981</v>
      </c>
      <c r="S64" s="652">
        <f>IFERROR(R64/SUM(Clients[[#This Row],[Apr - Jun 22]:[Jan - Mar 23]]),0)</f>
        <v>0.14018105810208742</v>
      </c>
      <c r="T64" s="783"/>
      <c r="U64" s="652"/>
    </row>
    <row r="65" spans="2:21" ht="13" x14ac:dyDescent="0.3">
      <c r="B65" s="765" t="s">
        <v>580</v>
      </c>
      <c r="C65" s="765" t="s">
        <v>623</v>
      </c>
      <c r="D65" s="782">
        <v>0</v>
      </c>
      <c r="E65" s="782">
        <v>5770</v>
      </c>
      <c r="F65" s="782">
        <v>2499.5</v>
      </c>
      <c r="G65" s="782">
        <v>2834.9</v>
      </c>
      <c r="H65" s="782">
        <v>3918.03</v>
      </c>
      <c r="I65" s="782">
        <v>834.71</v>
      </c>
      <c r="J65" s="782">
        <v>948</v>
      </c>
      <c r="K65" s="782">
        <v>0</v>
      </c>
      <c r="L65" s="806">
        <v>0</v>
      </c>
      <c r="M65" s="806"/>
      <c r="N65" s="806"/>
      <c r="O65" s="806"/>
      <c r="P65" s="804"/>
      <c r="Q65" s="760"/>
      <c r="R65" s="783">
        <f>SUM(Clients[[#This Row],[Apr - Jun 23]:[Jan - Mar 24]])-SUM(Clients[[#This Row],[Apr - Jun 22]:[Jan - Mar 23]])</f>
        <v>-5403.66</v>
      </c>
      <c r="S65" s="652">
        <f>IFERROR(R65/SUM(Clients[[#This Row],[Apr - Jun 22]:[Jan - Mar 23]]),0)</f>
        <v>-0.48662332048557327</v>
      </c>
      <c r="T65" s="783"/>
      <c r="U65" s="652"/>
    </row>
    <row r="66" spans="2:21" ht="13" x14ac:dyDescent="0.3">
      <c r="B66" s="765" t="s">
        <v>581</v>
      </c>
      <c r="C66" s="765" t="s">
        <v>624</v>
      </c>
      <c r="D66" s="782">
        <v>0</v>
      </c>
      <c r="E66" s="782">
        <v>5028</v>
      </c>
      <c r="F66" s="782">
        <v>14432.7</v>
      </c>
      <c r="G66" s="782">
        <v>14537.55</v>
      </c>
      <c r="H66" s="782">
        <v>0</v>
      </c>
      <c r="I66" s="782">
        <v>0</v>
      </c>
      <c r="J66" s="782">
        <v>0</v>
      </c>
      <c r="K66" s="782">
        <v>0</v>
      </c>
      <c r="L66" s="806">
        <v>0</v>
      </c>
      <c r="M66" s="806"/>
      <c r="N66" s="806"/>
      <c r="O66" s="806"/>
      <c r="P66" s="804"/>
      <c r="Q66" s="760"/>
      <c r="R66" s="783">
        <f>SUM(Clients[[#This Row],[Apr - Jun 23]:[Jan - Mar 24]])-SUM(Clients[[#This Row],[Apr - Jun 22]:[Jan - Mar 23]])</f>
        <v>-33998.25</v>
      </c>
      <c r="S66" s="652">
        <f>IFERROR(R66/SUM(Clients[[#This Row],[Apr - Jun 22]:[Jan - Mar 23]]),0)</f>
        <v>-1</v>
      </c>
      <c r="T66" s="783"/>
      <c r="U66" s="652"/>
    </row>
    <row r="67" spans="2:21" ht="13" x14ac:dyDescent="0.3">
      <c r="B67" s="765" t="s">
        <v>582</v>
      </c>
      <c r="C67" s="765" t="s">
        <v>623</v>
      </c>
      <c r="D67" s="782">
        <v>0</v>
      </c>
      <c r="E67" s="782">
        <v>0</v>
      </c>
      <c r="F67" s="782">
        <v>0</v>
      </c>
      <c r="G67" s="782">
        <v>0</v>
      </c>
      <c r="H67" s="782">
        <v>0</v>
      </c>
      <c r="I67" s="782">
        <v>0</v>
      </c>
      <c r="J67" s="782">
        <v>59632.21</v>
      </c>
      <c r="K67" s="782">
        <v>79341.62</v>
      </c>
      <c r="L67" s="806">
        <v>108328.95</v>
      </c>
      <c r="M67" s="806"/>
      <c r="N67" s="806"/>
      <c r="O67" s="806"/>
      <c r="P67" s="804"/>
      <c r="Q67" s="760"/>
      <c r="R67" s="783">
        <f>SUM(Clients[[#This Row],[Apr - Jun 23]:[Jan - Mar 24]])-SUM(Clients[[#This Row],[Apr - Jun 22]:[Jan - Mar 23]])</f>
        <v>138973.82999999999</v>
      </c>
      <c r="S67" s="652">
        <f>IFERROR(R67/SUM(Clients[[#This Row],[Apr - Jun 22]:[Jan - Mar 23]]),0)</f>
        <v>0</v>
      </c>
      <c r="T67" s="783"/>
      <c r="U67" s="652"/>
    </row>
    <row r="68" spans="2:21" ht="13" x14ac:dyDescent="0.3">
      <c r="B68" s="765" t="s">
        <v>583</v>
      </c>
      <c r="C68" s="765" t="s">
        <v>624</v>
      </c>
      <c r="D68" s="782">
        <v>0</v>
      </c>
      <c r="E68" s="782">
        <v>0</v>
      </c>
      <c r="F68" s="782">
        <v>53364.98</v>
      </c>
      <c r="G68" s="782">
        <v>62368.17</v>
      </c>
      <c r="H68" s="782">
        <v>90320.75</v>
      </c>
      <c r="I68" s="782">
        <v>85214.61</v>
      </c>
      <c r="J68" s="782">
        <v>72924.210000000006</v>
      </c>
      <c r="K68" s="782">
        <v>78515.850000000006</v>
      </c>
      <c r="L68" s="806">
        <v>51355.03</v>
      </c>
      <c r="M68" s="806"/>
      <c r="N68" s="806"/>
      <c r="O68" s="806"/>
      <c r="P68" s="804"/>
      <c r="Q68" s="760"/>
      <c r="R68" s="783">
        <f>SUM(Clients[[#This Row],[Apr - Jun 23]:[Jan - Mar 24]])-SUM(Clients[[#This Row],[Apr - Jun 22]:[Jan - Mar 23]])</f>
        <v>211242.27000000005</v>
      </c>
      <c r="S68" s="652">
        <f>IFERROR(R68/SUM(Clients[[#This Row],[Apr - Jun 22]:[Jan - Mar 23]]),0)</f>
        <v>1.8252529201875181</v>
      </c>
      <c r="T68" s="783"/>
      <c r="U68" s="652"/>
    </row>
    <row r="69" spans="2:21" ht="13" x14ac:dyDescent="0.3">
      <c r="B69" s="788" t="s">
        <v>584</v>
      </c>
      <c r="C69" s="765" t="s">
        <v>624</v>
      </c>
      <c r="D69" s="789">
        <v>5162.49</v>
      </c>
      <c r="E69" s="789">
        <v>9166.25</v>
      </c>
      <c r="F69" s="789">
        <v>9083.64</v>
      </c>
      <c r="G69" s="789">
        <v>10588.3</v>
      </c>
      <c r="H69" s="789">
        <v>9589.15</v>
      </c>
      <c r="I69" s="789">
        <v>7078.52</v>
      </c>
      <c r="J69" s="789">
        <v>20803.810000000001</v>
      </c>
      <c r="K69" s="789">
        <v>29086.55</v>
      </c>
      <c r="L69" s="806">
        <v>0</v>
      </c>
      <c r="M69" s="806"/>
      <c r="N69" s="806"/>
      <c r="O69" s="806"/>
      <c r="P69" s="804"/>
      <c r="Q69" s="760"/>
      <c r="R69" s="783">
        <f>SUM(Clients[[#This Row],[Apr - Jun 23]:[Jan - Mar 24]])-SUM(Clients[[#This Row],[Apr - Jun 22]:[Jan - Mar 23]])</f>
        <v>32557.350000000006</v>
      </c>
      <c r="S69" s="652">
        <f>IFERROR(R69/SUM(Clients[[#This Row],[Apr - Jun 22]:[Jan - Mar 23]]),0)</f>
        <v>0.95754996664772629</v>
      </c>
      <c r="T69" s="783"/>
      <c r="U69" s="652"/>
    </row>
    <row r="70" spans="2:21" ht="13" x14ac:dyDescent="0.3">
      <c r="B70" s="788" t="s">
        <v>585</v>
      </c>
      <c r="C70" s="765" t="s">
        <v>623</v>
      </c>
      <c r="D70" s="782">
        <v>5170</v>
      </c>
      <c r="E70" s="782">
        <v>5225</v>
      </c>
      <c r="F70" s="782">
        <v>3476</v>
      </c>
      <c r="G70" s="782">
        <v>3509</v>
      </c>
      <c r="H70" s="782">
        <v>693</v>
      </c>
      <c r="I70" s="782">
        <v>1759</v>
      </c>
      <c r="J70" s="782">
        <v>1668</v>
      </c>
      <c r="K70" s="782">
        <v>5340.0000000000036</v>
      </c>
      <c r="L70" s="806">
        <v>29913.06</v>
      </c>
      <c r="M70" s="806"/>
      <c r="N70" s="806"/>
      <c r="O70" s="806"/>
      <c r="P70" s="804"/>
      <c r="Q70" s="760"/>
      <c r="R70" s="783">
        <f>SUM(Clients[[#This Row],[Apr - Jun 23]:[Jan - Mar 24]])-SUM(Clients[[#This Row],[Apr - Jun 22]:[Jan - Mar 23]])</f>
        <v>-7919.9999999999964</v>
      </c>
      <c r="S70" s="652">
        <f>IFERROR(R70/SUM(Clients[[#This Row],[Apr - Jun 22]:[Jan - Mar 23]]),0)</f>
        <v>-0.45569620253164533</v>
      </c>
      <c r="T70" s="783"/>
      <c r="U70" s="652"/>
    </row>
    <row r="71" spans="2:21" ht="13" x14ac:dyDescent="0.3">
      <c r="B71" s="765" t="s">
        <v>586</v>
      </c>
      <c r="C71" s="765" t="s">
        <v>623</v>
      </c>
      <c r="D71" s="782">
        <v>0</v>
      </c>
      <c r="E71" s="782">
        <v>0</v>
      </c>
      <c r="F71" s="782">
        <v>0</v>
      </c>
      <c r="G71" s="782">
        <v>0</v>
      </c>
      <c r="H71" s="782">
        <v>0</v>
      </c>
      <c r="I71" s="782">
        <v>0</v>
      </c>
      <c r="J71" s="782">
        <v>0</v>
      </c>
      <c r="K71" s="782">
        <v>0</v>
      </c>
      <c r="L71" s="806">
        <v>0</v>
      </c>
      <c r="M71" s="806"/>
      <c r="N71" s="806"/>
      <c r="O71" s="806"/>
      <c r="P71" s="804"/>
      <c r="Q71" s="760"/>
      <c r="R71" s="783">
        <f>SUM(Clients[[#This Row],[Apr - Jun 23]:[Jan - Mar 24]])-SUM(Clients[[#This Row],[Apr - Jun 22]:[Jan - Mar 23]])</f>
        <v>0</v>
      </c>
      <c r="S71" s="652">
        <f>IFERROR(R71/SUM(Clients[[#This Row],[Apr - Jun 22]:[Jan - Mar 23]]),0)</f>
        <v>0</v>
      </c>
      <c r="T71" s="783"/>
      <c r="U71" s="652"/>
    </row>
    <row r="72" spans="2:21" ht="13" x14ac:dyDescent="0.3">
      <c r="B72" s="807" t="s">
        <v>587</v>
      </c>
      <c r="C72" s="765" t="s">
        <v>623</v>
      </c>
      <c r="D72" s="782">
        <v>0</v>
      </c>
      <c r="E72" s="782">
        <v>0</v>
      </c>
      <c r="F72" s="782">
        <v>0</v>
      </c>
      <c r="G72" s="782">
        <v>0</v>
      </c>
      <c r="H72" s="782">
        <v>0</v>
      </c>
      <c r="I72" s="782">
        <v>0</v>
      </c>
      <c r="J72" s="782">
        <v>0</v>
      </c>
      <c r="K72" s="782">
        <v>0</v>
      </c>
      <c r="L72" s="806">
        <v>5162</v>
      </c>
      <c r="M72" s="782"/>
      <c r="N72" s="782"/>
      <c r="O72" s="782"/>
      <c r="P72" s="804"/>
      <c r="Q72" s="760"/>
      <c r="R72" s="783">
        <f>SUM(Clients[[#This Row],[Apr - Jun 23]:[Jan - Mar 24]])-SUM(Clients[[#This Row],[Apr - Jun 22]:[Jan - Mar 23]])</f>
        <v>0</v>
      </c>
      <c r="S72" s="652">
        <f>IFERROR(R72/SUM(Clients[[#This Row],[Apr - Jun 22]:[Jan - Mar 23]]),0)</f>
        <v>0</v>
      </c>
      <c r="T72" s="783"/>
      <c r="U72" s="652"/>
    </row>
    <row r="73" spans="2:21" ht="13" x14ac:dyDescent="0.3">
      <c r="B73" s="765" t="s">
        <v>588</v>
      </c>
      <c r="C73" s="765" t="s">
        <v>623</v>
      </c>
      <c r="D73" s="782">
        <v>0</v>
      </c>
      <c r="E73" s="782">
        <v>0</v>
      </c>
      <c r="F73" s="782">
        <v>0</v>
      </c>
      <c r="G73" s="782">
        <v>0</v>
      </c>
      <c r="H73" s="782">
        <v>529</v>
      </c>
      <c r="I73" s="782">
        <v>6730.72</v>
      </c>
      <c r="J73" s="782">
        <v>7030.72</v>
      </c>
      <c r="K73" s="782">
        <v>6780</v>
      </c>
      <c r="L73" s="806">
        <v>1284</v>
      </c>
      <c r="M73" s="806"/>
      <c r="N73" s="806"/>
      <c r="O73" s="806"/>
      <c r="P73" s="804"/>
      <c r="Q73" s="760"/>
      <c r="R73" s="783">
        <f>SUM(Clients[[#This Row],[Apr - Jun 23]:[Jan - Mar 24]])-SUM(Clients[[#This Row],[Apr - Jun 22]:[Jan - Mar 23]])</f>
        <v>21070.440000000002</v>
      </c>
      <c r="S73" s="652">
        <f>IFERROR(R73/SUM(Clients[[#This Row],[Apr - Jun 22]:[Jan - Mar 23]]),0)</f>
        <v>0</v>
      </c>
      <c r="T73" s="783"/>
      <c r="U73" s="652"/>
    </row>
    <row r="74" spans="2:21" ht="13" x14ac:dyDescent="0.3">
      <c r="B74" s="765" t="s">
        <v>589</v>
      </c>
      <c r="C74" s="765" t="s">
        <v>624</v>
      </c>
      <c r="D74" s="782">
        <v>0</v>
      </c>
      <c r="E74" s="782">
        <v>0</v>
      </c>
      <c r="F74" s="782">
        <v>0</v>
      </c>
      <c r="G74" s="782">
        <v>0</v>
      </c>
      <c r="H74" s="782">
        <v>0</v>
      </c>
      <c r="I74" s="782">
        <v>0</v>
      </c>
      <c r="J74" s="782">
        <v>0</v>
      </c>
      <c r="K74" s="782">
        <v>2456</v>
      </c>
      <c r="L74" s="806">
        <v>3010</v>
      </c>
      <c r="M74" s="806"/>
      <c r="N74" s="806"/>
      <c r="O74" s="806"/>
      <c r="P74" s="804"/>
      <c r="Q74" s="760"/>
      <c r="R74" s="814">
        <f>SUM(Clients[[#This Row],[Apr - Jun 23]:[Jan - Mar 24]])-SUM(Clients[[#This Row],[Apr - Jun 22]:[Jan - Mar 23]])</f>
        <v>2456</v>
      </c>
      <c r="S74" s="652">
        <f>IFERROR(R74/SUM(Clients[[#This Row],[Apr - Jun 22]:[Jan - Mar 23]]),0)</f>
        <v>0</v>
      </c>
      <c r="T74" s="783"/>
      <c r="U74" s="652"/>
    </row>
    <row r="75" spans="2:21" ht="13" x14ac:dyDescent="0.3">
      <c r="B75" s="765" t="s">
        <v>590</v>
      </c>
      <c r="C75" s="765" t="s">
        <v>623</v>
      </c>
      <c r="D75" s="782">
        <v>14473.31</v>
      </c>
      <c r="E75" s="782">
        <v>11726.13</v>
      </c>
      <c r="F75" s="782">
        <v>17544.75</v>
      </c>
      <c r="G75" s="782">
        <v>14273.94</v>
      </c>
      <c r="H75" s="782">
        <v>15825.38</v>
      </c>
      <c r="I75" s="782">
        <v>7440.09</v>
      </c>
      <c r="J75" s="782">
        <v>8626.4</v>
      </c>
      <c r="K75" s="782">
        <v>11759.8</v>
      </c>
      <c r="L75" s="806">
        <v>23440.44</v>
      </c>
      <c r="M75" s="806"/>
      <c r="N75" s="806"/>
      <c r="O75" s="806"/>
      <c r="P75" s="804"/>
      <c r="Q75" s="760"/>
      <c r="R75" s="783">
        <f>SUM(Clients[[#This Row],[Apr - Jun 23]:[Jan - Mar 24]])-SUM(Clients[[#This Row],[Apr - Jun 22]:[Jan - Mar 23]])</f>
        <v>-14366.460000000006</v>
      </c>
      <c r="S75" s="652">
        <f>IFERROR(R75/SUM(Clients[[#This Row],[Apr - Jun 22]:[Jan - Mar 23]]),0)</f>
        <v>-0.2476201835529688</v>
      </c>
      <c r="T75" s="783"/>
      <c r="U75" s="652"/>
    </row>
    <row r="76" spans="2:21" ht="13" x14ac:dyDescent="0.3">
      <c r="B76" s="765" t="s">
        <v>591</v>
      </c>
      <c r="C76" s="765" t="s">
        <v>624</v>
      </c>
      <c r="D76" s="782">
        <v>0</v>
      </c>
      <c r="E76" s="782">
        <v>2301.75</v>
      </c>
      <c r="F76" s="782">
        <v>4516.25</v>
      </c>
      <c r="G76" s="782">
        <v>8336.82</v>
      </c>
      <c r="H76" s="782">
        <v>20397.53</v>
      </c>
      <c r="I76" s="782">
        <v>31144.33</v>
      </c>
      <c r="J76" s="782">
        <v>32760.15</v>
      </c>
      <c r="K76" s="782">
        <v>18067.14</v>
      </c>
      <c r="L76" s="806">
        <v>14644.38</v>
      </c>
      <c r="M76" s="806"/>
      <c r="N76" s="806"/>
      <c r="O76" s="806"/>
      <c r="P76" s="804"/>
      <c r="Q76" s="760"/>
      <c r="R76" s="783">
        <f>SUM(Clients[[#This Row],[Apr - Jun 23]:[Jan - Mar 24]])-SUM(Clients[[#This Row],[Apr - Jun 22]:[Jan - Mar 23]])</f>
        <v>87214.330000000016</v>
      </c>
      <c r="S76" s="652">
        <f>IFERROR(R76/SUM(Clients[[#This Row],[Apr - Jun 22]:[Jan - Mar 23]]),0)</f>
        <v>5.7548905232790633</v>
      </c>
      <c r="T76" s="783"/>
      <c r="U76" s="652"/>
    </row>
    <row r="77" spans="2:21" ht="13" x14ac:dyDescent="0.3">
      <c r="B77" s="765" t="s">
        <v>592</v>
      </c>
      <c r="C77" s="765" t="s">
        <v>623</v>
      </c>
      <c r="D77" s="782">
        <v>0</v>
      </c>
      <c r="E77" s="782">
        <v>0</v>
      </c>
      <c r="F77" s="782">
        <v>0</v>
      </c>
      <c r="G77" s="782">
        <v>0</v>
      </c>
      <c r="H77" s="782">
        <v>4769</v>
      </c>
      <c r="I77" s="782">
        <v>13433.25</v>
      </c>
      <c r="J77" s="782">
        <v>46651.29</v>
      </c>
      <c r="K77" s="782">
        <v>52876.4</v>
      </c>
      <c r="L77" s="806">
        <v>50304.78</v>
      </c>
      <c r="M77" s="806"/>
      <c r="N77" s="806"/>
      <c r="O77" s="806"/>
      <c r="P77" s="804"/>
      <c r="Q77" s="760"/>
      <c r="R77" s="783">
        <f>SUM(Clients[[#This Row],[Apr - Jun 23]:[Jan - Mar 24]])-SUM(Clients[[#This Row],[Apr - Jun 22]:[Jan - Mar 23]])</f>
        <v>117729.94</v>
      </c>
      <c r="S77" s="652">
        <f>IFERROR(R77/SUM(Clients[[#This Row],[Apr - Jun 22]:[Jan - Mar 23]]),0)</f>
        <v>0</v>
      </c>
      <c r="T77" s="783"/>
      <c r="U77" s="652"/>
    </row>
    <row r="78" spans="2:21" ht="13" x14ac:dyDescent="0.3">
      <c r="B78" s="788" t="s">
        <v>593</v>
      </c>
      <c r="C78" s="765" t="s">
        <v>624</v>
      </c>
      <c r="D78" s="789">
        <v>0</v>
      </c>
      <c r="E78" s="789">
        <v>0</v>
      </c>
      <c r="F78" s="789">
        <v>0</v>
      </c>
      <c r="G78" s="789">
        <v>0</v>
      </c>
      <c r="H78" s="789">
        <v>13467.4</v>
      </c>
      <c r="I78" s="789">
        <v>17660.04</v>
      </c>
      <c r="J78" s="789">
        <v>33191.03</v>
      </c>
      <c r="K78" s="789">
        <v>31917.68</v>
      </c>
      <c r="L78" s="806">
        <v>0</v>
      </c>
      <c r="M78" s="806"/>
      <c r="N78" s="806"/>
      <c r="O78" s="806"/>
      <c r="P78" s="804"/>
      <c r="Q78" s="760"/>
      <c r="R78" s="783">
        <f>SUM(Clients[[#This Row],[Apr - Jun 23]:[Jan - Mar 24]])-SUM(Clients[[#This Row],[Apr - Jun 22]:[Jan - Mar 23]])</f>
        <v>96236.15</v>
      </c>
      <c r="S78" s="652">
        <f>IFERROR(R78/SUM(Clients[[#This Row],[Apr - Jun 22]:[Jan - Mar 23]]),0)</f>
        <v>0</v>
      </c>
      <c r="T78" s="783"/>
      <c r="U78" s="652"/>
    </row>
    <row r="79" spans="2:21" ht="13" x14ac:dyDescent="0.3">
      <c r="B79" s="788" t="s">
        <v>594</v>
      </c>
      <c r="C79" s="765" t="s">
        <v>623</v>
      </c>
      <c r="D79" s="782">
        <v>25796.880000000001</v>
      </c>
      <c r="E79" s="782">
        <v>28953.13</v>
      </c>
      <c r="F79" s="782">
        <v>21046</v>
      </c>
      <c r="G79" s="782">
        <v>22939.81</v>
      </c>
      <c r="H79" s="782">
        <v>27320.119999999995</v>
      </c>
      <c r="I79" s="782">
        <v>38078.51</v>
      </c>
      <c r="J79" s="782">
        <v>39134.130000000005</v>
      </c>
      <c r="K79" s="782">
        <v>35604.879999999997</v>
      </c>
      <c r="L79" s="806">
        <v>92195.56</v>
      </c>
      <c r="M79" s="806"/>
      <c r="N79" s="806"/>
      <c r="O79" s="806"/>
      <c r="P79" s="804"/>
      <c r="Q79" s="760"/>
      <c r="R79" s="783">
        <f>SUM(Clients[[#This Row],[Apr - Jun 23]:[Jan - Mar 24]])-SUM(Clients[[#This Row],[Apr - Jun 22]:[Jan - Mar 23]])</f>
        <v>41401.820000000007</v>
      </c>
      <c r="S79" s="652">
        <f>IFERROR(R79/SUM(Clients[[#This Row],[Apr - Jun 22]:[Jan - Mar 23]]),0)</f>
        <v>0.41931914881549576</v>
      </c>
      <c r="T79" s="783"/>
      <c r="U79" s="652"/>
    </row>
    <row r="80" spans="2:21" ht="13" x14ac:dyDescent="0.3">
      <c r="B80" s="807" t="s">
        <v>595</v>
      </c>
      <c r="C80" s="765" t="s">
        <v>623</v>
      </c>
      <c r="D80" s="789">
        <v>0</v>
      </c>
      <c r="E80" s="789">
        <v>0</v>
      </c>
      <c r="F80" s="789">
        <v>0</v>
      </c>
      <c r="G80" s="789">
        <v>0</v>
      </c>
      <c r="H80" s="789">
        <v>0</v>
      </c>
      <c r="I80" s="789">
        <v>0</v>
      </c>
      <c r="J80" s="789">
        <v>0</v>
      </c>
      <c r="K80" s="789">
        <v>0</v>
      </c>
      <c r="L80" s="782">
        <v>1788</v>
      </c>
      <c r="M80" s="782"/>
      <c r="N80" s="782"/>
      <c r="O80" s="782"/>
      <c r="P80" s="804"/>
      <c r="Q80" s="760"/>
      <c r="R80" s="783">
        <f>SUM(Clients[[#This Row],[Apr - Jun 23]:[Jan - Mar 24]])-SUM(Clients[[#This Row],[Apr - Jun 22]:[Jan - Mar 23]])</f>
        <v>0</v>
      </c>
      <c r="S80" s="652">
        <f>IFERROR(R80/SUM(Clients[[#This Row],[Apr - Jun 22]:[Jan - Mar 23]]),0)</f>
        <v>0</v>
      </c>
      <c r="T80" s="783"/>
      <c r="U80" s="652"/>
    </row>
    <row r="81" spans="2:21" ht="13" x14ac:dyDescent="0.3">
      <c r="B81" s="765" t="s">
        <v>596</v>
      </c>
      <c r="C81" s="765" t="s">
        <v>623</v>
      </c>
      <c r="D81" s="782">
        <v>17085.009999999998</v>
      </c>
      <c r="E81" s="782">
        <v>23673.13</v>
      </c>
      <c r="F81" s="782">
        <v>21045.759999999998</v>
      </c>
      <c r="G81" s="782">
        <v>22746.63</v>
      </c>
      <c r="H81" s="782">
        <v>17172.89</v>
      </c>
      <c r="I81" s="782">
        <v>14199.76</v>
      </c>
      <c r="J81" s="782">
        <v>15517.39</v>
      </c>
      <c r="K81" s="782">
        <v>3696</v>
      </c>
      <c r="L81" s="806">
        <v>15806.28</v>
      </c>
      <c r="M81" s="806"/>
      <c r="N81" s="806"/>
      <c r="O81" s="806"/>
      <c r="P81" s="804"/>
      <c r="Q81" s="760"/>
      <c r="R81" s="783">
        <f>SUM(Clients[[#This Row],[Apr - Jun 23]:[Jan - Mar 24]])-SUM(Clients[[#This Row],[Apr - Jun 22]:[Jan - Mar 23]])</f>
        <v>-33964.49</v>
      </c>
      <c r="S81" s="652">
        <f>IFERROR(R81/SUM(Clients[[#This Row],[Apr - Jun 22]:[Jan - Mar 23]]),0)</f>
        <v>-0.40170641153875675</v>
      </c>
      <c r="T81" s="783"/>
      <c r="U81" s="652"/>
    </row>
    <row r="82" spans="2:21" ht="13" x14ac:dyDescent="0.3">
      <c r="B82" s="807" t="s">
        <v>597</v>
      </c>
      <c r="C82" s="765" t="s">
        <v>623</v>
      </c>
      <c r="D82" s="789">
        <v>0</v>
      </c>
      <c r="E82" s="789">
        <v>0</v>
      </c>
      <c r="F82" s="789">
        <v>0</v>
      </c>
      <c r="G82" s="789">
        <v>0</v>
      </c>
      <c r="H82" s="789">
        <v>0</v>
      </c>
      <c r="I82" s="789">
        <v>0</v>
      </c>
      <c r="J82" s="789">
        <v>0</v>
      </c>
      <c r="K82" s="789">
        <v>0</v>
      </c>
      <c r="L82" s="782">
        <v>9961.2900000000009</v>
      </c>
      <c r="M82" s="782"/>
      <c r="N82" s="782"/>
      <c r="O82" s="782"/>
      <c r="P82" s="804"/>
      <c r="Q82" s="760"/>
      <c r="R82" s="783">
        <f>SUM(Clients[[#This Row],[Apr - Jun 23]:[Jan - Mar 24]])-SUM(Clients[[#This Row],[Apr - Jun 22]:[Jan - Mar 23]])</f>
        <v>0</v>
      </c>
      <c r="S82" s="652">
        <f>IFERROR(R82/SUM(Clients[[#This Row],[Apr - Jun 22]:[Jan - Mar 23]]),0)</f>
        <v>0</v>
      </c>
      <c r="T82" s="783"/>
      <c r="U82" s="652"/>
    </row>
    <row r="83" spans="2:21" ht="13" x14ac:dyDescent="0.3">
      <c r="B83" s="765" t="s">
        <v>598</v>
      </c>
      <c r="C83" s="765" t="s">
        <v>623</v>
      </c>
      <c r="D83" s="782">
        <v>3149.04</v>
      </c>
      <c r="E83" s="782">
        <v>4855.63</v>
      </c>
      <c r="F83" s="782">
        <v>3212</v>
      </c>
      <c r="G83" s="782">
        <v>1870</v>
      </c>
      <c r="H83" s="782">
        <v>1947</v>
      </c>
      <c r="I83" s="782">
        <v>2575</v>
      </c>
      <c r="J83" s="782">
        <v>2874.55</v>
      </c>
      <c r="K83" s="782">
        <v>2917.4</v>
      </c>
      <c r="L83" s="806">
        <v>5125.3999999999996</v>
      </c>
      <c r="M83" s="806"/>
      <c r="N83" s="806"/>
      <c r="O83" s="806"/>
      <c r="P83" s="804"/>
      <c r="Q83" s="760"/>
      <c r="R83" s="783">
        <f>SUM(Clients[[#This Row],[Apr - Jun 23]:[Jan - Mar 24]])-SUM(Clients[[#This Row],[Apr - Jun 22]:[Jan - Mar 23]])</f>
        <v>-2772.7199999999993</v>
      </c>
      <c r="S83" s="652">
        <f>IFERROR(R83/SUM(Clients[[#This Row],[Apr - Jun 22]:[Jan - Mar 23]]),0)</f>
        <v>-0.21187360879429215</v>
      </c>
      <c r="T83" s="783"/>
      <c r="U83" s="652"/>
    </row>
    <row r="84" spans="2:21" ht="13" x14ac:dyDescent="0.3">
      <c r="B84" s="765" t="s">
        <v>599</v>
      </c>
      <c r="C84" s="765" t="s">
        <v>623</v>
      </c>
      <c r="D84" s="782">
        <v>561</v>
      </c>
      <c r="E84" s="782">
        <v>132</v>
      </c>
      <c r="F84" s="782">
        <v>0</v>
      </c>
      <c r="G84" s="782">
        <v>0</v>
      </c>
      <c r="H84" s="782">
        <v>0</v>
      </c>
      <c r="I84" s="782">
        <v>0</v>
      </c>
      <c r="J84" s="782">
        <v>0</v>
      </c>
      <c r="K84" s="782">
        <v>0</v>
      </c>
      <c r="L84" s="806">
        <v>0</v>
      </c>
      <c r="M84" s="806"/>
      <c r="N84" s="806"/>
      <c r="O84" s="806"/>
      <c r="P84" s="804"/>
      <c r="Q84" s="760"/>
      <c r="R84" s="783">
        <f>SUM(Clients[[#This Row],[Apr - Jun 23]:[Jan - Mar 24]])-SUM(Clients[[#This Row],[Apr - Jun 22]:[Jan - Mar 23]])</f>
        <v>-693</v>
      </c>
      <c r="S84" s="652">
        <f>IFERROR(R84/SUM(Clients[[#This Row],[Apr - Jun 22]:[Jan - Mar 23]]),0)</f>
        <v>-1</v>
      </c>
      <c r="T84" s="783"/>
      <c r="U84" s="652"/>
    </row>
    <row r="85" spans="2:21" ht="13" x14ac:dyDescent="0.3">
      <c r="B85" s="765" t="s">
        <v>600</v>
      </c>
      <c r="C85" s="765" t="s">
        <v>623</v>
      </c>
      <c r="D85" s="782">
        <v>0</v>
      </c>
      <c r="E85" s="782">
        <v>1122</v>
      </c>
      <c r="F85" s="782">
        <v>0</v>
      </c>
      <c r="G85" s="782">
        <v>0</v>
      </c>
      <c r="H85" s="782">
        <v>0</v>
      </c>
      <c r="I85" s="782">
        <v>0</v>
      </c>
      <c r="J85" s="782">
        <v>0</v>
      </c>
      <c r="K85" s="782">
        <v>0</v>
      </c>
      <c r="L85" s="806">
        <v>0</v>
      </c>
      <c r="M85" s="806"/>
      <c r="N85" s="806"/>
      <c r="O85" s="806"/>
      <c r="P85" s="804"/>
      <c r="Q85" s="760"/>
      <c r="R85" s="783">
        <f>SUM(Clients[[#This Row],[Apr - Jun 23]:[Jan - Mar 24]])-SUM(Clients[[#This Row],[Apr - Jun 22]:[Jan - Mar 23]])</f>
        <v>-1122</v>
      </c>
      <c r="S85" s="652">
        <f>IFERROR(R85/SUM(Clients[[#This Row],[Apr - Jun 22]:[Jan - Mar 23]]),0)</f>
        <v>-1</v>
      </c>
      <c r="T85" s="783"/>
      <c r="U85" s="652"/>
    </row>
    <row r="86" spans="2:21" ht="13" x14ac:dyDescent="0.3">
      <c r="B86" s="765" t="s">
        <v>601</v>
      </c>
      <c r="C86" s="765" t="s">
        <v>623</v>
      </c>
      <c r="D86" s="782">
        <v>1815</v>
      </c>
      <c r="E86" s="782">
        <v>0</v>
      </c>
      <c r="F86" s="782">
        <v>0</v>
      </c>
      <c r="G86" s="782">
        <v>0</v>
      </c>
      <c r="H86" s="782">
        <v>0</v>
      </c>
      <c r="I86" s="782">
        <v>0</v>
      </c>
      <c r="J86" s="782">
        <v>0</v>
      </c>
      <c r="K86" s="782">
        <v>0</v>
      </c>
      <c r="L86" s="806">
        <v>0</v>
      </c>
      <c r="M86" s="806"/>
      <c r="N86" s="806"/>
      <c r="O86" s="806"/>
      <c r="P86" s="804"/>
      <c r="Q86" s="760"/>
      <c r="R86" s="783">
        <f>SUM(Clients[[#This Row],[Apr - Jun 23]:[Jan - Mar 24]])-SUM(Clients[[#This Row],[Apr - Jun 22]:[Jan - Mar 23]])</f>
        <v>-1815</v>
      </c>
      <c r="S86" s="652">
        <f>IFERROR(R86/SUM(Clients[[#This Row],[Apr - Jun 22]:[Jan - Mar 23]]),0)</f>
        <v>-1</v>
      </c>
      <c r="T86" s="783"/>
      <c r="U86" s="652"/>
    </row>
    <row r="87" spans="2:21" ht="13" x14ac:dyDescent="0.3">
      <c r="B87" s="765" t="s">
        <v>602</v>
      </c>
      <c r="C87" s="765" t="s">
        <v>623</v>
      </c>
      <c r="D87" s="782">
        <v>3369.75</v>
      </c>
      <c r="E87" s="782">
        <v>4543.75</v>
      </c>
      <c r="F87" s="782">
        <v>1122</v>
      </c>
      <c r="G87" s="782">
        <v>0</v>
      </c>
      <c r="H87" s="782">
        <v>0</v>
      </c>
      <c r="I87" s="782">
        <v>0</v>
      </c>
      <c r="J87" s="782">
        <v>0</v>
      </c>
      <c r="K87" s="782">
        <v>0</v>
      </c>
      <c r="L87" s="806">
        <v>0</v>
      </c>
      <c r="M87" s="806"/>
      <c r="N87" s="806"/>
      <c r="O87" s="806"/>
      <c r="P87" s="804"/>
      <c r="Q87" s="760"/>
      <c r="R87" s="783">
        <f>SUM(Clients[[#This Row],[Apr - Jun 23]:[Jan - Mar 24]])-SUM(Clients[[#This Row],[Apr - Jun 22]:[Jan - Mar 23]])</f>
        <v>-9035.5</v>
      </c>
      <c r="S87" s="652">
        <f>IFERROR(R87/SUM(Clients[[#This Row],[Apr - Jun 22]:[Jan - Mar 23]]),0)</f>
        <v>-1</v>
      </c>
      <c r="T87" s="783"/>
      <c r="U87" s="652"/>
    </row>
    <row r="88" spans="2:21" ht="13" x14ac:dyDescent="0.3">
      <c r="B88" s="765" t="s">
        <v>603</v>
      </c>
      <c r="C88" s="765" t="s">
        <v>623</v>
      </c>
      <c r="D88" s="782">
        <v>0</v>
      </c>
      <c r="E88" s="782">
        <v>0</v>
      </c>
      <c r="F88" s="782">
        <v>0</v>
      </c>
      <c r="G88" s="782">
        <v>0</v>
      </c>
      <c r="H88" s="782">
        <v>0</v>
      </c>
      <c r="I88" s="782">
        <v>0</v>
      </c>
      <c r="J88" s="782">
        <v>0</v>
      </c>
      <c r="K88" s="782">
        <v>0</v>
      </c>
      <c r="L88" s="806">
        <v>0</v>
      </c>
      <c r="M88" s="806"/>
      <c r="N88" s="806"/>
      <c r="O88" s="806"/>
      <c r="P88" s="804"/>
      <c r="Q88" s="760"/>
      <c r="R88" s="783">
        <f>SUM(Clients[[#This Row],[Apr - Jun 23]:[Jan - Mar 24]])-SUM(Clients[[#This Row],[Apr - Jun 22]:[Jan - Mar 23]])</f>
        <v>0</v>
      </c>
      <c r="S88" s="652">
        <f>IFERROR(R88/SUM(Clients[[#This Row],[Apr - Jun 22]:[Jan - Mar 23]]),0)</f>
        <v>0</v>
      </c>
      <c r="T88" s="783"/>
      <c r="U88" s="652"/>
    </row>
    <row r="89" spans="2:21" ht="13" x14ac:dyDescent="0.3">
      <c r="B89" s="765" t="s">
        <v>604</v>
      </c>
      <c r="C89" s="765" t="s">
        <v>624</v>
      </c>
      <c r="D89" s="782">
        <v>0</v>
      </c>
      <c r="E89" s="782">
        <v>0</v>
      </c>
      <c r="F89" s="782">
        <v>0</v>
      </c>
      <c r="G89" s="782">
        <v>1725</v>
      </c>
      <c r="H89" s="782">
        <v>0</v>
      </c>
      <c r="I89" s="782">
        <v>0</v>
      </c>
      <c r="J89" s="782">
        <v>0</v>
      </c>
      <c r="K89" s="782">
        <v>0</v>
      </c>
      <c r="L89" s="806">
        <v>0</v>
      </c>
      <c r="M89" s="806"/>
      <c r="N89" s="806"/>
      <c r="O89" s="806"/>
      <c r="P89" s="804"/>
      <c r="Q89" s="760"/>
      <c r="R89" s="783">
        <f>SUM(Clients[[#This Row],[Apr - Jun 23]:[Jan - Mar 24]])-SUM(Clients[[#This Row],[Apr - Jun 22]:[Jan - Mar 23]])</f>
        <v>-1725</v>
      </c>
      <c r="S89" s="652">
        <f>IFERROR(R89/SUM(Clients[[#This Row],[Apr - Jun 22]:[Jan - Mar 23]]),0)</f>
        <v>-1</v>
      </c>
      <c r="T89" s="783"/>
      <c r="U89" s="652"/>
    </row>
    <row r="90" spans="2:21" ht="13" x14ac:dyDescent="0.3">
      <c r="B90" s="788" t="s">
        <v>605</v>
      </c>
      <c r="C90" s="765" t="s">
        <v>624</v>
      </c>
      <c r="D90" s="789">
        <v>0</v>
      </c>
      <c r="E90" s="789">
        <v>0</v>
      </c>
      <c r="F90" s="789">
        <v>4359</v>
      </c>
      <c r="G90" s="789">
        <v>5917.18</v>
      </c>
      <c r="H90" s="789">
        <v>13787.55</v>
      </c>
      <c r="I90" s="789">
        <v>7999.58</v>
      </c>
      <c r="J90" s="789">
        <v>5718.99</v>
      </c>
      <c r="K90" s="789">
        <v>4020.48</v>
      </c>
      <c r="L90" s="806">
        <v>0</v>
      </c>
      <c r="M90" s="806"/>
      <c r="N90" s="806"/>
      <c r="O90" s="806"/>
      <c r="P90" s="804"/>
      <c r="Q90" s="763"/>
      <c r="R90" s="783">
        <f>SUM(Clients[[#This Row],[Apr - Jun 23]:[Jan - Mar 24]])-SUM(Clients[[#This Row],[Apr - Jun 22]:[Jan - Mar 23]])</f>
        <v>21250.419999999995</v>
      </c>
      <c r="S90" s="652">
        <f>IFERROR(R90/SUM(Clients[[#This Row],[Apr - Jun 22]:[Jan - Mar 23]]),0)</f>
        <v>2.0679299116987044</v>
      </c>
      <c r="T90" s="783"/>
      <c r="U90" s="652"/>
    </row>
    <row r="91" spans="2:21" ht="13" x14ac:dyDescent="0.3">
      <c r="B91" s="788" t="s">
        <v>606</v>
      </c>
      <c r="C91" s="765" t="s">
        <v>623</v>
      </c>
      <c r="D91" s="782">
        <v>7505.75</v>
      </c>
      <c r="E91" s="782">
        <v>6129.75</v>
      </c>
      <c r="F91" s="782">
        <v>15260.630000000001</v>
      </c>
      <c r="G91" s="782">
        <v>12754.669999999998</v>
      </c>
      <c r="H91" s="782">
        <v>14574.95</v>
      </c>
      <c r="I91" s="782">
        <v>24165.33</v>
      </c>
      <c r="J91" s="782">
        <v>29340.010000000002</v>
      </c>
      <c r="K91" s="782">
        <v>24340.57</v>
      </c>
      <c r="L91" s="806">
        <v>28835.89</v>
      </c>
      <c r="M91" s="806"/>
      <c r="N91" s="806"/>
      <c r="O91" s="806"/>
      <c r="P91" s="804"/>
      <c r="R91" s="783">
        <f>SUM(Clients[[#This Row],[Apr - Jun 23]:[Jan - Mar 24]])-SUM(Clients[[#This Row],[Apr - Jun 22]:[Jan - Mar 23]])</f>
        <v>50770.060000000012</v>
      </c>
      <c r="S91" s="652">
        <f>IFERROR(R91/SUM(Clients[[#This Row],[Apr - Jun 22]:[Jan - Mar 23]]),0)</f>
        <v>1.2189456144899979</v>
      </c>
      <c r="T91" s="783"/>
      <c r="U91" s="652"/>
    </row>
    <row r="92" spans="2:21" ht="13" x14ac:dyDescent="0.3">
      <c r="B92" s="765" t="s">
        <v>607</v>
      </c>
      <c r="C92" s="765" t="s">
        <v>623</v>
      </c>
      <c r="D92" s="782">
        <v>148505.70000000001</v>
      </c>
      <c r="E92" s="782">
        <v>152890</v>
      </c>
      <c r="F92" s="782">
        <v>158086.76</v>
      </c>
      <c r="G92" s="782">
        <v>157741.79</v>
      </c>
      <c r="H92" s="782">
        <v>160047.13</v>
      </c>
      <c r="I92" s="782">
        <v>175150.97</v>
      </c>
      <c r="J92" s="782">
        <v>198544.07</v>
      </c>
      <c r="K92" s="782">
        <v>196516.86</v>
      </c>
      <c r="L92" s="806">
        <v>202393.11</v>
      </c>
      <c r="M92" s="806"/>
      <c r="N92" s="806"/>
      <c r="O92" s="806"/>
      <c r="P92" s="804"/>
      <c r="R92" s="783">
        <f>SUM(Clients[[#This Row],[Apr - Jun 23]:[Jan - Mar 24]])-SUM(Clients[[#This Row],[Apr - Jun 22]:[Jan - Mar 23]])</f>
        <v>113034.77999999991</v>
      </c>
      <c r="S92" s="652">
        <f>IFERROR(R92/SUM(Clients[[#This Row],[Apr - Jun 22]:[Jan - Mar 23]]),0)</f>
        <v>0.18313405541016886</v>
      </c>
      <c r="T92" s="783"/>
      <c r="U92" s="652"/>
    </row>
    <row r="93" spans="2:21" ht="13" x14ac:dyDescent="0.3">
      <c r="B93" s="765" t="s">
        <v>608</v>
      </c>
      <c r="C93" s="765" t="s">
        <v>624</v>
      </c>
      <c r="D93" s="782">
        <v>0</v>
      </c>
      <c r="E93" s="782">
        <v>0</v>
      </c>
      <c r="F93" s="782">
        <v>0</v>
      </c>
      <c r="G93" s="782">
        <v>0</v>
      </c>
      <c r="H93" s="782">
        <v>7590</v>
      </c>
      <c r="I93" s="782">
        <v>5016.09</v>
      </c>
      <c r="J93" s="782">
        <v>11487.82</v>
      </c>
      <c r="K93" s="782">
        <v>16038.57</v>
      </c>
      <c r="L93" s="806">
        <v>13409</v>
      </c>
      <c r="M93" s="806"/>
      <c r="N93" s="806"/>
      <c r="O93" s="806"/>
      <c r="P93" s="804"/>
      <c r="R93" s="783">
        <f>SUM(Clients[[#This Row],[Apr - Jun 23]:[Jan - Mar 24]])-SUM(Clients[[#This Row],[Apr - Jun 22]:[Jan - Mar 23]])</f>
        <v>40132.479999999996</v>
      </c>
      <c r="S93" s="652">
        <f>IFERROR(R93/SUM(Clients[[#This Row],[Apr - Jun 22]:[Jan - Mar 23]]),0)</f>
        <v>0</v>
      </c>
      <c r="T93" s="783"/>
      <c r="U93" s="652"/>
    </row>
    <row r="94" spans="2:21" ht="13" x14ac:dyDescent="0.3">
      <c r="B94" s="765" t="s">
        <v>609</v>
      </c>
      <c r="C94" s="765" t="s">
        <v>623</v>
      </c>
      <c r="D94" s="782">
        <v>6109.88</v>
      </c>
      <c r="E94" s="782">
        <v>22521.5</v>
      </c>
      <c r="F94" s="782">
        <v>0</v>
      </c>
      <c r="G94" s="782">
        <v>0</v>
      </c>
      <c r="H94" s="782">
        <v>0</v>
      </c>
      <c r="I94" s="782">
        <v>0</v>
      </c>
      <c r="J94" s="782">
        <v>0</v>
      </c>
      <c r="K94" s="782">
        <v>0</v>
      </c>
      <c r="L94" s="806">
        <v>0</v>
      </c>
      <c r="M94" s="806"/>
      <c r="N94" s="806"/>
      <c r="O94" s="806"/>
      <c r="P94" s="804"/>
      <c r="R94" s="783">
        <f>SUM(Clients[[#This Row],[Apr - Jun 23]:[Jan - Mar 24]])-SUM(Clients[[#This Row],[Apr - Jun 22]:[Jan - Mar 23]])</f>
        <v>-28631.38</v>
      </c>
      <c r="S94" s="652">
        <f>IFERROR(R94/SUM(Clients[[#This Row],[Apr - Jun 22]:[Jan - Mar 23]]),0)</f>
        <v>-1</v>
      </c>
      <c r="T94" s="783"/>
      <c r="U94" s="652"/>
    </row>
    <row r="95" spans="2:21" ht="13" x14ac:dyDescent="0.3">
      <c r="B95" s="765" t="s">
        <v>610</v>
      </c>
      <c r="C95" s="765" t="s">
        <v>623</v>
      </c>
      <c r="D95" s="782">
        <v>0</v>
      </c>
      <c r="E95" s="782">
        <v>0</v>
      </c>
      <c r="F95" s="782">
        <v>0</v>
      </c>
      <c r="G95" s="782">
        <v>0</v>
      </c>
      <c r="H95" s="782">
        <v>0</v>
      </c>
      <c r="I95" s="782">
        <v>0</v>
      </c>
      <c r="J95" s="782">
        <v>0</v>
      </c>
      <c r="K95" s="782">
        <v>0</v>
      </c>
      <c r="L95" s="806">
        <v>0</v>
      </c>
      <c r="M95" s="806"/>
      <c r="N95" s="806"/>
      <c r="O95" s="806"/>
      <c r="P95" s="804"/>
      <c r="R95" s="783">
        <f>SUM(Clients[[#This Row],[Apr - Jun 23]:[Jan - Mar 24]])-SUM(Clients[[#This Row],[Apr - Jun 22]:[Jan - Mar 23]])</f>
        <v>0</v>
      </c>
      <c r="S95" s="652">
        <f>IFERROR(R95/SUM(Clients[[#This Row],[Apr - Jun 22]:[Jan - Mar 23]]),0)</f>
        <v>0</v>
      </c>
      <c r="T95" s="783"/>
      <c r="U95" s="652"/>
    </row>
    <row r="96" spans="2:21" ht="13" x14ac:dyDescent="0.3">
      <c r="B96" s="765" t="s">
        <v>611</v>
      </c>
      <c r="C96" s="765" t="s">
        <v>623</v>
      </c>
      <c r="D96" s="782">
        <v>292110.15999999997</v>
      </c>
      <c r="E96" s="782">
        <v>268925.06</v>
      </c>
      <c r="F96" s="782">
        <v>250392.08</v>
      </c>
      <c r="G96" s="782">
        <v>241504.21</v>
      </c>
      <c r="H96" s="782">
        <v>209191.19</v>
      </c>
      <c r="I96" s="782">
        <v>232444.31</v>
      </c>
      <c r="J96" s="782">
        <v>242331.86</v>
      </c>
      <c r="K96" s="782">
        <v>270032.84999999998</v>
      </c>
      <c r="L96" s="806">
        <v>240938.86</v>
      </c>
      <c r="M96" s="806"/>
      <c r="N96" s="806"/>
      <c r="O96" s="806"/>
      <c r="P96" s="804"/>
      <c r="R96" s="783">
        <f>SUM(Clients[[#This Row],[Apr - Jun 23]:[Jan - Mar 24]])-SUM(Clients[[#This Row],[Apr - Jun 22]:[Jan - Mar 23]])</f>
        <v>-98931.300000000047</v>
      </c>
      <c r="S96" s="652">
        <f>IFERROR(R96/SUM(Clients[[#This Row],[Apr - Jun 22]:[Jan - Mar 23]]),0)</f>
        <v>-9.3957963134753228E-2</v>
      </c>
      <c r="T96" s="783"/>
      <c r="U96" s="652"/>
    </row>
    <row r="97" spans="2:21" ht="13" x14ac:dyDescent="0.3">
      <c r="B97" s="765" t="s">
        <v>612</v>
      </c>
      <c r="C97" s="765" t="s">
        <v>624</v>
      </c>
      <c r="D97" s="782">
        <v>0</v>
      </c>
      <c r="E97" s="782">
        <v>3904.5</v>
      </c>
      <c r="F97" s="782">
        <v>3910.5</v>
      </c>
      <c r="G97" s="782">
        <v>2544.84</v>
      </c>
      <c r="H97" s="782">
        <v>2591.86</v>
      </c>
      <c r="I97" s="782">
        <v>1555</v>
      </c>
      <c r="J97" s="782">
        <v>4070.61</v>
      </c>
      <c r="K97" s="782">
        <v>4881.54</v>
      </c>
      <c r="L97" s="806">
        <v>0</v>
      </c>
      <c r="M97" s="806"/>
      <c r="N97" s="806"/>
      <c r="O97" s="806"/>
      <c r="P97" s="804"/>
      <c r="R97" s="783">
        <f>SUM(Clients[[#This Row],[Apr - Jun 23]:[Jan - Mar 24]])-SUM(Clients[[#This Row],[Apr - Jun 22]:[Jan - Mar 23]])</f>
        <v>2739.1700000000019</v>
      </c>
      <c r="S97" s="652">
        <f>IFERROR(R97/SUM(Clients[[#This Row],[Apr - Jun 22]:[Jan - Mar 23]]),0)</f>
        <v>0.26440273208852666</v>
      </c>
      <c r="T97" s="783"/>
      <c r="U97" s="652"/>
    </row>
    <row r="98" spans="2:21" ht="13" x14ac:dyDescent="0.3">
      <c r="B98" s="765" t="s">
        <v>613</v>
      </c>
      <c r="C98" s="765" t="s">
        <v>623</v>
      </c>
      <c r="D98" s="782">
        <v>24578.94</v>
      </c>
      <c r="E98" s="782">
        <v>62388.75</v>
      </c>
      <c r="F98" s="782">
        <v>62772</v>
      </c>
      <c r="G98" s="782">
        <v>70427.070000000007</v>
      </c>
      <c r="H98" s="782">
        <v>73237.789999999994</v>
      </c>
      <c r="I98" s="782">
        <v>65022.83</v>
      </c>
      <c r="J98" s="782">
        <v>65388.55</v>
      </c>
      <c r="K98" s="782">
        <v>66206.19</v>
      </c>
      <c r="L98" s="806">
        <v>62172.49</v>
      </c>
      <c r="M98" s="806"/>
      <c r="N98" s="806"/>
      <c r="O98" s="806"/>
      <c r="P98" s="804"/>
      <c r="R98" s="783">
        <f>SUM(Clients[[#This Row],[Apr - Jun 23]:[Jan - Mar 24]])-SUM(Clients[[#This Row],[Apr - Jun 22]:[Jan - Mar 23]])</f>
        <v>49688.599999999977</v>
      </c>
      <c r="S98" s="652">
        <f>IFERROR(R98/SUM(Clients[[#This Row],[Apr - Jun 22]:[Jan - Mar 23]]),0)</f>
        <v>0.22568620258571265</v>
      </c>
      <c r="T98" s="783"/>
      <c r="U98" s="652"/>
    </row>
    <row r="99" spans="2:21" ht="13" x14ac:dyDescent="0.3">
      <c r="B99" s="765" t="s">
        <v>614</v>
      </c>
      <c r="C99" s="765" t="s">
        <v>624</v>
      </c>
      <c r="D99" s="782">
        <v>0</v>
      </c>
      <c r="E99" s="782">
        <v>0</v>
      </c>
      <c r="F99" s="782">
        <v>0</v>
      </c>
      <c r="G99" s="782">
        <v>0</v>
      </c>
      <c r="H99" s="782">
        <v>2748.5</v>
      </c>
      <c r="I99" s="782">
        <v>2212.5</v>
      </c>
      <c r="J99" s="782">
        <v>2100</v>
      </c>
      <c r="K99" s="782">
        <v>2640</v>
      </c>
      <c r="L99" s="806">
        <v>2964</v>
      </c>
      <c r="M99" s="806"/>
      <c r="N99" s="806"/>
      <c r="O99" s="806"/>
      <c r="P99" s="804"/>
      <c r="R99" s="783">
        <f>SUM(Clients[[#This Row],[Apr - Jun 23]:[Jan - Mar 24]])-SUM(Clients[[#This Row],[Apr - Jun 22]:[Jan - Mar 23]])</f>
        <v>9701</v>
      </c>
      <c r="S99" s="652">
        <f>IFERROR(R99/SUM(Clients[[#This Row],[Apr - Jun 22]:[Jan - Mar 23]]),0)</f>
        <v>0</v>
      </c>
      <c r="T99" s="783"/>
      <c r="U99" s="652"/>
    </row>
    <row r="100" spans="2:21" ht="13" x14ac:dyDescent="0.3">
      <c r="B100" s="788" t="s">
        <v>615</v>
      </c>
      <c r="C100" s="765" t="s">
        <v>624</v>
      </c>
      <c r="D100" s="789">
        <v>4469.1899999999996</v>
      </c>
      <c r="E100" s="789">
        <v>2436</v>
      </c>
      <c r="F100" s="789">
        <v>2812.5</v>
      </c>
      <c r="G100" s="789">
        <v>1812</v>
      </c>
      <c r="H100" s="789">
        <v>4747.6000000000004</v>
      </c>
      <c r="I100" s="789">
        <v>2427</v>
      </c>
      <c r="J100" s="789">
        <v>4870.8</v>
      </c>
      <c r="K100" s="789">
        <v>356.4</v>
      </c>
      <c r="L100" s="806">
        <v>0</v>
      </c>
      <c r="M100" s="806"/>
      <c r="N100" s="806"/>
      <c r="O100" s="806"/>
      <c r="P100" s="804"/>
      <c r="R100" s="783">
        <f>SUM(Clients[[#This Row],[Apr - Jun 23]:[Jan - Mar 24]])-SUM(Clients[[#This Row],[Apr - Jun 22]:[Jan - Mar 23]])</f>
        <v>872.1100000000024</v>
      </c>
      <c r="S100" s="652">
        <f>IFERROR(R100/SUM(Clients[[#This Row],[Apr - Jun 22]:[Jan - Mar 23]]),0)</f>
        <v>7.5640368474781408E-2</v>
      </c>
      <c r="T100" s="783"/>
      <c r="U100" s="652"/>
    </row>
    <row r="101" spans="2:21" ht="13" x14ac:dyDescent="0.3">
      <c r="B101" s="788" t="s">
        <v>616</v>
      </c>
      <c r="C101" s="765" t="s">
        <v>623</v>
      </c>
      <c r="D101" s="782">
        <v>48324.07</v>
      </c>
      <c r="E101" s="782">
        <v>57754.66</v>
      </c>
      <c r="F101" s="782">
        <v>46261.5</v>
      </c>
      <c r="G101" s="782">
        <v>54337.56</v>
      </c>
      <c r="H101" s="782">
        <v>72226.179999999993</v>
      </c>
      <c r="I101" s="782">
        <v>73041.960000000006</v>
      </c>
      <c r="J101" s="782">
        <v>70525.959999999992</v>
      </c>
      <c r="K101" s="782">
        <v>63595.61</v>
      </c>
      <c r="L101" s="806">
        <v>106276.6</v>
      </c>
      <c r="M101" s="806"/>
      <c r="N101" s="806"/>
      <c r="O101" s="806"/>
      <c r="P101" s="804"/>
      <c r="R101" s="783">
        <f>SUM(Clients[[#This Row],[Apr - Jun 23]:[Jan - Mar 24]])-SUM(Clients[[#This Row],[Apr - Jun 22]:[Jan - Mar 23]])</f>
        <v>72711.920000000013</v>
      </c>
      <c r="S101" s="652">
        <f>IFERROR(R101/SUM(Clients[[#This Row],[Apr - Jun 22]:[Jan - Mar 23]]),0)</f>
        <v>0.35181293548764969</v>
      </c>
      <c r="T101" s="783"/>
      <c r="U101" s="652"/>
    </row>
    <row r="102" spans="2:21" ht="13" x14ac:dyDescent="0.3">
      <c r="B102" s="765" t="s">
        <v>617</v>
      </c>
      <c r="C102" s="765" t="s">
        <v>623</v>
      </c>
      <c r="D102" s="782">
        <v>0</v>
      </c>
      <c r="E102" s="782">
        <v>0</v>
      </c>
      <c r="F102" s="782">
        <v>0</v>
      </c>
      <c r="G102" s="782">
        <v>0</v>
      </c>
      <c r="H102" s="782">
        <v>0</v>
      </c>
      <c r="I102" s="782">
        <v>0</v>
      </c>
      <c r="J102" s="782">
        <v>0</v>
      </c>
      <c r="K102" s="782">
        <v>0</v>
      </c>
      <c r="L102" s="806">
        <v>0</v>
      </c>
      <c r="M102" s="806"/>
      <c r="N102" s="806"/>
      <c r="O102" s="806"/>
      <c r="P102" s="804"/>
      <c r="R102" s="783">
        <f>SUM(Clients[[#This Row],[Apr - Jun 23]:[Jan - Mar 24]])-SUM(Clients[[#This Row],[Apr - Jun 22]:[Jan - Mar 23]])</f>
        <v>0</v>
      </c>
      <c r="S102" s="652">
        <f>IFERROR(R102/SUM(Clients[[#This Row],[Apr - Jun 22]:[Jan - Mar 23]]),0)</f>
        <v>0</v>
      </c>
      <c r="T102" s="783"/>
      <c r="U102" s="652"/>
    </row>
    <row r="103" spans="2:21" ht="13" x14ac:dyDescent="0.3">
      <c r="B103" s="765" t="s">
        <v>618</v>
      </c>
      <c r="C103" s="765" t="s">
        <v>624</v>
      </c>
      <c r="D103" s="782">
        <v>0</v>
      </c>
      <c r="E103" s="782">
        <v>0</v>
      </c>
      <c r="F103" s="782">
        <v>7922.5</v>
      </c>
      <c r="G103" s="782">
        <v>26014.61</v>
      </c>
      <c r="H103" s="782">
        <v>24255.81</v>
      </c>
      <c r="I103" s="782">
        <v>52021.67</v>
      </c>
      <c r="J103" s="782">
        <v>57996.32</v>
      </c>
      <c r="K103" s="782">
        <v>55550.28</v>
      </c>
      <c r="L103" s="806">
        <v>57433.21</v>
      </c>
      <c r="M103" s="806"/>
      <c r="N103" s="806"/>
      <c r="O103" s="806"/>
      <c r="P103" s="804"/>
      <c r="R103" s="783">
        <f>SUM(Clients[[#This Row],[Apr - Jun 23]:[Jan - Mar 24]])-SUM(Clients[[#This Row],[Apr - Jun 22]:[Jan - Mar 23]])</f>
        <v>155886.96999999997</v>
      </c>
      <c r="S103" s="652">
        <f>IFERROR(R103/SUM(Clients[[#This Row],[Apr - Jun 22]:[Jan - Mar 23]]),0)</f>
        <v>4.5934073349203857</v>
      </c>
      <c r="T103" s="783"/>
      <c r="U103" s="652"/>
    </row>
    <row r="104" spans="2:21" ht="13" x14ac:dyDescent="0.3">
      <c r="B104" s="764" t="s">
        <v>24</v>
      </c>
      <c r="C104" s="764"/>
      <c r="D104" s="786">
        <f>SUBTOTAL(109,Clients[Apr - Jun 22])</f>
        <v>1032688.4599999998</v>
      </c>
      <c r="E104" s="786">
        <f>SUBTOTAL(109,Clients[Jul - Sep 22])</f>
        <v>1139435.17</v>
      </c>
      <c r="F104" s="786">
        <f>SUBTOTAL(109,Clients[Oct - Dec 22])</f>
        <v>1135009.6400000001</v>
      </c>
      <c r="G104" s="786">
        <f>SUBTOTAL(109,Clients[Jan - Mar 23])</f>
        <v>1252654.9100000006</v>
      </c>
      <c r="H104" s="786">
        <f>SUBTOTAL(109,Clients[Apr - Jun 23])</f>
        <v>1352308.3200000003</v>
      </c>
      <c r="I104" s="786">
        <f>SUBTOTAL(109,Clients[Jul - Sep 23])</f>
        <v>1569941.3199999998</v>
      </c>
      <c r="J104" s="786">
        <f>SUBTOTAL(109,Clients[Oct - Dec 23])</f>
        <v>1771599.27</v>
      </c>
      <c r="K104" s="786">
        <f>SUBTOTAL(109,Clients[Jan - Mar 24])</f>
        <v>1885447.6399999997</v>
      </c>
      <c r="L104" s="804">
        <f>SUBTOTAL(109,Clients[Apr - Jun 24])</f>
        <v>2057053.1099999996</v>
      </c>
      <c r="M104" s="803"/>
      <c r="N104" s="803"/>
      <c r="O104" s="803"/>
      <c r="P104" s="803"/>
      <c r="R104" s="783">
        <f>SUBTOTAL(109,YoY_change[YoY 23])</f>
        <v>2019508.37</v>
      </c>
      <c r="S104" s="780">
        <f>SUBTOTAL(101,YoY_change[YoY% 23])</f>
        <v>0.89895063239585316</v>
      </c>
      <c r="T104" s="783">
        <f>SUBTOTAL(109,YoY_change[YoY 24])</f>
        <v>0</v>
      </c>
      <c r="U104" s="780" t="e">
        <f>SUBTOTAL(101,YoY_change[YoY% 24])</f>
        <v>#DIV/0!</v>
      </c>
    </row>
    <row r="105" spans="2:21" ht="13" x14ac:dyDescent="0.3">
      <c r="B105" s="759"/>
      <c r="C105" s="763"/>
      <c r="D105" s="763"/>
      <c r="E105" s="763"/>
      <c r="F105" s="763"/>
      <c r="G105" s="763"/>
      <c r="H105" s="763"/>
      <c r="I105" s="763"/>
      <c r="J105" s="763"/>
      <c r="K105" s="763"/>
      <c r="L105" s="763"/>
      <c r="M105" s="763"/>
      <c r="N105" s="763"/>
    </row>
    <row r="106" spans="2:21" ht="13" x14ac:dyDescent="0.3"/>
    <row r="107" spans="2:21" ht="13" x14ac:dyDescent="0.3"/>
    <row r="108" spans="2:21" ht="13" x14ac:dyDescent="0.3"/>
    <row r="109" spans="2:21" ht="13" x14ac:dyDescent="0.3"/>
    <row r="110" spans="2:21" ht="13" x14ac:dyDescent="0.3"/>
    <row r="111" spans="2:21" ht="13" x14ac:dyDescent="0.3"/>
    <row r="112" spans="2:21" ht="13" x14ac:dyDescent="0.3"/>
    <row r="113" ht="13" x14ac:dyDescent="0.3"/>
    <row r="114" ht="13" x14ac:dyDescent="0.3"/>
    <row r="115" ht="13" x14ac:dyDescent="0.3"/>
  </sheetData>
  <mergeCells count="11">
    <mergeCell ref="AC9:AD9"/>
    <mergeCell ref="F5:K5"/>
    <mergeCell ref="C9:D9"/>
    <mergeCell ref="R9:S9"/>
    <mergeCell ref="D34:G34"/>
    <mergeCell ref="H34:K34"/>
    <mergeCell ref="L34:O34"/>
    <mergeCell ref="V34:W34"/>
    <mergeCell ref="X34:Y34"/>
    <mergeCell ref="R34:S34"/>
    <mergeCell ref="T34:U34"/>
  </mergeCells>
  <phoneticPr fontId="100" type="noConversion"/>
  <conditionalFormatting sqref="S36:S103 U36:U103">
    <cfRule type="cellIs" dxfId="1" priority="3" operator="lessThan">
      <formula>0</formula>
    </cfRule>
    <cfRule type="cellIs" dxfId="0" priority="4" operator="greaterThan">
      <formula>0</formula>
    </cfRule>
  </conditionalFormatting>
  <dataValidations count="3">
    <dataValidation type="list" allowBlank="1" showInputMessage="1" showErrorMessage="1" sqref="E32:E33" xr:uid="{CA2E0EED-1B5F-46B1-8CE3-45D32D25D806}">
      <formula1>"Waiting, In Progress, Complete, Delayed, Cancelled"</formula1>
    </dataValidation>
    <dataValidation type="list" allowBlank="1" showInputMessage="1" showErrorMessage="1" sqref="L9" xr:uid="{109A5E1F-09B1-40F2-A5D6-BCE8A5E3B75C}">
      <formula1>$H$35:$L$35</formula1>
    </dataValidation>
    <dataValidation type="list" allowBlank="1" showInputMessage="1" showErrorMessage="1" sqref="C9 R9" xr:uid="{1440CC54-0FF0-449F-9669-F22DBCBAF19B}">
      <formula1>$B$36:$B$104</formula1>
    </dataValidation>
  </dataValidations>
  <pageMargins left="0.7" right="0.7" top="0.75" bottom="0.75" header="0.3" footer="0.3"/>
  <pageSetup scale="53" orientation="landscape" r:id="rId1"/>
  <drawing r:id="rId2"/>
  <tableParts count="2">
    <tablePart r:id="rId3"/>
    <tablePart r:id="rId4"/>
  </tableParts>
  <extLst>
    <ext xmlns:x14="http://schemas.microsoft.com/office/spreadsheetml/2009/9/main" uri="{05C60535-1F16-4fd2-B633-F4F36F0B64E0}">
      <x14:sparklineGroups xmlns:xm="http://schemas.microsoft.com/office/excel/2006/main">
        <x14:sparklineGroup lineWeight="1" displayEmptyCellsAs="gap" markers="1" high="1" xr2:uid="{A9FA8D50-DD5D-45AC-BC69-211EFF97A025}">
          <x14:colorSeries theme="6" tint="-0.499984740745262"/>
          <x14:colorNegative theme="7"/>
          <x14:colorAxis rgb="FF000000"/>
          <x14:colorMarkers theme="1"/>
          <x14:colorFirst theme="6" tint="0.39997558519241921"/>
          <x14:colorLast theme="6" tint="0.39997558519241921"/>
          <x14:colorHigh theme="6"/>
          <x14:colorLow theme="6"/>
          <x14:sparklines>
            <x14:sparkline>
              <xm:f>ClientTrend!H36:L36</xm:f>
              <xm:sqref>P36</xm:sqref>
            </x14:sparkline>
            <x14:sparkline>
              <xm:f>ClientTrend!H37:L37</xm:f>
              <xm:sqref>P37</xm:sqref>
            </x14:sparkline>
            <x14:sparkline>
              <xm:f>ClientTrend!H38:L38</xm:f>
              <xm:sqref>P38</xm:sqref>
            </x14:sparkline>
            <x14:sparkline>
              <xm:f>ClientTrend!H39:L39</xm:f>
              <xm:sqref>P39</xm:sqref>
            </x14:sparkline>
            <x14:sparkline>
              <xm:f>ClientTrend!H40:L40</xm:f>
              <xm:sqref>P40</xm:sqref>
            </x14:sparkline>
            <x14:sparkline>
              <xm:f>ClientTrend!H41:L41</xm:f>
              <xm:sqref>P41</xm:sqref>
            </x14:sparkline>
            <x14:sparkline>
              <xm:f>ClientTrend!H42:L42</xm:f>
              <xm:sqref>P42</xm:sqref>
            </x14:sparkline>
            <x14:sparkline>
              <xm:f>ClientTrend!H43:L43</xm:f>
              <xm:sqref>P43</xm:sqref>
            </x14:sparkline>
            <x14:sparkline>
              <xm:f>ClientTrend!H44:L44</xm:f>
              <xm:sqref>P44</xm:sqref>
            </x14:sparkline>
            <x14:sparkline>
              <xm:f>ClientTrend!H45:L45</xm:f>
              <xm:sqref>P45</xm:sqref>
            </x14:sparkline>
            <x14:sparkline>
              <xm:f>ClientTrend!H46:L46</xm:f>
              <xm:sqref>P46</xm:sqref>
            </x14:sparkline>
            <x14:sparkline>
              <xm:f>ClientTrend!H47:L47</xm:f>
              <xm:sqref>P47</xm:sqref>
            </x14:sparkline>
            <x14:sparkline>
              <xm:f>ClientTrend!H48:L48</xm:f>
              <xm:sqref>P48</xm:sqref>
            </x14:sparkline>
            <x14:sparkline>
              <xm:f>ClientTrend!H49:L49</xm:f>
              <xm:sqref>P49</xm:sqref>
            </x14:sparkline>
            <x14:sparkline>
              <xm:f>ClientTrend!H50:L50</xm:f>
              <xm:sqref>P50</xm:sqref>
            </x14:sparkline>
            <x14:sparkline>
              <xm:f>ClientTrend!H51:L51</xm:f>
              <xm:sqref>P51</xm:sqref>
            </x14:sparkline>
            <x14:sparkline>
              <xm:f>ClientTrend!H52:L52</xm:f>
              <xm:sqref>P52</xm:sqref>
            </x14:sparkline>
            <x14:sparkline>
              <xm:f>ClientTrend!H53:L53</xm:f>
              <xm:sqref>P53</xm:sqref>
            </x14:sparkline>
            <x14:sparkline>
              <xm:f>ClientTrend!H54:L54</xm:f>
              <xm:sqref>P54</xm:sqref>
            </x14:sparkline>
            <x14:sparkline>
              <xm:f>ClientTrend!H55:L55</xm:f>
              <xm:sqref>P55</xm:sqref>
            </x14:sparkline>
            <x14:sparkline>
              <xm:f>ClientTrend!H56:L56</xm:f>
              <xm:sqref>P56</xm:sqref>
            </x14:sparkline>
            <x14:sparkline>
              <xm:f>ClientTrend!H57:L57</xm:f>
              <xm:sqref>P57</xm:sqref>
            </x14:sparkline>
            <x14:sparkline>
              <xm:f>ClientTrend!H58:L58</xm:f>
              <xm:sqref>P58</xm:sqref>
            </x14:sparkline>
            <x14:sparkline>
              <xm:f>ClientTrend!H59:L59</xm:f>
              <xm:sqref>P59</xm:sqref>
            </x14:sparkline>
            <x14:sparkline>
              <xm:f>ClientTrend!H60:L60</xm:f>
              <xm:sqref>P60</xm:sqref>
            </x14:sparkline>
            <x14:sparkline>
              <xm:f>ClientTrend!H61:L61</xm:f>
              <xm:sqref>P61</xm:sqref>
            </x14:sparkline>
            <x14:sparkline>
              <xm:f>ClientTrend!H62:L62</xm:f>
              <xm:sqref>P62</xm:sqref>
            </x14:sparkline>
            <x14:sparkline>
              <xm:f>ClientTrend!H63:L63</xm:f>
              <xm:sqref>P63</xm:sqref>
            </x14:sparkline>
            <x14:sparkline>
              <xm:f>ClientTrend!H64:L64</xm:f>
              <xm:sqref>P64</xm:sqref>
            </x14:sparkline>
            <x14:sparkline>
              <xm:f>ClientTrend!H65:L65</xm:f>
              <xm:sqref>P65</xm:sqref>
            </x14:sparkline>
            <x14:sparkline>
              <xm:f>ClientTrend!H66:L66</xm:f>
              <xm:sqref>P66</xm:sqref>
            </x14:sparkline>
            <x14:sparkline>
              <xm:f>ClientTrend!H67:L67</xm:f>
              <xm:sqref>P67</xm:sqref>
            </x14:sparkline>
            <x14:sparkline>
              <xm:f>ClientTrend!H68:L68</xm:f>
              <xm:sqref>P68</xm:sqref>
            </x14:sparkline>
            <x14:sparkline>
              <xm:f>ClientTrend!H69:L69</xm:f>
              <xm:sqref>P69</xm:sqref>
            </x14:sparkline>
            <x14:sparkline>
              <xm:f>ClientTrend!H70:L70</xm:f>
              <xm:sqref>P70</xm:sqref>
            </x14:sparkline>
            <x14:sparkline>
              <xm:f>ClientTrend!H71:L71</xm:f>
              <xm:sqref>P71</xm:sqref>
            </x14:sparkline>
            <x14:sparkline>
              <xm:f>ClientTrend!H72:L72</xm:f>
              <xm:sqref>P72</xm:sqref>
            </x14:sparkline>
            <x14:sparkline>
              <xm:f>ClientTrend!H73:L73</xm:f>
              <xm:sqref>P73</xm:sqref>
            </x14:sparkline>
            <x14:sparkline>
              <xm:f>ClientTrend!H74:L74</xm:f>
              <xm:sqref>P74</xm:sqref>
            </x14:sparkline>
            <x14:sparkline>
              <xm:f>ClientTrend!H75:L75</xm:f>
              <xm:sqref>P75</xm:sqref>
            </x14:sparkline>
            <x14:sparkline>
              <xm:f>ClientTrend!H76:L76</xm:f>
              <xm:sqref>P76</xm:sqref>
            </x14:sparkline>
            <x14:sparkline>
              <xm:f>ClientTrend!H77:L77</xm:f>
              <xm:sqref>P77</xm:sqref>
            </x14:sparkline>
            <x14:sparkline>
              <xm:f>ClientTrend!H78:L78</xm:f>
              <xm:sqref>P78</xm:sqref>
            </x14:sparkline>
            <x14:sparkline>
              <xm:f>ClientTrend!H79:L79</xm:f>
              <xm:sqref>P79</xm:sqref>
            </x14:sparkline>
            <x14:sparkline>
              <xm:f>ClientTrend!H80:L80</xm:f>
              <xm:sqref>P80</xm:sqref>
            </x14:sparkline>
            <x14:sparkline>
              <xm:f>ClientTrend!H81:L81</xm:f>
              <xm:sqref>P81</xm:sqref>
            </x14:sparkline>
            <x14:sparkline>
              <xm:f>ClientTrend!H82:L82</xm:f>
              <xm:sqref>P82</xm:sqref>
            </x14:sparkline>
            <x14:sparkline>
              <xm:f>ClientTrend!H83:L83</xm:f>
              <xm:sqref>P83</xm:sqref>
            </x14:sparkline>
            <x14:sparkline>
              <xm:f>ClientTrend!H84:L84</xm:f>
              <xm:sqref>P84</xm:sqref>
            </x14:sparkline>
            <x14:sparkline>
              <xm:f>ClientTrend!H85:L85</xm:f>
              <xm:sqref>P85</xm:sqref>
            </x14:sparkline>
            <x14:sparkline>
              <xm:f>ClientTrend!H86:L86</xm:f>
              <xm:sqref>P86</xm:sqref>
            </x14:sparkline>
            <x14:sparkline>
              <xm:f>ClientTrend!H87:L87</xm:f>
              <xm:sqref>P87</xm:sqref>
            </x14:sparkline>
            <x14:sparkline>
              <xm:f>ClientTrend!H88:L88</xm:f>
              <xm:sqref>P88</xm:sqref>
            </x14:sparkline>
            <x14:sparkline>
              <xm:f>ClientTrend!H89:L89</xm:f>
              <xm:sqref>P89</xm:sqref>
            </x14:sparkline>
            <x14:sparkline>
              <xm:f>ClientTrend!H90:L90</xm:f>
              <xm:sqref>P90</xm:sqref>
            </x14:sparkline>
            <x14:sparkline>
              <xm:f>ClientTrend!H91:L91</xm:f>
              <xm:sqref>P91</xm:sqref>
            </x14:sparkline>
            <x14:sparkline>
              <xm:f>ClientTrend!H92:L92</xm:f>
              <xm:sqref>P92</xm:sqref>
            </x14:sparkline>
            <x14:sparkline>
              <xm:f>ClientTrend!H93:L93</xm:f>
              <xm:sqref>P93</xm:sqref>
            </x14:sparkline>
            <x14:sparkline>
              <xm:f>ClientTrend!H94:L94</xm:f>
              <xm:sqref>P94</xm:sqref>
            </x14:sparkline>
            <x14:sparkline>
              <xm:f>ClientTrend!H95:L95</xm:f>
              <xm:sqref>P95</xm:sqref>
            </x14:sparkline>
            <x14:sparkline>
              <xm:f>ClientTrend!H96:L96</xm:f>
              <xm:sqref>P96</xm:sqref>
            </x14:sparkline>
            <x14:sparkline>
              <xm:f>ClientTrend!H97:L97</xm:f>
              <xm:sqref>P97</xm:sqref>
            </x14:sparkline>
            <x14:sparkline>
              <xm:f>ClientTrend!H98:L98</xm:f>
              <xm:sqref>P98</xm:sqref>
            </x14:sparkline>
            <x14:sparkline>
              <xm:f>ClientTrend!H99:L99</xm:f>
              <xm:sqref>P99</xm:sqref>
            </x14:sparkline>
            <x14:sparkline>
              <xm:f>ClientTrend!H100:L100</xm:f>
              <xm:sqref>P100</xm:sqref>
            </x14:sparkline>
            <x14:sparkline>
              <xm:f>ClientTrend!H101:L101</xm:f>
              <xm:sqref>P101</xm:sqref>
            </x14:sparkline>
            <x14:sparkline>
              <xm:f>ClientTrend!H102:L102</xm:f>
              <xm:sqref>P102</xm:sqref>
            </x14:sparkline>
            <x14:sparkline>
              <xm:f>ClientTrend!H103:L103</xm:f>
              <xm:sqref>P103</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87483-97B0-4018-87B7-5528F01DFF9C}">
  <sheetPr codeName="Sheet11"/>
  <dimension ref="A2:CE125"/>
  <sheetViews>
    <sheetView showGridLines="0" zoomScale="70" zoomScaleNormal="70" workbookViewId="0">
      <pane xSplit="4" topLeftCell="E1" activePane="topRight" state="frozen"/>
      <selection activeCell="A20" sqref="A20"/>
      <selection pane="topRight" activeCell="O19" sqref="O19"/>
    </sheetView>
  </sheetViews>
  <sheetFormatPr defaultColWidth="0" defaultRowHeight="12.75" customHeight="1" x14ac:dyDescent="0.3"/>
  <cols>
    <col min="1" max="1" width="2.81640625" style="28" customWidth="1"/>
    <col min="2" max="2" width="18.81640625" style="28" customWidth="1"/>
    <col min="3" max="3" width="16.81640625" style="28" customWidth="1"/>
    <col min="4" max="4" width="17.453125" style="204" customWidth="1"/>
    <col min="5" max="5" width="22" style="204" customWidth="1"/>
    <col min="6" max="6" width="13" style="346" customWidth="1"/>
    <col min="7" max="7" width="11.54296875" style="346" customWidth="1"/>
    <col min="8" max="8" width="11.81640625" style="347" customWidth="1"/>
    <col min="9" max="9" width="10.54296875" style="346" customWidth="1"/>
    <col min="10" max="10" width="16.81640625" style="204" customWidth="1"/>
    <col min="11" max="17" width="9.54296875" style="28" customWidth="1"/>
    <col min="18" max="18" width="13.1796875" style="28" customWidth="1"/>
    <col min="19" max="19" width="5.453125" style="28" customWidth="1"/>
    <col min="20" max="20" width="11.54296875" style="28" customWidth="1"/>
    <col min="21" max="21" width="9.54296875" style="28" customWidth="1"/>
    <col min="22" max="22" width="10" style="28" customWidth="1"/>
    <col min="23" max="23" width="9.54296875" style="28" customWidth="1"/>
    <col min="24" max="24" width="10.1796875" style="28" customWidth="1"/>
    <col min="25" max="26" width="9.54296875" style="28" customWidth="1"/>
    <col min="27" max="27" width="9.81640625" style="28" customWidth="1"/>
    <col min="28" max="29" width="9.54296875" style="28" customWidth="1"/>
    <col min="30" max="30" width="9.81640625" style="28" customWidth="1"/>
    <col min="31" max="31" width="16.1796875" style="28" bestFit="1" customWidth="1"/>
    <col min="32" max="32" width="10.81640625" style="28" customWidth="1"/>
    <col min="33" max="33" width="3.453125" style="28" customWidth="1"/>
    <col min="34" max="34" width="11.1796875" style="28" customWidth="1"/>
    <col min="35" max="35" width="10.81640625" style="28" customWidth="1"/>
    <col min="36" max="36" width="10" style="28" customWidth="1"/>
    <col min="37" max="37" width="9.54296875" style="28" customWidth="1"/>
    <col min="38" max="38" width="10.1796875" style="28" customWidth="1"/>
    <col min="39" max="40" width="9.54296875" style="28" customWidth="1"/>
    <col min="41" max="41" width="9.81640625" style="28" customWidth="1"/>
    <col min="42" max="43" width="9.54296875" style="28" customWidth="1"/>
    <col min="44" max="45" width="9.81640625" style="28" customWidth="1"/>
    <col min="46" max="47" width="9.54296875" style="28" customWidth="1"/>
    <col min="48" max="48" width="10.81640625" style="28" customWidth="1"/>
    <col min="49" max="49" width="10" style="28" customWidth="1"/>
    <col min="50" max="50" width="9.54296875" style="28" customWidth="1"/>
    <col min="51" max="51" width="10.1796875" style="28" customWidth="1"/>
    <col min="52" max="53" width="9.54296875" style="28" customWidth="1"/>
    <col min="54" max="54" width="9.81640625" style="28" customWidth="1"/>
    <col min="55" max="56" width="9.54296875" style="28" customWidth="1"/>
    <col min="57" max="57" width="9.81640625" style="28" bestFit="1" customWidth="1"/>
    <col min="58" max="58" width="9.81640625" style="28" customWidth="1"/>
    <col min="59" max="59" width="11.81640625" style="28" customWidth="1"/>
    <col min="60" max="61" width="9.54296875" style="28" customWidth="1"/>
    <col min="62" max="62" width="10" style="28" customWidth="1"/>
    <col min="63" max="63" width="9.54296875" style="28" customWidth="1"/>
    <col min="64" max="64" width="10.1796875" style="28" customWidth="1"/>
    <col min="65" max="66" width="9.54296875" style="28" customWidth="1"/>
    <col min="67" max="67" width="9.81640625" style="28" customWidth="1"/>
    <col min="68" max="69" width="9.54296875" style="28" customWidth="1"/>
    <col min="70" max="71" width="9.81640625" style="28" customWidth="1"/>
    <col min="72" max="72" width="10.1796875" style="28" customWidth="1"/>
    <col min="73" max="73" width="9.54296875" style="28" customWidth="1"/>
    <col min="74" max="83" width="0" style="28" hidden="1" customWidth="1"/>
    <col min="84" max="16384" width="8.81640625" style="28" hidden="1"/>
  </cols>
  <sheetData>
    <row r="2" spans="2:72" ht="13.5" customHeight="1" x14ac:dyDescent="0.3">
      <c r="B2" s="338"/>
      <c r="C2" s="339"/>
      <c r="D2" s="340"/>
      <c r="E2" s="340"/>
      <c r="F2" s="341"/>
      <c r="G2" s="341"/>
      <c r="H2" s="342"/>
      <c r="I2" s="341"/>
      <c r="J2" s="338"/>
      <c r="K2" s="341"/>
      <c r="L2" s="341"/>
      <c r="M2" s="339"/>
      <c r="N2" s="339"/>
      <c r="O2" s="339"/>
      <c r="P2" s="339"/>
      <c r="Q2" s="339"/>
      <c r="R2" s="339"/>
      <c r="S2" s="339"/>
      <c r="T2" s="339"/>
      <c r="U2" s="339"/>
      <c r="V2" s="339"/>
      <c r="W2" s="339"/>
      <c r="X2" s="339"/>
      <c r="Y2" s="339"/>
      <c r="Z2" s="339"/>
      <c r="AA2" s="339"/>
      <c r="AB2" s="339"/>
      <c r="AC2" s="339"/>
      <c r="AD2" s="339"/>
      <c r="AE2" s="339"/>
      <c r="AF2" s="339"/>
      <c r="AG2" s="345"/>
      <c r="AH2" s="339"/>
      <c r="AI2" s="339"/>
      <c r="AJ2" s="339"/>
      <c r="AK2" s="339"/>
      <c r="AL2" s="339"/>
      <c r="AM2" s="339"/>
      <c r="AN2" s="339"/>
      <c r="AO2" s="339"/>
      <c r="AP2" s="339"/>
      <c r="AQ2" s="339"/>
      <c r="AR2" s="339"/>
      <c r="AS2" s="339"/>
      <c r="AT2" s="339"/>
      <c r="AU2" s="339"/>
      <c r="AV2" s="339"/>
      <c r="AW2" s="339"/>
      <c r="AX2" s="339"/>
      <c r="AY2" s="339"/>
      <c r="AZ2" s="339"/>
      <c r="BA2" s="339"/>
      <c r="BB2" s="339"/>
      <c r="BC2" s="339"/>
      <c r="BD2" s="339"/>
      <c r="BE2" s="339"/>
      <c r="BF2" s="339"/>
      <c r="BG2" s="339"/>
      <c r="BH2" s="339"/>
      <c r="BI2" s="339"/>
      <c r="BJ2" s="339"/>
      <c r="BK2" s="339"/>
      <c r="BL2" s="339"/>
      <c r="BM2" s="339"/>
      <c r="BN2" s="339"/>
      <c r="BO2" s="339"/>
      <c r="BP2" s="339"/>
      <c r="BQ2" s="339"/>
      <c r="BR2" s="339"/>
      <c r="BS2" s="339"/>
      <c r="BT2" s="339"/>
    </row>
    <row r="3" spans="2:72" ht="13.5" customHeight="1" x14ac:dyDescent="0.3">
      <c r="B3" s="338"/>
      <c r="C3" s="339"/>
      <c r="D3" s="956"/>
      <c r="E3" s="956"/>
      <c r="F3" s="956"/>
      <c r="G3" s="956"/>
      <c r="H3" s="344"/>
      <c r="I3" s="343"/>
      <c r="J3" s="343"/>
      <c r="K3" s="343"/>
      <c r="L3" s="343"/>
      <c r="M3" s="345"/>
      <c r="N3" s="345"/>
      <c r="O3" s="345"/>
      <c r="P3" s="345"/>
      <c r="Q3" s="345"/>
      <c r="R3" s="345"/>
      <c r="S3" s="345"/>
      <c r="T3" s="345"/>
      <c r="U3" s="345"/>
      <c r="V3" s="345"/>
      <c r="W3" s="345"/>
      <c r="X3" s="345"/>
      <c r="Y3" s="345"/>
      <c r="Z3" s="345"/>
      <c r="AA3" s="345"/>
      <c r="AB3" s="345"/>
      <c r="AC3" s="345"/>
      <c r="AD3" s="345"/>
      <c r="AE3" s="345"/>
      <c r="AF3" s="345"/>
      <c r="AG3" s="345"/>
      <c r="AH3" s="345"/>
      <c r="AI3" s="345"/>
      <c r="AJ3" s="345"/>
      <c r="AK3" s="345"/>
      <c r="AL3" s="345"/>
      <c r="AM3" s="345"/>
      <c r="AN3" s="345"/>
      <c r="AO3" s="345"/>
      <c r="AP3" s="345"/>
      <c r="AQ3" s="345"/>
      <c r="AR3" s="345"/>
      <c r="AS3" s="345"/>
      <c r="AT3" s="345"/>
      <c r="AU3" s="345"/>
      <c r="AV3" s="345"/>
      <c r="AW3" s="345"/>
      <c r="AX3" s="345"/>
      <c r="AY3" s="345"/>
      <c r="AZ3" s="345"/>
      <c r="BA3" s="345"/>
      <c r="BB3" s="345"/>
      <c r="BC3" s="345"/>
      <c r="BD3" s="345"/>
      <c r="BE3" s="345"/>
      <c r="BF3" s="345"/>
      <c r="BG3" s="345"/>
      <c r="BH3" s="345"/>
      <c r="BI3" s="345"/>
      <c r="BJ3" s="345"/>
      <c r="BK3" s="345"/>
      <c r="BL3" s="345"/>
      <c r="BM3" s="345"/>
      <c r="BN3" s="345"/>
      <c r="BO3" s="345"/>
      <c r="BP3" s="345"/>
      <c r="BQ3" s="345"/>
      <c r="BR3" s="345"/>
      <c r="BS3" s="345"/>
      <c r="BT3" s="345"/>
    </row>
    <row r="4" spans="2:72" ht="13.5" customHeight="1" x14ac:dyDescent="0.3">
      <c r="B4" s="338"/>
      <c r="C4" s="339"/>
      <c r="D4" s="956"/>
      <c r="E4" s="956"/>
      <c r="F4" s="956"/>
      <c r="G4" s="956"/>
      <c r="H4" s="344"/>
      <c r="I4" s="343"/>
      <c r="J4" s="957" t="s">
        <v>642</v>
      </c>
      <c r="K4" s="957"/>
      <c r="L4" s="957"/>
      <c r="M4" s="957"/>
      <c r="N4" s="957"/>
      <c r="O4" s="957"/>
      <c r="P4" s="957"/>
      <c r="Q4" s="957"/>
      <c r="R4" s="957"/>
      <c r="S4" s="343"/>
      <c r="T4" s="345"/>
      <c r="U4" s="345"/>
      <c r="V4" s="345"/>
      <c r="W4" s="345"/>
      <c r="X4" s="345"/>
      <c r="Y4" s="345"/>
      <c r="Z4" s="345"/>
      <c r="AA4" s="345"/>
      <c r="AB4" s="345"/>
      <c r="AC4" s="345"/>
      <c r="AD4" s="345"/>
      <c r="AE4" s="345"/>
      <c r="AF4" s="345"/>
      <c r="AG4" s="345"/>
      <c r="AH4" s="345"/>
      <c r="AI4" s="345"/>
      <c r="AJ4" s="345"/>
      <c r="AK4" s="345"/>
      <c r="AL4" s="345"/>
      <c r="AM4" s="345"/>
      <c r="AN4" s="345"/>
      <c r="AO4" s="345"/>
      <c r="AP4" s="345"/>
      <c r="AQ4" s="345"/>
      <c r="AR4" s="345"/>
      <c r="AS4" s="345"/>
      <c r="AT4" s="345"/>
      <c r="AU4" s="345"/>
      <c r="AV4" s="345"/>
      <c r="AW4" s="345"/>
      <c r="AX4" s="345"/>
      <c r="AY4" s="345"/>
      <c r="AZ4" s="345"/>
      <c r="BA4" s="345"/>
      <c r="BB4" s="345"/>
      <c r="BC4" s="345"/>
      <c r="BD4" s="345"/>
      <c r="BE4" s="345"/>
      <c r="BF4" s="345"/>
      <c r="BG4" s="345"/>
      <c r="BH4" s="345"/>
      <c r="BI4" s="345"/>
      <c r="BJ4" s="345"/>
      <c r="BK4" s="345"/>
      <c r="BL4" s="345"/>
      <c r="BM4" s="345"/>
      <c r="BN4" s="345"/>
      <c r="BO4" s="345"/>
      <c r="BP4" s="345"/>
      <c r="BQ4" s="345"/>
      <c r="BR4" s="345"/>
      <c r="BS4" s="345"/>
      <c r="BT4" s="345"/>
    </row>
    <row r="5" spans="2:72" ht="13.5" customHeight="1" x14ac:dyDescent="0.3">
      <c r="B5" s="338"/>
      <c r="C5" s="339"/>
      <c r="D5" s="956"/>
      <c r="E5" s="956"/>
      <c r="F5" s="956"/>
      <c r="G5" s="956"/>
      <c r="H5" s="344"/>
      <c r="I5" s="343"/>
      <c r="J5" s="957"/>
      <c r="K5" s="957"/>
      <c r="L5" s="957"/>
      <c r="M5" s="957"/>
      <c r="N5" s="957"/>
      <c r="O5" s="957"/>
      <c r="P5" s="957"/>
      <c r="Q5" s="957"/>
      <c r="R5" s="957"/>
      <c r="S5" s="343"/>
      <c r="T5" s="345"/>
      <c r="U5" s="345"/>
      <c r="V5" s="345"/>
      <c r="W5" s="345"/>
      <c r="X5" s="345"/>
      <c r="Y5" s="345"/>
      <c r="Z5" s="345"/>
      <c r="AA5" s="345"/>
      <c r="AB5" s="345"/>
      <c r="AC5" s="345"/>
      <c r="AD5" s="345"/>
      <c r="AE5" s="345"/>
      <c r="AF5" s="345"/>
      <c r="AG5" s="345"/>
      <c r="AH5" s="345"/>
      <c r="AI5" s="345"/>
      <c r="AJ5" s="345"/>
      <c r="AK5" s="345"/>
      <c r="AL5" s="345"/>
      <c r="AM5" s="345"/>
      <c r="AN5" s="345"/>
      <c r="AO5" s="345"/>
      <c r="AP5" s="345"/>
      <c r="AQ5" s="345"/>
      <c r="AR5" s="345"/>
      <c r="AS5" s="345"/>
      <c r="AT5" s="345"/>
      <c r="AU5" s="345"/>
      <c r="AV5" s="345"/>
      <c r="AW5" s="345"/>
      <c r="AX5" s="345"/>
      <c r="AY5" s="345"/>
      <c r="AZ5" s="345"/>
      <c r="BA5" s="345"/>
      <c r="BB5" s="345"/>
      <c r="BC5" s="345"/>
      <c r="BD5" s="345"/>
      <c r="BE5" s="345"/>
      <c r="BF5" s="345"/>
      <c r="BG5" s="345"/>
      <c r="BH5" s="345"/>
      <c r="BI5" s="345"/>
      <c r="BJ5" s="345"/>
      <c r="BK5" s="345"/>
      <c r="BL5" s="345"/>
      <c r="BM5" s="345"/>
      <c r="BN5" s="345"/>
      <c r="BO5" s="345"/>
      <c r="BP5" s="345"/>
      <c r="BQ5" s="345"/>
      <c r="BR5" s="345"/>
      <c r="BS5" s="345"/>
      <c r="BT5" s="345"/>
    </row>
    <row r="6" spans="2:72" ht="13.5" customHeight="1" x14ac:dyDescent="0.3">
      <c r="B6" s="338"/>
      <c r="C6" s="339"/>
      <c r="D6" s="343"/>
      <c r="E6" s="343"/>
      <c r="F6" s="343"/>
      <c r="G6" s="343"/>
      <c r="H6" s="344"/>
      <c r="I6" s="343"/>
      <c r="J6" s="957"/>
      <c r="K6" s="957"/>
      <c r="L6" s="957"/>
      <c r="M6" s="957"/>
      <c r="N6" s="957"/>
      <c r="O6" s="957"/>
      <c r="P6" s="957"/>
      <c r="Q6" s="957"/>
      <c r="R6" s="957"/>
      <c r="S6" s="343"/>
      <c r="T6" s="345"/>
      <c r="U6" s="345"/>
      <c r="V6" s="345"/>
      <c r="W6" s="345"/>
      <c r="X6" s="345"/>
      <c r="Y6" s="345"/>
      <c r="Z6" s="345"/>
      <c r="AA6" s="345"/>
      <c r="AB6" s="345"/>
      <c r="AC6" s="345"/>
      <c r="AD6" s="345"/>
      <c r="AE6" s="345"/>
      <c r="AF6" s="345"/>
      <c r="AG6" s="345"/>
      <c r="AH6" s="345"/>
      <c r="AI6" s="345"/>
      <c r="AJ6" s="345"/>
      <c r="AK6" s="345"/>
      <c r="AL6" s="345"/>
      <c r="AM6" s="345"/>
      <c r="AN6" s="345"/>
      <c r="AO6" s="345"/>
      <c r="AP6" s="345"/>
      <c r="AQ6" s="345"/>
      <c r="AR6" s="345"/>
      <c r="AS6" s="345"/>
      <c r="AT6" s="345"/>
      <c r="AU6" s="345"/>
      <c r="AV6" s="345"/>
      <c r="AW6" s="345"/>
      <c r="AX6" s="345"/>
      <c r="AY6" s="345"/>
      <c r="AZ6" s="345"/>
      <c r="BA6" s="345"/>
      <c r="BB6" s="345"/>
      <c r="BC6" s="345"/>
      <c r="BD6" s="345"/>
      <c r="BE6" s="345"/>
      <c r="BF6" s="345"/>
      <c r="BG6" s="345"/>
      <c r="BH6" s="345"/>
      <c r="BI6" s="345"/>
      <c r="BJ6" s="345"/>
      <c r="BK6" s="345"/>
      <c r="BL6" s="345"/>
      <c r="BM6" s="345"/>
      <c r="BN6" s="345"/>
      <c r="BO6" s="345"/>
      <c r="BP6" s="345"/>
      <c r="BQ6" s="345"/>
      <c r="BR6" s="345"/>
      <c r="BS6" s="345"/>
      <c r="BT6" s="345"/>
    </row>
    <row r="7" spans="2:72" ht="13.5" customHeight="1" x14ac:dyDescent="0.3">
      <c r="B7" s="338"/>
      <c r="C7" s="339"/>
      <c r="D7" s="340"/>
      <c r="E7" s="340"/>
      <c r="F7" s="341"/>
      <c r="G7" s="341"/>
      <c r="H7" s="342"/>
      <c r="I7" s="341"/>
      <c r="J7" s="338"/>
      <c r="K7" s="341"/>
      <c r="L7" s="341"/>
      <c r="M7" s="339"/>
      <c r="N7" s="339"/>
      <c r="O7" s="339"/>
      <c r="P7" s="339"/>
      <c r="Q7" s="339"/>
      <c r="R7" s="339"/>
      <c r="S7" s="339"/>
      <c r="T7" s="339"/>
      <c r="U7" s="339"/>
      <c r="V7" s="339"/>
      <c r="W7" s="339"/>
      <c r="X7" s="339"/>
      <c r="Y7" s="339"/>
      <c r="Z7" s="339"/>
      <c r="AA7" s="339"/>
      <c r="AB7" s="339"/>
      <c r="AC7" s="339"/>
      <c r="AD7" s="339"/>
      <c r="AE7" s="339"/>
      <c r="AF7" s="339"/>
      <c r="AG7" s="345"/>
      <c r="AH7" s="339"/>
      <c r="AI7" s="339"/>
      <c r="AJ7" s="339"/>
      <c r="AK7" s="339"/>
      <c r="AL7" s="339"/>
      <c r="AM7" s="339"/>
      <c r="AN7" s="339"/>
      <c r="AO7" s="339"/>
      <c r="AP7" s="339"/>
      <c r="AQ7" s="339"/>
      <c r="AR7" s="339"/>
      <c r="AS7" s="339"/>
      <c r="AT7" s="339"/>
      <c r="AU7" s="339"/>
      <c r="AV7" s="339"/>
      <c r="AW7" s="339"/>
      <c r="AX7" s="339"/>
      <c r="AY7" s="339"/>
      <c r="AZ7" s="339"/>
      <c r="BA7" s="339"/>
      <c r="BB7" s="339"/>
      <c r="BC7" s="339"/>
      <c r="BD7" s="339"/>
      <c r="BE7" s="339"/>
      <c r="BF7" s="339"/>
      <c r="BG7" s="339"/>
      <c r="BH7" s="339"/>
      <c r="BI7" s="339"/>
      <c r="BJ7" s="339"/>
      <c r="BK7" s="339"/>
      <c r="BL7" s="339"/>
      <c r="BM7" s="339"/>
      <c r="BN7" s="339"/>
      <c r="BO7" s="339"/>
      <c r="BP7" s="339"/>
      <c r="BQ7" s="339"/>
      <c r="BR7" s="339"/>
      <c r="BS7" s="339"/>
      <c r="BT7" s="339"/>
    </row>
    <row r="9" spans="2:72" ht="14.15" hidden="1" customHeight="1" x14ac:dyDescent="0.3">
      <c r="B9" s="204" t="s">
        <v>643</v>
      </c>
      <c r="C9" s="204" t="s">
        <v>644</v>
      </c>
      <c r="D9" s="204" t="s">
        <v>645</v>
      </c>
      <c r="J9" s="559">
        <v>1</v>
      </c>
      <c r="K9" s="559">
        <v>2</v>
      </c>
      <c r="L9" s="559">
        <v>3</v>
      </c>
      <c r="M9" s="559">
        <v>4</v>
      </c>
      <c r="N9" s="397">
        <v>4</v>
      </c>
    </row>
    <row r="10" spans="2:72" ht="14.15" customHeight="1" x14ac:dyDescent="0.3">
      <c r="B10" s="378"/>
      <c r="C10" s="379"/>
      <c r="D10" s="380"/>
      <c r="E10" s="380"/>
      <c r="F10" s="381"/>
      <c r="G10" s="381"/>
      <c r="H10" s="382"/>
      <c r="I10" s="381"/>
      <c r="J10" s="380"/>
      <c r="K10" s="657"/>
      <c r="L10" s="379"/>
      <c r="M10" s="383"/>
      <c r="T10" s="378"/>
      <c r="U10" s="379"/>
      <c r="V10" s="379"/>
      <c r="W10" s="379"/>
      <c r="X10" s="379"/>
      <c r="Y10" s="379"/>
      <c r="Z10" s="379"/>
      <c r="AA10" s="379"/>
      <c r="AB10" s="379"/>
      <c r="AC10" s="379"/>
      <c r="AD10" s="379"/>
      <c r="AE10" s="379"/>
      <c r="AF10" s="383"/>
    </row>
    <row r="11" spans="2:72" ht="14.15" customHeight="1" x14ac:dyDescent="0.3">
      <c r="B11" s="384" t="s">
        <v>646</v>
      </c>
      <c r="C11" s="654" t="s">
        <v>643</v>
      </c>
      <c r="D11" s="651" t="s">
        <v>647</v>
      </c>
      <c r="E11" s="654" t="s">
        <v>698</v>
      </c>
      <c r="F11" s="651" t="s">
        <v>648</v>
      </c>
      <c r="G11" s="674">
        <f>IF(C11=B9,O14,IF(C11=C9,O15,O16))</f>
        <v>1432.2</v>
      </c>
      <c r="H11" s="656" t="s">
        <v>649</v>
      </c>
      <c r="I11" s="673">
        <f>IF(C11=B9,INDEX(AF38:AF87,MATCH(E11,RegularHours_type1[[#Data],[#Totals],[Nurse]],FALSE),1),IF(C11=C9,INDEX(AF99:AF107,MATCH(E11,EIPHours_Type1[[#Data],[#Totals],[Nurse]],0)),INDEX(AF121:AF125,MATCH(E11,NC_hours_type1[[#Data],[#Totals],[Nurse]],0))))</f>
        <v>0.81746575342465755</v>
      </c>
      <c r="J11" s="656" t="s">
        <v>650</v>
      </c>
      <c r="K11" s="672">
        <v>1</v>
      </c>
      <c r="M11" s="385"/>
      <c r="T11" s="963" t="s">
        <v>646</v>
      </c>
      <c r="U11" s="964"/>
      <c r="V11" s="965" t="s">
        <v>643</v>
      </c>
      <c r="W11" s="965"/>
      <c r="X11" s="664"/>
      <c r="Y11" s="962" t="s">
        <v>651</v>
      </c>
      <c r="Z11" s="962"/>
      <c r="AA11" s="655" t="s">
        <v>652</v>
      </c>
      <c r="AF11" s="385"/>
    </row>
    <row r="12" spans="2:72" ht="14.15" customHeight="1" x14ac:dyDescent="0.3">
      <c r="B12" s="658"/>
      <c r="C12" s="659"/>
      <c r="D12" s="660"/>
      <c r="E12" s="661"/>
      <c r="F12" s="389"/>
      <c r="G12" s="662"/>
      <c r="H12" s="663"/>
      <c r="I12" s="389"/>
      <c r="J12" s="388"/>
      <c r="K12" s="387" t="s">
        <v>653</v>
      </c>
      <c r="L12" s="387"/>
      <c r="M12" s="391"/>
      <c r="T12" s="386"/>
      <c r="U12" s="387"/>
      <c r="V12" s="387"/>
      <c r="W12" s="387"/>
      <c r="X12" s="387"/>
      <c r="Y12" s="387"/>
      <c r="Z12" s="387"/>
      <c r="AA12" s="387"/>
      <c r="AB12" s="387"/>
      <c r="AC12" s="387"/>
      <c r="AD12" s="387"/>
      <c r="AE12" s="387"/>
      <c r="AF12" s="391"/>
      <c r="AM12" s="665"/>
      <c r="AN12" s="665"/>
      <c r="AO12" s="665"/>
      <c r="AP12" s="665"/>
      <c r="AQ12" s="665"/>
      <c r="AR12" s="665"/>
      <c r="AS12" s="665"/>
      <c r="AT12" s="665"/>
      <c r="AU12" s="665"/>
      <c r="AV12" s="665"/>
    </row>
    <row r="13" spans="2:72" ht="14.15" customHeight="1" x14ac:dyDescent="0.3">
      <c r="O13" s="362" t="s">
        <v>654</v>
      </c>
      <c r="P13" s="362"/>
      <c r="Q13" s="362"/>
      <c r="R13" s="362"/>
      <c r="S13" s="362"/>
      <c r="T13" s="362"/>
      <c r="U13" s="362"/>
      <c r="V13" s="362"/>
      <c r="W13" s="362"/>
      <c r="X13" s="362"/>
      <c r="Y13" s="362"/>
      <c r="Z13" s="362"/>
      <c r="AA13" s="362"/>
      <c r="AB13" s="362"/>
      <c r="AC13" s="362"/>
      <c r="AD13" s="362"/>
      <c r="AE13" s="362"/>
      <c r="AF13" s="362"/>
      <c r="AG13" s="362"/>
      <c r="AH13" s="362"/>
      <c r="AI13" s="362"/>
      <c r="AJ13" s="362"/>
      <c r="AK13" s="362"/>
      <c r="AL13" s="362"/>
      <c r="AM13" s="665"/>
      <c r="AN13" s="665"/>
      <c r="AO13" s="665"/>
      <c r="AP13" s="665"/>
      <c r="AQ13" s="665"/>
      <c r="AR13" s="665"/>
      <c r="AS13" s="665"/>
      <c r="AT13" s="665"/>
      <c r="AU13" s="665"/>
      <c r="AV13" s="665"/>
      <c r="AW13" s="362"/>
      <c r="AX13" s="362"/>
      <c r="AY13" s="362"/>
    </row>
    <row r="14" spans="2:72" ht="14.15" customHeight="1" x14ac:dyDescent="0.3">
      <c r="O14" s="653">
        <f>IF($C$11=$B$9,IF($K$11=$J$9,VLOOKUP($E$11,$B$38:$R$87,17,FALSE),IF($K$11=$K$9,VLOOKUP($E$11,$B$38:$AT$87,45,FALSE),IF($K$11=$L$9,VLOOKUP($E$11,$B$38:$BG$87,58,FALSE),VLOOKUP($E$11,$B$38:$BT$87,71,FALSE)))))</f>
        <v>1432.2</v>
      </c>
      <c r="P14" s="362"/>
      <c r="Q14" s="362"/>
      <c r="R14" s="362"/>
      <c r="S14" s="362"/>
      <c r="T14" s="362"/>
      <c r="U14" s="362"/>
      <c r="V14" s="362"/>
      <c r="W14" s="362"/>
      <c r="X14" s="362"/>
      <c r="Y14" s="362"/>
      <c r="Z14" s="362"/>
      <c r="AA14" s="362"/>
      <c r="AB14" s="362"/>
      <c r="AC14" s="362"/>
      <c r="AD14" s="362"/>
      <c r="AE14" s="362"/>
      <c r="AF14" s="362"/>
      <c r="AG14" s="362"/>
      <c r="AH14" s="362"/>
      <c r="AI14" s="362"/>
      <c r="AJ14" s="362"/>
      <c r="AK14" s="362"/>
      <c r="AL14" s="362"/>
      <c r="AM14" s="665"/>
      <c r="AN14" s="665"/>
      <c r="AO14" s="665"/>
      <c r="AP14" s="665"/>
      <c r="AQ14" s="665"/>
      <c r="AR14" s="665"/>
      <c r="AS14" s="665"/>
      <c r="AT14" s="665"/>
      <c r="AU14" s="665"/>
      <c r="AV14" s="665"/>
      <c r="AW14" s="362"/>
      <c r="AX14" s="362"/>
      <c r="AY14" s="362"/>
    </row>
    <row r="15" spans="2:72" ht="14.5" x14ac:dyDescent="0.35">
      <c r="B15" s="397" t="s">
        <v>655</v>
      </c>
      <c r="C15" s="397" t="s">
        <v>656</v>
      </c>
      <c r="D15" s="397" t="s">
        <v>657</v>
      </c>
      <c r="E15" s="397" t="s">
        <v>658</v>
      </c>
      <c r="F15" s="397" t="s">
        <v>659</v>
      </c>
      <c r="G15" s="397" t="s">
        <v>660</v>
      </c>
      <c r="H15" s="397" t="s">
        <v>661</v>
      </c>
      <c r="I15" s="397" t="s">
        <v>662</v>
      </c>
      <c r="J15" s="397" t="s">
        <v>663</v>
      </c>
      <c r="K15" s="397" t="s">
        <v>664</v>
      </c>
      <c r="L15" s="397" t="s">
        <v>665</v>
      </c>
      <c r="M15" s="397" t="s">
        <v>666</v>
      </c>
      <c r="O15" s="653" t="b">
        <f>IF($C$11=$C$9,IF($K$11=$J$9,VLOOKUP($E$11,$B$101:$R$107,17,FALSE),IF($K$11=$K$9,VLOOKUP($E$11,$B$99:$AT$107,45,FALSE))))</f>
        <v>0</v>
      </c>
      <c r="S15" s="362"/>
      <c r="T15" s="666" t="s">
        <v>667</v>
      </c>
      <c r="U15" s="666" t="s">
        <v>668</v>
      </c>
      <c r="V15" s="666" t="s">
        <v>669</v>
      </c>
      <c r="W15" s="666" t="s">
        <v>670</v>
      </c>
      <c r="X15" s="666" t="s">
        <v>671</v>
      </c>
      <c r="Y15" s="666" t="s">
        <v>672</v>
      </c>
      <c r="Z15" s="666" t="s">
        <v>673</v>
      </c>
      <c r="AA15" s="666" t="s">
        <v>674</v>
      </c>
      <c r="AB15" s="666" t="s">
        <v>675</v>
      </c>
      <c r="AC15" s="666" t="s">
        <v>676</v>
      </c>
      <c r="AD15" s="666" t="s">
        <v>677</v>
      </c>
      <c r="AE15" s="666" t="s">
        <v>678</v>
      </c>
      <c r="AF15" s="666" t="s">
        <v>679</v>
      </c>
      <c r="AG15" s="666" t="s">
        <v>680</v>
      </c>
      <c r="AH15" s="666" t="s">
        <v>681</v>
      </c>
      <c r="AI15" s="666" t="s">
        <v>682</v>
      </c>
      <c r="AJ15" s="666" t="s">
        <v>683</v>
      </c>
      <c r="AK15" s="666" t="s">
        <v>684</v>
      </c>
      <c r="AL15" s="666" t="s">
        <v>685</v>
      </c>
      <c r="AM15" s="666" t="s">
        <v>686</v>
      </c>
      <c r="AN15" s="666" t="s">
        <v>687</v>
      </c>
      <c r="AO15" s="666" t="s">
        <v>688</v>
      </c>
      <c r="AP15" s="666" t="s">
        <v>689</v>
      </c>
      <c r="AQ15" s="666" t="s">
        <v>690</v>
      </c>
      <c r="AR15" s="666" t="s">
        <v>691</v>
      </c>
      <c r="AS15" s="666" t="s">
        <v>692</v>
      </c>
      <c r="AT15" s="666" t="s">
        <v>693</v>
      </c>
      <c r="AU15" s="666" t="s">
        <v>694</v>
      </c>
      <c r="AV15" s="666" t="s">
        <v>695</v>
      </c>
      <c r="AW15" s="666" t="s">
        <v>696</v>
      </c>
      <c r="AX15" s="666" t="s">
        <v>697</v>
      </c>
      <c r="AY15" s="666" t="s">
        <v>698</v>
      </c>
      <c r="AZ15" s="666" t="s">
        <v>699</v>
      </c>
      <c r="BA15" s="666" t="s">
        <v>700</v>
      </c>
      <c r="BB15" s="666" t="s">
        <v>701</v>
      </c>
      <c r="BC15" s="666" t="s">
        <v>702</v>
      </c>
      <c r="BD15" s="666" t="s">
        <v>703</v>
      </c>
      <c r="BE15" s="666" t="s">
        <v>704</v>
      </c>
      <c r="BF15" s="666" t="s">
        <v>705</v>
      </c>
      <c r="BG15" s="666" t="s">
        <v>706</v>
      </c>
      <c r="BH15" s="666" t="s">
        <v>707</v>
      </c>
    </row>
    <row r="16" spans="2:72" ht="13" x14ac:dyDescent="0.3">
      <c r="B16" s="693" cm="1">
        <f t="array" ref="B16:M17">IF($C$11=$B$9,IF($K$11=$J$9,$B$31:$M$32,IF($K$11=$K$9,$AH$31:$AS$32,IF($K$11=$L$9,$AU$31:$BF$32,$BH$31:$BS$32))),IF($C$11=$C$9,IF($K$11=J9,$B$20:$M$21,$AH$25:$AS$26),IF($C$11=$D$9,IF($K$11=$J$9,$B$25:$M$26,$AH$28:$AS$29))))</f>
        <v>169.9</v>
      </c>
      <c r="C16" s="693">
        <v>174.1</v>
      </c>
      <c r="D16" s="693">
        <v>131.1</v>
      </c>
      <c r="E16" s="693">
        <v>109.6</v>
      </c>
      <c r="F16" s="694">
        <v>143.6</v>
      </c>
      <c r="G16" s="694">
        <v>150.9</v>
      </c>
      <c r="H16" s="695">
        <v>169.3</v>
      </c>
      <c r="I16" s="694">
        <v>118</v>
      </c>
      <c r="J16" s="693">
        <v>140.5</v>
      </c>
      <c r="K16" s="693">
        <v>125.2</v>
      </c>
      <c r="L16" s="693">
        <v>0</v>
      </c>
      <c r="M16" s="693">
        <v>0</v>
      </c>
      <c r="O16" s="653" t="b">
        <f>IF($C$11=$D$9,IF($K$11=$J$9,VLOOKUP($E$11,$B$121:$R$125,17,FALSE),IF($K$11=$K$9,VLOOKUP($E$11,$B$121:$AT$125,45,FALSE))))</f>
        <v>0</v>
      </c>
      <c r="S16" s="362"/>
      <c r="T16" s="667">
        <f>INDEX($T$38:$AF$86,MATCH(T15,RegularHours_type1[Nurse],FALSE),MATCH($AA$11,$T$37:$AF$37,FALSE))</f>
        <v>1.056849315068493</v>
      </c>
      <c r="U16" s="667">
        <f>INDEX($T$38:$AF$86,MATCH(U15,RegularHours_type1[Nurse],FALSE),MATCH($AA$11,$T$37:$AF$37,FALSE))</f>
        <v>1.1967123287671235</v>
      </c>
      <c r="V16" s="667">
        <f>INDEX($T$38:$AF$86,MATCH(V15,RegularHours_type1[Nurse],FALSE),MATCH($AA$11,$T$37:$AF$37,FALSE))</f>
        <v>1.0421803652968038</v>
      </c>
      <c r="W16" s="667">
        <f>INDEX($T$38:$AF$86,MATCH(W15,RegularHours_type1[Nurse],FALSE),MATCH($AA$11,$T$37:$AF$37,FALSE))</f>
        <v>1.0663242009132419</v>
      </c>
      <c r="X16" s="667">
        <f>INDEX($T$38:$AF$86,MATCH(X15,RegularHours_type1[Nurse],FALSE),MATCH($AA$11,$T$37:$AF$37,FALSE))</f>
        <v>0.66860730593607309</v>
      </c>
      <c r="Y16" s="667">
        <f>INDEX($T$38:$AF$86,MATCH(Y15,RegularHours_type1[Nurse],FALSE),MATCH($AA$11,$T$37:$AF$37,FALSE))</f>
        <v>0.89657534246575343</v>
      </c>
      <c r="Z16" s="667">
        <f>INDEX($T$38:$AF$86,MATCH(Z15,RegularHours_type1[Nurse],FALSE),MATCH($AA$11,$T$37:$AF$37,FALSE))</f>
        <v>1.4734018264840183</v>
      </c>
      <c r="AA16" s="667">
        <f>INDEX($T$38:$AF$86,MATCH(AA15,RegularHours_type1[Nurse],FALSE),MATCH($AA$11,$T$37:$AF$37,FALSE))</f>
        <v>0.44827586206896552</v>
      </c>
      <c r="AB16" s="667">
        <f>INDEX($T$38:$AF$86,MATCH(AB15,RegularHours_type1[Nurse],FALSE),MATCH($AA$11,$T$37:$AF$37,FALSE))</f>
        <v>0.1675228310502283</v>
      </c>
      <c r="AC16" s="667">
        <f>INDEX($T$38:$AF$86,MATCH(AC15,RegularHours_type1[Nurse],FALSE),MATCH($AA$11,$T$37:$AF$37,FALSE))</f>
        <v>0</v>
      </c>
      <c r="AD16" s="667">
        <f>INDEX($T$38:$AF$86,MATCH(AD15,RegularHours_type1[Nurse],FALSE),MATCH($AA$11,$T$37:$AF$37,FALSE))</f>
        <v>0.85222602739726039</v>
      </c>
      <c r="AE16" s="667">
        <f>INDEX($T$38:$AF$86,MATCH(AE15,RegularHours_type1[Nurse],FALSE),MATCH($AA$11,$T$37:$AF$37,FALSE))</f>
        <v>1.353287671232877</v>
      </c>
      <c r="AF16" s="667">
        <f>INDEX($T$38:$AF$86,MATCH(AF15,RegularHours_type1[Nurse],FALSE),MATCH($AA$11,$T$37:$AF$37,FALSE))</f>
        <v>1.08675799086758</v>
      </c>
      <c r="AG16" s="667">
        <f>INDEX($T$38:$AF$86,MATCH(AG15,RegularHours_type1[Nurse],FALSE),MATCH($AA$11,$T$37:$AF$37,FALSE))</f>
        <v>1.4488584474885842</v>
      </c>
      <c r="AH16" s="667">
        <f>INDEX($T$38:$AF$86,MATCH(AH15,RegularHours_type1[Nurse],FALSE),MATCH($AA$11,$T$37:$AF$37,FALSE))</f>
        <v>1.0242009132420091</v>
      </c>
      <c r="AI16" s="667">
        <f>INDEX($T$38:$AF$86,MATCH(AI15,RegularHours_type1[Nurse],FALSE),MATCH($AA$11,$T$37:$AF$37,FALSE))</f>
        <v>1.2514642857142859</v>
      </c>
      <c r="AJ16" s="667">
        <f>INDEX($T$38:$AF$86,MATCH(AJ15,RegularHours_type1[Nurse],FALSE),MATCH($AA$11,$T$37:$AF$37,FALSE))</f>
        <v>1.4714041095890411</v>
      </c>
      <c r="AK16" s="667">
        <f>INDEX($T$38:$AF$86,MATCH(AK15,RegularHours_type1[Nurse],FALSE),MATCH($AA$11,$T$37:$AF$37,FALSE))</f>
        <v>1.0487244897959183</v>
      </c>
      <c r="AL16" s="667">
        <f>INDEX($T$38:$AF$86,MATCH(AL15,RegularHours_type1[Nurse],FALSE),MATCH($AA$11,$T$37:$AF$37,FALSE))</f>
        <v>1.2705479452054795</v>
      </c>
      <c r="AM16" s="667">
        <f>INDEX($T$38:$AF$86,MATCH(AM15,RegularHours_type1[Nurse],FALSE),MATCH($AA$11,$T$37:$AF$37,FALSE))</f>
        <v>0.55673515981735155</v>
      </c>
      <c r="AN16" s="667">
        <f>INDEX($T$38:$AF$86,MATCH(AN15,RegularHours_type1[Nurse],FALSE),MATCH($AA$11,$T$37:$AF$37,FALSE))</f>
        <v>1.0261201298701297</v>
      </c>
      <c r="AO16" s="667">
        <f>INDEX($T$38:$AF$86,MATCH(AO15,RegularHours_type1[Nurse],FALSE),MATCH($AA$11,$T$37:$AF$37,FALSE))</f>
        <v>1.1493721461187214</v>
      </c>
      <c r="AP16" s="667">
        <f>INDEX($T$38:$AF$86,MATCH(AP15,RegularHours_type1[Nurse],FALSE),MATCH($AA$11,$T$37:$AF$37,FALSE))</f>
        <v>1.5585045662100454</v>
      </c>
      <c r="AQ16" s="667">
        <f>INDEX($T$38:$AF$86,MATCH(AQ15,RegularHours_type1[Nurse],FALSE),MATCH($AA$11,$T$37:$AF$37,FALSE))</f>
        <v>1.0840182648401826</v>
      </c>
      <c r="AR16" s="667">
        <f>INDEX($T$38:$AF$86,MATCH(AR15,RegularHours_type1[Nurse],FALSE),MATCH($AA$11,$T$37:$AF$37,FALSE))</f>
        <v>0.92928571428571427</v>
      </c>
      <c r="AS16" s="667">
        <f>INDEX($T$38:$AF$86,MATCH(AS15,RegularHours_type1[Nurse],FALSE),MATCH($AA$11,$T$37:$AF$37,FALSE))</f>
        <v>0.70646802325581393</v>
      </c>
      <c r="AT16" s="667">
        <f>INDEX($T$38:$AF$86,MATCH(AT15,RegularHours_type1[Nurse],FALSE),MATCH($AA$11,$T$37:$AF$37,FALSE))</f>
        <v>0.9921266233766235</v>
      </c>
      <c r="AU16" s="667">
        <f>INDEX($T$38:$AF$86,MATCH(AU15,RegularHours_type1[Nurse],FALSE),MATCH($AA$11,$T$37:$AF$37,FALSE))</f>
        <v>0.48461538461538461</v>
      </c>
      <c r="AV16" s="667">
        <f>INDEX($T$38:$AF$86,MATCH(AV15,RegularHours_type1[Nurse],FALSE),MATCH($AA$11,$T$37:$AF$37,FALSE))</f>
        <v>0.50624999999999998</v>
      </c>
      <c r="AW16" s="667">
        <f>INDEX($T$38:$AF$86,MATCH(AW15,RegularHours_type1[Nurse],FALSE),MATCH($AA$11,$T$37:$AF$37,FALSE))</f>
        <v>0.35131278538812788</v>
      </c>
      <c r="AX16" s="667">
        <f>INDEX($T$38:$AF$86,MATCH(AX15,RegularHours_type1[Nurse],FALSE),MATCH($AA$11,$T$37:$AF$37,FALSE))</f>
        <v>0.75005707762557083</v>
      </c>
      <c r="AY16" s="667">
        <f>INDEX($T$38:$AF$86,MATCH(AY15,RegularHours_type1[Nurse],FALSE),MATCH($AA$11,$T$37:$AF$37,FALSE))</f>
        <v>0.81746575342465755</v>
      </c>
      <c r="AZ16" s="667">
        <f>INDEX($T$38:$AF$86,MATCH(AZ15,RegularHours_type1[Nurse],FALSE),MATCH($AA$11,$T$37:$AF$37,FALSE))</f>
        <v>0.27264285714285708</v>
      </c>
      <c r="BA16" s="667">
        <f>INDEX($T$38:$AF$86,MATCH(BA15,RegularHours_type1[Nurse],FALSE),MATCH($AA$11,$T$37:$AF$37,FALSE))</f>
        <v>0.8940366972477064</v>
      </c>
      <c r="BB16" s="667">
        <f>INDEX($T$38:$AF$86,MATCH(BB15,RegularHours_type1[Nurse],FALSE),MATCH($AA$11,$T$37:$AF$37,FALSE))</f>
        <v>1.1084862385321099</v>
      </c>
      <c r="BC16" s="667">
        <f>INDEX($T$38:$AF$86,MATCH(BC15,RegularHours_type1[Nurse],FALSE),MATCH($AA$11,$T$37:$AF$37,FALSE))</f>
        <v>0.50068807339449539</v>
      </c>
      <c r="BD16" s="667">
        <f>INDEX($T$38:$AF$86,MATCH(BD15,RegularHours_type1[Nurse],FALSE),MATCH($AA$11,$T$37:$AF$37,FALSE))</f>
        <v>0</v>
      </c>
      <c r="BE16" s="667">
        <f>INDEX($T$38:$AF$86,MATCH(BE15,RegularHours_type1[Nurse],FALSE),MATCH($AA$11,$T$37:$AF$37,FALSE))</f>
        <v>0</v>
      </c>
      <c r="BF16" s="667">
        <f>INDEX($T$38:$AF$86,MATCH(BF15,RegularHours_type1[Nurse],FALSE),MATCH($AA$11,$T$37:$AF$37,FALSE))</f>
        <v>0</v>
      </c>
      <c r="BG16" s="667">
        <f>INDEX($T$38:$AF$86,MATCH(BG15,RegularHours_type1[Nurse],FALSE),MATCH($AA$11,$T$37:$AF$37,FALSE))</f>
        <v>0</v>
      </c>
      <c r="BH16" s="667">
        <f>INDEX($T$38:$AF$86,MATCH(BH15,RegularHours_type1[Nurse],FALSE),MATCH($AA$11,$T$37:$AF$37,FALSE))</f>
        <v>1.3670280612244898</v>
      </c>
    </row>
    <row r="17" spans="1:71" ht="14.15" customHeight="1" x14ac:dyDescent="0.3">
      <c r="B17" s="696">
        <v>0.92336956521739133</v>
      </c>
      <c r="C17" s="696">
        <v>1.0363095238095237</v>
      </c>
      <c r="D17" s="696">
        <v>0.78035714285714286</v>
      </c>
      <c r="E17" s="696">
        <v>0.62272727272727268</v>
      </c>
      <c r="F17" s="697">
        <v>0.78043478260869559</v>
      </c>
      <c r="G17" s="697">
        <v>0.94312499999999999</v>
      </c>
      <c r="H17" s="698">
        <v>0.92010869565217401</v>
      </c>
      <c r="I17" s="697">
        <v>0.67045454545454541</v>
      </c>
      <c r="J17" s="696">
        <v>0.83630952380952384</v>
      </c>
      <c r="K17" s="696">
        <v>0.68043478260869572</v>
      </c>
      <c r="L17" s="696">
        <v>0</v>
      </c>
      <c r="M17" s="696">
        <v>0</v>
      </c>
      <c r="O17" s="559"/>
      <c r="P17" s="362"/>
      <c r="Q17" s="362"/>
      <c r="R17" s="362"/>
      <c r="S17" s="362"/>
      <c r="T17" s="362"/>
      <c r="U17" s="362"/>
      <c r="V17" s="362"/>
      <c r="W17" s="362"/>
      <c r="X17" s="362"/>
      <c r="Y17" s="362"/>
      <c r="Z17" s="362"/>
      <c r="AA17" s="362"/>
      <c r="AB17" s="362"/>
      <c r="AC17" s="362"/>
      <c r="AD17" s="362"/>
      <c r="AE17" s="362"/>
      <c r="AF17" s="362"/>
      <c r="AG17" s="362"/>
      <c r="AH17" s="362"/>
      <c r="AI17" s="362"/>
      <c r="AJ17" s="362"/>
      <c r="AK17" s="362"/>
      <c r="AL17" s="362"/>
      <c r="AM17" s="665"/>
      <c r="AN17" s="665"/>
      <c r="AO17" s="665"/>
      <c r="AP17" s="665"/>
      <c r="AQ17" s="665"/>
      <c r="AR17" s="665"/>
      <c r="AS17" s="665"/>
      <c r="AT17" s="665"/>
      <c r="AU17" s="665"/>
      <c r="AV17" s="665"/>
      <c r="AW17" s="362"/>
      <c r="AX17" s="362"/>
      <c r="AY17" s="362"/>
    </row>
    <row r="18" spans="1:71" ht="14.15" customHeight="1" x14ac:dyDescent="0.3">
      <c r="B18" s="670"/>
      <c r="C18" s="670"/>
      <c r="D18" s="670"/>
      <c r="E18" s="670"/>
      <c r="F18" s="856"/>
      <c r="G18" s="856"/>
      <c r="H18" s="857"/>
      <c r="I18" s="856"/>
      <c r="J18" s="670"/>
      <c r="K18" s="670"/>
      <c r="L18" s="670"/>
      <c r="M18" s="670"/>
      <c r="O18" s="559"/>
      <c r="P18" s="362"/>
      <c r="Q18" s="362"/>
      <c r="R18" s="362"/>
      <c r="S18" s="362"/>
      <c r="T18" s="362"/>
      <c r="U18" s="362"/>
      <c r="V18" s="362"/>
      <c r="W18" s="362"/>
      <c r="X18" s="362"/>
      <c r="Y18" s="362"/>
      <c r="Z18" s="362"/>
      <c r="AA18" s="362"/>
      <c r="AB18" s="362"/>
      <c r="AC18" s="362"/>
      <c r="AD18" s="362"/>
      <c r="AE18" s="362"/>
      <c r="AF18" s="362"/>
      <c r="AG18" s="362"/>
      <c r="AH18" s="362"/>
      <c r="AI18" s="362"/>
      <c r="AJ18" s="362"/>
      <c r="AK18" s="362"/>
      <c r="AL18" s="362"/>
      <c r="AM18" s="665"/>
      <c r="AN18" s="665"/>
      <c r="AO18" s="665"/>
      <c r="AP18" s="665"/>
      <c r="AQ18" s="665"/>
      <c r="AR18" s="665"/>
      <c r="AS18" s="665"/>
      <c r="AT18" s="665"/>
      <c r="AU18" s="665"/>
      <c r="AV18" s="665"/>
      <c r="AW18" s="362"/>
      <c r="AX18" s="362"/>
      <c r="AY18" s="362"/>
    </row>
    <row r="19" spans="1:71" ht="14.15" customHeight="1" x14ac:dyDescent="0.3">
      <c r="B19" s="687" t="s">
        <v>655</v>
      </c>
      <c r="C19" s="687" t="s">
        <v>656</v>
      </c>
      <c r="D19" s="687" t="s">
        <v>657</v>
      </c>
      <c r="E19" s="687" t="s">
        <v>658</v>
      </c>
      <c r="F19" s="688" t="s">
        <v>659</v>
      </c>
      <c r="G19" s="688" t="s">
        <v>660</v>
      </c>
      <c r="H19" s="689" t="s">
        <v>661</v>
      </c>
      <c r="I19" s="688" t="s">
        <v>662</v>
      </c>
      <c r="J19" s="687" t="s">
        <v>663</v>
      </c>
      <c r="K19" s="687" t="s">
        <v>664</v>
      </c>
      <c r="L19" s="687" t="s">
        <v>665</v>
      </c>
      <c r="M19" s="687" t="s">
        <v>666</v>
      </c>
      <c r="P19" s="362"/>
      <c r="Q19" s="362"/>
      <c r="R19" s="362"/>
      <c r="S19" s="362"/>
      <c r="T19" s="362"/>
      <c r="U19" s="362"/>
      <c r="V19" s="362"/>
      <c r="W19" s="362"/>
      <c r="X19" s="362"/>
      <c r="Y19" s="362"/>
      <c r="Z19" s="362"/>
      <c r="AA19" s="362"/>
      <c r="AB19" s="362"/>
      <c r="AC19" s="362"/>
      <c r="AD19" s="362"/>
      <c r="AE19" s="362"/>
      <c r="AF19" s="362"/>
      <c r="AG19" s="362"/>
      <c r="AH19" s="362"/>
      <c r="AI19" s="362"/>
      <c r="AJ19" s="362"/>
      <c r="AK19" s="362"/>
      <c r="AL19" s="362"/>
      <c r="AM19" s="362"/>
      <c r="AN19" s="362"/>
      <c r="AO19" s="362"/>
      <c r="AP19" s="362"/>
      <c r="AQ19" s="362"/>
      <c r="AR19" s="362"/>
      <c r="AS19" s="362"/>
      <c r="AT19" s="362"/>
      <c r="AU19" s="362"/>
      <c r="AV19" s="362"/>
      <c r="AW19" s="362"/>
      <c r="AX19" s="362"/>
      <c r="AY19" s="362"/>
    </row>
    <row r="20" spans="1:71" ht="14.15" customHeight="1" x14ac:dyDescent="0.3">
      <c r="B20" s="858" t="e">
        <f>VLOOKUP($E$11,$B$101:$R$107,5,0)</f>
        <v>#N/A</v>
      </c>
      <c r="C20" s="858" t="e">
        <f>VLOOKUP($E$11,$B$101:$R$107,6,0)</f>
        <v>#N/A</v>
      </c>
      <c r="D20" s="858" t="e">
        <f>VLOOKUP($E$11,$B$101:$R$107,7,0)</f>
        <v>#N/A</v>
      </c>
      <c r="E20" s="858" t="e">
        <f>VLOOKUP($E$11,$B$101:$R$107,8,0)</f>
        <v>#N/A</v>
      </c>
      <c r="F20" s="858" t="e">
        <f>VLOOKUP($E$11,$B$101:$R$107,9,0)</f>
        <v>#N/A</v>
      </c>
      <c r="G20" s="858" t="e">
        <f>VLOOKUP($E$11,$B$101:$R$107,10,0)</f>
        <v>#N/A</v>
      </c>
      <c r="H20" s="858" t="e">
        <f>VLOOKUP($E$11,$B$101:$R$107,11,0)</f>
        <v>#N/A</v>
      </c>
      <c r="I20" s="858" t="e">
        <f>VLOOKUP($E$11,$B$101:$R$107,12,0)</f>
        <v>#N/A</v>
      </c>
      <c r="J20" s="858" t="e">
        <f>VLOOKUP($E$11,$B$101:$R$107,13,0)</f>
        <v>#N/A</v>
      </c>
      <c r="K20" s="858" t="e">
        <f>VLOOKUP($E$11,$B$101:$R$107,14,0)</f>
        <v>#N/A</v>
      </c>
      <c r="L20" s="858" t="e">
        <f>VLOOKUP($E$11,$B$101:$R$107,15,0)</f>
        <v>#N/A</v>
      </c>
      <c r="M20" s="858" t="e">
        <f>VLOOKUP($E$11,$B$101:$R$107,16,0)</f>
        <v>#N/A</v>
      </c>
      <c r="P20" s="362"/>
      <c r="Q20" s="362"/>
      <c r="R20" s="362"/>
      <c r="S20" s="362"/>
      <c r="T20" s="362"/>
      <c r="U20" s="362"/>
      <c r="V20" s="362"/>
      <c r="W20" s="362"/>
      <c r="X20" s="362"/>
      <c r="Y20" s="362"/>
      <c r="Z20" s="362"/>
      <c r="AA20" s="362"/>
      <c r="AB20" s="362"/>
      <c r="AC20" s="362"/>
      <c r="AD20" s="362"/>
      <c r="AE20" s="362"/>
      <c r="AF20" s="362"/>
      <c r="AG20" s="362"/>
      <c r="AH20" s="362"/>
      <c r="AI20" s="362"/>
      <c r="AJ20" s="362"/>
      <c r="AK20" s="362"/>
      <c r="AL20" s="362"/>
      <c r="AM20" s="362"/>
      <c r="AN20" s="362"/>
      <c r="AO20" s="362"/>
      <c r="AP20" s="362"/>
      <c r="AQ20" s="362"/>
      <c r="AR20" s="362"/>
      <c r="AS20" s="362"/>
      <c r="AT20" s="362"/>
      <c r="AU20" s="362"/>
      <c r="AV20" s="362"/>
      <c r="AW20" s="362"/>
      <c r="AX20" s="362"/>
      <c r="AY20" s="362"/>
    </row>
    <row r="21" spans="1:71" ht="14.15" customHeight="1" x14ac:dyDescent="0.3">
      <c r="B21" s="670" t="e">
        <f>INDEX($T$99:$T$107,MATCH($E$11,$B$101:$B$107,FALSE),1)</f>
        <v>#N/A</v>
      </c>
      <c r="C21" s="670" t="e">
        <f>INDEX($U$99:$U$107,MATCH($E$11,$B$101:$B$107,FALSE),1)</f>
        <v>#N/A</v>
      </c>
      <c r="D21" s="670" t="e">
        <f>INDEX($V$99:$V$107,MATCH($E$11,$B$101:$B$107,FALSE),1)</f>
        <v>#N/A</v>
      </c>
      <c r="E21" s="670" t="e">
        <f>INDEX($W$99:$W$107,MATCH($E$11,$B$101:$B$107,FALSE),1)</f>
        <v>#N/A</v>
      </c>
      <c r="F21" s="670" t="e">
        <f>INDEX($X$99:$X$107,MATCH($E$11,$B$101:$B$107,FALSE),1)</f>
        <v>#N/A</v>
      </c>
      <c r="G21" s="670" t="e">
        <f>INDEX($Y$99:$Y$107,MATCH($E$11,$B$101:$B$107,FALSE),1)</f>
        <v>#N/A</v>
      </c>
      <c r="H21" s="670" t="e">
        <f>INDEX($Z$99:$Z$107,MATCH($E$11,$B$101:$B$107,FALSE),1)</f>
        <v>#N/A</v>
      </c>
      <c r="I21" s="670" t="e">
        <f>INDEX($AA$99:$AA$107,MATCH($E$11,$B$101:$B$107,FALSE),1)</f>
        <v>#N/A</v>
      </c>
      <c r="J21" s="670" t="e">
        <f>INDEX($AB$99:$AB$107,MATCH($E$11,$B$101:$B$107,FALSE),1)</f>
        <v>#N/A</v>
      </c>
      <c r="K21" s="670" t="e">
        <f>INDEX($AC$99:$AC$107,MATCH($E$11,$B$101:$B$107,FALSE),1)</f>
        <v>#N/A</v>
      </c>
      <c r="L21" s="670" t="e">
        <f>INDEX($AD$99:$AD$107,MATCH($E$11,$B$101:$B$107,FALSE),1)</f>
        <v>#N/A</v>
      </c>
      <c r="M21" s="670" t="e">
        <f>INDEX($AE$99:$AE$107,MATCH($E$11,$B$101:$B$107,FALSE),1)</f>
        <v>#N/A</v>
      </c>
      <c r="P21" s="362"/>
      <c r="Q21" s="362"/>
      <c r="R21" s="362"/>
      <c r="S21" s="362"/>
      <c r="T21" s="362" t="str" cm="1">
        <f t="array" ref="T21:BH22">IF($V$11=$B$9,$T$15:$BH$16,IF($V$11=$C$9,$T$25:$Y$26,$T$29:$W$30))</f>
        <v>Aquino, Vanessa</v>
      </c>
      <c r="U21" s="362" t="str">
        <v>Cabral, Wendy</v>
      </c>
      <c r="V21" s="362" t="str">
        <v>Delgado, David</v>
      </c>
      <c r="W21" s="362" t="str">
        <v>deLuna, Peggy</v>
      </c>
      <c r="X21" s="362" t="str">
        <v>Gietzen, Shelby</v>
      </c>
      <c r="Y21" s="362" t="str">
        <v>Kaur, Ravee</v>
      </c>
      <c r="Z21" s="362" t="str">
        <v>Kaur, Savreet</v>
      </c>
      <c r="AA21" s="362" t="str">
        <v>Omoaholo, Roxanne</v>
      </c>
      <c r="AB21" s="362" t="str">
        <v>Rost, Alison</v>
      </c>
      <c r="AC21" s="362" t="str">
        <v>Moore, Falisha</v>
      </c>
      <c r="AD21" s="362" t="str">
        <v>Vincente, Devanny</v>
      </c>
      <c r="AE21" s="362" t="str">
        <v>Aguayo, Madeline</v>
      </c>
      <c r="AF21" s="362" t="str">
        <v xml:space="preserve">Benson, Tammy </v>
      </c>
      <c r="AG21" s="362" t="str">
        <v>Brassfield, Amber</v>
      </c>
      <c r="AH21" s="362" t="str">
        <v>Brogdon, Stephanie</v>
      </c>
      <c r="AI21" s="362" t="str">
        <v>Erno, Susan</v>
      </c>
      <c r="AJ21" s="362" t="str">
        <v>Fortner, Michael</v>
      </c>
      <c r="AK21" s="362" t="str">
        <v>Garrett, Holly</v>
      </c>
      <c r="AL21" s="362" t="str">
        <v>Gill, Manpreet</v>
      </c>
      <c r="AM21" s="362" t="str">
        <v>Grant, Scotti</v>
      </c>
      <c r="AN21" s="362" t="str">
        <v>Habra, Cecilia</v>
      </c>
      <c r="AO21" s="362" t="str">
        <v>Jeng, Jinny</v>
      </c>
      <c r="AP21" s="362" t="str">
        <v>Keefer, Tamryn</v>
      </c>
      <c r="AQ21" s="362" t="str">
        <v>Pepito, Mabelene</v>
      </c>
      <c r="AR21" s="362" t="str">
        <v>Pham, Michelle</v>
      </c>
      <c r="AS21" s="362" t="str">
        <v>Price, Nychole</v>
      </c>
      <c r="AT21" s="362" t="str">
        <v>Regalado, Jeanette</v>
      </c>
      <c r="AU21" s="362" t="str">
        <v>Adkins, Molly</v>
      </c>
      <c r="AV21" s="362" t="str">
        <v>Boulger, Becky</v>
      </c>
      <c r="AW21" s="362" t="str">
        <v>Chau, Shawna</v>
      </c>
      <c r="AX21" s="362" t="str">
        <v>Raimondi, Lisa</v>
      </c>
      <c r="AY21" s="362" t="str">
        <v>Veilleaux, Cheryl</v>
      </c>
      <c r="AZ21" s="362" t="str">
        <v>Ind Contractors</v>
      </c>
      <c r="BA21" s="362" t="str">
        <v xml:space="preserve">Thieleman, Casandra </v>
      </c>
      <c r="BB21" s="362" t="str">
        <v xml:space="preserve">Snyder, Collete </v>
      </c>
      <c r="BC21" s="362" t="str">
        <v xml:space="preserve">Fortner, Jared </v>
      </c>
      <c r="BD21" s="362" t="str">
        <v xml:space="preserve">Sanchez, Armando </v>
      </c>
      <c r="BE21" s="362" t="str">
        <v>Breitenbucher, Brett</v>
      </c>
      <c r="BF21" s="362" t="str">
        <v>Bowers, Sue</v>
      </c>
      <c r="BG21" s="362" t="str">
        <v xml:space="preserve">Malone, Teresa </v>
      </c>
      <c r="BH21" s="362" t="str">
        <v>Deogny, Linda</v>
      </c>
    </row>
    <row r="22" spans="1:71" ht="14.15" customHeight="1" x14ac:dyDescent="0.3">
      <c r="B22" s="362"/>
      <c r="C22" s="362"/>
      <c r="D22" s="397"/>
      <c r="E22" s="397"/>
      <c r="F22" s="398"/>
      <c r="G22" s="398"/>
      <c r="H22" s="399"/>
      <c r="I22" s="398"/>
      <c r="J22" s="397"/>
      <c r="K22" s="362"/>
      <c r="L22" s="362"/>
      <c r="M22" s="362"/>
      <c r="T22" s="699">
        <v>1.056849315068493</v>
      </c>
      <c r="U22" s="699">
        <v>1.1967123287671235</v>
      </c>
      <c r="V22" s="699">
        <v>1.0421803652968038</v>
      </c>
      <c r="W22" s="699">
        <v>1.0663242009132419</v>
      </c>
      <c r="X22" s="699">
        <v>0.66860730593607309</v>
      </c>
      <c r="Y22" s="699">
        <v>0.89657534246575343</v>
      </c>
      <c r="Z22" s="699">
        <v>1.4734018264840183</v>
      </c>
      <c r="AA22" s="699">
        <v>0.44827586206896552</v>
      </c>
      <c r="AB22" s="699">
        <v>0.1675228310502283</v>
      </c>
      <c r="AC22" s="699">
        <v>0</v>
      </c>
      <c r="AD22" s="699">
        <v>0.85222602739726039</v>
      </c>
      <c r="AE22" s="699">
        <v>1.353287671232877</v>
      </c>
      <c r="AF22" s="699">
        <v>1.08675799086758</v>
      </c>
      <c r="AG22" s="668">
        <v>1.4488584474885842</v>
      </c>
      <c r="AH22" s="668">
        <v>1.0242009132420091</v>
      </c>
      <c r="AI22" s="668">
        <v>1.2514642857142859</v>
      </c>
      <c r="AJ22" s="668">
        <v>1.4714041095890411</v>
      </c>
      <c r="AK22" s="668">
        <v>1.0487244897959183</v>
      </c>
      <c r="AL22" s="668">
        <v>1.2705479452054795</v>
      </c>
      <c r="AM22" s="668">
        <v>0.55673515981735155</v>
      </c>
      <c r="AN22" s="668">
        <v>1.0261201298701297</v>
      </c>
      <c r="AO22" s="668">
        <v>1.1493721461187214</v>
      </c>
      <c r="AP22" s="668">
        <v>1.5585045662100454</v>
      </c>
      <c r="AQ22" s="668">
        <v>1.0840182648401826</v>
      </c>
      <c r="AR22" s="668">
        <v>0.92928571428571427</v>
      </c>
      <c r="AS22" s="668">
        <v>0.70646802325581393</v>
      </c>
      <c r="AT22" s="668">
        <v>0.9921266233766235</v>
      </c>
      <c r="AU22" s="668">
        <v>0.48461538461538461</v>
      </c>
      <c r="AV22" s="668">
        <v>0.50624999999999998</v>
      </c>
      <c r="AW22" s="668">
        <v>0.35131278538812788</v>
      </c>
      <c r="AX22" s="668">
        <v>0.75005707762557083</v>
      </c>
      <c r="AY22" s="668">
        <v>0.81746575342465755</v>
      </c>
      <c r="AZ22" s="668">
        <v>0.27264285714285708</v>
      </c>
      <c r="BA22" s="668">
        <v>0.8940366972477064</v>
      </c>
      <c r="BB22" s="668">
        <v>1.1084862385321099</v>
      </c>
      <c r="BC22" s="668">
        <v>0.50068807339449539</v>
      </c>
      <c r="BD22" s="668">
        <v>0</v>
      </c>
      <c r="BE22" s="668">
        <v>0</v>
      </c>
      <c r="BF22" s="668">
        <v>0</v>
      </c>
      <c r="BG22" s="668">
        <v>0</v>
      </c>
      <c r="BH22" s="668">
        <v>1.3670280612244898</v>
      </c>
    </row>
    <row r="23" spans="1:71" ht="14.15" customHeight="1" x14ac:dyDescent="0.3">
      <c r="B23" s="362"/>
      <c r="C23" s="362"/>
      <c r="D23" s="397"/>
      <c r="E23" s="397"/>
      <c r="F23" s="398"/>
      <c r="G23" s="398"/>
      <c r="H23" s="399"/>
      <c r="I23" s="398"/>
      <c r="J23" s="397"/>
      <c r="K23" s="362"/>
      <c r="L23" s="362"/>
      <c r="M23" s="362"/>
      <c r="T23" s="650"/>
      <c r="U23" s="650"/>
      <c r="V23" s="650"/>
      <c r="W23" s="650"/>
      <c r="X23" s="650"/>
      <c r="Y23" s="650"/>
      <c r="Z23" s="650"/>
      <c r="AA23" s="650"/>
      <c r="AB23" s="650"/>
      <c r="AC23" s="650"/>
      <c r="AD23" s="650"/>
      <c r="AE23" s="650"/>
      <c r="AF23" s="650"/>
      <c r="AG23" s="669"/>
      <c r="AH23" s="669"/>
      <c r="AI23" s="669"/>
      <c r="AJ23" s="669"/>
      <c r="AK23" s="669"/>
      <c r="AL23" s="669"/>
      <c r="AM23" s="669"/>
      <c r="AN23" s="669"/>
      <c r="AO23" s="669"/>
      <c r="AP23" s="669"/>
      <c r="AQ23" s="669"/>
      <c r="AR23" s="669"/>
      <c r="AS23" s="669"/>
      <c r="AT23" s="669"/>
      <c r="AU23" s="669"/>
      <c r="AV23" s="669"/>
      <c r="AW23" s="669"/>
      <c r="AX23" s="669"/>
      <c r="AY23" s="669"/>
      <c r="AZ23" s="669"/>
      <c r="BA23" s="669"/>
      <c r="BB23" s="669"/>
      <c r="BC23" s="669"/>
      <c r="BD23" s="669"/>
      <c r="BE23" s="669"/>
      <c r="BF23" s="669"/>
      <c r="BG23" s="669"/>
      <c r="BH23" s="669"/>
    </row>
    <row r="24" spans="1:71" ht="14.15" customHeight="1" x14ac:dyDescent="0.3">
      <c r="B24" s="859" t="s">
        <v>655</v>
      </c>
      <c r="C24" s="859" t="s">
        <v>656</v>
      </c>
      <c r="D24" s="859" t="s">
        <v>657</v>
      </c>
      <c r="E24" s="859" t="s">
        <v>658</v>
      </c>
      <c r="F24" s="859" t="s">
        <v>659</v>
      </c>
      <c r="G24" s="859" t="s">
        <v>660</v>
      </c>
      <c r="H24" s="859" t="s">
        <v>661</v>
      </c>
      <c r="I24" s="859" t="s">
        <v>662</v>
      </c>
      <c r="J24" s="859" t="s">
        <v>663</v>
      </c>
      <c r="K24" s="859" t="s">
        <v>664</v>
      </c>
      <c r="L24" s="859" t="s">
        <v>665</v>
      </c>
      <c r="M24" s="859" t="s">
        <v>666</v>
      </c>
      <c r="AH24" s="860" t="s">
        <v>655</v>
      </c>
      <c r="AI24" s="860" t="s">
        <v>656</v>
      </c>
      <c r="AJ24" s="860" t="s">
        <v>657</v>
      </c>
      <c r="AK24" s="860" t="s">
        <v>658</v>
      </c>
      <c r="AL24" s="860" t="s">
        <v>659</v>
      </c>
      <c r="AM24" s="860" t="s">
        <v>660</v>
      </c>
      <c r="AN24" s="860" t="s">
        <v>661</v>
      </c>
      <c r="AO24" s="860" t="s">
        <v>662</v>
      </c>
      <c r="AP24" s="860" t="s">
        <v>663</v>
      </c>
      <c r="AQ24" s="860" t="s">
        <v>664</v>
      </c>
      <c r="AR24" s="860" t="s">
        <v>665</v>
      </c>
      <c r="AS24" s="860" t="s">
        <v>666</v>
      </c>
      <c r="AU24" s="559"/>
    </row>
    <row r="25" spans="1:71" ht="14.15" customHeight="1" x14ac:dyDescent="0.35">
      <c r="B25" s="858" t="e">
        <f>VLOOKUP($E$11,$B$121:$R$125,5,0)</f>
        <v>#N/A</v>
      </c>
      <c r="C25" s="858" t="e">
        <f>VLOOKUP($E$11,$B$121:$R$125,6,0)</f>
        <v>#N/A</v>
      </c>
      <c r="D25" s="858" t="e">
        <f>VLOOKUP($E$11,$B$121:$R$125,7,0)</f>
        <v>#N/A</v>
      </c>
      <c r="E25" s="858" t="e">
        <f>VLOOKUP($E$11,$B$121:$R$125,8,0)</f>
        <v>#N/A</v>
      </c>
      <c r="F25" s="858" t="e">
        <f>VLOOKUP($E$11,$B$121:$R$125,9,0)</f>
        <v>#N/A</v>
      </c>
      <c r="G25" s="858" t="e">
        <f>VLOOKUP($E$11,$B$121:$R$125,10,0)</f>
        <v>#N/A</v>
      </c>
      <c r="H25" s="858" t="e">
        <f>VLOOKUP($E$11,$B$121:$R$125,11,0)</f>
        <v>#N/A</v>
      </c>
      <c r="I25" s="858" t="e">
        <f>VLOOKUP($E$11,$B$121:$R$125,12,0)</f>
        <v>#N/A</v>
      </c>
      <c r="J25" s="858" t="e">
        <f>VLOOKUP($E$11,$B$121:$R$125,13,0)</f>
        <v>#N/A</v>
      </c>
      <c r="K25" s="858" t="e">
        <f>VLOOKUP($E$11,$B$121:$R$125,14,0)</f>
        <v>#N/A</v>
      </c>
      <c r="L25" s="858" t="e">
        <f>VLOOKUP($E$11,$B$121:$R$125,15,0)</f>
        <v>#N/A</v>
      </c>
      <c r="M25" s="858" t="e">
        <f>VLOOKUP($E$11,$B$121:$R$125,16,0)</f>
        <v>#N/A</v>
      </c>
      <c r="T25" s="666" t="s">
        <v>708</v>
      </c>
      <c r="U25" s="666" t="s">
        <v>709</v>
      </c>
      <c r="V25" s="666" t="s">
        <v>710</v>
      </c>
      <c r="W25" s="666" t="s">
        <v>711</v>
      </c>
      <c r="X25" s="666" t="s">
        <v>712</v>
      </c>
      <c r="Y25" s="666" t="s">
        <v>713</v>
      </c>
      <c r="AH25" s="860" t="e">
        <f>VLOOKUP($E$11,$B$99:$AT$107,33,0)</f>
        <v>#N/A</v>
      </c>
      <c r="AI25" s="860" t="e">
        <f>VLOOKUP($E$11,$B$99:$AT$107,34,0)</f>
        <v>#N/A</v>
      </c>
      <c r="AJ25" s="860" t="e">
        <f>VLOOKUP($E$11,$B$99:$AT$107,35,0)</f>
        <v>#N/A</v>
      </c>
      <c r="AK25" s="860" t="e">
        <f>VLOOKUP($E$11,$B$99:$AT$107,36,0)</f>
        <v>#N/A</v>
      </c>
      <c r="AL25" s="860" t="e">
        <f>VLOOKUP($E$11,$B$99:$AT$107,37,0)</f>
        <v>#N/A</v>
      </c>
      <c r="AM25" s="860" t="e">
        <f>VLOOKUP($E$11,$B$99:$AT$107,38,0)</f>
        <v>#N/A</v>
      </c>
      <c r="AN25" s="860" t="e">
        <f>VLOOKUP($E$11,$B$99:$AT$107,39,0)</f>
        <v>#N/A</v>
      </c>
      <c r="AO25" s="860" t="e">
        <f>VLOOKUP($E$11,$B$99:$AT$107,40,0)</f>
        <v>#N/A</v>
      </c>
      <c r="AP25" s="860" t="e">
        <f>VLOOKUP($E$11,$B$99:$AT$107,41,0)</f>
        <v>#N/A</v>
      </c>
      <c r="AQ25" s="860" t="e">
        <f>VLOOKUP($E$11,$B$99:$AT$107,42,0)</f>
        <v>#N/A</v>
      </c>
      <c r="AR25" s="860" t="e">
        <f>VLOOKUP($E$11,$B$99:$AT$107,43,0)</f>
        <v>#N/A</v>
      </c>
      <c r="AS25" s="860" t="e">
        <f>VLOOKUP($E$11,$B$99:$AT$107,44,0)</f>
        <v>#N/A</v>
      </c>
      <c r="AT25" s="559"/>
      <c r="AU25" s="559"/>
      <c r="AV25" s="559"/>
      <c r="AW25" s="559"/>
      <c r="AX25" s="559"/>
      <c r="AY25" s="559"/>
      <c r="AZ25" s="559"/>
      <c r="BA25" s="559"/>
      <c r="BB25" s="559"/>
      <c r="BC25" s="559"/>
      <c r="BD25" s="559"/>
      <c r="BE25" s="559"/>
      <c r="BF25" s="559"/>
      <c r="BG25" s="559"/>
      <c r="BH25" s="559"/>
      <c r="BI25" s="559"/>
    </row>
    <row r="26" spans="1:71" ht="14.15" customHeight="1" x14ac:dyDescent="0.3">
      <c r="B26" s="670" t="e">
        <f>INDEX($T$121:$T$125,MATCH($E$11,$B$121:$B$125,FALSE),1)</f>
        <v>#N/A</v>
      </c>
      <c r="C26" s="670" t="e">
        <f>INDEX($U$121:$U$125,MATCH($E$11,$B$121:$B$125,FALSE),1)</f>
        <v>#N/A</v>
      </c>
      <c r="D26" s="670" t="e">
        <f>INDEX($V$121:$V$125,MATCH($E$11,$B$121:$B$125,FALSE),1)</f>
        <v>#N/A</v>
      </c>
      <c r="E26" s="670" t="e">
        <f>INDEX($W$121:$W$125,MATCH($E$11,$B$121:$B$125,FALSE),1)</f>
        <v>#N/A</v>
      </c>
      <c r="F26" s="670" t="e">
        <f>INDEX($X$121:$X$125,MATCH($E$11,$B$121:$B$125,FALSE),1)</f>
        <v>#N/A</v>
      </c>
      <c r="G26" s="670" t="e">
        <f>INDEX($Y$121:$Y$125,MATCH($E$11,$B$121:$B$125,FALSE),1)</f>
        <v>#N/A</v>
      </c>
      <c r="H26" s="670" t="e">
        <f>INDEX($Z$121:$Z$125,MATCH($E$11,$B$121:$B$125,FALSE),1)</f>
        <v>#N/A</v>
      </c>
      <c r="I26" s="670" t="e">
        <f>INDEX($AA$121:$AA$125,MATCH($E$11,$B$121:$B$125,FALSE),1)</f>
        <v>#N/A</v>
      </c>
      <c r="J26" s="670" t="e">
        <f>INDEX($AB$121:$AB$125,MATCH($E$11,$B$121:$B$125,FALSE),1)</f>
        <v>#N/A</v>
      </c>
      <c r="K26" s="670" t="e">
        <f>INDEX($AC$121:$AC$125,MATCH($E$11,$B$121:$B$125,FALSE),1)</f>
        <v>#N/A</v>
      </c>
      <c r="L26" s="670" t="e">
        <f>INDEX($AD$121:$AD$125,MATCH($E$11,$B$121:$B$125,FALSE),1)</f>
        <v>#N/A</v>
      </c>
      <c r="M26" s="670" t="e">
        <f>INDEX($AE$121:$AE$125,MATCH($E$11,$B$121:$B$125,FALSE),1)</f>
        <v>#N/A</v>
      </c>
      <c r="T26" s="667" t="e">
        <f>INDEX($T$99:$AF$106,MATCH($T$25,$B$101:$B$106,0),MATCH($AA$11,$T$98:$AF$98,0))</f>
        <v>#N/A</v>
      </c>
      <c r="U26" s="667" t="e">
        <f>INDEX($T$99:$AF$106,MATCH($U$25,$B$101:$B$106,0),MATCH($AA$11,$T$98:$AF$98,0))</f>
        <v>#N/A</v>
      </c>
      <c r="V26" s="667" t="e">
        <f>INDEX($T$99:$AF$106,MATCH($V$25,$B$101:$B$106,0),MATCH($AA$11,$T$98:$AF$98,0))</f>
        <v>#N/A</v>
      </c>
      <c r="W26" s="667" t="e">
        <f>INDEX($T$99:$AF$106,MATCH($W$25,$B$101:$B$106,0),MATCH($AA$11,$T$98:$AF$98,0))</f>
        <v>#N/A</v>
      </c>
      <c r="X26" s="667" t="e">
        <f>INDEX($T$99:$AF$106,MATCH($X$25,$B$101:$B$106,0),MATCH($AA$11,$T$98:$AF$98,0))</f>
        <v>#N/A</v>
      </c>
      <c r="Y26" s="667" t="e">
        <f>INDEX($T$99:$AF$106,MATCH($Y$25,$B$101:$B$106,0),MATCH($AA$11,$T$98:$AF$98,0))</f>
        <v>#N/A</v>
      </c>
      <c r="AH26" s="362"/>
      <c r="AI26" s="670"/>
      <c r="AJ26" s="670"/>
      <c r="AK26" s="670"/>
      <c r="AL26" s="670"/>
      <c r="AM26" s="670"/>
      <c r="AN26" s="670"/>
      <c r="AO26" s="670"/>
      <c r="AP26" s="670"/>
      <c r="AQ26" s="670"/>
      <c r="AR26" s="670"/>
      <c r="AS26" s="670"/>
      <c r="AT26" s="558"/>
      <c r="AU26" s="559"/>
      <c r="AV26" s="559"/>
      <c r="AW26" s="559"/>
      <c r="AX26" s="559"/>
      <c r="AY26" s="559"/>
      <c r="AZ26" s="559"/>
      <c r="BA26" s="559"/>
      <c r="BB26" s="559"/>
      <c r="BC26" s="559"/>
      <c r="BD26" s="559"/>
      <c r="BE26" s="559"/>
      <c r="BF26" s="559"/>
      <c r="BG26" s="559"/>
      <c r="BH26" s="559"/>
      <c r="BI26" s="559"/>
    </row>
    <row r="27" spans="1:71" ht="12.75" customHeight="1" x14ac:dyDescent="0.3">
      <c r="B27" s="362"/>
      <c r="C27" s="362"/>
      <c r="D27" s="397"/>
      <c r="E27" s="397"/>
      <c r="F27" s="398"/>
      <c r="G27" s="398"/>
      <c r="H27" s="399"/>
      <c r="I27" s="398"/>
      <c r="J27" s="397"/>
      <c r="K27" s="362"/>
      <c r="L27" s="362"/>
      <c r="M27" s="362"/>
      <c r="AH27" s="858" t="s">
        <v>655</v>
      </c>
      <c r="AI27" s="858" t="s">
        <v>656</v>
      </c>
      <c r="AJ27" s="858" t="s">
        <v>657</v>
      </c>
      <c r="AK27" s="858" t="s">
        <v>658</v>
      </c>
      <c r="AL27" s="858" t="s">
        <v>659</v>
      </c>
      <c r="AM27" s="858" t="s">
        <v>660</v>
      </c>
      <c r="AN27" s="858" t="s">
        <v>661</v>
      </c>
      <c r="AO27" s="858" t="s">
        <v>662</v>
      </c>
      <c r="AP27" s="858" t="s">
        <v>663</v>
      </c>
      <c r="AQ27" s="858" t="s">
        <v>664</v>
      </c>
      <c r="AR27" s="858" t="s">
        <v>665</v>
      </c>
      <c r="AS27" s="858" t="s">
        <v>666</v>
      </c>
    </row>
    <row r="28" spans="1:71" ht="12.75" customHeight="1" x14ac:dyDescent="0.3">
      <c r="B28" s="362"/>
      <c r="C28" s="362"/>
      <c r="D28" s="397"/>
      <c r="E28" s="397"/>
      <c r="F28" s="398"/>
      <c r="G28" s="398"/>
      <c r="H28" s="399"/>
      <c r="I28" s="398"/>
      <c r="J28" s="397"/>
      <c r="K28" s="362"/>
      <c r="L28" s="362"/>
      <c r="M28" s="362"/>
      <c r="AH28" s="861" t="e">
        <f>VLOOKUP($E$11,$B$121:$AT$125,33,0)</f>
        <v>#N/A</v>
      </c>
      <c r="AI28" s="861" t="e">
        <f>VLOOKUP($E$11,$B$121:$AT$125,34,0)</f>
        <v>#N/A</v>
      </c>
      <c r="AJ28" s="861" t="e">
        <f>VLOOKUP($E$11,$B$121:$AT$125,33,0)</f>
        <v>#N/A</v>
      </c>
      <c r="AK28" s="861" t="e">
        <f>VLOOKUP($E$11,$B$121:$AT$125,35,0)</f>
        <v>#N/A</v>
      </c>
      <c r="AL28" s="861" t="e">
        <f>VLOOKUP($E$11,$B$121:$AT$125,36,0)</f>
        <v>#N/A</v>
      </c>
      <c r="AM28" s="861" t="e">
        <f>VLOOKUP($E$11,$B$121:$AT$125,37,0)</f>
        <v>#N/A</v>
      </c>
      <c r="AN28" s="861" t="e">
        <f>VLOOKUP($E$11,$B$121:$AT$125,38,0)</f>
        <v>#N/A</v>
      </c>
      <c r="AO28" s="861" t="e">
        <f>VLOOKUP($E$11,$B$121:$AT$125,39,0)</f>
        <v>#N/A</v>
      </c>
      <c r="AP28" s="861" t="e">
        <f>VLOOKUP($E$11,$B$121:$AT$125,40,0)</f>
        <v>#N/A</v>
      </c>
      <c r="AQ28" s="861" t="e">
        <f>VLOOKUP($E$11,$B$121:$AT$125,41,0)</f>
        <v>#N/A</v>
      </c>
      <c r="AR28" s="861" t="e">
        <f>VLOOKUP($E$11,$B$121:$AT$125,42,0)</f>
        <v>#N/A</v>
      </c>
      <c r="AS28" s="861" t="e">
        <f>VLOOKUP($E$11,$B$121:$AT$125,43,0)</f>
        <v>#N/A</v>
      </c>
    </row>
    <row r="29" spans="1:71" ht="12.75" customHeight="1" x14ac:dyDescent="0.35">
      <c r="B29" s="362"/>
      <c r="C29" s="362"/>
      <c r="D29" s="397"/>
      <c r="E29" s="397"/>
      <c r="F29" s="398"/>
      <c r="G29" s="398"/>
      <c r="H29" s="399"/>
      <c r="I29" s="398"/>
      <c r="J29" s="397"/>
      <c r="K29" s="362"/>
      <c r="L29" s="362"/>
      <c r="M29" s="362"/>
      <c r="T29" s="666" t="s">
        <v>714</v>
      </c>
      <c r="U29" s="666" t="s">
        <v>715</v>
      </c>
      <c r="V29" s="666" t="s">
        <v>716</v>
      </c>
      <c r="W29" s="666" t="s">
        <v>717</v>
      </c>
      <c r="AH29" s="362"/>
      <c r="AI29" s="362"/>
      <c r="AJ29" s="362"/>
      <c r="AK29" s="362"/>
      <c r="AL29" s="362"/>
      <c r="AM29" s="362"/>
      <c r="AN29" s="362"/>
      <c r="AO29" s="362"/>
      <c r="AP29" s="362"/>
      <c r="AQ29" s="362"/>
      <c r="AR29" s="362"/>
      <c r="AS29" s="362"/>
    </row>
    <row r="30" spans="1:71" s="671" customFormat="1" ht="14.15" customHeight="1" x14ac:dyDescent="0.3">
      <c r="A30" s="28"/>
      <c r="B30" s="687" t="s">
        <v>655</v>
      </c>
      <c r="C30" s="687" t="s">
        <v>656</v>
      </c>
      <c r="D30" s="687" t="s">
        <v>657</v>
      </c>
      <c r="E30" s="687" t="s">
        <v>658</v>
      </c>
      <c r="F30" s="688" t="s">
        <v>659</v>
      </c>
      <c r="G30" s="688" t="s">
        <v>660</v>
      </c>
      <c r="H30" s="689" t="s">
        <v>661</v>
      </c>
      <c r="I30" s="688" t="s">
        <v>662</v>
      </c>
      <c r="J30" s="687" t="s">
        <v>663</v>
      </c>
      <c r="K30" s="687" t="s">
        <v>664</v>
      </c>
      <c r="L30" s="687" t="s">
        <v>665</v>
      </c>
      <c r="M30" s="687" t="s">
        <v>666</v>
      </c>
      <c r="N30" s="28"/>
      <c r="O30" s="28"/>
      <c r="P30" s="28"/>
      <c r="Q30" s="28"/>
      <c r="R30" s="28"/>
      <c r="S30" s="28"/>
      <c r="T30" s="667">
        <f>INDEX($T$121:$AF$124,MATCH($T$29,$B$121:$B$124,0),MATCH($AA$11,$T$120:$AF$120,0))</f>
        <v>0.70444606413994171</v>
      </c>
      <c r="U30" s="667">
        <f>INDEX($T$121:$AF$124,MATCH($U$29,$B$121:$B$124,0),MATCH($AA$11,$T$120:$AF$120,0))</f>
        <v>0.81017612524461835</v>
      </c>
      <c r="V30" s="667">
        <f>INDEX($T$121:$AF$124,MATCH($V$29,$B$121:$B$124,0),MATCH($AA$11,$T$120:$AF$120,0))</f>
        <v>0.79067055393586005</v>
      </c>
      <c r="W30" s="667">
        <f>INDEX($T$121:$AF$124,MATCH($W$29,$B$121:$B$124,0),MATCH($AA$11,$T$120:$AF$120,0))</f>
        <v>1.0213307240704499</v>
      </c>
      <c r="X30" s="28"/>
      <c r="Y30" s="28"/>
      <c r="Z30" s="28"/>
      <c r="AA30" s="28"/>
      <c r="AB30" s="28"/>
      <c r="AC30" s="28"/>
      <c r="AD30" s="28"/>
      <c r="AE30" s="28"/>
      <c r="AF30" s="28"/>
      <c r="AG30" s="28"/>
      <c r="AH30" s="687" t="s">
        <v>655</v>
      </c>
      <c r="AI30" s="687" t="s">
        <v>656</v>
      </c>
      <c r="AJ30" s="687" t="s">
        <v>657</v>
      </c>
      <c r="AK30" s="687" t="s">
        <v>658</v>
      </c>
      <c r="AL30" s="688" t="s">
        <v>659</v>
      </c>
      <c r="AM30" s="688" t="s">
        <v>660</v>
      </c>
      <c r="AN30" s="689" t="s">
        <v>661</v>
      </c>
      <c r="AO30" s="688" t="s">
        <v>662</v>
      </c>
      <c r="AP30" s="687" t="s">
        <v>663</v>
      </c>
      <c r="AQ30" s="687" t="s">
        <v>664</v>
      </c>
      <c r="AR30" s="687" t="s">
        <v>665</v>
      </c>
      <c r="AS30" s="687" t="s">
        <v>666</v>
      </c>
      <c r="AT30" s="362"/>
      <c r="AU30" s="687" t="s">
        <v>655</v>
      </c>
      <c r="AV30" s="687" t="s">
        <v>656</v>
      </c>
      <c r="AW30" s="687" t="s">
        <v>657</v>
      </c>
      <c r="AX30" s="687" t="s">
        <v>658</v>
      </c>
      <c r="AY30" s="688" t="s">
        <v>659</v>
      </c>
      <c r="AZ30" s="688" t="s">
        <v>660</v>
      </c>
      <c r="BA30" s="689" t="s">
        <v>661</v>
      </c>
      <c r="BB30" s="688" t="s">
        <v>662</v>
      </c>
      <c r="BC30" s="687" t="s">
        <v>663</v>
      </c>
      <c r="BD30" s="687" t="s">
        <v>664</v>
      </c>
      <c r="BE30" s="687" t="s">
        <v>665</v>
      </c>
      <c r="BF30" s="687" t="s">
        <v>666</v>
      </c>
      <c r="BG30" s="362"/>
      <c r="BH30" s="687" t="s">
        <v>655</v>
      </c>
      <c r="BI30" s="687" t="s">
        <v>656</v>
      </c>
      <c r="BJ30" s="687" t="s">
        <v>657</v>
      </c>
      <c r="BK30" s="687" t="s">
        <v>658</v>
      </c>
      <c r="BL30" s="688" t="s">
        <v>659</v>
      </c>
      <c r="BM30" s="688" t="s">
        <v>660</v>
      </c>
      <c r="BN30" s="689" t="s">
        <v>661</v>
      </c>
      <c r="BO30" s="688" t="s">
        <v>662</v>
      </c>
      <c r="BP30" s="687" t="s">
        <v>663</v>
      </c>
      <c r="BQ30" s="687" t="s">
        <v>664</v>
      </c>
      <c r="BR30" s="687" t="s">
        <v>665</v>
      </c>
      <c r="BS30" s="687" t="s">
        <v>666</v>
      </c>
    </row>
    <row r="31" spans="1:71" s="671" customFormat="1" ht="14.15" customHeight="1" x14ac:dyDescent="0.3">
      <c r="A31" s="28"/>
      <c r="B31" s="653">
        <f>VLOOKUP($E$11,$B$38:$R$87,5,FALSE)</f>
        <v>169.9</v>
      </c>
      <c r="C31" s="653">
        <f>VLOOKUP($E$11,$B$38:$R$87,6,FALSE)</f>
        <v>174.1</v>
      </c>
      <c r="D31" s="653">
        <f>VLOOKUP($E$11,$B$38:$R$87,7,FALSE)</f>
        <v>131.1</v>
      </c>
      <c r="E31" s="653">
        <f>VLOOKUP($E$11,$B$38:$R$87,8,FALSE)</f>
        <v>109.6</v>
      </c>
      <c r="F31" s="653">
        <f>VLOOKUP($E$11,$B$38:$R$87,9,FALSE)</f>
        <v>143.6</v>
      </c>
      <c r="G31" s="653">
        <f>VLOOKUP($E$11,$B$38:$R$87,10,FALSE)</f>
        <v>150.9</v>
      </c>
      <c r="H31" s="653">
        <f>VLOOKUP($E$11,$B$38:$R$87,11,FALSE)</f>
        <v>169.3</v>
      </c>
      <c r="I31" s="653">
        <f>VLOOKUP($E$11,$B$38:$R$87,12,FALSE)</f>
        <v>118</v>
      </c>
      <c r="J31" s="653">
        <f>VLOOKUP($E$11,$B$38:$R$87,13,FALSE)</f>
        <v>140.5</v>
      </c>
      <c r="K31" s="653">
        <f>VLOOKUP($E$11,$B$38:$R$87,14,FALSE)</f>
        <v>125.2</v>
      </c>
      <c r="L31" s="653">
        <f>VLOOKUP($E$11,$B$38:$R$87,15,FALSE)</f>
        <v>0</v>
      </c>
      <c r="M31" s="653">
        <f>VLOOKUP($E$11,$B$38:$R$87,16,FALSE)</f>
        <v>0</v>
      </c>
      <c r="N31" s="28"/>
      <c r="O31" s="28"/>
      <c r="P31" s="28"/>
      <c r="Q31" s="28"/>
      <c r="R31" s="28"/>
      <c r="S31" s="28"/>
      <c r="T31" s="28"/>
      <c r="U31" s="28"/>
      <c r="V31" s="28"/>
      <c r="W31" s="28"/>
      <c r="X31" s="28"/>
      <c r="Y31" s="28"/>
      <c r="Z31" s="28"/>
      <c r="AA31" s="28"/>
      <c r="AB31" s="28"/>
      <c r="AC31" s="28"/>
      <c r="AD31" s="28"/>
      <c r="AE31" s="28"/>
      <c r="AF31" s="28"/>
      <c r="AG31" s="28"/>
      <c r="AH31" s="653">
        <f>VLOOKUP($E$11,$B$38:$AT$92,33,FALSE)</f>
        <v>143.9</v>
      </c>
      <c r="AI31" s="653">
        <f>VLOOKUP($E$11,$B$38:$AT$92,34,FALSE)</f>
        <v>173.6</v>
      </c>
      <c r="AJ31" s="653">
        <f>VLOOKUP($E$11,$B$38:$AT$92,35,FALSE)</f>
        <v>112.5</v>
      </c>
      <c r="AK31" s="653">
        <f>VLOOKUP($E$11,$B$38:$AT$92,36,FALSE)</f>
        <v>109.6</v>
      </c>
      <c r="AL31" s="653">
        <f>VLOOKUP($E$11,$B$38:$AT$92,37,FALSE)</f>
        <v>143.6</v>
      </c>
      <c r="AM31" s="653">
        <f>VLOOKUP($E$11,$B$38:$AT$92,38,FALSE)</f>
        <v>150.9</v>
      </c>
      <c r="AN31" s="653">
        <f>VLOOKUP($E$11,$B$38:$AT$92,39,FALSE)</f>
        <v>169.3</v>
      </c>
      <c r="AO31" s="653">
        <f>VLOOKUP($E$11,$B$38:$AT$92,40,FALSE)</f>
        <v>118</v>
      </c>
      <c r="AP31" s="653">
        <f>VLOOKUP($E$11,$B$38:$AT$92,41,FALSE)</f>
        <v>140.5</v>
      </c>
      <c r="AQ31" s="653">
        <f>VLOOKUP($E$11,$B$38:$AT$92,42,FALSE)</f>
        <v>125.2</v>
      </c>
      <c r="AR31" s="653">
        <f>VLOOKUP($E$11,$B$38:$AT$92,43,FALSE)</f>
        <v>0</v>
      </c>
      <c r="AS31" s="653">
        <f>VLOOKUP($E$11,$B$38:$AT$92,44,FALSE)</f>
        <v>0</v>
      </c>
      <c r="AT31" s="362"/>
      <c r="AU31" s="653">
        <f>VLOOKUP($E$11,$B$38:$BG$92,46,FALSE)</f>
        <v>3.9</v>
      </c>
      <c r="AV31" s="653">
        <f>VLOOKUP($E$11,$B$38:$BG$92,47,FALSE)</f>
        <v>33.6</v>
      </c>
      <c r="AW31" s="653" t="str">
        <f>VLOOKUP($E$11,$B$38:$BG$92,48,FALSE)</f>
        <v>n/a</v>
      </c>
      <c r="AX31" s="653">
        <f>VLOOKUP($E$11,$B$38:$BG$92,49,FALSE)</f>
        <v>0</v>
      </c>
      <c r="AY31" s="653">
        <f>VLOOKUP($E$11,$B$38:$BG$92,50,FALSE)</f>
        <v>0</v>
      </c>
      <c r="AZ31" s="653">
        <f>VLOOKUP($E$11,$B$38:$BG$92,51,FALSE)</f>
        <v>0</v>
      </c>
      <c r="BA31" s="653">
        <f>VLOOKUP($E$11,$B$38:$BG$92,52,FALSE)</f>
        <v>0</v>
      </c>
      <c r="BB31" s="653">
        <f>VLOOKUP($E$11,$B$38:$BG$92,53,FALSE)</f>
        <v>0</v>
      </c>
      <c r="BC31" s="653">
        <f>VLOOKUP($E$11,$B$38:$BG$92,54,FALSE)</f>
        <v>0</v>
      </c>
      <c r="BD31" s="653">
        <f>VLOOKUP($E$11,$B$38:$BG$92,55,FALSE)</f>
        <v>0</v>
      </c>
      <c r="BE31" s="653">
        <f>VLOOKUP($E$11,$B$38:$BG$92,56,FALSE)</f>
        <v>0</v>
      </c>
      <c r="BF31" s="653">
        <f>VLOOKUP($E$11,$B$38:$BG$92,57,FALSE)</f>
        <v>0</v>
      </c>
      <c r="BG31" s="362"/>
      <c r="BH31" s="653">
        <f>VLOOKUP($E$11,$B$38:$BT$92,59,FALSE)</f>
        <v>3.9</v>
      </c>
      <c r="BI31" s="653">
        <f>VLOOKUP($E$11,$B$38:$BT$92,60,FALSE)</f>
        <v>33.6</v>
      </c>
      <c r="BJ31" s="653">
        <f>VLOOKUP($E$11,$B$38:$BT$92,61,FALSE)</f>
        <v>0</v>
      </c>
      <c r="BK31" s="653">
        <f>VLOOKUP($E$11,$B$38:$BT$92,62,FALSE)</f>
        <v>0</v>
      </c>
      <c r="BL31" s="653">
        <f>VLOOKUP($E$11,$B$38:$BT$92,63,FALSE)</f>
        <v>0</v>
      </c>
      <c r="BM31" s="653">
        <f>VLOOKUP($E$11,$B$38:$BT$92,64,FALSE)</f>
        <v>0</v>
      </c>
      <c r="BN31" s="653">
        <f>VLOOKUP($E$11,$B$38:$BT$92,65,FALSE)</f>
        <v>0</v>
      </c>
      <c r="BO31" s="653">
        <f>VLOOKUP($E$11,$B$38:$BT$92,66,FALSE)</f>
        <v>0</v>
      </c>
      <c r="BP31" s="653">
        <f>VLOOKUP($E$11,$B$38:$BT$92,67,FALSE)</f>
        <v>0</v>
      </c>
      <c r="BQ31" s="653">
        <f>VLOOKUP($E$11,$B$38:$BT$92,68,FALSE)</f>
        <v>0</v>
      </c>
      <c r="BR31" s="653">
        <f>VLOOKUP($E$11,$B$38:$BT$92,69,FALSE)</f>
        <v>0</v>
      </c>
      <c r="BS31" s="653">
        <f>VLOOKUP($E$11,$B$38:$BT$92,70,FALSE)</f>
        <v>0</v>
      </c>
    </row>
    <row r="32" spans="1:71" ht="14.15" customHeight="1" x14ac:dyDescent="0.3">
      <c r="B32" s="670">
        <f>INDEX(T38:T87,MATCH($E$11,RegularHours_type1[[#Data],[#Totals],[Nurse]],FALSE),1)</f>
        <v>0.92336956521739133</v>
      </c>
      <c r="C32" s="670">
        <f>INDEX(U38:U87,MATCH($E$11,RegularHours_type1[[#Data],[#Totals],[Nurse]],FALSE),1)</f>
        <v>1.0363095238095237</v>
      </c>
      <c r="D32" s="670">
        <f>INDEX(V38:V87,MATCH($E$11,RegularHours_type1[[#Data],[#Totals],[Nurse]],FALSE),1)</f>
        <v>0.78035714285714286</v>
      </c>
      <c r="E32" s="670">
        <f>INDEX(W38:W87,MATCH($E$11,RegularHours_type1[[#Data],[#Totals],[Nurse]],FALSE),1)</f>
        <v>0.62272727272727268</v>
      </c>
      <c r="F32" s="670">
        <f>INDEX(X38:X87,MATCH($E$11,RegularHours_type1[[#Data],[#Totals],[Nurse]],FALSE),1)</f>
        <v>0.78043478260869559</v>
      </c>
      <c r="G32" s="670">
        <f>INDEX(Y38:Y87,MATCH($E$11,RegularHours_type1[[#Data],[#Totals],[Nurse]],FALSE),1)</f>
        <v>0.94312499999999999</v>
      </c>
      <c r="H32" s="670">
        <f>INDEX(Z38:Z87,MATCH($E$11,RegularHours_type1[[#Data],[#Totals],[Nurse]],FALSE),1)</f>
        <v>0.92010869565217401</v>
      </c>
      <c r="I32" s="670">
        <f>INDEX(AA38:AA87,MATCH($E$11,RegularHours_type1[[#Data],[#Totals],[Nurse]],FALSE),1)</f>
        <v>0.67045454545454541</v>
      </c>
      <c r="J32" s="670">
        <f>INDEX(AB38:AB87,MATCH($E$11,RegularHours_type1[[#Data],[#Totals],[Nurse]],FALSE),1)</f>
        <v>0.83630952380952384</v>
      </c>
      <c r="K32" s="670">
        <f>INDEX(AC38:AC87,MATCH($E$11,RegularHours_type1[[#Data],[#Totals],[Nurse]],FALSE),1)</f>
        <v>0.68043478260869572</v>
      </c>
      <c r="L32" s="670">
        <f>INDEX(AD38:AD87,MATCH($E$11,RegularHours_type1[[#Data],[#Totals],[Nurse]],FALSE),1)</f>
        <v>0</v>
      </c>
      <c r="M32" s="670">
        <f>INDEX(AE38:AE87,MATCH($E$11,RegularHours_type1[[#Data],[#Totals],[Nurse]],FALSE),1)</f>
        <v>0</v>
      </c>
      <c r="AH32" s="862"/>
      <c r="AI32" s="862"/>
      <c r="AJ32" s="862"/>
      <c r="AK32" s="862"/>
      <c r="AL32" s="862"/>
      <c r="AM32" s="862"/>
      <c r="AN32" s="862"/>
      <c r="AO32" s="862"/>
      <c r="AP32" s="862"/>
      <c r="AQ32" s="862"/>
      <c r="AR32" s="862"/>
      <c r="AS32" s="862"/>
      <c r="AU32" s="670" t="s">
        <v>15</v>
      </c>
      <c r="AV32" s="670" t="s">
        <v>15</v>
      </c>
      <c r="AW32" s="670" t="s">
        <v>15</v>
      </c>
      <c r="AX32" s="670" t="s">
        <v>15</v>
      </c>
      <c r="AY32" s="670" t="s">
        <v>15</v>
      </c>
      <c r="AZ32" s="670" t="s">
        <v>15</v>
      </c>
      <c r="BA32" s="670" t="s">
        <v>15</v>
      </c>
      <c r="BB32" s="670" t="s">
        <v>15</v>
      </c>
      <c r="BC32" s="670" t="s">
        <v>15</v>
      </c>
      <c r="BD32" s="670" t="s">
        <v>15</v>
      </c>
      <c r="BE32" s="670" t="s">
        <v>15</v>
      </c>
      <c r="BF32" s="670" t="s">
        <v>15</v>
      </c>
      <c r="BG32" s="362"/>
      <c r="BH32" s="670" t="s">
        <v>15</v>
      </c>
      <c r="BI32" s="670" t="s">
        <v>15</v>
      </c>
      <c r="BJ32" s="670" t="s">
        <v>15</v>
      </c>
      <c r="BK32" s="670" t="s">
        <v>15</v>
      </c>
      <c r="BL32" s="670" t="s">
        <v>15</v>
      </c>
      <c r="BM32" s="670" t="s">
        <v>15</v>
      </c>
      <c r="BN32" s="670" t="s">
        <v>15</v>
      </c>
      <c r="BO32" s="670" t="s">
        <v>15</v>
      </c>
      <c r="BP32" s="670" t="s">
        <v>15</v>
      </c>
      <c r="BQ32" s="670" t="s">
        <v>15</v>
      </c>
      <c r="BR32" s="670" t="s">
        <v>15</v>
      </c>
      <c r="BS32" s="670" t="s">
        <v>15</v>
      </c>
    </row>
    <row r="34" spans="2:72" ht="13" x14ac:dyDescent="0.3"/>
    <row r="35" spans="2:72" ht="14.5" customHeight="1" x14ac:dyDescent="0.35">
      <c r="B35" s="949" t="s">
        <v>718</v>
      </c>
      <c r="C35" s="958"/>
      <c r="D35" s="958"/>
      <c r="E35" s="577"/>
      <c r="F35" s="959" t="s">
        <v>719</v>
      </c>
      <c r="G35" s="959"/>
      <c r="H35" s="959"/>
      <c r="I35" s="959"/>
      <c r="J35" s="959"/>
      <c r="K35" s="959"/>
      <c r="L35" s="959"/>
      <c r="M35" s="959"/>
      <c r="N35" s="959"/>
      <c r="O35" s="959"/>
      <c r="P35" s="959"/>
      <c r="Q35" s="959"/>
      <c r="R35" s="951"/>
      <c r="S35" s="356"/>
      <c r="T35" s="952" t="s">
        <v>720</v>
      </c>
      <c r="U35" s="960"/>
      <c r="V35" s="960"/>
      <c r="W35" s="960"/>
      <c r="X35" s="960"/>
      <c r="Y35" s="960"/>
      <c r="Z35" s="960"/>
      <c r="AA35" s="960"/>
      <c r="AB35" s="960"/>
      <c r="AC35" s="960"/>
      <c r="AD35" s="960"/>
      <c r="AE35" s="960"/>
      <c r="AF35" s="961"/>
      <c r="AG35" s="356"/>
      <c r="AH35" s="978" t="s">
        <v>721</v>
      </c>
      <c r="AI35" s="978"/>
      <c r="AJ35" s="978"/>
      <c r="AK35" s="978"/>
      <c r="AL35" s="978"/>
      <c r="AM35" s="978"/>
      <c r="AN35" s="978"/>
      <c r="AO35" s="978"/>
      <c r="AP35" s="978"/>
      <c r="AQ35" s="978"/>
      <c r="AR35" s="978"/>
      <c r="AS35" s="978"/>
      <c r="AT35" s="978"/>
      <c r="AU35" s="967" t="s">
        <v>722</v>
      </c>
      <c r="AV35" s="967"/>
      <c r="AW35" s="967"/>
      <c r="AX35" s="967"/>
      <c r="AY35" s="967"/>
      <c r="AZ35" s="967"/>
      <c r="BA35" s="967"/>
      <c r="BB35" s="967"/>
      <c r="BC35" s="967"/>
      <c r="BD35" s="967"/>
      <c r="BE35" s="967"/>
      <c r="BF35" s="967"/>
      <c r="BG35" s="967"/>
      <c r="BH35" s="969" t="s">
        <v>723</v>
      </c>
      <c r="BI35" s="969"/>
      <c r="BJ35" s="969"/>
      <c r="BK35" s="969"/>
      <c r="BL35" s="969"/>
      <c r="BM35" s="969"/>
      <c r="BN35" s="969"/>
      <c r="BO35" s="969"/>
      <c r="BP35" s="969"/>
      <c r="BQ35" s="969"/>
      <c r="BR35" s="969"/>
      <c r="BS35" s="969"/>
      <c r="BT35" s="970"/>
    </row>
    <row r="36" spans="2:72" ht="14.5" customHeight="1" x14ac:dyDescent="0.35">
      <c r="B36" s="578"/>
      <c r="C36" s="594" t="s">
        <v>19</v>
      </c>
      <c r="D36" s="348" t="s">
        <v>19</v>
      </c>
      <c r="E36" s="349" t="s">
        <v>724</v>
      </c>
      <c r="F36" s="350">
        <v>184</v>
      </c>
      <c r="G36" s="595">
        <v>168</v>
      </c>
      <c r="H36" s="595">
        <v>168</v>
      </c>
      <c r="I36" s="595">
        <v>176</v>
      </c>
      <c r="J36" s="595">
        <v>184</v>
      </c>
      <c r="K36" s="595">
        <v>160</v>
      </c>
      <c r="L36" s="595">
        <v>184</v>
      </c>
      <c r="M36" s="595">
        <v>176</v>
      </c>
      <c r="N36" s="595">
        <v>168</v>
      </c>
      <c r="O36" s="595">
        <v>184</v>
      </c>
      <c r="P36" s="595">
        <v>168</v>
      </c>
      <c r="Q36" s="595">
        <v>176</v>
      </c>
      <c r="R36" s="579">
        <f>SUM(F36:Q36)</f>
        <v>2096</v>
      </c>
      <c r="S36" s="357"/>
      <c r="T36" s="583">
        <v>1</v>
      </c>
      <c r="U36" s="351">
        <v>1</v>
      </c>
      <c r="V36" s="351">
        <v>1</v>
      </c>
      <c r="W36" s="351">
        <v>1</v>
      </c>
      <c r="X36" s="351">
        <v>1</v>
      </c>
      <c r="Y36" s="351">
        <v>1</v>
      </c>
      <c r="Z36" s="351">
        <v>1</v>
      </c>
      <c r="AA36" s="351">
        <v>1</v>
      </c>
      <c r="AB36" s="351">
        <v>1</v>
      </c>
      <c r="AC36" s="351">
        <v>1</v>
      </c>
      <c r="AD36" s="351">
        <v>1</v>
      </c>
      <c r="AE36" s="351">
        <v>1</v>
      </c>
      <c r="AF36" s="584">
        <v>1</v>
      </c>
      <c r="AG36" s="352"/>
      <c r="AH36" s="978"/>
      <c r="AI36" s="978"/>
      <c r="AJ36" s="978"/>
      <c r="AK36" s="978"/>
      <c r="AL36" s="978"/>
      <c r="AM36" s="978"/>
      <c r="AN36" s="978"/>
      <c r="AO36" s="978"/>
      <c r="AP36" s="978"/>
      <c r="AQ36" s="978"/>
      <c r="AR36" s="978"/>
      <c r="AS36" s="978"/>
      <c r="AT36" s="978"/>
      <c r="AU36" s="968"/>
      <c r="AV36" s="968"/>
      <c r="AW36" s="968"/>
      <c r="AX36" s="968"/>
      <c r="AY36" s="968"/>
      <c r="AZ36" s="968"/>
      <c r="BA36" s="968"/>
      <c r="BB36" s="968"/>
      <c r="BC36" s="968"/>
      <c r="BD36" s="968"/>
      <c r="BE36" s="968"/>
      <c r="BF36" s="968"/>
      <c r="BG36" s="968"/>
      <c r="BH36" s="971"/>
      <c r="BI36" s="971"/>
      <c r="BJ36" s="971"/>
      <c r="BK36" s="971"/>
      <c r="BL36" s="971"/>
      <c r="BM36" s="971"/>
      <c r="BN36" s="971"/>
      <c r="BO36" s="971"/>
      <c r="BP36" s="971"/>
      <c r="BQ36" s="971"/>
      <c r="BR36" s="971"/>
      <c r="BS36" s="971"/>
      <c r="BT36" s="972"/>
    </row>
    <row r="37" spans="2:72" ht="14.5" customHeight="1" x14ac:dyDescent="0.35">
      <c r="B37" s="602" t="s">
        <v>725</v>
      </c>
      <c r="C37" s="603" t="s">
        <v>726</v>
      </c>
      <c r="D37" s="603" t="s">
        <v>257</v>
      </c>
      <c r="E37" s="603" t="s">
        <v>727</v>
      </c>
      <c r="F37" s="603" t="s">
        <v>655</v>
      </c>
      <c r="G37" s="603" t="s">
        <v>656</v>
      </c>
      <c r="H37" s="603" t="s">
        <v>657</v>
      </c>
      <c r="I37" s="603" t="s">
        <v>658</v>
      </c>
      <c r="J37" s="603" t="s">
        <v>659</v>
      </c>
      <c r="K37" s="603" t="s">
        <v>660</v>
      </c>
      <c r="L37" s="603" t="s">
        <v>728</v>
      </c>
      <c r="M37" s="603" t="s">
        <v>662</v>
      </c>
      <c r="N37" s="603" t="s">
        <v>663</v>
      </c>
      <c r="O37" s="603" t="s">
        <v>664</v>
      </c>
      <c r="P37" s="603" t="s">
        <v>665</v>
      </c>
      <c r="Q37" s="603" t="s">
        <v>666</v>
      </c>
      <c r="R37" s="604" t="s">
        <v>652</v>
      </c>
      <c r="S37" s="356" t="s">
        <v>729</v>
      </c>
      <c r="T37" s="613" t="str">
        <f>F37</f>
        <v>Jan</v>
      </c>
      <c r="U37" s="605" t="str">
        <f t="shared" ref="U37:AF37" si="0">G37</f>
        <v>Feb</v>
      </c>
      <c r="V37" s="605" t="str">
        <f t="shared" si="0"/>
        <v>Mar</v>
      </c>
      <c r="W37" s="605" t="str">
        <f t="shared" si="0"/>
        <v>Apr</v>
      </c>
      <c r="X37" s="605" t="str">
        <f t="shared" si="0"/>
        <v>May</v>
      </c>
      <c r="Y37" s="605" t="str">
        <f t="shared" si="0"/>
        <v>Jun</v>
      </c>
      <c r="Z37" s="605" t="str">
        <f t="shared" si="0"/>
        <v>July</v>
      </c>
      <c r="AA37" s="605" t="str">
        <f t="shared" si="0"/>
        <v>Aug</v>
      </c>
      <c r="AB37" s="605" t="str">
        <f t="shared" si="0"/>
        <v>Sep</v>
      </c>
      <c r="AC37" s="605" t="str">
        <f t="shared" si="0"/>
        <v>Oct</v>
      </c>
      <c r="AD37" s="605" t="str">
        <f t="shared" si="0"/>
        <v>Nov</v>
      </c>
      <c r="AE37" s="605" t="str">
        <f t="shared" si="0"/>
        <v>Dec</v>
      </c>
      <c r="AF37" s="614" t="str">
        <f t="shared" si="0"/>
        <v>YTD</v>
      </c>
      <c r="AG37" s="359"/>
      <c r="AH37" s="607" t="str">
        <f>T37</f>
        <v>Jan</v>
      </c>
      <c r="AI37" s="607" t="str">
        <f t="shared" ref="AI37:AT37" si="1">U37</f>
        <v>Feb</v>
      </c>
      <c r="AJ37" s="607" t="str">
        <f t="shared" si="1"/>
        <v>Mar</v>
      </c>
      <c r="AK37" s="607" t="str">
        <f t="shared" si="1"/>
        <v>Apr</v>
      </c>
      <c r="AL37" s="607" t="str">
        <f t="shared" si="1"/>
        <v>May</v>
      </c>
      <c r="AM37" s="607" t="str">
        <f t="shared" si="1"/>
        <v>Jun</v>
      </c>
      <c r="AN37" s="607" t="str">
        <f t="shared" si="1"/>
        <v>July</v>
      </c>
      <c r="AO37" s="607" t="str">
        <f t="shared" si="1"/>
        <v>Aug</v>
      </c>
      <c r="AP37" s="607" t="str">
        <f t="shared" si="1"/>
        <v>Sep</v>
      </c>
      <c r="AQ37" s="607" t="str">
        <f t="shared" si="1"/>
        <v>Oct</v>
      </c>
      <c r="AR37" s="607" t="str">
        <f t="shared" si="1"/>
        <v>Nov</v>
      </c>
      <c r="AS37" s="607" t="str">
        <f t="shared" si="1"/>
        <v>Dec</v>
      </c>
      <c r="AT37" s="607" t="str">
        <f t="shared" si="1"/>
        <v>YTD</v>
      </c>
      <c r="AU37" s="608" t="str">
        <f>AH37</f>
        <v>Jan</v>
      </c>
      <c r="AV37" s="607" t="str">
        <f t="shared" ref="AV37:BG37" si="2">AI37</f>
        <v>Feb</v>
      </c>
      <c r="AW37" s="607" t="str">
        <f t="shared" si="2"/>
        <v>Mar</v>
      </c>
      <c r="AX37" s="607" t="str">
        <f t="shared" si="2"/>
        <v>Apr</v>
      </c>
      <c r="AY37" s="607" t="str">
        <f t="shared" si="2"/>
        <v>May</v>
      </c>
      <c r="AZ37" s="607" t="str">
        <f t="shared" si="2"/>
        <v>Jun</v>
      </c>
      <c r="BA37" s="607" t="str">
        <f t="shared" si="2"/>
        <v>July</v>
      </c>
      <c r="BB37" s="607" t="str">
        <f t="shared" si="2"/>
        <v>Aug</v>
      </c>
      <c r="BC37" s="607" t="str">
        <f t="shared" si="2"/>
        <v>Sep</v>
      </c>
      <c r="BD37" s="607" t="str">
        <f t="shared" si="2"/>
        <v>Oct</v>
      </c>
      <c r="BE37" s="607" t="str">
        <f t="shared" si="2"/>
        <v>Nov</v>
      </c>
      <c r="BF37" s="609" t="str">
        <f t="shared" si="2"/>
        <v>Dec</v>
      </c>
      <c r="BG37" s="607" t="str">
        <f t="shared" si="2"/>
        <v>YTD</v>
      </c>
      <c r="BH37" s="607" t="str">
        <f>AU37</f>
        <v>Jan</v>
      </c>
      <c r="BI37" s="607" t="str">
        <f t="shared" ref="BI37:BT37" si="3">AV37</f>
        <v>Feb</v>
      </c>
      <c r="BJ37" s="607" t="str">
        <f t="shared" si="3"/>
        <v>Mar</v>
      </c>
      <c r="BK37" s="607" t="str">
        <f t="shared" si="3"/>
        <v>Apr</v>
      </c>
      <c r="BL37" s="607" t="str">
        <f t="shared" si="3"/>
        <v>May</v>
      </c>
      <c r="BM37" s="607" t="str">
        <f t="shared" si="3"/>
        <v>Jun</v>
      </c>
      <c r="BN37" s="607" t="str">
        <f t="shared" si="3"/>
        <v>July</v>
      </c>
      <c r="BO37" s="607" t="str">
        <f t="shared" si="3"/>
        <v>Aug</v>
      </c>
      <c r="BP37" s="607" t="str">
        <f t="shared" si="3"/>
        <v>Sep</v>
      </c>
      <c r="BQ37" s="607" t="str">
        <f t="shared" si="3"/>
        <v>Oct</v>
      </c>
      <c r="BR37" s="607" t="str">
        <f t="shared" si="3"/>
        <v>Nov</v>
      </c>
      <c r="BS37" s="607" t="str">
        <f t="shared" si="3"/>
        <v>Dec</v>
      </c>
      <c r="BT37" s="611" t="str">
        <f t="shared" si="3"/>
        <v>YTD</v>
      </c>
    </row>
    <row r="38" spans="2:72" ht="14.5" customHeight="1" x14ac:dyDescent="0.35">
      <c r="B38" s="596" t="s">
        <v>694</v>
      </c>
      <c r="C38" s="573" t="s">
        <v>730</v>
      </c>
      <c r="D38" s="573" t="s">
        <v>731</v>
      </c>
      <c r="E38" s="574" t="s">
        <v>732</v>
      </c>
      <c r="F38" s="677">
        <v>100.3</v>
      </c>
      <c r="G38" s="677">
        <v>91</v>
      </c>
      <c r="H38" s="677">
        <v>60.7</v>
      </c>
      <c r="I38" s="677">
        <v>0</v>
      </c>
      <c r="J38" s="677">
        <v>0</v>
      </c>
      <c r="K38" s="677">
        <v>0</v>
      </c>
      <c r="L38" s="677">
        <v>0</v>
      </c>
      <c r="M38" s="677">
        <v>0</v>
      </c>
      <c r="N38" s="677">
        <v>0</v>
      </c>
      <c r="O38" s="677">
        <v>0</v>
      </c>
      <c r="P38" s="677">
        <v>0</v>
      </c>
      <c r="Q38" s="677">
        <v>0</v>
      </c>
      <c r="R38" s="829">
        <f>SUM('Nurse Hours'!$F38:$Q38)</f>
        <v>252</v>
      </c>
      <c r="S38" s="354"/>
      <c r="T38" s="615">
        <f>F38/F$36</f>
        <v>0.5451086956521739</v>
      </c>
      <c r="U38" s="606">
        <f t="shared" ref="T38:AE62" si="4">G38/G$36</f>
        <v>0.54166666666666663</v>
      </c>
      <c r="V38" s="606">
        <f t="shared" si="4"/>
        <v>0.3613095238095238</v>
      </c>
      <c r="W38" s="606">
        <f t="shared" si="4"/>
        <v>0</v>
      </c>
      <c r="X38" s="606">
        <f t="shared" si="4"/>
        <v>0</v>
      </c>
      <c r="Y38" s="606">
        <f t="shared" si="4"/>
        <v>0</v>
      </c>
      <c r="Z38" s="606">
        <f t="shared" si="4"/>
        <v>0</v>
      </c>
      <c r="AA38" s="606">
        <f t="shared" si="4"/>
        <v>0</v>
      </c>
      <c r="AB38" s="606">
        <f t="shared" si="4"/>
        <v>0</v>
      </c>
      <c r="AC38" s="606">
        <f t="shared" si="4"/>
        <v>0</v>
      </c>
      <c r="AD38" s="606">
        <f t="shared" si="4"/>
        <v>0</v>
      </c>
      <c r="AE38" s="606">
        <f t="shared" si="4"/>
        <v>0</v>
      </c>
      <c r="AF38" s="833">
        <f t="shared" ref="AF38:AF66" si="5">IFERROR(R38/SUMIF(F38:Q38,"&gt;0",$F$36:$Q$36),0)</f>
        <v>0.48461538461538461</v>
      </c>
      <c r="AG38" s="353"/>
      <c r="AH38" s="681">
        <v>93</v>
      </c>
      <c r="AI38" s="677">
        <v>84</v>
      </c>
      <c r="AJ38" s="677">
        <v>46.5</v>
      </c>
      <c r="AK38" s="677">
        <v>0</v>
      </c>
      <c r="AL38" s="677">
        <v>0</v>
      </c>
      <c r="AM38" s="677">
        <v>0</v>
      </c>
      <c r="AN38" s="677">
        <v>0</v>
      </c>
      <c r="AO38" s="677">
        <v>0</v>
      </c>
      <c r="AP38" s="677">
        <v>0</v>
      </c>
      <c r="AQ38" s="677">
        <v>0</v>
      </c>
      <c r="AR38" s="677">
        <v>0</v>
      </c>
      <c r="AS38" s="677">
        <v>0</v>
      </c>
      <c r="AT38" s="838">
        <f>SUM(AH38:AS38)</f>
        <v>223.5</v>
      </c>
      <c r="AU38" s="681">
        <v>0</v>
      </c>
      <c r="AV38" s="677">
        <v>0</v>
      </c>
      <c r="AW38" s="677">
        <v>0</v>
      </c>
      <c r="AX38" s="677">
        <v>0</v>
      </c>
      <c r="AY38" s="677">
        <v>0</v>
      </c>
      <c r="AZ38" s="677">
        <v>0</v>
      </c>
      <c r="BA38" s="677">
        <v>0</v>
      </c>
      <c r="BB38" s="677">
        <v>0</v>
      </c>
      <c r="BC38" s="677">
        <v>0</v>
      </c>
      <c r="BD38" s="677">
        <v>0</v>
      </c>
      <c r="BE38" s="677">
        <v>0</v>
      </c>
      <c r="BF38" s="677">
        <v>0</v>
      </c>
      <c r="BG38" s="838">
        <f>SUM(AU38:BF38)</f>
        <v>0</v>
      </c>
      <c r="BH38" s="681">
        <v>0</v>
      </c>
      <c r="BI38" s="677">
        <v>0</v>
      </c>
      <c r="BJ38" s="677">
        <v>0</v>
      </c>
      <c r="BK38" s="677">
        <v>0</v>
      </c>
      <c r="BL38" s="677">
        <v>0</v>
      </c>
      <c r="BM38" s="677">
        <v>0</v>
      </c>
      <c r="BN38" s="677">
        <v>0</v>
      </c>
      <c r="BO38" s="677">
        <v>0</v>
      </c>
      <c r="BP38" s="677">
        <v>0</v>
      </c>
      <c r="BQ38" s="677">
        <v>0</v>
      </c>
      <c r="BR38" s="677">
        <v>0</v>
      </c>
      <c r="BS38" s="677">
        <v>0</v>
      </c>
      <c r="BT38" s="838">
        <f>SUM(BH38:BS38)</f>
        <v>0</v>
      </c>
    </row>
    <row r="39" spans="2:72" ht="14.5" customHeight="1" x14ac:dyDescent="0.35">
      <c r="B39" s="597" t="s">
        <v>678</v>
      </c>
      <c r="C39" s="570" t="s">
        <v>733</v>
      </c>
      <c r="D39" s="570" t="s">
        <v>734</v>
      </c>
      <c r="E39" s="571" t="s">
        <v>19</v>
      </c>
      <c r="F39" s="678">
        <v>201.3</v>
      </c>
      <c r="G39" s="678">
        <v>216.4</v>
      </c>
      <c r="H39" s="678">
        <v>222.4</v>
      </c>
      <c r="I39" s="678">
        <v>237.84</v>
      </c>
      <c r="J39" s="678">
        <v>267.39999999999998</v>
      </c>
      <c r="K39" s="678">
        <v>213.5</v>
      </c>
      <c r="L39" s="678">
        <v>267.82</v>
      </c>
      <c r="M39" s="678">
        <v>263.2</v>
      </c>
      <c r="N39" s="678">
        <v>220.3</v>
      </c>
      <c r="O39" s="678">
        <v>260.8</v>
      </c>
      <c r="P39" s="678">
        <v>0</v>
      </c>
      <c r="Q39" s="678">
        <v>0</v>
      </c>
      <c r="R39" s="830">
        <f>SUM('Nurse Hours'!$F39:$Q39)</f>
        <v>2370.9600000000005</v>
      </c>
      <c r="S39" s="354"/>
      <c r="T39" s="616">
        <f t="shared" si="4"/>
        <v>1.0940217391304348</v>
      </c>
      <c r="U39" s="360">
        <f t="shared" si="4"/>
        <v>1.2880952380952382</v>
      </c>
      <c r="V39" s="360">
        <f t="shared" si="4"/>
        <v>1.3238095238095238</v>
      </c>
      <c r="W39" s="360">
        <f t="shared" si="4"/>
        <v>1.3513636363636363</v>
      </c>
      <c r="X39" s="360">
        <f t="shared" si="4"/>
        <v>1.4532608695652172</v>
      </c>
      <c r="Y39" s="360">
        <f t="shared" si="4"/>
        <v>1.3343750000000001</v>
      </c>
      <c r="Z39" s="360">
        <f t="shared" si="4"/>
        <v>1.4555434782608696</v>
      </c>
      <c r="AA39" s="360">
        <f t="shared" si="4"/>
        <v>1.4954545454545454</v>
      </c>
      <c r="AB39" s="360">
        <f t="shared" si="4"/>
        <v>1.3113095238095238</v>
      </c>
      <c r="AC39" s="360">
        <f t="shared" si="4"/>
        <v>1.4173913043478261</v>
      </c>
      <c r="AD39" s="360">
        <f t="shared" si="4"/>
        <v>0</v>
      </c>
      <c r="AE39" s="360">
        <f t="shared" si="4"/>
        <v>0</v>
      </c>
      <c r="AF39" s="834">
        <f t="shared" si="5"/>
        <v>1.353287671232877</v>
      </c>
      <c r="AG39" s="353"/>
      <c r="AH39" s="680">
        <v>201.3</v>
      </c>
      <c r="AI39" s="678">
        <v>216.4</v>
      </c>
      <c r="AJ39" s="678">
        <v>221.9</v>
      </c>
      <c r="AK39" s="678">
        <v>229.34</v>
      </c>
      <c r="AL39" s="678">
        <v>264.7</v>
      </c>
      <c r="AM39" s="678">
        <v>212</v>
      </c>
      <c r="AN39" s="678">
        <v>266.10000000000002</v>
      </c>
      <c r="AO39" s="678">
        <v>263.2</v>
      </c>
      <c r="AP39" s="678">
        <v>220</v>
      </c>
      <c r="AQ39" s="678">
        <v>260.8</v>
      </c>
      <c r="AR39" s="678">
        <v>0</v>
      </c>
      <c r="AS39" s="678">
        <v>0</v>
      </c>
      <c r="AT39" s="823">
        <f t="shared" ref="AT39:AT76" si="6">SUM(AH39:AS39)</f>
        <v>2355.7400000000007</v>
      </c>
      <c r="AU39" s="680">
        <v>17.3</v>
      </c>
      <c r="AV39" s="678">
        <v>48.4</v>
      </c>
      <c r="AW39" s="678">
        <v>53.9</v>
      </c>
      <c r="AX39" s="678">
        <v>53.34</v>
      </c>
      <c r="AY39" s="678">
        <v>82.7</v>
      </c>
      <c r="AZ39" s="678">
        <v>52</v>
      </c>
      <c r="BA39" s="678">
        <v>82.1</v>
      </c>
      <c r="BB39" s="678">
        <v>87.2</v>
      </c>
      <c r="BC39" s="678">
        <v>52</v>
      </c>
      <c r="BD39" s="678">
        <v>76.8</v>
      </c>
      <c r="BE39" s="678">
        <v>0</v>
      </c>
      <c r="BF39" s="678">
        <v>0</v>
      </c>
      <c r="BG39" s="823">
        <f t="shared" ref="BG39:BG76" si="7">SUM(AU39:BF39)</f>
        <v>605.74</v>
      </c>
      <c r="BH39" s="680">
        <v>9.3000000000000007</v>
      </c>
      <c r="BI39" s="678">
        <v>48.4</v>
      </c>
      <c r="BJ39" s="678">
        <v>53.9</v>
      </c>
      <c r="BK39" s="678">
        <v>37.340000000000003</v>
      </c>
      <c r="BL39" s="678">
        <v>74.7</v>
      </c>
      <c r="BM39" s="678">
        <v>52</v>
      </c>
      <c r="BN39" s="678">
        <v>74.099999999999994</v>
      </c>
      <c r="BO39" s="678">
        <v>87.2</v>
      </c>
      <c r="BP39" s="678">
        <v>51.7</v>
      </c>
      <c r="BQ39" s="678">
        <v>76.8</v>
      </c>
      <c r="BR39" s="678">
        <v>0</v>
      </c>
      <c r="BS39" s="678">
        <v>0</v>
      </c>
      <c r="BT39" s="823">
        <f t="shared" ref="BT39:BT76" si="8">SUM(BH39:BS39)</f>
        <v>565.43999999999994</v>
      </c>
    </row>
    <row r="40" spans="2:72" ht="14.5" customHeight="1" x14ac:dyDescent="0.35">
      <c r="B40" s="597" t="s">
        <v>735</v>
      </c>
      <c r="C40" s="570" t="s">
        <v>733</v>
      </c>
      <c r="D40" s="570" t="s">
        <v>734</v>
      </c>
      <c r="E40" s="571"/>
      <c r="F40" s="678"/>
      <c r="G40" s="678"/>
      <c r="H40" s="678"/>
      <c r="I40" s="678"/>
      <c r="J40" s="678"/>
      <c r="K40" s="678"/>
      <c r="L40" s="678"/>
      <c r="M40" s="678"/>
      <c r="N40" s="678">
        <v>17.7</v>
      </c>
      <c r="O40" s="678">
        <v>76.400000000000006</v>
      </c>
      <c r="P40" s="678"/>
      <c r="Q40" s="678"/>
      <c r="R40" s="830">
        <f>SUM('Nurse Hours'!$F40:$Q40)</f>
        <v>94.100000000000009</v>
      </c>
      <c r="S40" s="354"/>
      <c r="T40" s="615">
        <f>F40/F$36</f>
        <v>0</v>
      </c>
      <c r="U40" s="606">
        <f>G40/G$36</f>
        <v>0</v>
      </c>
      <c r="V40" s="606">
        <f t="shared" si="4"/>
        <v>0</v>
      </c>
      <c r="W40" s="606">
        <f t="shared" si="4"/>
        <v>0</v>
      </c>
      <c r="X40" s="606">
        <f t="shared" si="4"/>
        <v>0</v>
      </c>
      <c r="Y40" s="606">
        <f t="shared" si="4"/>
        <v>0</v>
      </c>
      <c r="Z40" s="606">
        <f t="shared" si="4"/>
        <v>0</v>
      </c>
      <c r="AA40" s="606">
        <f t="shared" si="4"/>
        <v>0</v>
      </c>
      <c r="AB40" s="606">
        <f t="shared" si="4"/>
        <v>0.10535714285714286</v>
      </c>
      <c r="AC40" s="606">
        <f t="shared" si="4"/>
        <v>0.41521739130434787</v>
      </c>
      <c r="AD40" s="606">
        <f t="shared" si="4"/>
        <v>0</v>
      </c>
      <c r="AE40" s="606">
        <f t="shared" si="4"/>
        <v>0</v>
      </c>
      <c r="AF40" s="833">
        <f>IFERROR(R40/SUMIF(F40:Q40,"&gt;0",$F$36:$Q$36),0)</f>
        <v>0.26732954545454546</v>
      </c>
      <c r="AG40" s="353"/>
      <c r="AH40" s="681"/>
      <c r="AI40" s="677"/>
      <c r="AJ40" s="677"/>
      <c r="AK40" s="677"/>
      <c r="AL40" s="677"/>
      <c r="AM40" s="677"/>
      <c r="AN40" s="677"/>
      <c r="AO40" s="677"/>
      <c r="AP40" s="677">
        <v>17.7</v>
      </c>
      <c r="AQ40" s="677">
        <v>76.400000000000006</v>
      </c>
      <c r="AR40" s="677"/>
      <c r="AS40" s="677"/>
      <c r="AT40" s="838">
        <f t="shared" si="6"/>
        <v>94.100000000000009</v>
      </c>
      <c r="AU40" s="681"/>
      <c r="AV40" s="677"/>
      <c r="AW40" s="677"/>
      <c r="AX40" s="677"/>
      <c r="AY40" s="677"/>
      <c r="AZ40" s="677"/>
      <c r="BA40" s="677"/>
      <c r="BB40" s="677"/>
      <c r="BC40" s="677"/>
      <c r="BD40" s="677"/>
      <c r="BE40" s="677"/>
      <c r="BF40" s="677"/>
      <c r="BG40" s="838">
        <f t="shared" si="7"/>
        <v>0</v>
      </c>
      <c r="BH40" s="681"/>
      <c r="BI40" s="677"/>
      <c r="BJ40" s="677"/>
      <c r="BK40" s="677"/>
      <c r="BL40" s="677"/>
      <c r="BM40" s="677"/>
      <c r="BN40" s="677"/>
      <c r="BO40" s="677"/>
      <c r="BP40" s="677"/>
      <c r="BQ40" s="677"/>
      <c r="BR40" s="677"/>
      <c r="BS40" s="677"/>
      <c r="BT40" s="838">
        <f t="shared" si="8"/>
        <v>0</v>
      </c>
    </row>
    <row r="41" spans="2:72" ht="14.5" customHeight="1" x14ac:dyDescent="0.35">
      <c r="B41" s="593" t="s">
        <v>667</v>
      </c>
      <c r="C41" s="570" t="s">
        <v>736</v>
      </c>
      <c r="D41" s="570" t="s">
        <v>734</v>
      </c>
      <c r="E41" s="571" t="s">
        <v>19</v>
      </c>
      <c r="F41" s="678">
        <v>225.8</v>
      </c>
      <c r="G41" s="678">
        <v>224.7</v>
      </c>
      <c r="H41" s="678">
        <v>174.9</v>
      </c>
      <c r="I41" s="678">
        <v>203.9</v>
      </c>
      <c r="J41" s="678">
        <v>204</v>
      </c>
      <c r="K41" s="678">
        <v>173.3</v>
      </c>
      <c r="L41" s="678">
        <v>160.6</v>
      </c>
      <c r="M41" s="678">
        <v>172.4</v>
      </c>
      <c r="N41" s="678">
        <v>171</v>
      </c>
      <c r="O41" s="678">
        <v>141</v>
      </c>
      <c r="P41" s="678">
        <v>0</v>
      </c>
      <c r="Q41" s="678">
        <v>0</v>
      </c>
      <c r="R41" s="830">
        <f>SUM('Nurse Hours'!$F41:$Q41)</f>
        <v>1851.6</v>
      </c>
      <c r="S41" s="354"/>
      <c r="T41" s="616">
        <f t="shared" si="4"/>
        <v>1.2271739130434782</v>
      </c>
      <c r="U41" s="360">
        <f t="shared" si="4"/>
        <v>1.3374999999999999</v>
      </c>
      <c r="V41" s="360">
        <f t="shared" si="4"/>
        <v>1.0410714285714286</v>
      </c>
      <c r="W41" s="360">
        <f t="shared" si="4"/>
        <v>1.1585227272727272</v>
      </c>
      <c r="X41" s="360">
        <f t="shared" si="4"/>
        <v>1.1086956521739131</v>
      </c>
      <c r="Y41" s="360">
        <f t="shared" si="4"/>
        <v>1.0831250000000001</v>
      </c>
      <c r="Z41" s="360">
        <f t="shared" si="4"/>
        <v>0.87282608695652175</v>
      </c>
      <c r="AA41" s="360">
        <f t="shared" si="4"/>
        <v>0.97954545454545461</v>
      </c>
      <c r="AB41" s="360">
        <f t="shared" si="4"/>
        <v>1.0178571428571428</v>
      </c>
      <c r="AC41" s="360">
        <f t="shared" si="4"/>
        <v>0.76630434782608692</v>
      </c>
      <c r="AD41" s="360">
        <f t="shared" si="4"/>
        <v>0</v>
      </c>
      <c r="AE41" s="360">
        <f t="shared" si="4"/>
        <v>0</v>
      </c>
      <c r="AF41" s="834">
        <f t="shared" si="5"/>
        <v>1.056849315068493</v>
      </c>
      <c r="AG41" s="353"/>
      <c r="AH41" s="680">
        <v>216.8</v>
      </c>
      <c r="AI41" s="678">
        <v>223.7</v>
      </c>
      <c r="AJ41" s="678">
        <v>173.9</v>
      </c>
      <c r="AK41" s="678">
        <v>201.9</v>
      </c>
      <c r="AL41" s="678">
        <v>195</v>
      </c>
      <c r="AM41" s="678">
        <v>170.3</v>
      </c>
      <c r="AN41" s="678">
        <v>152.6</v>
      </c>
      <c r="AO41" s="678">
        <v>156.4</v>
      </c>
      <c r="AP41" s="678">
        <v>162</v>
      </c>
      <c r="AQ41" s="678">
        <v>117</v>
      </c>
      <c r="AR41" s="678">
        <v>0</v>
      </c>
      <c r="AS41" s="678">
        <v>0</v>
      </c>
      <c r="AT41" s="823">
        <f t="shared" si="6"/>
        <v>1769.6</v>
      </c>
      <c r="AU41" s="680">
        <v>76.8</v>
      </c>
      <c r="AV41" s="678">
        <v>83.7</v>
      </c>
      <c r="AW41" s="678">
        <v>33.9</v>
      </c>
      <c r="AX41" s="678">
        <v>61.9</v>
      </c>
      <c r="AY41" s="678">
        <v>55</v>
      </c>
      <c r="AZ41" s="678">
        <v>30.3</v>
      </c>
      <c r="BA41" s="678">
        <v>12.6</v>
      </c>
      <c r="BB41" s="678">
        <v>16.399999999999999</v>
      </c>
      <c r="BC41" s="678">
        <v>22</v>
      </c>
      <c r="BD41" s="678">
        <v>0</v>
      </c>
      <c r="BE41" s="678">
        <v>0</v>
      </c>
      <c r="BF41" s="678">
        <v>0</v>
      </c>
      <c r="BG41" s="823">
        <f t="shared" si="7"/>
        <v>392.6</v>
      </c>
      <c r="BH41" s="680">
        <v>76.8</v>
      </c>
      <c r="BI41" s="678">
        <v>83.7</v>
      </c>
      <c r="BJ41" s="678">
        <v>33.9</v>
      </c>
      <c r="BK41" s="678">
        <v>61.9</v>
      </c>
      <c r="BL41" s="678">
        <v>55</v>
      </c>
      <c r="BM41" s="678">
        <v>30.3</v>
      </c>
      <c r="BN41" s="678">
        <v>12.6</v>
      </c>
      <c r="BO41" s="678">
        <v>16.399999999999999</v>
      </c>
      <c r="BP41" s="678">
        <v>22</v>
      </c>
      <c r="BQ41" s="678">
        <v>0</v>
      </c>
      <c r="BR41" s="678">
        <v>0</v>
      </c>
      <c r="BS41" s="678">
        <v>0</v>
      </c>
      <c r="BT41" s="823">
        <f t="shared" si="8"/>
        <v>392.6</v>
      </c>
    </row>
    <row r="42" spans="2:72" ht="14.5" customHeight="1" x14ac:dyDescent="0.35">
      <c r="B42" s="597" t="s">
        <v>679</v>
      </c>
      <c r="C42" s="570" t="s">
        <v>733</v>
      </c>
      <c r="D42" s="570" t="s">
        <v>734</v>
      </c>
      <c r="E42" s="571" t="s">
        <v>19</v>
      </c>
      <c r="F42" s="678">
        <v>205.8</v>
      </c>
      <c r="G42" s="678">
        <v>179.8</v>
      </c>
      <c r="H42" s="678">
        <v>183</v>
      </c>
      <c r="I42" s="678">
        <v>190.4</v>
      </c>
      <c r="J42" s="678">
        <v>204.5</v>
      </c>
      <c r="K42" s="678">
        <v>164.3</v>
      </c>
      <c r="L42" s="678">
        <v>195</v>
      </c>
      <c r="M42" s="678">
        <v>189.6</v>
      </c>
      <c r="N42" s="678">
        <v>171.9</v>
      </c>
      <c r="O42" s="678">
        <v>219.7</v>
      </c>
      <c r="P42" s="678">
        <v>0</v>
      </c>
      <c r="Q42" s="678">
        <v>0</v>
      </c>
      <c r="R42" s="830">
        <f>SUM('Nurse Hours'!$F42:$Q42)</f>
        <v>1904</v>
      </c>
      <c r="S42" s="354"/>
      <c r="T42" s="615">
        <f t="shared" si="4"/>
        <v>1.1184782608695654</v>
      </c>
      <c r="U42" s="606">
        <f t="shared" si="4"/>
        <v>1.0702380952380952</v>
      </c>
      <c r="V42" s="606">
        <f t="shared" si="4"/>
        <v>1.0892857142857142</v>
      </c>
      <c r="W42" s="606">
        <f t="shared" si="4"/>
        <v>1.0818181818181818</v>
      </c>
      <c r="X42" s="606">
        <f t="shared" si="4"/>
        <v>1.111413043478261</v>
      </c>
      <c r="Y42" s="606">
        <f t="shared" si="4"/>
        <v>1.026875</v>
      </c>
      <c r="Z42" s="606">
        <f t="shared" si="4"/>
        <v>1.0597826086956521</v>
      </c>
      <c r="AA42" s="606">
        <f t="shared" si="4"/>
        <v>1.0772727272727272</v>
      </c>
      <c r="AB42" s="606">
        <f t="shared" si="4"/>
        <v>1.0232142857142859</v>
      </c>
      <c r="AC42" s="606">
        <f t="shared" si="4"/>
        <v>1.1940217391304346</v>
      </c>
      <c r="AD42" s="606">
        <f t="shared" si="4"/>
        <v>0</v>
      </c>
      <c r="AE42" s="606">
        <f t="shared" si="4"/>
        <v>0</v>
      </c>
      <c r="AF42" s="833">
        <f t="shared" si="5"/>
        <v>1.08675799086758</v>
      </c>
      <c r="AG42" s="353"/>
      <c r="AH42" s="681">
        <v>196.8</v>
      </c>
      <c r="AI42" s="677">
        <v>179.3</v>
      </c>
      <c r="AJ42" s="677">
        <v>183</v>
      </c>
      <c r="AK42" s="677">
        <v>189.4</v>
      </c>
      <c r="AL42" s="677">
        <v>204.5</v>
      </c>
      <c r="AM42" s="677">
        <v>162.80000000000001</v>
      </c>
      <c r="AN42" s="677">
        <v>186.5</v>
      </c>
      <c r="AO42" s="677">
        <v>149.6</v>
      </c>
      <c r="AP42" s="677">
        <v>163.4</v>
      </c>
      <c r="AQ42" s="677">
        <v>219.2</v>
      </c>
      <c r="AR42" s="677">
        <v>0</v>
      </c>
      <c r="AS42" s="677">
        <v>0</v>
      </c>
      <c r="AT42" s="838">
        <f t="shared" si="6"/>
        <v>1834.5</v>
      </c>
      <c r="AU42" s="681">
        <v>20.8</v>
      </c>
      <c r="AV42" s="677">
        <v>11.3</v>
      </c>
      <c r="AW42" s="677">
        <v>15</v>
      </c>
      <c r="AX42" s="677">
        <v>13.4</v>
      </c>
      <c r="AY42" s="677">
        <v>20.5</v>
      </c>
      <c r="AZ42" s="677">
        <v>2.8</v>
      </c>
      <c r="BA42" s="677">
        <v>2.5</v>
      </c>
      <c r="BB42" s="677">
        <v>13.6</v>
      </c>
      <c r="BC42" s="677">
        <v>0</v>
      </c>
      <c r="BD42" s="677">
        <v>35.200000000000003</v>
      </c>
      <c r="BE42" s="677">
        <v>0</v>
      </c>
      <c r="BF42" s="677">
        <v>0</v>
      </c>
      <c r="BG42" s="838">
        <f t="shared" si="7"/>
        <v>135.1</v>
      </c>
      <c r="BH42" s="681">
        <v>20.8</v>
      </c>
      <c r="BI42" s="677">
        <v>11.3</v>
      </c>
      <c r="BJ42" s="677">
        <v>15</v>
      </c>
      <c r="BK42" s="677">
        <v>13.4</v>
      </c>
      <c r="BL42" s="677">
        <v>0</v>
      </c>
      <c r="BM42" s="677">
        <v>2.8</v>
      </c>
      <c r="BN42" s="677">
        <v>0</v>
      </c>
      <c r="BO42" s="677">
        <v>0</v>
      </c>
      <c r="BP42" s="677">
        <v>0</v>
      </c>
      <c r="BQ42" s="677">
        <v>27.2</v>
      </c>
      <c r="BR42" s="677">
        <v>0</v>
      </c>
      <c r="BS42" s="677">
        <v>0</v>
      </c>
      <c r="BT42" s="838">
        <f t="shared" si="8"/>
        <v>90.5</v>
      </c>
    </row>
    <row r="43" spans="2:72" ht="14.5" x14ac:dyDescent="0.35">
      <c r="B43" s="597" t="s">
        <v>695</v>
      </c>
      <c r="C43" s="570" t="s">
        <v>730</v>
      </c>
      <c r="D43" s="570" t="s">
        <v>737</v>
      </c>
      <c r="E43" s="726" t="s">
        <v>738</v>
      </c>
      <c r="F43" s="678">
        <v>0</v>
      </c>
      <c r="G43" s="678">
        <v>0</v>
      </c>
      <c r="H43" s="678">
        <v>0</v>
      </c>
      <c r="I43" s="678">
        <v>0</v>
      </c>
      <c r="J43" s="678">
        <v>73.400000000000006</v>
      </c>
      <c r="K43" s="678">
        <v>81.400000000000006</v>
      </c>
      <c r="L43" s="678">
        <v>85.1</v>
      </c>
      <c r="M43" s="678">
        <v>99.8</v>
      </c>
      <c r="N43" s="678">
        <v>86</v>
      </c>
      <c r="O43" s="678">
        <v>108.9</v>
      </c>
      <c r="P43" s="678">
        <v>0</v>
      </c>
      <c r="Q43" s="678">
        <v>0</v>
      </c>
      <c r="R43" s="830">
        <f>SUM('Nurse Hours'!$F43:$Q43)</f>
        <v>534.6</v>
      </c>
      <c r="S43" s="354"/>
      <c r="T43" s="616">
        <f t="shared" si="4"/>
        <v>0</v>
      </c>
      <c r="U43" s="360">
        <f t="shared" si="4"/>
        <v>0</v>
      </c>
      <c r="V43" s="360">
        <f t="shared" si="4"/>
        <v>0</v>
      </c>
      <c r="W43" s="360">
        <f t="shared" si="4"/>
        <v>0</v>
      </c>
      <c r="X43" s="360">
        <f t="shared" si="4"/>
        <v>0.3989130434782609</v>
      </c>
      <c r="Y43" s="360">
        <f t="shared" si="4"/>
        <v>0.50875000000000004</v>
      </c>
      <c r="Z43" s="360">
        <f t="shared" si="4"/>
        <v>0.46249999999999997</v>
      </c>
      <c r="AA43" s="360">
        <f t="shared" si="4"/>
        <v>0.56704545454545452</v>
      </c>
      <c r="AB43" s="360">
        <f t="shared" si="4"/>
        <v>0.51190476190476186</v>
      </c>
      <c r="AC43" s="360">
        <f t="shared" si="4"/>
        <v>0.59184782608695652</v>
      </c>
      <c r="AD43" s="360">
        <f t="shared" si="4"/>
        <v>0</v>
      </c>
      <c r="AE43" s="360">
        <f t="shared" si="4"/>
        <v>0</v>
      </c>
      <c r="AF43" s="834">
        <f t="shared" si="5"/>
        <v>0.50624999999999998</v>
      </c>
      <c r="AG43" s="353"/>
      <c r="AH43" s="680">
        <v>0</v>
      </c>
      <c r="AI43" s="678">
        <v>0</v>
      </c>
      <c r="AJ43" s="678">
        <v>0</v>
      </c>
      <c r="AK43" s="678">
        <v>0</v>
      </c>
      <c r="AL43" s="678">
        <v>0</v>
      </c>
      <c r="AM43" s="678">
        <v>81.400000000000006</v>
      </c>
      <c r="AN43" s="678">
        <v>85.1</v>
      </c>
      <c r="AO43" s="678">
        <v>99.8</v>
      </c>
      <c r="AP43" s="678">
        <v>86</v>
      </c>
      <c r="AQ43" s="678">
        <v>108.9</v>
      </c>
      <c r="AR43" s="678">
        <v>0</v>
      </c>
      <c r="AS43" s="678">
        <v>0</v>
      </c>
      <c r="AT43" s="823">
        <f t="shared" si="6"/>
        <v>461.20000000000005</v>
      </c>
      <c r="AU43" s="680">
        <v>0</v>
      </c>
      <c r="AV43" s="678">
        <v>0</v>
      </c>
      <c r="AW43" s="678">
        <v>0</v>
      </c>
      <c r="AX43" s="678">
        <v>0</v>
      </c>
      <c r="AY43" s="678">
        <v>0</v>
      </c>
      <c r="AZ43" s="678">
        <v>0</v>
      </c>
      <c r="BA43" s="678">
        <v>0</v>
      </c>
      <c r="BB43" s="678">
        <v>0</v>
      </c>
      <c r="BC43" s="678">
        <v>0</v>
      </c>
      <c r="BD43" s="678">
        <v>0</v>
      </c>
      <c r="BE43" s="678">
        <v>0</v>
      </c>
      <c r="BF43" s="678">
        <v>0</v>
      </c>
      <c r="BG43" s="823">
        <f t="shared" si="7"/>
        <v>0</v>
      </c>
      <c r="BH43" s="680">
        <v>0</v>
      </c>
      <c r="BI43" s="678">
        <v>0</v>
      </c>
      <c r="BJ43" s="678">
        <v>0</v>
      </c>
      <c r="BK43" s="678">
        <v>0</v>
      </c>
      <c r="BL43" s="678">
        <v>0</v>
      </c>
      <c r="BM43" s="678">
        <v>0</v>
      </c>
      <c r="BN43" s="678">
        <v>0</v>
      </c>
      <c r="BO43" s="678">
        <v>0</v>
      </c>
      <c r="BP43" s="678">
        <v>0</v>
      </c>
      <c r="BQ43" s="678">
        <v>0</v>
      </c>
      <c r="BR43" s="678">
        <v>0</v>
      </c>
      <c r="BS43" s="678">
        <v>0</v>
      </c>
      <c r="BT43" s="823">
        <f t="shared" si="8"/>
        <v>0</v>
      </c>
    </row>
    <row r="44" spans="2:72" ht="14.5" customHeight="1" x14ac:dyDescent="0.35">
      <c r="B44" s="597" t="s">
        <v>705</v>
      </c>
      <c r="C44" s="570" t="s">
        <v>19</v>
      </c>
      <c r="D44" s="570" t="s">
        <v>734</v>
      </c>
      <c r="E44" s="571" t="s">
        <v>19</v>
      </c>
      <c r="F44" s="678">
        <v>0</v>
      </c>
      <c r="G44" s="678">
        <v>0</v>
      </c>
      <c r="H44" s="678">
        <v>0</v>
      </c>
      <c r="I44" s="678">
        <v>0</v>
      </c>
      <c r="J44" s="678">
        <v>0</v>
      </c>
      <c r="K44" s="678">
        <v>0</v>
      </c>
      <c r="L44" s="678">
        <v>0</v>
      </c>
      <c r="M44" s="678">
        <v>0</v>
      </c>
      <c r="N44" s="678">
        <v>0</v>
      </c>
      <c r="O44" s="678">
        <v>0</v>
      </c>
      <c r="P44" s="678">
        <v>0</v>
      </c>
      <c r="Q44" s="678">
        <v>0</v>
      </c>
      <c r="R44" s="830">
        <f>SUM('Nurse Hours'!$F44:$Q44)</f>
        <v>0</v>
      </c>
      <c r="S44" s="354"/>
      <c r="T44" s="615">
        <f t="shared" si="4"/>
        <v>0</v>
      </c>
      <c r="U44" s="606">
        <f t="shared" si="4"/>
        <v>0</v>
      </c>
      <c r="V44" s="606">
        <f t="shared" si="4"/>
        <v>0</v>
      </c>
      <c r="W44" s="606">
        <f t="shared" si="4"/>
        <v>0</v>
      </c>
      <c r="X44" s="606">
        <f t="shared" si="4"/>
        <v>0</v>
      </c>
      <c r="Y44" s="606">
        <f t="shared" si="4"/>
        <v>0</v>
      </c>
      <c r="Z44" s="606">
        <f t="shared" si="4"/>
        <v>0</v>
      </c>
      <c r="AA44" s="606">
        <f t="shared" si="4"/>
        <v>0</v>
      </c>
      <c r="AB44" s="606">
        <f t="shared" si="4"/>
        <v>0</v>
      </c>
      <c r="AC44" s="606">
        <f t="shared" si="4"/>
        <v>0</v>
      </c>
      <c r="AD44" s="606">
        <f t="shared" si="4"/>
        <v>0</v>
      </c>
      <c r="AE44" s="606">
        <f t="shared" si="4"/>
        <v>0</v>
      </c>
      <c r="AF44" s="833">
        <f t="shared" si="5"/>
        <v>0</v>
      </c>
      <c r="AG44" s="353"/>
      <c r="AH44" s="681">
        <v>0</v>
      </c>
      <c r="AI44" s="677">
        <v>0</v>
      </c>
      <c r="AJ44" s="677">
        <v>0</v>
      </c>
      <c r="AK44" s="677">
        <v>0</v>
      </c>
      <c r="AL44" s="677">
        <v>0</v>
      </c>
      <c r="AM44" s="677">
        <v>0</v>
      </c>
      <c r="AN44" s="677">
        <v>0</v>
      </c>
      <c r="AO44" s="677">
        <v>0</v>
      </c>
      <c r="AP44" s="677">
        <v>0</v>
      </c>
      <c r="AQ44" s="677">
        <v>0</v>
      </c>
      <c r="AR44" s="677">
        <v>0</v>
      </c>
      <c r="AS44" s="677">
        <v>0</v>
      </c>
      <c r="AT44" s="838">
        <f t="shared" si="6"/>
        <v>0</v>
      </c>
      <c r="AU44" s="681">
        <v>0</v>
      </c>
      <c r="AV44" s="677">
        <v>0</v>
      </c>
      <c r="AW44" s="677">
        <v>0</v>
      </c>
      <c r="AX44" s="677">
        <v>0</v>
      </c>
      <c r="AY44" s="677">
        <v>0</v>
      </c>
      <c r="AZ44" s="677">
        <v>0</v>
      </c>
      <c r="BA44" s="677">
        <v>0</v>
      </c>
      <c r="BB44" s="677">
        <v>0</v>
      </c>
      <c r="BC44" s="677">
        <v>0</v>
      </c>
      <c r="BD44" s="677">
        <v>0</v>
      </c>
      <c r="BE44" s="677">
        <v>0</v>
      </c>
      <c r="BF44" s="677">
        <v>0</v>
      </c>
      <c r="BG44" s="838">
        <f t="shared" si="7"/>
        <v>0</v>
      </c>
      <c r="BH44" s="681">
        <v>0</v>
      </c>
      <c r="BI44" s="677">
        <v>0</v>
      </c>
      <c r="BJ44" s="677">
        <v>0</v>
      </c>
      <c r="BK44" s="677">
        <v>0</v>
      </c>
      <c r="BL44" s="677">
        <v>0</v>
      </c>
      <c r="BM44" s="677">
        <v>0</v>
      </c>
      <c r="BN44" s="677">
        <v>0</v>
      </c>
      <c r="BO44" s="677">
        <v>0</v>
      </c>
      <c r="BP44" s="677">
        <v>0</v>
      </c>
      <c r="BQ44" s="677">
        <v>0</v>
      </c>
      <c r="BR44" s="677">
        <v>0</v>
      </c>
      <c r="BS44" s="677">
        <v>0</v>
      </c>
      <c r="BT44" s="838">
        <f t="shared" si="8"/>
        <v>0</v>
      </c>
    </row>
    <row r="45" spans="2:72" ht="14.5" customHeight="1" x14ac:dyDescent="0.35">
      <c r="B45" s="597" t="s">
        <v>680</v>
      </c>
      <c r="C45" s="570" t="s">
        <v>733</v>
      </c>
      <c r="D45" s="570" t="s">
        <v>734</v>
      </c>
      <c r="E45" s="571" t="s">
        <v>19</v>
      </c>
      <c r="F45" s="678">
        <v>290</v>
      </c>
      <c r="G45" s="678">
        <v>242.9</v>
      </c>
      <c r="H45" s="678">
        <v>235.3</v>
      </c>
      <c r="I45" s="678">
        <v>220.7</v>
      </c>
      <c r="J45" s="678">
        <v>239.6</v>
      </c>
      <c r="K45" s="678">
        <v>266.8</v>
      </c>
      <c r="L45" s="678">
        <v>264.3</v>
      </c>
      <c r="M45" s="678">
        <v>251</v>
      </c>
      <c r="N45" s="678">
        <v>266.60000000000002</v>
      </c>
      <c r="O45" s="678">
        <v>261.2</v>
      </c>
      <c r="P45" s="678">
        <v>0</v>
      </c>
      <c r="Q45" s="678">
        <v>0</v>
      </c>
      <c r="R45" s="830">
        <f>SUM('Nurse Hours'!$F45:$Q45)</f>
        <v>2538.3999999999996</v>
      </c>
      <c r="S45" s="354"/>
      <c r="T45" s="616">
        <f t="shared" si="4"/>
        <v>1.576086956521739</v>
      </c>
      <c r="U45" s="360">
        <f t="shared" si="4"/>
        <v>1.4458333333333333</v>
      </c>
      <c r="V45" s="360">
        <f t="shared" si="4"/>
        <v>1.4005952380952382</v>
      </c>
      <c r="W45" s="360">
        <f t="shared" si="4"/>
        <v>1.2539772727272727</v>
      </c>
      <c r="X45" s="360">
        <f t="shared" si="4"/>
        <v>1.3021739130434782</v>
      </c>
      <c r="Y45" s="360">
        <f t="shared" si="4"/>
        <v>1.6675</v>
      </c>
      <c r="Z45" s="360">
        <f t="shared" si="4"/>
        <v>1.4364130434782609</v>
      </c>
      <c r="AA45" s="360">
        <f t="shared" si="4"/>
        <v>1.4261363636363635</v>
      </c>
      <c r="AB45" s="360">
        <f t="shared" si="4"/>
        <v>1.586904761904762</v>
      </c>
      <c r="AC45" s="360">
        <f t="shared" si="4"/>
        <v>1.4195652173913043</v>
      </c>
      <c r="AD45" s="360">
        <f t="shared" si="4"/>
        <v>0</v>
      </c>
      <c r="AE45" s="360">
        <f t="shared" si="4"/>
        <v>0</v>
      </c>
      <c r="AF45" s="834">
        <f t="shared" si="5"/>
        <v>1.4488584474885842</v>
      </c>
      <c r="AG45" s="353"/>
      <c r="AH45" s="680">
        <v>282</v>
      </c>
      <c r="AI45" s="678">
        <v>242.89</v>
      </c>
      <c r="AJ45" s="678">
        <v>235.3</v>
      </c>
      <c r="AK45" s="678">
        <v>220.7</v>
      </c>
      <c r="AL45" s="678">
        <v>239.6</v>
      </c>
      <c r="AM45" s="678">
        <v>266.8</v>
      </c>
      <c r="AN45" s="678">
        <v>264.3</v>
      </c>
      <c r="AO45" s="678">
        <v>251</v>
      </c>
      <c r="AP45" s="678">
        <v>266.60000000000002</v>
      </c>
      <c r="AQ45" s="678">
        <v>261.2</v>
      </c>
      <c r="AR45" s="678">
        <v>0</v>
      </c>
      <c r="AS45" s="678">
        <v>0</v>
      </c>
      <c r="AT45" s="823">
        <f t="shared" si="6"/>
        <v>2530.39</v>
      </c>
      <c r="AU45" s="680">
        <v>106</v>
      </c>
      <c r="AV45" s="678">
        <v>74.900000000000006</v>
      </c>
      <c r="AW45" s="678">
        <v>67.3</v>
      </c>
      <c r="AX45" s="678">
        <v>44.7</v>
      </c>
      <c r="AY45" s="678">
        <v>55.6</v>
      </c>
      <c r="AZ45" s="678">
        <v>106.8</v>
      </c>
      <c r="BA45" s="678">
        <v>80.3</v>
      </c>
      <c r="BB45" s="678">
        <v>75</v>
      </c>
      <c r="BC45" s="678">
        <v>98.6</v>
      </c>
      <c r="BD45" s="678">
        <v>77.2</v>
      </c>
      <c r="BE45" s="678">
        <v>0</v>
      </c>
      <c r="BF45" s="678">
        <v>0</v>
      </c>
      <c r="BG45" s="823">
        <f t="shared" si="7"/>
        <v>786.40000000000009</v>
      </c>
      <c r="BH45" s="680">
        <v>99</v>
      </c>
      <c r="BI45" s="678">
        <v>18.899999999999999</v>
      </c>
      <c r="BJ45" s="678">
        <v>67.3</v>
      </c>
      <c r="BK45" s="678">
        <v>24.7</v>
      </c>
      <c r="BL45" s="678">
        <v>23.6</v>
      </c>
      <c r="BM45" s="678">
        <v>106.8</v>
      </c>
      <c r="BN45" s="678">
        <v>64.3</v>
      </c>
      <c r="BO45" s="678">
        <v>75</v>
      </c>
      <c r="BP45" s="678">
        <v>66.599999999999994</v>
      </c>
      <c r="BQ45" s="678">
        <v>77.2</v>
      </c>
      <c r="BR45" s="678">
        <v>0</v>
      </c>
      <c r="BS45" s="678">
        <v>0</v>
      </c>
      <c r="BT45" s="823">
        <f t="shared" si="8"/>
        <v>623.4</v>
      </c>
    </row>
    <row r="46" spans="2:72" ht="14.5" customHeight="1" x14ac:dyDescent="0.35">
      <c r="B46" s="597" t="s">
        <v>704</v>
      </c>
      <c r="C46" s="824"/>
      <c r="D46" s="570" t="s">
        <v>739</v>
      </c>
      <c r="E46" s="571" t="s">
        <v>19</v>
      </c>
      <c r="F46" s="678">
        <v>0</v>
      </c>
      <c r="G46" s="678">
        <v>0</v>
      </c>
      <c r="H46" s="678">
        <v>0</v>
      </c>
      <c r="I46" s="678">
        <v>0</v>
      </c>
      <c r="J46" s="678">
        <v>0</v>
      </c>
      <c r="K46" s="678">
        <v>0</v>
      </c>
      <c r="L46" s="678">
        <v>0</v>
      </c>
      <c r="M46" s="678">
        <v>0</v>
      </c>
      <c r="N46" s="678">
        <v>0</v>
      </c>
      <c r="O46" s="678">
        <v>0</v>
      </c>
      <c r="P46" s="678">
        <v>0</v>
      </c>
      <c r="Q46" s="678">
        <v>0</v>
      </c>
      <c r="R46" s="830">
        <f>SUM('Nurse Hours'!$F46:$Q46)</f>
        <v>0</v>
      </c>
      <c r="S46" s="354"/>
      <c r="T46" s="615">
        <f t="shared" si="4"/>
        <v>0</v>
      </c>
      <c r="U46" s="606">
        <f t="shared" si="4"/>
        <v>0</v>
      </c>
      <c r="V46" s="606">
        <f t="shared" si="4"/>
        <v>0</v>
      </c>
      <c r="W46" s="606">
        <f t="shared" si="4"/>
        <v>0</v>
      </c>
      <c r="X46" s="606">
        <f t="shared" si="4"/>
        <v>0</v>
      </c>
      <c r="Y46" s="606">
        <f t="shared" si="4"/>
        <v>0</v>
      </c>
      <c r="Z46" s="606">
        <f t="shared" si="4"/>
        <v>0</v>
      </c>
      <c r="AA46" s="606">
        <f t="shared" si="4"/>
        <v>0</v>
      </c>
      <c r="AB46" s="606">
        <f t="shared" si="4"/>
        <v>0</v>
      </c>
      <c r="AC46" s="606">
        <f t="shared" si="4"/>
        <v>0</v>
      </c>
      <c r="AD46" s="606">
        <f t="shared" si="4"/>
        <v>0</v>
      </c>
      <c r="AE46" s="606">
        <f t="shared" si="4"/>
        <v>0</v>
      </c>
      <c r="AF46" s="833">
        <f t="shared" si="5"/>
        <v>0</v>
      </c>
      <c r="AG46" s="353"/>
      <c r="AH46" s="681">
        <v>0</v>
      </c>
      <c r="AI46" s="677">
        <v>0</v>
      </c>
      <c r="AJ46" s="677">
        <v>0</v>
      </c>
      <c r="AK46" s="677">
        <v>0</v>
      </c>
      <c r="AL46" s="677">
        <v>0</v>
      </c>
      <c r="AM46" s="677">
        <v>0</v>
      </c>
      <c r="AN46" s="677">
        <v>0</v>
      </c>
      <c r="AO46" s="677">
        <v>0</v>
      </c>
      <c r="AP46" s="677">
        <v>0</v>
      </c>
      <c r="AQ46" s="677">
        <v>0</v>
      </c>
      <c r="AR46" s="677">
        <v>0</v>
      </c>
      <c r="AS46" s="677">
        <v>0</v>
      </c>
      <c r="AT46" s="838">
        <f t="shared" si="6"/>
        <v>0</v>
      </c>
      <c r="AU46" s="681">
        <v>0</v>
      </c>
      <c r="AV46" s="677">
        <v>0</v>
      </c>
      <c r="AW46" s="677">
        <v>0</v>
      </c>
      <c r="AX46" s="677">
        <v>0</v>
      </c>
      <c r="AY46" s="677">
        <v>0</v>
      </c>
      <c r="AZ46" s="677">
        <v>0</v>
      </c>
      <c r="BA46" s="677">
        <v>0</v>
      </c>
      <c r="BB46" s="677">
        <v>0</v>
      </c>
      <c r="BC46" s="677">
        <v>0</v>
      </c>
      <c r="BD46" s="677">
        <v>0</v>
      </c>
      <c r="BE46" s="677">
        <v>0</v>
      </c>
      <c r="BF46" s="677">
        <v>0</v>
      </c>
      <c r="BG46" s="838">
        <f t="shared" si="7"/>
        <v>0</v>
      </c>
      <c r="BH46" s="681">
        <v>0</v>
      </c>
      <c r="BI46" s="677">
        <v>0</v>
      </c>
      <c r="BJ46" s="677">
        <v>0</v>
      </c>
      <c r="BK46" s="677">
        <v>0</v>
      </c>
      <c r="BL46" s="677">
        <v>0</v>
      </c>
      <c r="BM46" s="677">
        <v>0</v>
      </c>
      <c r="BN46" s="677">
        <v>0</v>
      </c>
      <c r="BO46" s="677">
        <v>0</v>
      </c>
      <c r="BP46" s="677">
        <v>0</v>
      </c>
      <c r="BQ46" s="677">
        <v>0</v>
      </c>
      <c r="BR46" s="677">
        <v>0</v>
      </c>
      <c r="BS46" s="677">
        <v>0</v>
      </c>
      <c r="BT46" s="838">
        <f t="shared" si="8"/>
        <v>0</v>
      </c>
    </row>
    <row r="47" spans="2:72" ht="14.5" customHeight="1" x14ac:dyDescent="0.35">
      <c r="B47" s="597" t="s">
        <v>681</v>
      </c>
      <c r="C47" s="570" t="s">
        <v>740</v>
      </c>
      <c r="D47" s="570" t="s">
        <v>734</v>
      </c>
      <c r="E47" s="571" t="s">
        <v>741</v>
      </c>
      <c r="F47" s="678">
        <v>197.8</v>
      </c>
      <c r="G47" s="678">
        <v>173</v>
      </c>
      <c r="H47" s="678">
        <v>177.6</v>
      </c>
      <c r="I47" s="678">
        <v>180.9</v>
      </c>
      <c r="J47" s="678">
        <v>183.8</v>
      </c>
      <c r="K47" s="678">
        <v>172.1</v>
      </c>
      <c r="L47" s="678">
        <v>184.9</v>
      </c>
      <c r="M47" s="678">
        <v>194.8</v>
      </c>
      <c r="N47" s="678">
        <v>164.6</v>
      </c>
      <c r="O47" s="678">
        <v>164.9</v>
      </c>
      <c r="P47" s="678">
        <v>0</v>
      </c>
      <c r="Q47" s="678">
        <v>0</v>
      </c>
      <c r="R47" s="830">
        <f>SUM('Nurse Hours'!$F47:$Q47)</f>
        <v>1794.3999999999999</v>
      </c>
      <c r="S47" s="354"/>
      <c r="T47" s="616">
        <f t="shared" si="4"/>
        <v>1.075</v>
      </c>
      <c r="U47" s="360">
        <f t="shared" si="4"/>
        <v>1.0297619047619047</v>
      </c>
      <c r="V47" s="360">
        <f t="shared" si="4"/>
        <v>1.0571428571428572</v>
      </c>
      <c r="W47" s="360">
        <f t="shared" si="4"/>
        <v>1.0278409090909091</v>
      </c>
      <c r="X47" s="360">
        <f t="shared" si="4"/>
        <v>0.99891304347826093</v>
      </c>
      <c r="Y47" s="360">
        <f t="shared" si="4"/>
        <v>1.0756250000000001</v>
      </c>
      <c r="Z47" s="360">
        <f t="shared" si="4"/>
        <v>1.004891304347826</v>
      </c>
      <c r="AA47" s="360">
        <f t="shared" si="4"/>
        <v>1.1068181818181819</v>
      </c>
      <c r="AB47" s="360">
        <f t="shared" si="4"/>
        <v>0.97976190476190472</v>
      </c>
      <c r="AC47" s="360">
        <f t="shared" si="4"/>
        <v>0.89619565217391306</v>
      </c>
      <c r="AD47" s="360">
        <f t="shared" si="4"/>
        <v>0</v>
      </c>
      <c r="AE47" s="360">
        <f t="shared" si="4"/>
        <v>0</v>
      </c>
      <c r="AF47" s="834">
        <f t="shared" si="5"/>
        <v>1.0242009132420091</v>
      </c>
      <c r="AG47" s="353"/>
      <c r="AH47" s="680">
        <v>169.6</v>
      </c>
      <c r="AI47" s="678">
        <v>169.9</v>
      </c>
      <c r="AJ47" s="678">
        <v>160.9</v>
      </c>
      <c r="AK47" s="678">
        <v>176.1</v>
      </c>
      <c r="AL47" s="678">
        <v>179.8</v>
      </c>
      <c r="AM47" s="678">
        <v>172.1</v>
      </c>
      <c r="AN47" s="678">
        <v>156.5</v>
      </c>
      <c r="AO47" s="678">
        <v>178.6</v>
      </c>
      <c r="AP47" s="678">
        <v>116.1</v>
      </c>
      <c r="AQ47" s="678">
        <v>111.9</v>
      </c>
      <c r="AR47" s="678">
        <v>0</v>
      </c>
      <c r="AS47" s="678">
        <v>0</v>
      </c>
      <c r="AT47" s="823">
        <f t="shared" si="6"/>
        <v>1591.4999999999998</v>
      </c>
      <c r="AU47" s="680">
        <v>9.6</v>
      </c>
      <c r="AV47" s="678">
        <v>1.9</v>
      </c>
      <c r="AW47" s="678">
        <v>0</v>
      </c>
      <c r="AX47" s="678">
        <v>0.1</v>
      </c>
      <c r="AY47" s="678">
        <v>0</v>
      </c>
      <c r="AZ47" s="678">
        <v>3</v>
      </c>
      <c r="BA47" s="678">
        <v>0</v>
      </c>
      <c r="BB47" s="678">
        <v>2.6</v>
      </c>
      <c r="BC47" s="678">
        <v>0</v>
      </c>
      <c r="BD47" s="678">
        <v>0</v>
      </c>
      <c r="BE47" s="678">
        <v>0</v>
      </c>
      <c r="BF47" s="678">
        <v>0</v>
      </c>
      <c r="BG47" s="823">
        <f t="shared" si="7"/>
        <v>17.2</v>
      </c>
      <c r="BH47" s="680">
        <v>0</v>
      </c>
      <c r="BI47" s="678">
        <v>1.9</v>
      </c>
      <c r="BJ47" s="678">
        <v>0</v>
      </c>
      <c r="BK47" s="678">
        <v>0</v>
      </c>
      <c r="BL47" s="678">
        <v>0</v>
      </c>
      <c r="BM47" s="678">
        <v>3</v>
      </c>
      <c r="BN47" s="678">
        <v>0</v>
      </c>
      <c r="BO47" s="678">
        <v>0</v>
      </c>
      <c r="BP47" s="678">
        <v>0</v>
      </c>
      <c r="BQ47" s="678">
        <v>0</v>
      </c>
      <c r="BR47" s="678">
        <v>0</v>
      </c>
      <c r="BS47" s="678">
        <v>0</v>
      </c>
      <c r="BT47" s="823">
        <f t="shared" si="8"/>
        <v>4.9000000000000004</v>
      </c>
    </row>
    <row r="48" spans="2:72" ht="14.5" customHeight="1" x14ac:dyDescent="0.35">
      <c r="B48" s="593" t="s">
        <v>668</v>
      </c>
      <c r="C48" s="570" t="s">
        <v>733</v>
      </c>
      <c r="D48" s="570" t="s">
        <v>734</v>
      </c>
      <c r="E48" s="726" t="s">
        <v>742</v>
      </c>
      <c r="F48" s="678">
        <v>186.24</v>
      </c>
      <c r="G48" s="678">
        <v>237.2</v>
      </c>
      <c r="H48" s="678">
        <v>205.9</v>
      </c>
      <c r="I48" s="678">
        <v>247.5</v>
      </c>
      <c r="J48" s="678">
        <v>221.1</v>
      </c>
      <c r="K48" s="678">
        <v>170.4</v>
      </c>
      <c r="L48" s="678">
        <v>190.4</v>
      </c>
      <c r="M48" s="678">
        <v>193.9</v>
      </c>
      <c r="N48" s="678">
        <v>238.6</v>
      </c>
      <c r="O48" s="678">
        <v>205.4</v>
      </c>
      <c r="P48" s="678">
        <v>0</v>
      </c>
      <c r="Q48" s="678">
        <v>0</v>
      </c>
      <c r="R48" s="830">
        <f>SUM('Nurse Hours'!$F48:$Q48)</f>
        <v>2096.6400000000003</v>
      </c>
      <c r="S48" s="354"/>
      <c r="T48" s="615">
        <f t="shared" ref="T48:T49" si="9">F48/F$36</f>
        <v>1.0121739130434784</v>
      </c>
      <c r="U48" s="606">
        <f t="shared" ref="U48:U49" si="10">G48/G$36</f>
        <v>1.4119047619047618</v>
      </c>
      <c r="V48" s="606">
        <f t="shared" ref="V48:V49" si="11">H48/H$36</f>
        <v>1.2255952380952382</v>
      </c>
      <c r="W48" s="606">
        <f t="shared" ref="W48:W49" si="12">I48/I$36</f>
        <v>1.40625</v>
      </c>
      <c r="X48" s="606">
        <f t="shared" ref="X48:X49" si="13">J48/J$36</f>
        <v>1.2016304347826086</v>
      </c>
      <c r="Y48" s="606">
        <f t="shared" ref="Y48:Y49" si="14">K48/K$36</f>
        <v>1.0649999999999999</v>
      </c>
      <c r="Z48" s="606">
        <f t="shared" ref="Z48:Z49" si="15">L48/L$36</f>
        <v>1.0347826086956522</v>
      </c>
      <c r="AA48" s="606">
        <f t="shared" ref="AA48:AA49" si="16">M48/M$36</f>
        <v>1.1017045454545455</v>
      </c>
      <c r="AB48" s="606">
        <f t="shared" ref="AB48:AB49" si="17">N48/N$36</f>
        <v>1.4202380952380953</v>
      </c>
      <c r="AC48" s="606">
        <f t="shared" ref="AC48:AC49" si="18">O48/O$36</f>
        <v>1.116304347826087</v>
      </c>
      <c r="AD48" s="606">
        <f t="shared" ref="AD48:AD49" si="19">P48/P$36</f>
        <v>0</v>
      </c>
      <c r="AE48" s="606">
        <f t="shared" ref="AE48:AE49" si="20">Q48/Q$36</f>
        <v>0</v>
      </c>
      <c r="AF48" s="833">
        <f>IFERROR(R48/SUMIF(F48:Q48,"&gt;0",$F$36:$Q$36),0)</f>
        <v>1.1967123287671235</v>
      </c>
      <c r="AG48" s="353"/>
      <c r="AH48" s="681">
        <v>177.24</v>
      </c>
      <c r="AI48" s="677">
        <v>227.9</v>
      </c>
      <c r="AJ48" s="677">
        <v>196.4</v>
      </c>
      <c r="AK48" s="677">
        <v>242</v>
      </c>
      <c r="AL48" s="677">
        <v>216.1</v>
      </c>
      <c r="AM48" s="677">
        <v>169.1</v>
      </c>
      <c r="AN48" s="677">
        <v>189.9</v>
      </c>
      <c r="AO48" s="677">
        <v>193.9</v>
      </c>
      <c r="AP48" s="677">
        <v>237.3</v>
      </c>
      <c r="AQ48" s="677">
        <v>205.4</v>
      </c>
      <c r="AR48" s="677">
        <v>0</v>
      </c>
      <c r="AS48" s="677">
        <v>0</v>
      </c>
      <c r="AT48" s="838">
        <f>SUM(AH48:AS48)</f>
        <v>2055.2399999999998</v>
      </c>
      <c r="AU48" s="681">
        <v>37.24</v>
      </c>
      <c r="AV48" s="677">
        <v>87.9</v>
      </c>
      <c r="AW48" s="677">
        <v>56.4</v>
      </c>
      <c r="AX48" s="677">
        <v>102</v>
      </c>
      <c r="AY48" s="677">
        <v>32.1</v>
      </c>
      <c r="AZ48" s="677">
        <v>9.1</v>
      </c>
      <c r="BA48" s="677">
        <v>5.9</v>
      </c>
      <c r="BB48" s="677">
        <v>17.899999999999999</v>
      </c>
      <c r="BC48" s="677">
        <v>69.3</v>
      </c>
      <c r="BD48" s="677">
        <v>21.4</v>
      </c>
      <c r="BE48" s="677">
        <v>0</v>
      </c>
      <c r="BF48" s="677">
        <v>0</v>
      </c>
      <c r="BG48" s="838">
        <f>SUM(AU48:BF48)</f>
        <v>439.24</v>
      </c>
      <c r="BH48" s="681">
        <v>37.24</v>
      </c>
      <c r="BI48" s="677">
        <v>87.9</v>
      </c>
      <c r="BJ48" s="677">
        <v>56.4</v>
      </c>
      <c r="BK48" s="677">
        <v>102</v>
      </c>
      <c r="BL48" s="677">
        <v>20.100000000000001</v>
      </c>
      <c r="BM48" s="677">
        <v>9.1</v>
      </c>
      <c r="BN48" s="677">
        <v>0</v>
      </c>
      <c r="BO48" s="677">
        <v>0</v>
      </c>
      <c r="BP48" s="677">
        <v>57.3</v>
      </c>
      <c r="BQ48" s="677">
        <v>13.4</v>
      </c>
      <c r="BR48" s="677">
        <v>0</v>
      </c>
      <c r="BS48" s="677">
        <v>0</v>
      </c>
      <c r="BT48" s="838">
        <f>SUM(BH48:BS48)</f>
        <v>383.44000000000005</v>
      </c>
    </row>
    <row r="49" spans="2:72" ht="14.5" customHeight="1" x14ac:dyDescent="0.35">
      <c r="B49" s="593" t="s">
        <v>743</v>
      </c>
      <c r="C49" s="570" t="s">
        <v>733</v>
      </c>
      <c r="D49" s="570" t="s">
        <v>734</v>
      </c>
      <c r="E49" s="726"/>
      <c r="F49" s="678">
        <v>0</v>
      </c>
      <c r="G49" s="678">
        <v>0</v>
      </c>
      <c r="H49" s="678">
        <v>0</v>
      </c>
      <c r="I49" s="678">
        <v>0</v>
      </c>
      <c r="J49" s="678">
        <v>0</v>
      </c>
      <c r="K49" s="678">
        <v>0</v>
      </c>
      <c r="L49" s="678">
        <v>19.399999999999999</v>
      </c>
      <c r="M49" s="678">
        <v>94.8</v>
      </c>
      <c r="N49" s="678">
        <v>110.5</v>
      </c>
      <c r="O49" s="678">
        <v>126</v>
      </c>
      <c r="P49" s="678">
        <v>0</v>
      </c>
      <c r="Q49" s="678">
        <v>0</v>
      </c>
      <c r="R49" s="830">
        <f>SUM('Nurse Hours'!$F49:$Q49)</f>
        <v>350.7</v>
      </c>
      <c r="S49" s="354"/>
      <c r="T49" s="616">
        <f t="shared" si="9"/>
        <v>0</v>
      </c>
      <c r="U49" s="360">
        <f t="shared" si="10"/>
        <v>0</v>
      </c>
      <c r="V49" s="360">
        <f t="shared" si="11"/>
        <v>0</v>
      </c>
      <c r="W49" s="360">
        <f t="shared" si="12"/>
        <v>0</v>
      </c>
      <c r="X49" s="360">
        <f t="shared" si="13"/>
        <v>0</v>
      </c>
      <c r="Y49" s="360">
        <f t="shared" si="14"/>
        <v>0</v>
      </c>
      <c r="Z49" s="360">
        <f t="shared" si="15"/>
        <v>0.10543478260869564</v>
      </c>
      <c r="AA49" s="360">
        <f t="shared" si="16"/>
        <v>0.53863636363636358</v>
      </c>
      <c r="AB49" s="360">
        <f t="shared" si="17"/>
        <v>0.65773809523809523</v>
      </c>
      <c r="AC49" s="360">
        <f t="shared" si="18"/>
        <v>0.68478260869565222</v>
      </c>
      <c r="AD49" s="360">
        <f t="shared" si="19"/>
        <v>0</v>
      </c>
      <c r="AE49" s="360">
        <f t="shared" si="20"/>
        <v>0</v>
      </c>
      <c r="AF49" s="834">
        <f>IFERROR(R49/SUMIF(F49:Q49,"&gt;0",$F$36:$Q$36),0)</f>
        <v>0.49255617977528088</v>
      </c>
      <c r="AG49" s="353"/>
      <c r="AH49" s="680">
        <v>0</v>
      </c>
      <c r="AI49" s="678">
        <v>0</v>
      </c>
      <c r="AJ49" s="678">
        <v>0</v>
      </c>
      <c r="AK49" s="678">
        <v>0</v>
      </c>
      <c r="AL49" s="678">
        <v>0</v>
      </c>
      <c r="AM49" s="678">
        <v>0</v>
      </c>
      <c r="AN49" s="678">
        <v>0</v>
      </c>
      <c r="AO49" s="678">
        <v>95</v>
      </c>
      <c r="AP49" s="678">
        <v>104</v>
      </c>
      <c r="AQ49" s="678">
        <v>126</v>
      </c>
      <c r="AR49" s="678">
        <v>0</v>
      </c>
      <c r="AS49" s="678">
        <v>0</v>
      </c>
      <c r="AT49" s="823">
        <f>SUM(AH49:AS49)</f>
        <v>325</v>
      </c>
      <c r="AU49" s="680">
        <v>0</v>
      </c>
      <c r="AV49" s="678">
        <v>0</v>
      </c>
      <c r="AW49" s="678">
        <v>0</v>
      </c>
      <c r="AX49" s="678">
        <v>0</v>
      </c>
      <c r="AY49" s="678">
        <v>0</v>
      </c>
      <c r="AZ49" s="678">
        <v>0</v>
      </c>
      <c r="BA49" s="678">
        <v>0</v>
      </c>
      <c r="BB49" s="678">
        <v>0</v>
      </c>
      <c r="BC49" s="678">
        <v>0</v>
      </c>
      <c r="BD49" s="678">
        <v>0</v>
      </c>
      <c r="BE49" s="678">
        <v>0</v>
      </c>
      <c r="BF49" s="678">
        <v>0</v>
      </c>
      <c r="BG49" s="823">
        <f>SUM(AU49:BF49)</f>
        <v>0</v>
      </c>
      <c r="BH49" s="680">
        <v>0</v>
      </c>
      <c r="BI49" s="678">
        <v>0</v>
      </c>
      <c r="BJ49" s="678">
        <v>0</v>
      </c>
      <c r="BK49" s="678">
        <v>0</v>
      </c>
      <c r="BL49" s="678">
        <v>0</v>
      </c>
      <c r="BM49" s="678">
        <v>0</v>
      </c>
      <c r="BN49" s="678">
        <v>0</v>
      </c>
      <c r="BO49" s="678">
        <v>0</v>
      </c>
      <c r="BP49" s="678">
        <v>0</v>
      </c>
      <c r="BQ49" s="678">
        <v>0</v>
      </c>
      <c r="BR49" s="678">
        <v>0</v>
      </c>
      <c r="BS49" s="678">
        <v>0</v>
      </c>
      <c r="BT49" s="823">
        <f>SUM(BH49:BS49)</f>
        <v>0</v>
      </c>
    </row>
    <row r="50" spans="2:72" ht="14.5" customHeight="1" x14ac:dyDescent="0.35">
      <c r="B50" s="597" t="s">
        <v>696</v>
      </c>
      <c r="C50" s="570" t="s">
        <v>730</v>
      </c>
      <c r="D50" s="570" t="s">
        <v>737</v>
      </c>
      <c r="E50" s="571" t="s">
        <v>19</v>
      </c>
      <c r="F50" s="678">
        <v>77.599999999999994</v>
      </c>
      <c r="G50" s="678">
        <v>63</v>
      </c>
      <c r="H50" s="678">
        <v>73.3</v>
      </c>
      <c r="I50" s="678">
        <v>82.4</v>
      </c>
      <c r="J50" s="678">
        <v>70.599999999999994</v>
      </c>
      <c r="K50" s="678">
        <v>41.4</v>
      </c>
      <c r="L50" s="678">
        <v>25.3</v>
      </c>
      <c r="M50" s="678">
        <v>52.1</v>
      </c>
      <c r="N50" s="678">
        <v>58.4</v>
      </c>
      <c r="O50" s="678">
        <v>71.400000000000006</v>
      </c>
      <c r="P50" s="678">
        <v>0</v>
      </c>
      <c r="Q50" s="678">
        <v>0</v>
      </c>
      <c r="R50" s="830">
        <f>SUM('Nurse Hours'!$F50:$Q50)</f>
        <v>615.5</v>
      </c>
      <c r="S50" s="354"/>
      <c r="T50" s="615">
        <f t="shared" si="4"/>
        <v>0.42173913043478256</v>
      </c>
      <c r="U50" s="606">
        <f t="shared" si="4"/>
        <v>0.375</v>
      </c>
      <c r="V50" s="606">
        <f t="shared" si="4"/>
        <v>0.43630952380952381</v>
      </c>
      <c r="W50" s="606">
        <f t="shared" si="4"/>
        <v>0.4681818181818182</v>
      </c>
      <c r="X50" s="606">
        <f t="shared" si="4"/>
        <v>0.38369565217391299</v>
      </c>
      <c r="Y50" s="606">
        <f t="shared" si="4"/>
        <v>0.25874999999999998</v>
      </c>
      <c r="Z50" s="606">
        <f t="shared" si="4"/>
        <v>0.13750000000000001</v>
      </c>
      <c r="AA50" s="606">
        <f t="shared" si="4"/>
        <v>0.29602272727272727</v>
      </c>
      <c r="AB50" s="606">
        <f t="shared" si="4"/>
        <v>0.34761904761904761</v>
      </c>
      <c r="AC50" s="606">
        <f t="shared" si="4"/>
        <v>0.3880434782608696</v>
      </c>
      <c r="AD50" s="606">
        <f t="shared" si="4"/>
        <v>0</v>
      </c>
      <c r="AE50" s="606">
        <f t="shared" si="4"/>
        <v>0</v>
      </c>
      <c r="AF50" s="833">
        <f t="shared" si="5"/>
        <v>0.35131278538812788</v>
      </c>
      <c r="AG50" s="353"/>
      <c r="AH50" s="681">
        <v>121</v>
      </c>
      <c r="AI50" s="677">
        <v>111</v>
      </c>
      <c r="AJ50" s="677">
        <v>92.5</v>
      </c>
      <c r="AK50" s="677">
        <v>0</v>
      </c>
      <c r="AL50" s="677">
        <v>0</v>
      </c>
      <c r="AM50" s="677">
        <v>41.4</v>
      </c>
      <c r="AN50" s="677">
        <v>25.3</v>
      </c>
      <c r="AO50" s="677">
        <v>52.1</v>
      </c>
      <c r="AP50" s="677">
        <v>58.4</v>
      </c>
      <c r="AQ50" s="677">
        <v>71.400000000000006</v>
      </c>
      <c r="AR50" s="677">
        <v>0</v>
      </c>
      <c r="AS50" s="677">
        <v>0</v>
      </c>
      <c r="AT50" s="838">
        <f t="shared" si="6"/>
        <v>573.1</v>
      </c>
      <c r="AU50" s="681">
        <v>0</v>
      </c>
      <c r="AV50" s="677">
        <v>0</v>
      </c>
      <c r="AW50" s="677">
        <v>0</v>
      </c>
      <c r="AX50" s="677">
        <v>0</v>
      </c>
      <c r="AY50" s="677">
        <v>0</v>
      </c>
      <c r="AZ50" s="677">
        <v>0</v>
      </c>
      <c r="BA50" s="677">
        <v>0</v>
      </c>
      <c r="BB50" s="677">
        <v>0</v>
      </c>
      <c r="BC50" s="677">
        <v>0</v>
      </c>
      <c r="BD50" s="677">
        <v>0</v>
      </c>
      <c r="BE50" s="677">
        <v>0</v>
      </c>
      <c r="BF50" s="677">
        <v>0</v>
      </c>
      <c r="BG50" s="838">
        <f t="shared" si="7"/>
        <v>0</v>
      </c>
      <c r="BH50" s="681">
        <v>0</v>
      </c>
      <c r="BI50" s="677">
        <v>0</v>
      </c>
      <c r="BJ50" s="677">
        <v>0</v>
      </c>
      <c r="BK50" s="677">
        <v>0</v>
      </c>
      <c r="BL50" s="677">
        <v>0</v>
      </c>
      <c r="BM50" s="677">
        <v>0</v>
      </c>
      <c r="BN50" s="677">
        <v>0</v>
      </c>
      <c r="BO50" s="677">
        <v>0</v>
      </c>
      <c r="BP50" s="677">
        <v>0</v>
      </c>
      <c r="BQ50" s="677">
        <v>0</v>
      </c>
      <c r="BR50" s="677">
        <v>0</v>
      </c>
      <c r="BS50" s="677">
        <v>0</v>
      </c>
      <c r="BT50" s="838">
        <f t="shared" si="8"/>
        <v>0</v>
      </c>
    </row>
    <row r="51" spans="2:72" ht="14.5" customHeight="1" x14ac:dyDescent="0.35">
      <c r="B51" s="593" t="s">
        <v>669</v>
      </c>
      <c r="C51" s="570" t="s">
        <v>740</v>
      </c>
      <c r="D51" s="570" t="s">
        <v>734</v>
      </c>
      <c r="E51" s="571" t="s">
        <v>744</v>
      </c>
      <c r="F51" s="678">
        <v>140.80000000000001</v>
      </c>
      <c r="G51" s="678">
        <v>188.7</v>
      </c>
      <c r="H51" s="678">
        <v>194.6</v>
      </c>
      <c r="I51" s="678">
        <v>187.9</v>
      </c>
      <c r="J51" s="678">
        <v>194.3</v>
      </c>
      <c r="K51" s="678">
        <v>174.4</v>
      </c>
      <c r="L51" s="678">
        <v>200.8</v>
      </c>
      <c r="M51" s="678">
        <v>196.9</v>
      </c>
      <c r="N51" s="678">
        <v>155.69999999999999</v>
      </c>
      <c r="O51" s="678">
        <v>191.8</v>
      </c>
      <c r="P51" s="678">
        <v>0</v>
      </c>
      <c r="Q51" s="678">
        <v>0</v>
      </c>
      <c r="R51" s="830">
        <f>SUM('Nurse Hours'!$F51:$Q51)</f>
        <v>1825.9</v>
      </c>
      <c r="S51" s="354"/>
      <c r="T51" s="616">
        <f t="shared" si="4"/>
        <v>0.76521739130434785</v>
      </c>
      <c r="U51" s="360">
        <f t="shared" si="4"/>
        <v>1.1232142857142857</v>
      </c>
      <c r="V51" s="360">
        <f t="shared" si="4"/>
        <v>1.1583333333333332</v>
      </c>
      <c r="W51" s="360">
        <f t="shared" si="4"/>
        <v>1.0676136363636364</v>
      </c>
      <c r="X51" s="360">
        <f t="shared" si="4"/>
        <v>1.0559782608695654</v>
      </c>
      <c r="Y51" s="360">
        <f t="shared" si="4"/>
        <v>1.0900000000000001</v>
      </c>
      <c r="Z51" s="360">
        <f t="shared" si="4"/>
        <v>1.0913043478260871</v>
      </c>
      <c r="AA51" s="360">
        <f t="shared" si="4"/>
        <v>1.1187500000000001</v>
      </c>
      <c r="AB51" s="360">
        <f t="shared" si="4"/>
        <v>0.92678571428571421</v>
      </c>
      <c r="AC51" s="360">
        <f t="shared" si="4"/>
        <v>1.0423913043478261</v>
      </c>
      <c r="AD51" s="360">
        <f t="shared" si="4"/>
        <v>0</v>
      </c>
      <c r="AE51" s="360">
        <f t="shared" si="4"/>
        <v>0</v>
      </c>
      <c r="AF51" s="834">
        <f t="shared" si="5"/>
        <v>1.0421803652968038</v>
      </c>
      <c r="AG51" s="353"/>
      <c r="AH51" s="680">
        <v>131.80000000000001</v>
      </c>
      <c r="AI51" s="678">
        <v>188.2</v>
      </c>
      <c r="AJ51" s="678">
        <v>194.1</v>
      </c>
      <c r="AK51" s="678">
        <v>186.9</v>
      </c>
      <c r="AL51" s="678">
        <v>178.3</v>
      </c>
      <c r="AM51" s="678">
        <v>173.2</v>
      </c>
      <c r="AN51" s="678">
        <v>200.3</v>
      </c>
      <c r="AO51" s="678">
        <v>196.9</v>
      </c>
      <c r="AP51" s="678">
        <v>146.30000000000001</v>
      </c>
      <c r="AQ51" s="678">
        <v>153.4</v>
      </c>
      <c r="AR51" s="678">
        <v>0</v>
      </c>
      <c r="AS51" s="678">
        <v>0</v>
      </c>
      <c r="AT51" s="823">
        <f t="shared" si="6"/>
        <v>1749.4</v>
      </c>
      <c r="AU51" s="680">
        <v>0</v>
      </c>
      <c r="AV51" s="678">
        <v>48.2</v>
      </c>
      <c r="AW51" s="678">
        <v>54.1</v>
      </c>
      <c r="AX51" s="678">
        <v>46.9</v>
      </c>
      <c r="AY51" s="678">
        <v>46.3</v>
      </c>
      <c r="AZ51" s="678">
        <v>13.2</v>
      </c>
      <c r="BA51" s="678">
        <v>16.3</v>
      </c>
      <c r="BB51" s="678">
        <v>20.9</v>
      </c>
      <c r="BC51" s="678">
        <v>0</v>
      </c>
      <c r="BD51" s="678">
        <v>0</v>
      </c>
      <c r="BE51" s="678">
        <v>0</v>
      </c>
      <c r="BF51" s="678">
        <v>0</v>
      </c>
      <c r="BG51" s="823">
        <f t="shared" si="7"/>
        <v>245.9</v>
      </c>
      <c r="BH51" s="680">
        <v>0</v>
      </c>
      <c r="BI51" s="678">
        <v>48.2</v>
      </c>
      <c r="BJ51" s="678">
        <v>54.1</v>
      </c>
      <c r="BK51" s="678">
        <v>46.9</v>
      </c>
      <c r="BL51" s="678">
        <v>38.299999999999997</v>
      </c>
      <c r="BM51" s="678">
        <v>0</v>
      </c>
      <c r="BN51" s="678">
        <v>7.5</v>
      </c>
      <c r="BO51" s="678">
        <v>20.9</v>
      </c>
      <c r="BP51" s="678">
        <v>0</v>
      </c>
      <c r="BQ51" s="678">
        <v>0</v>
      </c>
      <c r="BR51" s="678">
        <v>0</v>
      </c>
      <c r="BS51" s="678">
        <v>0</v>
      </c>
      <c r="BT51" s="823">
        <f t="shared" si="8"/>
        <v>215.9</v>
      </c>
    </row>
    <row r="52" spans="2:72" ht="14.5" customHeight="1" x14ac:dyDescent="0.35">
      <c r="B52" s="593" t="s">
        <v>745</v>
      </c>
      <c r="C52" s="570" t="s">
        <v>740</v>
      </c>
      <c r="D52" s="570" t="s">
        <v>734</v>
      </c>
      <c r="E52" s="571" t="s">
        <v>746</v>
      </c>
      <c r="F52" s="678"/>
      <c r="G52" s="678"/>
      <c r="H52" s="678"/>
      <c r="I52" s="678"/>
      <c r="J52" s="678"/>
      <c r="K52" s="678"/>
      <c r="L52" s="678"/>
      <c r="M52" s="678"/>
      <c r="N52" s="678"/>
      <c r="O52" s="678">
        <v>151.69999999999999</v>
      </c>
      <c r="P52" s="678"/>
      <c r="Q52" s="678"/>
      <c r="R52" s="830">
        <f>SUM('Nurse Hours'!$F52:$Q52)</f>
        <v>151.69999999999999</v>
      </c>
      <c r="S52" s="354"/>
      <c r="T52" s="615"/>
      <c r="U52" s="606"/>
      <c r="V52" s="606"/>
      <c r="W52" s="606"/>
      <c r="X52" s="606"/>
      <c r="Y52" s="606"/>
      <c r="Z52" s="606"/>
      <c r="AA52" s="606"/>
      <c r="AB52" s="606"/>
      <c r="AC52" s="606"/>
      <c r="AD52" s="606"/>
      <c r="AE52" s="606"/>
      <c r="AF52" s="833">
        <f t="shared" si="5"/>
        <v>0.82445652173913042</v>
      </c>
      <c r="AG52" s="353"/>
      <c r="AH52" s="681"/>
      <c r="AI52" s="677"/>
      <c r="AJ52" s="677"/>
      <c r="AK52" s="677"/>
      <c r="AL52" s="677"/>
      <c r="AM52" s="677"/>
      <c r="AN52" s="677"/>
      <c r="AO52" s="677"/>
      <c r="AP52" s="677"/>
      <c r="AQ52" s="677">
        <v>18.600000000000001</v>
      </c>
      <c r="AR52" s="677"/>
      <c r="AS52" s="677"/>
      <c r="AT52" s="838">
        <f t="shared" si="6"/>
        <v>18.600000000000001</v>
      </c>
      <c r="AU52" s="681"/>
      <c r="AV52" s="677"/>
      <c r="AW52" s="677"/>
      <c r="AX52" s="677"/>
      <c r="AY52" s="677"/>
      <c r="AZ52" s="677"/>
      <c r="BA52" s="677"/>
      <c r="BB52" s="677"/>
      <c r="BC52" s="677"/>
      <c r="BD52" s="677"/>
      <c r="BE52" s="677"/>
      <c r="BF52" s="677"/>
      <c r="BG52" s="838">
        <f t="shared" si="7"/>
        <v>0</v>
      </c>
      <c r="BH52" s="681"/>
      <c r="BI52" s="677"/>
      <c r="BJ52" s="677"/>
      <c r="BK52" s="677"/>
      <c r="BL52" s="677"/>
      <c r="BM52" s="677"/>
      <c r="BN52" s="677"/>
      <c r="BO52" s="677"/>
      <c r="BP52" s="677"/>
      <c r="BQ52" s="677"/>
      <c r="BR52" s="677"/>
      <c r="BS52" s="677"/>
      <c r="BT52" s="838">
        <f t="shared" si="8"/>
        <v>0</v>
      </c>
    </row>
    <row r="53" spans="2:72" ht="14.5" x14ac:dyDescent="0.35">
      <c r="B53" s="593" t="s">
        <v>670</v>
      </c>
      <c r="C53" s="570" t="s">
        <v>736</v>
      </c>
      <c r="D53" s="570" t="s">
        <v>734</v>
      </c>
      <c r="E53" s="571" t="s">
        <v>19</v>
      </c>
      <c r="F53" s="678">
        <v>195.6</v>
      </c>
      <c r="G53" s="678">
        <v>225.9</v>
      </c>
      <c r="H53" s="678">
        <v>168.7</v>
      </c>
      <c r="I53" s="678">
        <v>203.8</v>
      </c>
      <c r="J53" s="678">
        <v>162.1</v>
      </c>
      <c r="K53" s="678">
        <v>168.4</v>
      </c>
      <c r="L53" s="678">
        <v>193.4</v>
      </c>
      <c r="M53" s="678">
        <v>143.1</v>
      </c>
      <c r="N53" s="678">
        <v>208.1</v>
      </c>
      <c r="O53" s="678">
        <v>199.1</v>
      </c>
      <c r="P53" s="678">
        <v>0</v>
      </c>
      <c r="Q53" s="678">
        <v>0</v>
      </c>
      <c r="R53" s="830">
        <f>SUM('Nurse Hours'!$F53:$Q53)</f>
        <v>1868.1999999999998</v>
      </c>
      <c r="S53" s="354"/>
      <c r="T53" s="616">
        <f t="shared" si="4"/>
        <v>1.0630434782608695</v>
      </c>
      <c r="U53" s="360">
        <f t="shared" si="4"/>
        <v>1.3446428571428573</v>
      </c>
      <c r="V53" s="360">
        <f t="shared" si="4"/>
        <v>1.0041666666666667</v>
      </c>
      <c r="W53" s="360">
        <f t="shared" si="4"/>
        <v>1.1579545454545455</v>
      </c>
      <c r="X53" s="360">
        <f t="shared" si="4"/>
        <v>0.88097826086956521</v>
      </c>
      <c r="Y53" s="360">
        <f t="shared" si="4"/>
        <v>1.0525</v>
      </c>
      <c r="Z53" s="360">
        <f t="shared" si="4"/>
        <v>1.0510869565217391</v>
      </c>
      <c r="AA53" s="360">
        <f t="shared" si="4"/>
        <v>0.81306818181818175</v>
      </c>
      <c r="AB53" s="360">
        <f t="shared" si="4"/>
        <v>1.2386904761904762</v>
      </c>
      <c r="AC53" s="360">
        <f t="shared" si="4"/>
        <v>1.0820652173913043</v>
      </c>
      <c r="AD53" s="360">
        <f t="shared" si="4"/>
        <v>0</v>
      </c>
      <c r="AE53" s="360">
        <f t="shared" si="4"/>
        <v>0</v>
      </c>
      <c r="AF53" s="834">
        <f t="shared" si="5"/>
        <v>1.0663242009132419</v>
      </c>
      <c r="AG53" s="353"/>
      <c r="AH53" s="680">
        <v>122.8</v>
      </c>
      <c r="AI53" s="678">
        <v>225.9</v>
      </c>
      <c r="AJ53" s="678">
        <v>168.3</v>
      </c>
      <c r="AK53" s="678">
        <v>170.7</v>
      </c>
      <c r="AL53" s="678">
        <v>154.1</v>
      </c>
      <c r="AM53" s="678">
        <v>135.1</v>
      </c>
      <c r="AN53" s="678">
        <v>160.9</v>
      </c>
      <c r="AO53" s="678">
        <v>143.1</v>
      </c>
      <c r="AP53" s="678">
        <v>191.9</v>
      </c>
      <c r="AQ53" s="678">
        <v>160.69999999999999</v>
      </c>
      <c r="AR53" s="678">
        <v>0</v>
      </c>
      <c r="AS53" s="678">
        <v>0</v>
      </c>
      <c r="AT53" s="823">
        <f t="shared" si="6"/>
        <v>1633.5000000000002</v>
      </c>
      <c r="AU53" s="680">
        <v>0</v>
      </c>
      <c r="AV53" s="678">
        <v>85.9</v>
      </c>
      <c r="AW53" s="678">
        <v>28.3</v>
      </c>
      <c r="AX53" s="678">
        <v>30.7</v>
      </c>
      <c r="AY53" s="678">
        <v>14.1</v>
      </c>
      <c r="AZ53" s="678">
        <v>0</v>
      </c>
      <c r="BA53" s="678">
        <v>20.9</v>
      </c>
      <c r="BB53" s="678">
        <v>3.1</v>
      </c>
      <c r="BC53" s="678">
        <v>51.9</v>
      </c>
      <c r="BD53" s="678">
        <v>20.7</v>
      </c>
      <c r="BE53" s="678">
        <v>0</v>
      </c>
      <c r="BF53" s="678">
        <v>0</v>
      </c>
      <c r="BG53" s="823">
        <f t="shared" si="7"/>
        <v>255.6</v>
      </c>
      <c r="BH53" s="680">
        <v>0</v>
      </c>
      <c r="BI53" s="678">
        <v>85.9</v>
      </c>
      <c r="BJ53" s="678">
        <v>28.3</v>
      </c>
      <c r="BK53" s="678">
        <v>30.7</v>
      </c>
      <c r="BL53" s="678">
        <v>14.1</v>
      </c>
      <c r="BM53" s="678">
        <v>0</v>
      </c>
      <c r="BN53" s="678">
        <v>20.9</v>
      </c>
      <c r="BO53" s="678">
        <v>3.1</v>
      </c>
      <c r="BP53" s="678">
        <v>51.9</v>
      </c>
      <c r="BQ53" s="678">
        <v>20.7</v>
      </c>
      <c r="BR53" s="678">
        <v>0</v>
      </c>
      <c r="BS53" s="678">
        <v>0</v>
      </c>
      <c r="BT53" s="823">
        <f t="shared" si="8"/>
        <v>255.6</v>
      </c>
    </row>
    <row r="54" spans="2:72" ht="14.5" x14ac:dyDescent="0.35">
      <c r="B54" s="597" t="s">
        <v>707</v>
      </c>
      <c r="C54" s="570" t="s">
        <v>733</v>
      </c>
      <c r="D54" s="570" t="s">
        <v>734</v>
      </c>
      <c r="E54" s="571" t="s">
        <v>19</v>
      </c>
      <c r="F54" s="678">
        <v>0</v>
      </c>
      <c r="G54" s="678">
        <v>244.7</v>
      </c>
      <c r="H54" s="678">
        <v>201.9</v>
      </c>
      <c r="I54" s="678">
        <v>285.5</v>
      </c>
      <c r="J54" s="678">
        <v>221.4</v>
      </c>
      <c r="K54" s="678">
        <v>240.2</v>
      </c>
      <c r="L54" s="678">
        <v>273.39999999999998</v>
      </c>
      <c r="M54" s="678">
        <v>238.9</v>
      </c>
      <c r="N54" s="678">
        <v>229.3</v>
      </c>
      <c r="O54" s="678">
        <v>208.2</v>
      </c>
      <c r="P54" s="678">
        <v>0</v>
      </c>
      <c r="Q54" s="678">
        <v>0</v>
      </c>
      <c r="R54" s="830">
        <f>SUM('Nurse Hours'!$F54:$Q54)</f>
        <v>2143.5</v>
      </c>
      <c r="S54" s="354"/>
      <c r="T54" s="615">
        <f t="shared" si="4"/>
        <v>0</v>
      </c>
      <c r="U54" s="606">
        <f t="shared" si="4"/>
        <v>1.456547619047619</v>
      </c>
      <c r="V54" s="606">
        <f t="shared" si="4"/>
        <v>1.2017857142857142</v>
      </c>
      <c r="W54" s="606">
        <f t="shared" si="4"/>
        <v>1.6221590909090908</v>
      </c>
      <c r="X54" s="606">
        <f t="shared" si="4"/>
        <v>1.2032608695652174</v>
      </c>
      <c r="Y54" s="606">
        <f t="shared" si="4"/>
        <v>1.50125</v>
      </c>
      <c r="Z54" s="606">
        <f t="shared" si="4"/>
        <v>1.4858695652173912</v>
      </c>
      <c r="AA54" s="606">
        <f t="shared" si="4"/>
        <v>1.3573863636363637</v>
      </c>
      <c r="AB54" s="606">
        <f t="shared" si="4"/>
        <v>1.3648809523809524</v>
      </c>
      <c r="AC54" s="606">
        <f t="shared" si="4"/>
        <v>1.1315217391304346</v>
      </c>
      <c r="AD54" s="606">
        <f t="shared" si="4"/>
        <v>0</v>
      </c>
      <c r="AE54" s="606">
        <f t="shared" si="4"/>
        <v>0</v>
      </c>
      <c r="AF54" s="833">
        <f t="shared" si="5"/>
        <v>1.3670280612244898</v>
      </c>
      <c r="AG54" s="353"/>
      <c r="AH54" s="681">
        <v>0</v>
      </c>
      <c r="AI54" s="677">
        <v>244.7</v>
      </c>
      <c r="AJ54" s="677">
        <v>201.9</v>
      </c>
      <c r="AK54" s="677">
        <v>284</v>
      </c>
      <c r="AL54" s="677">
        <v>221.4</v>
      </c>
      <c r="AM54" s="677">
        <v>240.2</v>
      </c>
      <c r="AN54" s="677">
        <v>273.39999999999998</v>
      </c>
      <c r="AO54" s="677">
        <v>238.9</v>
      </c>
      <c r="AP54" s="677">
        <v>229.3</v>
      </c>
      <c r="AQ54" s="677">
        <v>208.2</v>
      </c>
      <c r="AR54" s="677">
        <v>0</v>
      </c>
      <c r="AS54" s="677">
        <v>0</v>
      </c>
      <c r="AT54" s="838">
        <f t="shared" si="6"/>
        <v>2142</v>
      </c>
      <c r="AU54" s="681">
        <v>0</v>
      </c>
      <c r="AV54" s="677">
        <v>76.7</v>
      </c>
      <c r="AW54" s="677">
        <v>33.9</v>
      </c>
      <c r="AX54" s="677">
        <v>108</v>
      </c>
      <c r="AY54" s="677">
        <v>37.4</v>
      </c>
      <c r="AZ54" s="677">
        <v>80.2</v>
      </c>
      <c r="BA54" s="677">
        <v>89.4</v>
      </c>
      <c r="BB54" s="677">
        <v>62.9</v>
      </c>
      <c r="BC54" s="677">
        <v>61.3</v>
      </c>
      <c r="BD54" s="677">
        <v>24.2</v>
      </c>
      <c r="BE54" s="677">
        <v>0</v>
      </c>
      <c r="BF54" s="677">
        <v>0</v>
      </c>
      <c r="BG54" s="838">
        <f t="shared" si="7"/>
        <v>574</v>
      </c>
      <c r="BH54" s="681">
        <v>0</v>
      </c>
      <c r="BI54" s="677">
        <v>64.7</v>
      </c>
      <c r="BJ54" s="677">
        <v>33.9</v>
      </c>
      <c r="BK54" s="677">
        <v>108</v>
      </c>
      <c r="BL54" s="677">
        <v>29.4</v>
      </c>
      <c r="BM54" s="677">
        <v>68.2</v>
      </c>
      <c r="BN54" s="677">
        <v>69.400000000000006</v>
      </c>
      <c r="BO54" s="677">
        <v>62.9</v>
      </c>
      <c r="BP54" s="677">
        <v>29.3</v>
      </c>
      <c r="BQ54" s="677">
        <v>0.2</v>
      </c>
      <c r="BR54" s="677">
        <v>0</v>
      </c>
      <c r="BS54" s="677">
        <v>0</v>
      </c>
      <c r="BT54" s="838">
        <f t="shared" si="8"/>
        <v>466</v>
      </c>
    </row>
    <row r="55" spans="2:72" ht="14.5" x14ac:dyDescent="0.35">
      <c r="B55" s="597" t="s">
        <v>682</v>
      </c>
      <c r="C55" s="570" t="s">
        <v>733</v>
      </c>
      <c r="D55" s="570" t="s">
        <v>734</v>
      </c>
      <c r="E55" s="571" t="s">
        <v>19</v>
      </c>
      <c r="F55" s="678">
        <v>270.55</v>
      </c>
      <c r="G55" s="678">
        <v>241.2</v>
      </c>
      <c r="H55" s="678">
        <v>201.9</v>
      </c>
      <c r="I55" s="678">
        <v>285.5</v>
      </c>
      <c r="J55" s="678">
        <v>226.3</v>
      </c>
      <c r="K55" s="678">
        <v>174.9</v>
      </c>
      <c r="L55" s="678">
        <v>185.4</v>
      </c>
      <c r="M55" s="678">
        <v>166.3</v>
      </c>
      <c r="N55" s="678">
        <v>0</v>
      </c>
      <c r="O55" s="678">
        <v>0</v>
      </c>
      <c r="P55" s="678">
        <v>0</v>
      </c>
      <c r="Q55" s="678">
        <v>0</v>
      </c>
      <c r="R55" s="830">
        <f>SUM('Nurse Hours'!$F55:$Q55)</f>
        <v>1752.0500000000002</v>
      </c>
      <c r="S55" s="354"/>
      <c r="T55" s="616">
        <f t="shared" si="4"/>
        <v>1.4703804347826088</v>
      </c>
      <c r="U55" s="360">
        <f t="shared" si="4"/>
        <v>1.4357142857142857</v>
      </c>
      <c r="V55" s="360">
        <f t="shared" si="4"/>
        <v>1.2017857142857142</v>
      </c>
      <c r="W55" s="360">
        <f t="shared" si="4"/>
        <v>1.6221590909090908</v>
      </c>
      <c r="X55" s="360">
        <f t="shared" si="4"/>
        <v>1.2298913043478261</v>
      </c>
      <c r="Y55" s="360">
        <f t="shared" si="4"/>
        <v>1.0931250000000001</v>
      </c>
      <c r="Z55" s="360">
        <f t="shared" si="4"/>
        <v>1.0076086956521739</v>
      </c>
      <c r="AA55" s="360">
        <f t="shared" si="4"/>
        <v>0.94488636363636369</v>
      </c>
      <c r="AB55" s="360">
        <f t="shared" si="4"/>
        <v>0</v>
      </c>
      <c r="AC55" s="360">
        <f t="shared" si="4"/>
        <v>0</v>
      </c>
      <c r="AD55" s="360">
        <f t="shared" si="4"/>
        <v>0</v>
      </c>
      <c r="AE55" s="360">
        <f t="shared" si="4"/>
        <v>0</v>
      </c>
      <c r="AF55" s="834">
        <f t="shared" si="5"/>
        <v>1.2514642857142859</v>
      </c>
      <c r="AG55" s="353"/>
      <c r="AH55" s="680">
        <v>270.55</v>
      </c>
      <c r="AI55" s="678">
        <v>241.2</v>
      </c>
      <c r="AJ55" s="678">
        <v>201.9</v>
      </c>
      <c r="AK55" s="678">
        <v>284</v>
      </c>
      <c r="AL55" s="678">
        <v>180.8</v>
      </c>
      <c r="AM55" s="678">
        <v>136.6</v>
      </c>
      <c r="AN55" s="678">
        <v>147.6</v>
      </c>
      <c r="AO55" s="678">
        <v>88.8</v>
      </c>
      <c r="AP55" s="678">
        <v>0</v>
      </c>
      <c r="AQ55" s="678">
        <v>0</v>
      </c>
      <c r="AR55" s="678">
        <v>0</v>
      </c>
      <c r="AS55" s="678">
        <v>0</v>
      </c>
      <c r="AT55" s="823">
        <f t="shared" si="6"/>
        <v>1551.4499999999998</v>
      </c>
      <c r="AU55" s="680">
        <v>0</v>
      </c>
      <c r="AV55" s="678">
        <v>0</v>
      </c>
      <c r="AW55" s="678">
        <v>0</v>
      </c>
      <c r="AX55" s="678">
        <v>0</v>
      </c>
      <c r="AY55" s="678">
        <v>0</v>
      </c>
      <c r="AZ55" s="678">
        <v>0</v>
      </c>
      <c r="BA55" s="678">
        <v>0</v>
      </c>
      <c r="BB55" s="678">
        <v>0</v>
      </c>
      <c r="BC55" s="678">
        <v>0</v>
      </c>
      <c r="BD55" s="678">
        <v>0</v>
      </c>
      <c r="BE55" s="678">
        <v>0</v>
      </c>
      <c r="BF55" s="678">
        <v>0</v>
      </c>
      <c r="BG55" s="823">
        <f t="shared" si="7"/>
        <v>0</v>
      </c>
      <c r="BH55" s="680">
        <v>0</v>
      </c>
      <c r="BI55" s="678">
        <v>0</v>
      </c>
      <c r="BJ55" s="678">
        <v>0</v>
      </c>
      <c r="BK55" s="678">
        <v>0</v>
      </c>
      <c r="BL55" s="678">
        <v>0</v>
      </c>
      <c r="BM55" s="678">
        <v>0</v>
      </c>
      <c r="BN55" s="678">
        <v>0</v>
      </c>
      <c r="BO55" s="678">
        <v>0</v>
      </c>
      <c r="BP55" s="678">
        <v>0</v>
      </c>
      <c r="BQ55" s="678">
        <v>0</v>
      </c>
      <c r="BR55" s="678">
        <v>0</v>
      </c>
      <c r="BS55" s="678">
        <v>0</v>
      </c>
      <c r="BT55" s="823">
        <f t="shared" si="8"/>
        <v>0</v>
      </c>
    </row>
    <row r="56" spans="2:72" ht="14.5" x14ac:dyDescent="0.35">
      <c r="B56" s="597" t="s">
        <v>702</v>
      </c>
      <c r="C56" s="570" t="s">
        <v>733</v>
      </c>
      <c r="D56" s="570" t="s">
        <v>734</v>
      </c>
      <c r="E56" s="571" t="s">
        <v>19</v>
      </c>
      <c r="F56" s="678">
        <v>0</v>
      </c>
      <c r="G56" s="678">
        <v>0</v>
      </c>
      <c r="H56" s="678">
        <v>0</v>
      </c>
      <c r="I56" s="678">
        <v>0</v>
      </c>
      <c r="J56" s="678">
        <v>0</v>
      </c>
      <c r="K56" s="678">
        <v>59</v>
      </c>
      <c r="L56" s="678">
        <v>92.3</v>
      </c>
      <c r="M56" s="678">
        <v>88</v>
      </c>
      <c r="N56" s="678">
        <v>80.7</v>
      </c>
      <c r="O56" s="678">
        <v>116.6</v>
      </c>
      <c r="P56" s="678">
        <v>0</v>
      </c>
      <c r="Q56" s="678">
        <v>0</v>
      </c>
      <c r="R56" s="830">
        <f>SUM('Nurse Hours'!$F56:$Q56)</f>
        <v>436.6</v>
      </c>
      <c r="S56" s="354"/>
      <c r="T56" s="615">
        <f t="shared" si="4"/>
        <v>0</v>
      </c>
      <c r="U56" s="606">
        <f t="shared" si="4"/>
        <v>0</v>
      </c>
      <c r="V56" s="606">
        <f t="shared" si="4"/>
        <v>0</v>
      </c>
      <c r="W56" s="606">
        <f t="shared" si="4"/>
        <v>0</v>
      </c>
      <c r="X56" s="606">
        <f t="shared" si="4"/>
        <v>0</v>
      </c>
      <c r="Y56" s="606">
        <f t="shared" si="4"/>
        <v>0.36875000000000002</v>
      </c>
      <c r="Z56" s="606">
        <f t="shared" si="4"/>
        <v>0.50163043478260871</v>
      </c>
      <c r="AA56" s="606">
        <f t="shared" si="4"/>
        <v>0.5</v>
      </c>
      <c r="AB56" s="606">
        <f t="shared" si="4"/>
        <v>0.48035714285714287</v>
      </c>
      <c r="AC56" s="606">
        <f t="shared" si="4"/>
        <v>0.63369565217391299</v>
      </c>
      <c r="AD56" s="606">
        <f t="shared" si="4"/>
        <v>0</v>
      </c>
      <c r="AE56" s="606">
        <f t="shared" si="4"/>
        <v>0</v>
      </c>
      <c r="AF56" s="833">
        <f t="shared" si="5"/>
        <v>0.50068807339449539</v>
      </c>
      <c r="AG56" s="353"/>
      <c r="AH56" s="681">
        <v>0</v>
      </c>
      <c r="AI56" s="677">
        <v>0</v>
      </c>
      <c r="AJ56" s="677">
        <v>0</v>
      </c>
      <c r="AK56" s="677">
        <v>0</v>
      </c>
      <c r="AL56" s="677">
        <v>0</v>
      </c>
      <c r="AM56" s="677">
        <v>59</v>
      </c>
      <c r="AN56" s="677">
        <v>66.8</v>
      </c>
      <c r="AO56" s="677">
        <v>85.2</v>
      </c>
      <c r="AP56" s="677">
        <v>78.2</v>
      </c>
      <c r="AQ56" s="677">
        <v>98.2</v>
      </c>
      <c r="AR56" s="677">
        <v>0</v>
      </c>
      <c r="AS56" s="677">
        <v>0</v>
      </c>
      <c r="AT56" s="838">
        <f t="shared" si="6"/>
        <v>387.4</v>
      </c>
      <c r="AU56" s="681">
        <v>0</v>
      </c>
      <c r="AV56" s="677">
        <v>0</v>
      </c>
      <c r="AW56" s="677">
        <v>0</v>
      </c>
      <c r="AX56" s="677">
        <v>0</v>
      </c>
      <c r="AY56" s="677">
        <v>0</v>
      </c>
      <c r="AZ56" s="677">
        <v>0</v>
      </c>
      <c r="BA56" s="677">
        <v>0</v>
      </c>
      <c r="BB56" s="677">
        <v>0</v>
      </c>
      <c r="BC56" s="677">
        <v>0</v>
      </c>
      <c r="BD56" s="677">
        <v>0</v>
      </c>
      <c r="BE56" s="677">
        <v>0</v>
      </c>
      <c r="BF56" s="677">
        <v>0</v>
      </c>
      <c r="BG56" s="838">
        <f t="shared" si="7"/>
        <v>0</v>
      </c>
      <c r="BH56" s="681">
        <v>0</v>
      </c>
      <c r="BI56" s="677">
        <v>0</v>
      </c>
      <c r="BJ56" s="677">
        <v>0</v>
      </c>
      <c r="BK56" s="677">
        <v>0</v>
      </c>
      <c r="BL56" s="677">
        <v>0</v>
      </c>
      <c r="BM56" s="677">
        <v>0</v>
      </c>
      <c r="BN56" s="677">
        <v>0</v>
      </c>
      <c r="BO56" s="677">
        <v>0</v>
      </c>
      <c r="BP56" s="677">
        <v>0</v>
      </c>
      <c r="BQ56" s="677">
        <v>0</v>
      </c>
      <c r="BR56" s="677">
        <v>0</v>
      </c>
      <c r="BS56" s="677">
        <v>0</v>
      </c>
      <c r="BT56" s="838">
        <f t="shared" si="8"/>
        <v>0</v>
      </c>
    </row>
    <row r="57" spans="2:72" ht="14.5" x14ac:dyDescent="0.35">
      <c r="B57" s="597" t="s">
        <v>683</v>
      </c>
      <c r="C57" s="570" t="s">
        <v>733</v>
      </c>
      <c r="D57" s="570" t="s">
        <v>734</v>
      </c>
      <c r="E57" s="571" t="s">
        <v>19</v>
      </c>
      <c r="F57" s="678">
        <v>237.6</v>
      </c>
      <c r="G57" s="678">
        <v>254</v>
      </c>
      <c r="H57" s="678">
        <v>283</v>
      </c>
      <c r="I57" s="678">
        <v>273.5</v>
      </c>
      <c r="J57" s="678">
        <v>245.1</v>
      </c>
      <c r="K57" s="678">
        <v>218.4</v>
      </c>
      <c r="L57" s="678">
        <v>253.9</v>
      </c>
      <c r="M57" s="678">
        <v>248.2</v>
      </c>
      <c r="N57" s="678">
        <v>269.39999999999998</v>
      </c>
      <c r="O57" s="678">
        <v>294.8</v>
      </c>
      <c r="P57" s="678">
        <v>0</v>
      </c>
      <c r="Q57" s="678">
        <v>0</v>
      </c>
      <c r="R57" s="830">
        <f>SUM('Nurse Hours'!$F57:$Q57)</f>
        <v>2577.9</v>
      </c>
      <c r="S57" s="354"/>
      <c r="T57" s="616">
        <f t="shared" si="4"/>
        <v>1.2913043478260868</v>
      </c>
      <c r="U57" s="360">
        <f t="shared" si="4"/>
        <v>1.5119047619047619</v>
      </c>
      <c r="V57" s="360">
        <f t="shared" si="4"/>
        <v>1.6845238095238095</v>
      </c>
      <c r="W57" s="360">
        <f t="shared" si="4"/>
        <v>1.5539772727272727</v>
      </c>
      <c r="X57" s="360">
        <f t="shared" si="4"/>
        <v>1.3320652173913043</v>
      </c>
      <c r="Y57" s="360">
        <f t="shared" si="4"/>
        <v>1.365</v>
      </c>
      <c r="Z57" s="360">
        <f t="shared" si="4"/>
        <v>1.379891304347826</v>
      </c>
      <c r="AA57" s="360">
        <f t="shared" si="4"/>
        <v>1.4102272727272727</v>
      </c>
      <c r="AB57" s="360">
        <f t="shared" si="4"/>
        <v>1.6035714285714284</v>
      </c>
      <c r="AC57" s="360">
        <f t="shared" si="4"/>
        <v>1.6021739130434782</v>
      </c>
      <c r="AD57" s="360">
        <f t="shared" si="4"/>
        <v>0</v>
      </c>
      <c r="AE57" s="360">
        <f t="shared" si="4"/>
        <v>0</v>
      </c>
      <c r="AF57" s="834">
        <f t="shared" si="5"/>
        <v>1.4714041095890411</v>
      </c>
      <c r="AG57" s="353"/>
      <c r="AH57" s="680">
        <v>237.6</v>
      </c>
      <c r="AI57" s="678">
        <v>254</v>
      </c>
      <c r="AJ57" s="678">
        <v>283</v>
      </c>
      <c r="AK57" s="678">
        <v>273</v>
      </c>
      <c r="AL57" s="678">
        <v>245.1</v>
      </c>
      <c r="AM57" s="678">
        <v>218.4</v>
      </c>
      <c r="AN57" s="678">
        <v>253.9</v>
      </c>
      <c r="AO57" s="678">
        <v>248.2</v>
      </c>
      <c r="AP57" s="678">
        <v>269.39999999999998</v>
      </c>
      <c r="AQ57" s="678">
        <v>294.8</v>
      </c>
      <c r="AR57" s="678">
        <v>0</v>
      </c>
      <c r="AS57" s="678">
        <v>0</v>
      </c>
      <c r="AT57" s="823">
        <f t="shared" si="6"/>
        <v>2577.4</v>
      </c>
      <c r="AU57" s="680">
        <v>53.6</v>
      </c>
      <c r="AV57" s="678">
        <v>86</v>
      </c>
      <c r="AW57" s="678">
        <v>115</v>
      </c>
      <c r="AX57" s="678">
        <v>97</v>
      </c>
      <c r="AY57" s="678">
        <v>61.1</v>
      </c>
      <c r="AZ57" s="678">
        <v>58.4</v>
      </c>
      <c r="BA57" s="678">
        <v>69.900000000000006</v>
      </c>
      <c r="BB57" s="678">
        <v>72.2</v>
      </c>
      <c r="BC57" s="678">
        <v>101.4</v>
      </c>
      <c r="BD57" s="678">
        <v>110.8</v>
      </c>
      <c r="BE57" s="678">
        <v>0</v>
      </c>
      <c r="BF57" s="678">
        <v>0</v>
      </c>
      <c r="BG57" s="823">
        <f t="shared" si="7"/>
        <v>825.4</v>
      </c>
      <c r="BH57" s="680">
        <v>29.6</v>
      </c>
      <c r="BI57" s="678">
        <v>86</v>
      </c>
      <c r="BJ57" s="678">
        <v>115</v>
      </c>
      <c r="BK57" s="678">
        <v>81</v>
      </c>
      <c r="BL57" s="678">
        <v>53.1</v>
      </c>
      <c r="BM57" s="678">
        <v>58.4</v>
      </c>
      <c r="BN57" s="678">
        <v>37.9</v>
      </c>
      <c r="BO57" s="678">
        <v>48.2</v>
      </c>
      <c r="BP57" s="678">
        <v>69.400000000000006</v>
      </c>
      <c r="BQ57" s="678">
        <v>70.8</v>
      </c>
      <c r="BR57" s="678">
        <v>0</v>
      </c>
      <c r="BS57" s="678">
        <v>0</v>
      </c>
      <c r="BT57" s="823">
        <f t="shared" si="8"/>
        <v>649.4</v>
      </c>
    </row>
    <row r="58" spans="2:72" ht="14.5" x14ac:dyDescent="0.35">
      <c r="B58" s="597" t="s">
        <v>684</v>
      </c>
      <c r="C58" s="570" t="s">
        <v>733</v>
      </c>
      <c r="D58" s="570" t="s">
        <v>734</v>
      </c>
      <c r="E58" s="571" t="s">
        <v>19</v>
      </c>
      <c r="F58" s="678">
        <v>121.3</v>
      </c>
      <c r="G58" s="678">
        <v>185.3</v>
      </c>
      <c r="H58" s="678">
        <v>187.1</v>
      </c>
      <c r="I58" s="678">
        <v>216.4</v>
      </c>
      <c r="J58" s="678">
        <v>198.9</v>
      </c>
      <c r="K58" s="678">
        <v>189.6</v>
      </c>
      <c r="L58" s="678">
        <v>207</v>
      </c>
      <c r="M58" s="678">
        <v>164.2</v>
      </c>
      <c r="N58" s="678">
        <v>174.6</v>
      </c>
      <c r="O58" s="678">
        <v>0</v>
      </c>
      <c r="P58" s="678">
        <v>0</v>
      </c>
      <c r="Q58" s="678">
        <v>0</v>
      </c>
      <c r="R58" s="830">
        <f>SUM('Nurse Hours'!$F58:$Q58)</f>
        <v>1644.3999999999999</v>
      </c>
      <c r="S58" s="354"/>
      <c r="T58" s="615">
        <f t="shared" si="4"/>
        <v>0.65923913043478255</v>
      </c>
      <c r="U58" s="606">
        <f t="shared" si="4"/>
        <v>1.1029761904761906</v>
      </c>
      <c r="V58" s="606">
        <f t="shared" si="4"/>
        <v>1.1136904761904762</v>
      </c>
      <c r="W58" s="606">
        <f t="shared" si="4"/>
        <v>1.2295454545454545</v>
      </c>
      <c r="X58" s="606">
        <f t="shared" si="4"/>
        <v>1.0809782608695653</v>
      </c>
      <c r="Y58" s="606">
        <f t="shared" si="4"/>
        <v>1.1850000000000001</v>
      </c>
      <c r="Z58" s="606">
        <f t="shared" si="4"/>
        <v>1.125</v>
      </c>
      <c r="AA58" s="606">
        <f t="shared" si="4"/>
        <v>0.93295454545454537</v>
      </c>
      <c r="AB58" s="606">
        <f t="shared" si="4"/>
        <v>1.0392857142857141</v>
      </c>
      <c r="AC58" s="606">
        <f t="shared" si="4"/>
        <v>0</v>
      </c>
      <c r="AD58" s="606">
        <f t="shared" si="4"/>
        <v>0</v>
      </c>
      <c r="AE58" s="606">
        <f t="shared" si="4"/>
        <v>0</v>
      </c>
      <c r="AF58" s="833">
        <f t="shared" si="5"/>
        <v>1.0487244897959183</v>
      </c>
      <c r="AG58" s="353"/>
      <c r="AH58" s="681">
        <v>72.3</v>
      </c>
      <c r="AI58" s="677">
        <v>104.3</v>
      </c>
      <c r="AJ58" s="677">
        <v>185.6</v>
      </c>
      <c r="AK58" s="677">
        <v>190.9</v>
      </c>
      <c r="AL58" s="677">
        <v>198.4</v>
      </c>
      <c r="AM58" s="677">
        <v>188.1</v>
      </c>
      <c r="AN58" s="677">
        <v>206</v>
      </c>
      <c r="AO58" s="677">
        <v>156.19999999999999</v>
      </c>
      <c r="AP58" s="677">
        <v>149.30000000000001</v>
      </c>
      <c r="AQ58" s="677">
        <v>0</v>
      </c>
      <c r="AR58" s="677">
        <v>0</v>
      </c>
      <c r="AS58" s="677">
        <v>0</v>
      </c>
      <c r="AT58" s="838">
        <f t="shared" si="6"/>
        <v>1451.1</v>
      </c>
      <c r="AU58" s="681">
        <v>0</v>
      </c>
      <c r="AV58" s="677">
        <v>0</v>
      </c>
      <c r="AW58" s="677">
        <v>17.600000000000001</v>
      </c>
      <c r="AX58" s="677">
        <v>14.9</v>
      </c>
      <c r="AY58" s="677">
        <v>14.4</v>
      </c>
      <c r="AZ58" s="677">
        <v>28.1</v>
      </c>
      <c r="BA58" s="677">
        <v>22</v>
      </c>
      <c r="BB58" s="677">
        <v>0</v>
      </c>
      <c r="BC58" s="677">
        <v>0</v>
      </c>
      <c r="BD58" s="677">
        <v>0</v>
      </c>
      <c r="BE58" s="677">
        <v>0</v>
      </c>
      <c r="BF58" s="677">
        <v>0</v>
      </c>
      <c r="BG58" s="838">
        <f t="shared" si="7"/>
        <v>97</v>
      </c>
      <c r="BH58" s="681">
        <v>0</v>
      </c>
      <c r="BI58" s="677">
        <v>0</v>
      </c>
      <c r="BJ58" s="677">
        <v>17.600000000000001</v>
      </c>
      <c r="BK58" s="677">
        <v>6.9</v>
      </c>
      <c r="BL58" s="677">
        <v>6.4</v>
      </c>
      <c r="BM58" s="677">
        <v>28.1</v>
      </c>
      <c r="BN58" s="677">
        <v>11</v>
      </c>
      <c r="BO58" s="677">
        <v>0</v>
      </c>
      <c r="BP58" s="677">
        <v>0</v>
      </c>
      <c r="BQ58" s="677">
        <v>0</v>
      </c>
      <c r="BR58" s="677">
        <v>0</v>
      </c>
      <c r="BS58" s="677">
        <v>0</v>
      </c>
      <c r="BT58" s="838">
        <f t="shared" si="8"/>
        <v>70</v>
      </c>
    </row>
    <row r="59" spans="2:72" ht="14.5" x14ac:dyDescent="0.35">
      <c r="B59" s="593" t="s">
        <v>671</v>
      </c>
      <c r="C59" s="570" t="s">
        <v>747</v>
      </c>
      <c r="D59" s="570" t="s">
        <v>734</v>
      </c>
      <c r="E59" s="571" t="s">
        <v>19</v>
      </c>
      <c r="F59" s="678">
        <v>169.2</v>
      </c>
      <c r="G59" s="678">
        <v>188.6</v>
      </c>
      <c r="H59" s="678">
        <v>168.7</v>
      </c>
      <c r="I59" s="678">
        <v>136.1</v>
      </c>
      <c r="J59" s="678">
        <v>159.80000000000001</v>
      </c>
      <c r="K59" s="678">
        <v>116.5</v>
      </c>
      <c r="L59" s="678">
        <v>83.6</v>
      </c>
      <c r="M59" s="678">
        <v>39.200000000000003</v>
      </c>
      <c r="N59" s="678">
        <v>52</v>
      </c>
      <c r="O59" s="678">
        <v>57.7</v>
      </c>
      <c r="P59" s="678">
        <v>0</v>
      </c>
      <c r="Q59" s="678">
        <v>0</v>
      </c>
      <c r="R59" s="830">
        <f>SUM('Nurse Hours'!$F59:$Q59)</f>
        <v>1171.4000000000001</v>
      </c>
      <c r="S59" s="354"/>
      <c r="T59" s="616">
        <f t="shared" si="4"/>
        <v>0.91956521739130426</v>
      </c>
      <c r="U59" s="360">
        <f t="shared" si="4"/>
        <v>1.1226190476190476</v>
      </c>
      <c r="V59" s="360">
        <f t="shared" si="4"/>
        <v>1.0041666666666667</v>
      </c>
      <c r="W59" s="360">
        <f t="shared" si="4"/>
        <v>0.77329545454545456</v>
      </c>
      <c r="X59" s="360">
        <f t="shared" si="4"/>
        <v>0.86847826086956526</v>
      </c>
      <c r="Y59" s="360">
        <f t="shared" si="4"/>
        <v>0.72812500000000002</v>
      </c>
      <c r="Z59" s="360">
        <f t="shared" si="4"/>
        <v>0.45434782608695651</v>
      </c>
      <c r="AA59" s="360">
        <f t="shared" si="4"/>
        <v>0.22272727272727275</v>
      </c>
      <c r="AB59" s="360">
        <f t="shared" si="4"/>
        <v>0.30952380952380953</v>
      </c>
      <c r="AC59" s="360">
        <f t="shared" si="4"/>
        <v>0.31358695652173912</v>
      </c>
      <c r="AD59" s="360">
        <f t="shared" si="4"/>
        <v>0</v>
      </c>
      <c r="AE59" s="360">
        <f t="shared" si="4"/>
        <v>0</v>
      </c>
      <c r="AF59" s="834">
        <f t="shared" si="5"/>
        <v>0.66860730593607309</v>
      </c>
      <c r="AG59" s="353"/>
      <c r="AH59" s="680">
        <v>136.19999999999999</v>
      </c>
      <c r="AI59" s="678">
        <v>143.6</v>
      </c>
      <c r="AJ59" s="678">
        <v>127.6</v>
      </c>
      <c r="AK59" s="678">
        <v>106.1</v>
      </c>
      <c r="AL59" s="678">
        <v>133.80000000000001</v>
      </c>
      <c r="AM59" s="678">
        <v>108.5</v>
      </c>
      <c r="AN59" s="678">
        <v>75.599999999999994</v>
      </c>
      <c r="AO59" s="678">
        <v>39.200000000000003</v>
      </c>
      <c r="AP59" s="678">
        <v>44</v>
      </c>
      <c r="AQ59" s="678">
        <v>49.7</v>
      </c>
      <c r="AR59" s="678">
        <v>0</v>
      </c>
      <c r="AS59" s="678">
        <v>0</v>
      </c>
      <c r="AT59" s="823">
        <f t="shared" si="6"/>
        <v>964.30000000000007</v>
      </c>
      <c r="AU59" s="680">
        <v>20.2</v>
      </c>
      <c r="AV59" s="678">
        <v>27.6</v>
      </c>
      <c r="AW59" s="678">
        <v>20.2</v>
      </c>
      <c r="AX59" s="678">
        <v>0</v>
      </c>
      <c r="AY59" s="678">
        <v>11.8</v>
      </c>
      <c r="AZ59" s="678">
        <v>0</v>
      </c>
      <c r="BA59" s="678">
        <v>0</v>
      </c>
      <c r="BB59" s="678">
        <v>0</v>
      </c>
      <c r="BC59" s="678">
        <v>0</v>
      </c>
      <c r="BD59" s="678">
        <v>0</v>
      </c>
      <c r="BE59" s="678">
        <v>0</v>
      </c>
      <c r="BF59" s="678">
        <v>0</v>
      </c>
      <c r="BG59" s="823">
        <f t="shared" si="7"/>
        <v>79.8</v>
      </c>
      <c r="BH59" s="680">
        <v>0</v>
      </c>
      <c r="BI59" s="678">
        <v>3.6</v>
      </c>
      <c r="BJ59" s="678">
        <v>0</v>
      </c>
      <c r="BK59" s="678">
        <v>0</v>
      </c>
      <c r="BL59" s="678">
        <v>0</v>
      </c>
      <c r="BM59" s="678">
        <v>0</v>
      </c>
      <c r="BN59" s="678">
        <v>0</v>
      </c>
      <c r="BO59" s="678">
        <v>0</v>
      </c>
      <c r="BP59" s="678">
        <v>0</v>
      </c>
      <c r="BQ59" s="678">
        <v>0</v>
      </c>
      <c r="BR59" s="678">
        <v>0</v>
      </c>
      <c r="BS59" s="678">
        <v>0</v>
      </c>
      <c r="BT59" s="823">
        <f t="shared" si="8"/>
        <v>3.6</v>
      </c>
    </row>
    <row r="60" spans="2:72" ht="14.5" x14ac:dyDescent="0.35">
      <c r="B60" s="597" t="s">
        <v>685</v>
      </c>
      <c r="C60" s="570" t="s">
        <v>740</v>
      </c>
      <c r="D60" s="570" t="s">
        <v>734</v>
      </c>
      <c r="E60" s="571" t="s">
        <v>741</v>
      </c>
      <c r="F60" s="678">
        <v>242.3</v>
      </c>
      <c r="G60" s="678">
        <v>212.8</v>
      </c>
      <c r="H60" s="678">
        <v>236.6</v>
      </c>
      <c r="I60" s="678">
        <v>201.8</v>
      </c>
      <c r="J60" s="678">
        <v>228.2</v>
      </c>
      <c r="K60" s="678">
        <v>207.7</v>
      </c>
      <c r="L60" s="678">
        <v>233.7</v>
      </c>
      <c r="M60" s="678">
        <v>231.9</v>
      </c>
      <c r="N60" s="678">
        <v>208</v>
      </c>
      <c r="O60" s="678">
        <v>223</v>
      </c>
      <c r="P60" s="678">
        <v>0</v>
      </c>
      <c r="Q60" s="678">
        <v>0</v>
      </c>
      <c r="R60" s="830">
        <f>SUM('Nurse Hours'!$F60:$Q60)</f>
        <v>2226</v>
      </c>
      <c r="S60" s="354"/>
      <c r="T60" s="615">
        <f t="shared" si="4"/>
        <v>1.3168478260869565</v>
      </c>
      <c r="U60" s="606">
        <f t="shared" si="4"/>
        <v>1.2666666666666668</v>
      </c>
      <c r="V60" s="606">
        <f t="shared" si="4"/>
        <v>1.4083333333333332</v>
      </c>
      <c r="W60" s="606">
        <f t="shared" si="4"/>
        <v>1.1465909090909092</v>
      </c>
      <c r="X60" s="606">
        <f t="shared" si="4"/>
        <v>1.2402173913043477</v>
      </c>
      <c r="Y60" s="606">
        <f t="shared" si="4"/>
        <v>1.298125</v>
      </c>
      <c r="Z60" s="606">
        <f t="shared" si="4"/>
        <v>1.2701086956521739</v>
      </c>
      <c r="AA60" s="606">
        <f t="shared" si="4"/>
        <v>1.3176136363636364</v>
      </c>
      <c r="AB60" s="606">
        <f t="shared" si="4"/>
        <v>1.2380952380952381</v>
      </c>
      <c r="AC60" s="606">
        <f t="shared" si="4"/>
        <v>1.2119565217391304</v>
      </c>
      <c r="AD60" s="606">
        <f t="shared" si="4"/>
        <v>0</v>
      </c>
      <c r="AE60" s="606">
        <f t="shared" si="4"/>
        <v>0</v>
      </c>
      <c r="AF60" s="833">
        <f t="shared" si="5"/>
        <v>1.2705479452054795</v>
      </c>
      <c r="AG60" s="353"/>
      <c r="AH60" s="681">
        <v>240.3</v>
      </c>
      <c r="AI60" s="677">
        <v>210.8</v>
      </c>
      <c r="AJ60" s="677">
        <v>235.6</v>
      </c>
      <c r="AK60" s="677">
        <v>201.3</v>
      </c>
      <c r="AL60" s="677">
        <v>227.7</v>
      </c>
      <c r="AM60" s="677">
        <v>205.4</v>
      </c>
      <c r="AN60" s="677">
        <v>225.2</v>
      </c>
      <c r="AO60" s="677">
        <v>231.9</v>
      </c>
      <c r="AP60" s="677">
        <v>186.2</v>
      </c>
      <c r="AQ60" s="677">
        <v>185.3</v>
      </c>
      <c r="AR60" s="677">
        <v>0</v>
      </c>
      <c r="AS60" s="677">
        <v>0</v>
      </c>
      <c r="AT60" s="838">
        <f t="shared" si="6"/>
        <v>2149.7000000000003</v>
      </c>
      <c r="AU60" s="681">
        <v>56.3</v>
      </c>
      <c r="AV60" s="677">
        <v>42.8</v>
      </c>
      <c r="AW60" s="677">
        <v>67.599999999999994</v>
      </c>
      <c r="AX60" s="677">
        <v>25.3</v>
      </c>
      <c r="AY60" s="677">
        <v>43.7</v>
      </c>
      <c r="AZ60" s="677">
        <v>45.4</v>
      </c>
      <c r="BA60" s="677">
        <v>41.2</v>
      </c>
      <c r="BB60" s="677">
        <v>55.9</v>
      </c>
      <c r="BC60" s="677">
        <v>18.2</v>
      </c>
      <c r="BD60" s="677">
        <v>0</v>
      </c>
      <c r="BE60" s="677">
        <v>0</v>
      </c>
      <c r="BF60" s="677">
        <v>0</v>
      </c>
      <c r="BG60" s="838">
        <f t="shared" si="7"/>
        <v>396.39999999999992</v>
      </c>
      <c r="BH60" s="681">
        <v>48.3</v>
      </c>
      <c r="BI60" s="677">
        <v>42.8</v>
      </c>
      <c r="BJ60" s="677">
        <v>67.599999999999994</v>
      </c>
      <c r="BK60" s="677">
        <v>25.3</v>
      </c>
      <c r="BL60" s="677">
        <v>27.7</v>
      </c>
      <c r="BM60" s="677">
        <v>45.4</v>
      </c>
      <c r="BN60" s="677">
        <v>25.2</v>
      </c>
      <c r="BO60" s="677">
        <v>39.9</v>
      </c>
      <c r="BP60" s="677">
        <v>9.1999999999999993</v>
      </c>
      <c r="BQ60" s="677">
        <v>0</v>
      </c>
      <c r="BR60" s="677">
        <v>0</v>
      </c>
      <c r="BS60" s="677">
        <v>0</v>
      </c>
      <c r="BT60" s="838">
        <f t="shared" si="8"/>
        <v>331.39999999999992</v>
      </c>
    </row>
    <row r="61" spans="2:72" ht="14.5" x14ac:dyDescent="0.35">
      <c r="B61" s="597" t="s">
        <v>686</v>
      </c>
      <c r="C61" s="570" t="s">
        <v>748</v>
      </c>
      <c r="D61" s="570" t="s">
        <v>734</v>
      </c>
      <c r="E61" s="571" t="s">
        <v>19</v>
      </c>
      <c r="F61" s="678">
        <v>42.8</v>
      </c>
      <c r="G61" s="678">
        <v>179.5</v>
      </c>
      <c r="H61" s="678">
        <v>111</v>
      </c>
      <c r="I61" s="678">
        <v>93.4</v>
      </c>
      <c r="J61" s="678">
        <v>144.69999999999999</v>
      </c>
      <c r="K61" s="678">
        <v>120.3</v>
      </c>
      <c r="L61" s="678">
        <v>107.3</v>
      </c>
      <c r="M61" s="678">
        <v>70.599999999999994</v>
      </c>
      <c r="N61" s="678">
        <v>58.3</v>
      </c>
      <c r="O61" s="678">
        <v>47.5</v>
      </c>
      <c r="P61" s="678">
        <v>0</v>
      </c>
      <c r="Q61" s="678">
        <v>0</v>
      </c>
      <c r="R61" s="830">
        <f>SUM('Nurse Hours'!$F61:$Q61)</f>
        <v>975.4</v>
      </c>
      <c r="S61" s="354"/>
      <c r="T61" s="616">
        <f t="shared" si="4"/>
        <v>0.2326086956521739</v>
      </c>
      <c r="U61" s="360">
        <f t="shared" si="4"/>
        <v>1.0684523809523809</v>
      </c>
      <c r="V61" s="360">
        <f t="shared" si="4"/>
        <v>0.6607142857142857</v>
      </c>
      <c r="W61" s="360">
        <f t="shared" si="4"/>
        <v>0.53068181818181825</v>
      </c>
      <c r="X61" s="360">
        <f t="shared" si="4"/>
        <v>0.7864130434782608</v>
      </c>
      <c r="Y61" s="360">
        <f t="shared" si="4"/>
        <v>0.75187499999999996</v>
      </c>
      <c r="Z61" s="360">
        <f t="shared" si="4"/>
        <v>0.58315217391304341</v>
      </c>
      <c r="AA61" s="360">
        <f t="shared" si="4"/>
        <v>0.40113636363636362</v>
      </c>
      <c r="AB61" s="360">
        <f t="shared" si="4"/>
        <v>0.34702380952380951</v>
      </c>
      <c r="AC61" s="360">
        <f t="shared" si="4"/>
        <v>0.25815217391304346</v>
      </c>
      <c r="AD61" s="360">
        <f t="shared" si="4"/>
        <v>0</v>
      </c>
      <c r="AE61" s="360">
        <f t="shared" si="4"/>
        <v>0</v>
      </c>
      <c r="AF61" s="834">
        <f t="shared" si="5"/>
        <v>0.55673515981735155</v>
      </c>
      <c r="AG61" s="353"/>
      <c r="AH61" s="680">
        <v>42.8</v>
      </c>
      <c r="AI61" s="678">
        <v>179.5</v>
      </c>
      <c r="AJ61" s="678">
        <v>111</v>
      </c>
      <c r="AK61" s="678">
        <v>93.4</v>
      </c>
      <c r="AL61" s="678">
        <v>144.69999999999999</v>
      </c>
      <c r="AM61" s="678">
        <v>120.3</v>
      </c>
      <c r="AN61" s="678">
        <v>107.3</v>
      </c>
      <c r="AO61" s="678">
        <v>70.599999999999994</v>
      </c>
      <c r="AP61" s="678">
        <v>58.3</v>
      </c>
      <c r="AQ61" s="678">
        <v>0</v>
      </c>
      <c r="AR61" s="678">
        <v>0</v>
      </c>
      <c r="AS61" s="678">
        <v>0</v>
      </c>
      <c r="AT61" s="823">
        <f t="shared" si="6"/>
        <v>927.9</v>
      </c>
      <c r="AU61" s="680">
        <v>0</v>
      </c>
      <c r="AV61" s="678">
        <v>0</v>
      </c>
      <c r="AW61" s="678">
        <v>0</v>
      </c>
      <c r="AX61" s="678">
        <v>0</v>
      </c>
      <c r="AY61" s="678">
        <v>0</v>
      </c>
      <c r="AZ61" s="678">
        <v>0</v>
      </c>
      <c r="BA61" s="678">
        <v>0</v>
      </c>
      <c r="BB61" s="678">
        <v>0</v>
      </c>
      <c r="BC61" s="678">
        <v>0</v>
      </c>
      <c r="BD61" s="678">
        <v>0</v>
      </c>
      <c r="BE61" s="678">
        <v>0</v>
      </c>
      <c r="BF61" s="678">
        <v>0</v>
      </c>
      <c r="BG61" s="823">
        <f t="shared" si="7"/>
        <v>0</v>
      </c>
      <c r="BH61" s="680">
        <v>0</v>
      </c>
      <c r="BI61" s="678">
        <v>0</v>
      </c>
      <c r="BJ61" s="678">
        <v>0</v>
      </c>
      <c r="BK61" s="678">
        <v>0</v>
      </c>
      <c r="BL61" s="678">
        <v>0</v>
      </c>
      <c r="BM61" s="678">
        <v>0</v>
      </c>
      <c r="BN61" s="678">
        <v>0</v>
      </c>
      <c r="BO61" s="678">
        <v>0</v>
      </c>
      <c r="BP61" s="678">
        <v>0</v>
      </c>
      <c r="BQ61" s="678">
        <v>0</v>
      </c>
      <c r="BR61" s="678">
        <v>0</v>
      </c>
      <c r="BS61" s="678">
        <v>0</v>
      </c>
      <c r="BT61" s="823">
        <f t="shared" si="8"/>
        <v>0</v>
      </c>
    </row>
    <row r="62" spans="2:72" ht="14.5" x14ac:dyDescent="0.35">
      <c r="B62" s="597" t="s">
        <v>687</v>
      </c>
      <c r="C62" s="570" t="s">
        <v>733</v>
      </c>
      <c r="D62" s="570" t="s">
        <v>734</v>
      </c>
      <c r="E62" s="571" t="s">
        <v>19</v>
      </c>
      <c r="F62" s="678">
        <v>0</v>
      </c>
      <c r="G62" s="678">
        <v>0</v>
      </c>
      <c r="H62" s="678">
        <v>0</v>
      </c>
      <c r="I62" s="678">
        <v>112.88</v>
      </c>
      <c r="J62" s="678">
        <v>113</v>
      </c>
      <c r="K62" s="678">
        <v>124.2</v>
      </c>
      <c r="L62" s="678">
        <v>194.4</v>
      </c>
      <c r="M62" s="678">
        <v>205.4</v>
      </c>
      <c r="N62" s="678">
        <v>233.7</v>
      </c>
      <c r="O62" s="678">
        <v>280.60000000000002</v>
      </c>
      <c r="P62" s="678">
        <v>0</v>
      </c>
      <c r="Q62" s="678">
        <v>0</v>
      </c>
      <c r="R62" s="830">
        <f>SUM('Nurse Hours'!$F62:$Q62)</f>
        <v>1264.1799999999998</v>
      </c>
      <c r="S62" s="354"/>
      <c r="T62" s="615">
        <f t="shared" si="4"/>
        <v>0</v>
      </c>
      <c r="U62" s="606">
        <f t="shared" si="4"/>
        <v>0</v>
      </c>
      <c r="V62" s="606">
        <f t="shared" si="4"/>
        <v>0</v>
      </c>
      <c r="W62" s="606">
        <f t="shared" ref="W62:AE65" si="21">I62/I$36</f>
        <v>0.64136363636363636</v>
      </c>
      <c r="X62" s="606">
        <f t="shared" si="21"/>
        <v>0.61413043478260865</v>
      </c>
      <c r="Y62" s="606">
        <f t="shared" si="21"/>
        <v>0.77625</v>
      </c>
      <c r="Z62" s="606">
        <f t="shared" si="21"/>
        <v>1.0565217391304349</v>
      </c>
      <c r="AA62" s="606">
        <f t="shared" si="21"/>
        <v>1.1670454545454545</v>
      </c>
      <c r="AB62" s="606">
        <f t="shared" si="21"/>
        <v>1.3910714285714285</v>
      </c>
      <c r="AC62" s="606">
        <f t="shared" si="21"/>
        <v>1.5250000000000001</v>
      </c>
      <c r="AD62" s="606">
        <f t="shared" si="21"/>
        <v>0</v>
      </c>
      <c r="AE62" s="606">
        <f t="shared" si="21"/>
        <v>0</v>
      </c>
      <c r="AF62" s="833">
        <f t="shared" si="5"/>
        <v>1.0261201298701297</v>
      </c>
      <c r="AG62" s="353"/>
      <c r="AH62" s="681">
        <v>0</v>
      </c>
      <c r="AI62" s="677">
        <v>0</v>
      </c>
      <c r="AJ62" s="677">
        <v>0</v>
      </c>
      <c r="AK62" s="677">
        <v>76.8</v>
      </c>
      <c r="AL62" s="677">
        <v>110.3</v>
      </c>
      <c r="AM62" s="677">
        <v>120.2</v>
      </c>
      <c r="AN62" s="677">
        <v>189.2</v>
      </c>
      <c r="AO62" s="677">
        <v>183.4</v>
      </c>
      <c r="AP62" s="677">
        <v>231.8</v>
      </c>
      <c r="AQ62" s="677">
        <v>278.60000000000002</v>
      </c>
      <c r="AR62" s="677">
        <v>0</v>
      </c>
      <c r="AS62" s="677">
        <v>0</v>
      </c>
      <c r="AT62" s="838">
        <f t="shared" si="6"/>
        <v>1190.3000000000002</v>
      </c>
      <c r="AU62" s="681">
        <v>0</v>
      </c>
      <c r="AV62" s="677">
        <v>0</v>
      </c>
      <c r="AW62" s="677">
        <v>0</v>
      </c>
      <c r="AX62" s="677">
        <v>0</v>
      </c>
      <c r="AY62" s="677">
        <v>0</v>
      </c>
      <c r="AZ62" s="677">
        <v>0</v>
      </c>
      <c r="BA62" s="677">
        <v>5.2</v>
      </c>
      <c r="BB62" s="677">
        <v>7.4</v>
      </c>
      <c r="BC62" s="677">
        <v>63.8</v>
      </c>
      <c r="BD62" s="677">
        <v>94.6</v>
      </c>
      <c r="BE62" s="677">
        <v>0</v>
      </c>
      <c r="BF62" s="677">
        <v>0</v>
      </c>
      <c r="BG62" s="838">
        <f t="shared" si="7"/>
        <v>171</v>
      </c>
      <c r="BH62" s="681">
        <v>0</v>
      </c>
      <c r="BI62" s="677">
        <v>0</v>
      </c>
      <c r="BJ62" s="677">
        <v>0</v>
      </c>
      <c r="BK62" s="677">
        <v>0</v>
      </c>
      <c r="BL62" s="677">
        <v>0</v>
      </c>
      <c r="BM62" s="677">
        <v>0</v>
      </c>
      <c r="BN62" s="677">
        <v>0</v>
      </c>
      <c r="BO62" s="677">
        <v>7.4</v>
      </c>
      <c r="BP62" s="677">
        <v>55.8</v>
      </c>
      <c r="BQ62" s="677">
        <v>94.6</v>
      </c>
      <c r="BR62" s="677">
        <v>0</v>
      </c>
      <c r="BS62" s="677">
        <v>0</v>
      </c>
      <c r="BT62" s="838">
        <f t="shared" si="8"/>
        <v>157.79999999999998</v>
      </c>
    </row>
    <row r="63" spans="2:72" ht="14.5" x14ac:dyDescent="0.35">
      <c r="B63" s="597" t="s">
        <v>699</v>
      </c>
      <c r="C63" s="570" t="s">
        <v>730</v>
      </c>
      <c r="D63" s="570" t="s">
        <v>737</v>
      </c>
      <c r="E63" s="571" t="s">
        <v>19</v>
      </c>
      <c r="F63" s="678">
        <v>0</v>
      </c>
      <c r="G63" s="678">
        <v>0</v>
      </c>
      <c r="H63" s="678">
        <v>65.099999999999994</v>
      </c>
      <c r="I63" s="678">
        <v>81.3</v>
      </c>
      <c r="J63" s="678">
        <v>54.7</v>
      </c>
      <c r="K63" s="678">
        <v>44.6</v>
      </c>
      <c r="L63" s="678">
        <v>39.799999999999997</v>
      </c>
      <c r="M63" s="678">
        <v>23.2</v>
      </c>
      <c r="N63" s="678">
        <v>44</v>
      </c>
      <c r="O63" s="678">
        <v>29</v>
      </c>
      <c r="P63" s="678">
        <v>0</v>
      </c>
      <c r="Q63" s="678">
        <v>0</v>
      </c>
      <c r="R63" s="830">
        <f>SUM('Nurse Hours'!$F63:$Q63)</f>
        <v>381.69999999999993</v>
      </c>
      <c r="S63" s="354"/>
      <c r="T63" s="616">
        <f t="shared" ref="T63:V65" si="22">F63/F$36</f>
        <v>0</v>
      </c>
      <c r="U63" s="360">
        <f t="shared" si="22"/>
        <v>0</v>
      </c>
      <c r="V63" s="360">
        <f t="shared" si="22"/>
        <v>0.38749999999999996</v>
      </c>
      <c r="W63" s="360">
        <f t="shared" si="21"/>
        <v>0.46193181818181817</v>
      </c>
      <c r="X63" s="360">
        <f t="shared" si="21"/>
        <v>0.29728260869565221</v>
      </c>
      <c r="Y63" s="360">
        <f t="shared" si="21"/>
        <v>0.27875</v>
      </c>
      <c r="Z63" s="360">
        <f t="shared" si="21"/>
        <v>0.21630434782608693</v>
      </c>
      <c r="AA63" s="360">
        <f t="shared" si="21"/>
        <v>0.13181818181818181</v>
      </c>
      <c r="AB63" s="360">
        <f t="shared" si="21"/>
        <v>0.26190476190476192</v>
      </c>
      <c r="AC63" s="360">
        <f t="shared" si="21"/>
        <v>0.15760869565217392</v>
      </c>
      <c r="AD63" s="360">
        <f t="shared" si="21"/>
        <v>0</v>
      </c>
      <c r="AE63" s="360">
        <f t="shared" si="21"/>
        <v>0</v>
      </c>
      <c r="AF63" s="834">
        <f t="shared" si="5"/>
        <v>0.27264285714285708</v>
      </c>
      <c r="AG63" s="353"/>
      <c r="AH63" s="680">
        <v>0</v>
      </c>
      <c r="AI63" s="678">
        <v>0</v>
      </c>
      <c r="AJ63" s="678">
        <v>0</v>
      </c>
      <c r="AK63" s="678">
        <v>0</v>
      </c>
      <c r="AL63" s="678">
        <v>0</v>
      </c>
      <c r="AM63" s="678">
        <v>0</v>
      </c>
      <c r="AN63" s="678">
        <v>0</v>
      </c>
      <c r="AO63" s="678">
        <v>0</v>
      </c>
      <c r="AP63" s="678">
        <v>0</v>
      </c>
      <c r="AQ63" s="678">
        <v>0</v>
      </c>
      <c r="AR63" s="678">
        <v>0</v>
      </c>
      <c r="AS63" s="678">
        <v>0</v>
      </c>
      <c r="AT63" s="823">
        <f t="shared" si="6"/>
        <v>0</v>
      </c>
      <c r="AU63" s="680">
        <v>0</v>
      </c>
      <c r="AV63" s="678">
        <v>0</v>
      </c>
      <c r="AW63" s="678">
        <v>0</v>
      </c>
      <c r="AX63" s="678">
        <v>0</v>
      </c>
      <c r="AY63" s="678">
        <v>0</v>
      </c>
      <c r="AZ63" s="678">
        <v>0</v>
      </c>
      <c r="BA63" s="678">
        <v>0</v>
      </c>
      <c r="BB63" s="678">
        <v>0</v>
      </c>
      <c r="BC63" s="678">
        <v>0</v>
      </c>
      <c r="BD63" s="678"/>
      <c r="BE63" s="678">
        <v>0</v>
      </c>
      <c r="BF63" s="678">
        <v>0</v>
      </c>
      <c r="BG63" s="823">
        <f t="shared" si="7"/>
        <v>0</v>
      </c>
      <c r="BH63" s="680">
        <v>0</v>
      </c>
      <c r="BI63" s="678">
        <v>0</v>
      </c>
      <c r="BJ63" s="678">
        <v>0</v>
      </c>
      <c r="BK63" s="678">
        <v>0</v>
      </c>
      <c r="BL63" s="678">
        <v>0</v>
      </c>
      <c r="BM63" s="678">
        <v>0</v>
      </c>
      <c r="BN63" s="678">
        <v>0</v>
      </c>
      <c r="BO63" s="678">
        <v>0</v>
      </c>
      <c r="BP63" s="678">
        <v>0</v>
      </c>
      <c r="BQ63" s="678">
        <v>0</v>
      </c>
      <c r="BR63" s="678">
        <v>0</v>
      </c>
      <c r="BS63" s="678">
        <v>0</v>
      </c>
      <c r="BT63" s="823">
        <f t="shared" si="8"/>
        <v>0</v>
      </c>
    </row>
    <row r="64" spans="2:72" ht="14.5" x14ac:dyDescent="0.35">
      <c r="B64" s="597" t="s">
        <v>688</v>
      </c>
      <c r="C64" s="570" t="s">
        <v>740</v>
      </c>
      <c r="D64" s="570" t="s">
        <v>734</v>
      </c>
      <c r="E64" s="571" t="s">
        <v>741</v>
      </c>
      <c r="F64" s="678">
        <v>215.7</v>
      </c>
      <c r="G64" s="678">
        <v>195.6</v>
      </c>
      <c r="H64" s="678">
        <v>200.5</v>
      </c>
      <c r="I64" s="678">
        <v>200</v>
      </c>
      <c r="J64" s="678">
        <v>212</v>
      </c>
      <c r="K64" s="678">
        <v>198.8</v>
      </c>
      <c r="L64" s="678">
        <v>210.6</v>
      </c>
      <c r="M64" s="678">
        <v>197.2</v>
      </c>
      <c r="N64" s="678">
        <v>182.3</v>
      </c>
      <c r="O64" s="678">
        <v>201</v>
      </c>
      <c r="P64" s="678">
        <v>0</v>
      </c>
      <c r="Q64" s="678">
        <v>0</v>
      </c>
      <c r="R64" s="830">
        <f>SUM('Nurse Hours'!$F64:$Q64)</f>
        <v>2013.6999999999998</v>
      </c>
      <c r="S64" s="354"/>
      <c r="T64" s="615">
        <f t="shared" si="22"/>
        <v>1.1722826086956522</v>
      </c>
      <c r="U64" s="606">
        <f t="shared" si="22"/>
        <v>1.1642857142857141</v>
      </c>
      <c r="V64" s="606">
        <f t="shared" si="22"/>
        <v>1.1934523809523809</v>
      </c>
      <c r="W64" s="606">
        <f t="shared" si="21"/>
        <v>1.1363636363636365</v>
      </c>
      <c r="X64" s="606">
        <f t="shared" si="21"/>
        <v>1.1521739130434783</v>
      </c>
      <c r="Y64" s="606">
        <f t="shared" si="21"/>
        <v>1.2425000000000002</v>
      </c>
      <c r="Z64" s="606">
        <f t="shared" si="21"/>
        <v>1.1445652173913043</v>
      </c>
      <c r="AA64" s="606">
        <f t="shared" si="21"/>
        <v>1.1204545454545454</v>
      </c>
      <c r="AB64" s="606">
        <f t="shared" si="21"/>
        <v>1.0851190476190478</v>
      </c>
      <c r="AC64" s="606">
        <f t="shared" si="21"/>
        <v>1.0923913043478262</v>
      </c>
      <c r="AD64" s="606">
        <f t="shared" si="21"/>
        <v>0</v>
      </c>
      <c r="AE64" s="606">
        <f t="shared" si="21"/>
        <v>0</v>
      </c>
      <c r="AF64" s="833">
        <f t="shared" si="5"/>
        <v>1.1493721461187214</v>
      </c>
      <c r="AG64" s="353"/>
      <c r="AH64" s="681">
        <v>215.7</v>
      </c>
      <c r="AI64" s="677">
        <v>194.6</v>
      </c>
      <c r="AJ64" s="677">
        <v>200.5</v>
      </c>
      <c r="AK64" s="677">
        <v>199.5</v>
      </c>
      <c r="AL64" s="677">
        <v>211.5</v>
      </c>
      <c r="AM64" s="677">
        <v>198.8</v>
      </c>
      <c r="AN64" s="677">
        <v>206.5</v>
      </c>
      <c r="AO64" s="677">
        <v>194.2</v>
      </c>
      <c r="AP64" s="677">
        <v>164.4</v>
      </c>
      <c r="AQ64" s="677">
        <v>181.4</v>
      </c>
      <c r="AR64" s="677">
        <v>0</v>
      </c>
      <c r="AS64" s="677">
        <v>0</v>
      </c>
      <c r="AT64" s="838">
        <f t="shared" si="6"/>
        <v>1967.1000000000001</v>
      </c>
      <c r="AU64" s="681">
        <v>31.7</v>
      </c>
      <c r="AV64" s="677">
        <v>26.6</v>
      </c>
      <c r="AW64" s="677">
        <v>32.5</v>
      </c>
      <c r="AX64" s="677">
        <v>23.5</v>
      </c>
      <c r="AY64" s="677">
        <v>27.5</v>
      </c>
      <c r="AZ64" s="677">
        <v>38.799999999999997</v>
      </c>
      <c r="BA64" s="677">
        <v>22.5</v>
      </c>
      <c r="BB64" s="677">
        <v>18.2</v>
      </c>
      <c r="BC64" s="677">
        <v>0</v>
      </c>
      <c r="BD64" s="677">
        <v>0</v>
      </c>
      <c r="BE64" s="677">
        <v>0</v>
      </c>
      <c r="BF64" s="677">
        <v>0</v>
      </c>
      <c r="BG64" s="838">
        <f t="shared" si="7"/>
        <v>221.3</v>
      </c>
      <c r="BH64" s="681">
        <v>23.7</v>
      </c>
      <c r="BI64" s="677">
        <v>26.6</v>
      </c>
      <c r="BJ64" s="677">
        <v>32.5</v>
      </c>
      <c r="BK64" s="677">
        <v>23.5</v>
      </c>
      <c r="BL64" s="677">
        <v>19.5</v>
      </c>
      <c r="BM64" s="677">
        <v>38.799999999999997</v>
      </c>
      <c r="BN64" s="677">
        <v>14.5</v>
      </c>
      <c r="BO64" s="677">
        <v>10.199999999999999</v>
      </c>
      <c r="BP64" s="677">
        <v>0</v>
      </c>
      <c r="BQ64" s="677">
        <v>0</v>
      </c>
      <c r="BR64" s="677">
        <v>0</v>
      </c>
      <c r="BS64" s="677">
        <v>0</v>
      </c>
      <c r="BT64" s="838">
        <f t="shared" si="8"/>
        <v>189.29999999999998</v>
      </c>
    </row>
    <row r="65" spans="2:72" ht="14.5" x14ac:dyDescent="0.35">
      <c r="B65" s="597" t="s">
        <v>749</v>
      </c>
      <c r="C65" s="570" t="s">
        <v>733</v>
      </c>
      <c r="D65" s="570" t="s">
        <v>734</v>
      </c>
      <c r="E65" s="571"/>
      <c r="F65" s="678">
        <v>0</v>
      </c>
      <c r="G65" s="678">
        <v>0</v>
      </c>
      <c r="H65" s="678">
        <v>0</v>
      </c>
      <c r="I65" s="678">
        <v>0</v>
      </c>
      <c r="J65" s="678">
        <v>0</v>
      </c>
      <c r="K65" s="678">
        <v>0</v>
      </c>
      <c r="L65" s="678">
        <v>66.400000000000006</v>
      </c>
      <c r="M65" s="678">
        <v>123.6</v>
      </c>
      <c r="N65" s="678">
        <v>131.19999999999999</v>
      </c>
      <c r="O65" s="678">
        <v>170.8</v>
      </c>
      <c r="P65" s="678">
        <v>0</v>
      </c>
      <c r="Q65" s="678">
        <v>0</v>
      </c>
      <c r="R65" s="830">
        <f>SUM('Nurse Hours'!$F65:$Q65)</f>
        <v>492</v>
      </c>
      <c r="S65" s="354"/>
      <c r="T65" s="616">
        <f t="shared" si="22"/>
        <v>0</v>
      </c>
      <c r="U65" s="360">
        <f t="shared" si="22"/>
        <v>0</v>
      </c>
      <c r="V65" s="360">
        <f t="shared" ref="V65" si="23">H65/H$36</f>
        <v>0</v>
      </c>
      <c r="W65" s="360">
        <f t="shared" si="21"/>
        <v>0</v>
      </c>
      <c r="X65" s="360">
        <f t="shared" si="21"/>
        <v>0</v>
      </c>
      <c r="Y65" s="360">
        <f t="shared" si="21"/>
        <v>0</v>
      </c>
      <c r="Z65" s="360">
        <f t="shared" si="21"/>
        <v>0.36086956521739133</v>
      </c>
      <c r="AA65" s="360">
        <f t="shared" si="21"/>
        <v>0.70227272727272727</v>
      </c>
      <c r="AB65" s="360">
        <f t="shared" si="21"/>
        <v>0.78095238095238084</v>
      </c>
      <c r="AC65" s="360">
        <f t="shared" si="21"/>
        <v>0.92826086956521747</v>
      </c>
      <c r="AD65" s="360">
        <f t="shared" si="21"/>
        <v>0</v>
      </c>
      <c r="AE65" s="360">
        <f t="shared" si="21"/>
        <v>0</v>
      </c>
      <c r="AF65" s="834">
        <f t="shared" si="5"/>
        <v>0.6910112359550562</v>
      </c>
      <c r="AG65" s="353"/>
      <c r="AH65" s="680">
        <v>0</v>
      </c>
      <c r="AI65" s="678">
        <v>0</v>
      </c>
      <c r="AJ65" s="678">
        <v>0</v>
      </c>
      <c r="AK65" s="678">
        <v>0</v>
      </c>
      <c r="AL65" s="678">
        <v>0</v>
      </c>
      <c r="AM65" s="678">
        <v>0</v>
      </c>
      <c r="AN65" s="678">
        <v>66.400000000000006</v>
      </c>
      <c r="AO65" s="678">
        <v>123.6</v>
      </c>
      <c r="AP65" s="678">
        <v>130.4</v>
      </c>
      <c r="AQ65" s="678">
        <v>169.3</v>
      </c>
      <c r="AR65" s="678">
        <v>0</v>
      </c>
      <c r="AS65" s="678">
        <v>0</v>
      </c>
      <c r="AT65" s="823">
        <f t="shared" si="6"/>
        <v>489.7</v>
      </c>
      <c r="AU65" s="680">
        <v>0</v>
      </c>
      <c r="AV65" s="678">
        <v>0</v>
      </c>
      <c r="AW65" s="678">
        <v>0</v>
      </c>
      <c r="AX65" s="678">
        <v>0</v>
      </c>
      <c r="AY65" s="678">
        <v>0</v>
      </c>
      <c r="AZ65" s="678">
        <v>0</v>
      </c>
      <c r="BA65" s="678">
        <v>0</v>
      </c>
      <c r="BB65" s="678">
        <v>0</v>
      </c>
      <c r="BC65" s="678">
        <v>0</v>
      </c>
      <c r="BD65" s="678">
        <v>0</v>
      </c>
      <c r="BE65" s="678">
        <v>0</v>
      </c>
      <c r="BF65" s="678">
        <v>0</v>
      </c>
      <c r="BG65" s="823">
        <f>SUM(AU65:BF65)</f>
        <v>0</v>
      </c>
      <c r="BH65" s="680">
        <v>0</v>
      </c>
      <c r="BI65" s="678">
        <v>0</v>
      </c>
      <c r="BJ65" s="678">
        <v>0</v>
      </c>
      <c r="BK65" s="678">
        <v>0</v>
      </c>
      <c r="BL65" s="678">
        <v>0</v>
      </c>
      <c r="BM65" s="678">
        <v>0</v>
      </c>
      <c r="BN65" s="678">
        <v>0</v>
      </c>
      <c r="BO65" s="678">
        <v>0</v>
      </c>
      <c r="BP65" s="678">
        <v>0</v>
      </c>
      <c r="BQ65" s="678">
        <v>0</v>
      </c>
      <c r="BR65" s="678">
        <v>0</v>
      </c>
      <c r="BS65" s="678">
        <v>0</v>
      </c>
      <c r="BT65" s="823">
        <f>SUM(BH65:BS65)</f>
        <v>0</v>
      </c>
    </row>
    <row r="66" spans="2:72" ht="14.5" x14ac:dyDescent="0.35">
      <c r="B66" s="597" t="s">
        <v>750</v>
      </c>
      <c r="C66" s="570" t="s">
        <v>733</v>
      </c>
      <c r="D66" s="570" t="s">
        <v>734</v>
      </c>
      <c r="E66" s="571" t="s">
        <v>746</v>
      </c>
      <c r="F66" s="678"/>
      <c r="G66" s="678"/>
      <c r="H66" s="678"/>
      <c r="I66" s="678"/>
      <c r="J66" s="678"/>
      <c r="K66" s="678"/>
      <c r="L66" s="678"/>
      <c r="M66" s="678"/>
      <c r="N66" s="678"/>
      <c r="O66" s="678">
        <v>18.899999999999999</v>
      </c>
      <c r="P66" s="678"/>
      <c r="Q66" s="678"/>
      <c r="R66" s="830">
        <f>SUM('Nurse Hours'!$F66:$Q66)</f>
        <v>18.899999999999999</v>
      </c>
      <c r="S66" s="354"/>
      <c r="T66" s="615"/>
      <c r="U66" s="606"/>
      <c r="V66" s="606"/>
      <c r="W66" s="606"/>
      <c r="X66" s="606"/>
      <c r="Y66" s="606"/>
      <c r="Z66" s="606"/>
      <c r="AA66" s="606"/>
      <c r="AB66" s="606"/>
      <c r="AC66" s="606"/>
      <c r="AD66" s="606"/>
      <c r="AE66" s="606"/>
      <c r="AF66" s="833">
        <f t="shared" si="5"/>
        <v>0.10271739130434782</v>
      </c>
      <c r="AG66" s="353"/>
      <c r="AH66" s="681"/>
      <c r="AI66" s="677"/>
      <c r="AJ66" s="677"/>
      <c r="AK66" s="677"/>
      <c r="AL66" s="677"/>
      <c r="AM66" s="677"/>
      <c r="AN66" s="677"/>
      <c r="AO66" s="677"/>
      <c r="AP66" s="677"/>
      <c r="AQ66" s="677">
        <v>18.899999999999999</v>
      </c>
      <c r="AR66" s="677"/>
      <c r="AS66" s="677"/>
      <c r="AT66" s="838">
        <f t="shared" si="6"/>
        <v>18.899999999999999</v>
      </c>
      <c r="AU66" s="681"/>
      <c r="AV66" s="677"/>
      <c r="AW66" s="677"/>
      <c r="AX66" s="677"/>
      <c r="AY66" s="677"/>
      <c r="AZ66" s="677"/>
      <c r="BA66" s="677"/>
      <c r="BB66" s="677"/>
      <c r="BC66" s="677"/>
      <c r="BD66" s="677"/>
      <c r="BE66" s="677"/>
      <c r="BF66" s="677"/>
      <c r="BG66" s="838">
        <f>SUM(AU66:BF66)</f>
        <v>0</v>
      </c>
      <c r="BH66" s="681"/>
      <c r="BI66" s="677"/>
      <c r="BJ66" s="677"/>
      <c r="BK66" s="677"/>
      <c r="BL66" s="677"/>
      <c r="BM66" s="677"/>
      <c r="BN66" s="677"/>
      <c r="BO66" s="677"/>
      <c r="BP66" s="677"/>
      <c r="BQ66" s="677"/>
      <c r="BR66" s="677"/>
      <c r="BS66" s="677"/>
      <c r="BT66" s="838">
        <f>SUM(BH66:BS66)</f>
        <v>0</v>
      </c>
    </row>
    <row r="67" spans="2:72" ht="14.5" x14ac:dyDescent="0.35">
      <c r="B67" s="593" t="s">
        <v>672</v>
      </c>
      <c r="C67" s="570" t="s">
        <v>736</v>
      </c>
      <c r="D67" s="570" t="s">
        <v>734</v>
      </c>
      <c r="E67" s="571" t="s">
        <v>19</v>
      </c>
      <c r="F67" s="678">
        <v>154.80000000000001</v>
      </c>
      <c r="G67" s="678">
        <v>162.30000000000001</v>
      </c>
      <c r="H67" s="678">
        <v>160.6</v>
      </c>
      <c r="I67" s="678">
        <v>156.80000000000001</v>
      </c>
      <c r="J67" s="678">
        <v>160.30000000000001</v>
      </c>
      <c r="K67" s="678">
        <v>164.9</v>
      </c>
      <c r="L67" s="678">
        <v>142.9</v>
      </c>
      <c r="M67" s="678">
        <v>146.5</v>
      </c>
      <c r="N67" s="678">
        <v>158.4</v>
      </c>
      <c r="O67" s="678">
        <v>163.30000000000001</v>
      </c>
      <c r="P67" s="678">
        <v>0</v>
      </c>
      <c r="Q67" s="678">
        <v>0</v>
      </c>
      <c r="R67" s="830">
        <f>SUM('Nurse Hours'!$F67:$Q67)</f>
        <v>1570.8</v>
      </c>
      <c r="S67" s="354"/>
      <c r="T67" s="616">
        <f t="shared" ref="T67:T86" si="24">F67/F$36</f>
        <v>0.84130434782608698</v>
      </c>
      <c r="U67" s="360">
        <f t="shared" ref="U67:U86" si="25">G67/G$36</f>
        <v>0.96607142857142869</v>
      </c>
      <c r="V67" s="360">
        <f t="shared" ref="V67:V86" si="26">H67/H$36</f>
        <v>0.95595238095238089</v>
      </c>
      <c r="W67" s="360">
        <f t="shared" ref="W67:W86" si="27">I67/I$36</f>
        <v>0.89090909090909098</v>
      </c>
      <c r="X67" s="360">
        <f t="shared" ref="X67:X86" si="28">J67/J$36</f>
        <v>0.87119565217391315</v>
      </c>
      <c r="Y67" s="360">
        <f t="shared" ref="Y67:Y86" si="29">K67/K$36</f>
        <v>1.0306250000000001</v>
      </c>
      <c r="Z67" s="360">
        <f t="shared" ref="Z67:Z86" si="30">L67/L$36</f>
        <v>0.77663043478260874</v>
      </c>
      <c r="AA67" s="360">
        <f t="shared" ref="AA67:AA86" si="31">M67/M$36</f>
        <v>0.83238636363636365</v>
      </c>
      <c r="AB67" s="360">
        <f t="shared" ref="AB67:AB86" si="32">N67/N$36</f>
        <v>0.94285714285714284</v>
      </c>
      <c r="AC67" s="360">
        <f t="shared" ref="AC67:AC86" si="33">O67/O$36</f>
        <v>0.88750000000000007</v>
      </c>
      <c r="AD67" s="360">
        <f t="shared" ref="AD67:AD86" si="34">P67/P$36</f>
        <v>0</v>
      </c>
      <c r="AE67" s="360">
        <f t="shared" ref="AE67:AE86" si="35">Q67/Q$36</f>
        <v>0</v>
      </c>
      <c r="AF67" s="834">
        <f t="shared" ref="AF67:AF86" si="36">IFERROR(R67/SUMIF(F67:Q67,"&gt;0",$F$36:$Q$36),0)</f>
        <v>0.89657534246575343</v>
      </c>
      <c r="AG67" s="353"/>
      <c r="AH67" s="680">
        <v>138.80000000000001</v>
      </c>
      <c r="AI67" s="678">
        <v>161.80000000000001</v>
      </c>
      <c r="AJ67" s="678">
        <v>160.1</v>
      </c>
      <c r="AK67" s="678">
        <v>148.4</v>
      </c>
      <c r="AL67" s="678">
        <v>138.4</v>
      </c>
      <c r="AM67" s="678">
        <v>146.30000000000001</v>
      </c>
      <c r="AN67" s="678">
        <v>134.4</v>
      </c>
      <c r="AO67" s="678">
        <v>146.5</v>
      </c>
      <c r="AP67" s="678">
        <v>149.6</v>
      </c>
      <c r="AQ67" s="678">
        <v>147.30000000000001</v>
      </c>
      <c r="AR67" s="678">
        <v>0</v>
      </c>
      <c r="AS67" s="678">
        <v>0</v>
      </c>
      <c r="AT67" s="823">
        <f t="shared" si="6"/>
        <v>1471.6</v>
      </c>
      <c r="AU67" s="680">
        <v>0</v>
      </c>
      <c r="AV67" s="678">
        <v>21.8</v>
      </c>
      <c r="AW67" s="678">
        <v>20.100000000000001</v>
      </c>
      <c r="AX67" s="678">
        <v>8.1</v>
      </c>
      <c r="AY67" s="678">
        <v>0</v>
      </c>
      <c r="AZ67" s="678">
        <v>6.3</v>
      </c>
      <c r="BA67" s="678">
        <v>0</v>
      </c>
      <c r="BB67" s="678">
        <v>6.5</v>
      </c>
      <c r="BC67" s="678">
        <v>9.6</v>
      </c>
      <c r="BD67" s="678">
        <v>7.3</v>
      </c>
      <c r="BE67" s="678">
        <v>0</v>
      </c>
      <c r="BF67" s="678">
        <v>0</v>
      </c>
      <c r="BG67" s="823">
        <f t="shared" si="7"/>
        <v>79.7</v>
      </c>
      <c r="BH67" s="680">
        <v>0</v>
      </c>
      <c r="BI67" s="678">
        <v>21.8</v>
      </c>
      <c r="BJ67" s="678">
        <v>20.100000000000001</v>
      </c>
      <c r="BK67" s="678">
        <v>8.1</v>
      </c>
      <c r="BL67" s="678">
        <v>0</v>
      </c>
      <c r="BM67" s="678">
        <v>6.3</v>
      </c>
      <c r="BN67" s="678">
        <v>0</v>
      </c>
      <c r="BO67" s="678">
        <v>6.5</v>
      </c>
      <c r="BP67" s="678">
        <v>9.6</v>
      </c>
      <c r="BQ67" s="678">
        <v>7.3</v>
      </c>
      <c r="BR67" s="678">
        <v>0</v>
      </c>
      <c r="BS67" s="678">
        <v>0</v>
      </c>
      <c r="BT67" s="823">
        <f t="shared" si="8"/>
        <v>79.7</v>
      </c>
    </row>
    <row r="68" spans="2:72" ht="14.5" x14ac:dyDescent="0.35">
      <c r="B68" s="593" t="s">
        <v>673</v>
      </c>
      <c r="C68" s="570" t="s">
        <v>733</v>
      </c>
      <c r="D68" s="570" t="s">
        <v>734</v>
      </c>
      <c r="E68" s="571" t="s">
        <v>19</v>
      </c>
      <c r="F68" s="678">
        <v>240.4</v>
      </c>
      <c r="G68" s="678">
        <v>268.7</v>
      </c>
      <c r="H68" s="678">
        <v>218.1</v>
      </c>
      <c r="I68" s="678">
        <v>262</v>
      </c>
      <c r="J68" s="678">
        <v>243</v>
      </c>
      <c r="K68" s="678">
        <v>230.5</v>
      </c>
      <c r="L68" s="678">
        <v>277.39999999999998</v>
      </c>
      <c r="M68" s="678">
        <v>280.39999999999998</v>
      </c>
      <c r="N68" s="678">
        <v>272.39999999999998</v>
      </c>
      <c r="O68" s="678">
        <v>288.5</v>
      </c>
      <c r="P68" s="678">
        <v>0</v>
      </c>
      <c r="Q68" s="678">
        <v>0</v>
      </c>
      <c r="R68" s="830">
        <f>SUM('Nurse Hours'!$F68:$Q68)</f>
        <v>2581.4</v>
      </c>
      <c r="S68" s="354"/>
      <c r="T68" s="615">
        <f t="shared" si="24"/>
        <v>1.3065217391304349</v>
      </c>
      <c r="U68" s="606">
        <f t="shared" si="25"/>
        <v>1.5994047619047618</v>
      </c>
      <c r="V68" s="606">
        <f t="shared" si="26"/>
        <v>1.2982142857142858</v>
      </c>
      <c r="W68" s="606">
        <f t="shared" si="27"/>
        <v>1.4886363636363635</v>
      </c>
      <c r="X68" s="606">
        <f t="shared" si="28"/>
        <v>1.3206521739130435</v>
      </c>
      <c r="Y68" s="606">
        <f t="shared" si="29"/>
        <v>1.440625</v>
      </c>
      <c r="Z68" s="606">
        <f t="shared" si="30"/>
        <v>1.5076086956521737</v>
      </c>
      <c r="AA68" s="606">
        <f t="shared" si="31"/>
        <v>1.593181818181818</v>
      </c>
      <c r="AB68" s="606">
        <f t="shared" si="32"/>
        <v>1.6214285714285712</v>
      </c>
      <c r="AC68" s="606">
        <f t="shared" si="33"/>
        <v>1.5679347826086956</v>
      </c>
      <c r="AD68" s="606">
        <f t="shared" si="34"/>
        <v>0</v>
      </c>
      <c r="AE68" s="606">
        <f t="shared" si="35"/>
        <v>0</v>
      </c>
      <c r="AF68" s="833">
        <f t="shared" si="36"/>
        <v>1.4734018264840183</v>
      </c>
      <c r="AG68" s="353"/>
      <c r="AH68" s="681">
        <v>223.4</v>
      </c>
      <c r="AI68" s="677">
        <v>268.7</v>
      </c>
      <c r="AJ68" s="677">
        <v>217.6</v>
      </c>
      <c r="AK68" s="677">
        <v>261.10000000000002</v>
      </c>
      <c r="AL68" s="677">
        <v>234.5</v>
      </c>
      <c r="AM68" s="677">
        <v>229</v>
      </c>
      <c r="AN68" s="677">
        <v>260.89999999999998</v>
      </c>
      <c r="AO68" s="677">
        <v>280.39999999999998</v>
      </c>
      <c r="AP68" s="677">
        <v>272.39999999999998</v>
      </c>
      <c r="AQ68" s="677">
        <v>288.10000000000002</v>
      </c>
      <c r="AR68" s="677">
        <v>0</v>
      </c>
      <c r="AS68" s="677">
        <v>0</v>
      </c>
      <c r="AT68" s="838">
        <f t="shared" si="6"/>
        <v>2536.1000000000004</v>
      </c>
      <c r="AU68" s="681">
        <v>83.4</v>
      </c>
      <c r="AV68" s="677">
        <v>128.69999999999999</v>
      </c>
      <c r="AW68" s="677">
        <v>77.599999999999994</v>
      </c>
      <c r="AX68" s="677">
        <v>121.1</v>
      </c>
      <c r="AY68" s="677">
        <v>94.5</v>
      </c>
      <c r="AZ68" s="677">
        <v>89</v>
      </c>
      <c r="BA68" s="677">
        <v>120.9</v>
      </c>
      <c r="BB68" s="677">
        <v>104.4</v>
      </c>
      <c r="BC68" s="677">
        <v>104.4</v>
      </c>
      <c r="BD68" s="677">
        <v>104.1</v>
      </c>
      <c r="BE68" s="677">
        <v>0</v>
      </c>
      <c r="BF68" s="677">
        <v>0</v>
      </c>
      <c r="BG68" s="838">
        <f t="shared" si="7"/>
        <v>1028.0999999999999</v>
      </c>
      <c r="BH68" s="681">
        <v>83.4</v>
      </c>
      <c r="BI68" s="677">
        <v>128.69999999999999</v>
      </c>
      <c r="BJ68" s="677">
        <v>77.599999999999994</v>
      </c>
      <c r="BK68" s="677">
        <v>121.1</v>
      </c>
      <c r="BL68" s="677">
        <v>94.5</v>
      </c>
      <c r="BM68" s="677">
        <v>89</v>
      </c>
      <c r="BN68" s="677">
        <v>120.9</v>
      </c>
      <c r="BO68" s="677">
        <v>104.4</v>
      </c>
      <c r="BP68" s="677">
        <v>96.4</v>
      </c>
      <c r="BQ68" s="677">
        <v>104.1</v>
      </c>
      <c r="BR68" s="677">
        <v>0</v>
      </c>
      <c r="BS68" s="677">
        <v>0</v>
      </c>
      <c r="BT68" s="838">
        <f t="shared" si="8"/>
        <v>1020.0999999999999</v>
      </c>
    </row>
    <row r="69" spans="2:72" ht="14.5" x14ac:dyDescent="0.35">
      <c r="B69" s="597" t="s">
        <v>689</v>
      </c>
      <c r="C69" s="570" t="s">
        <v>733</v>
      </c>
      <c r="D69" s="570" t="s">
        <v>734</v>
      </c>
      <c r="E69" s="571" t="s">
        <v>19</v>
      </c>
      <c r="F69" s="678">
        <v>289.89999999999998</v>
      </c>
      <c r="G69" s="678">
        <v>261.89999999999998</v>
      </c>
      <c r="H69" s="678">
        <v>272.3</v>
      </c>
      <c r="I69" s="678">
        <v>285.60000000000002</v>
      </c>
      <c r="J69" s="678">
        <v>271</v>
      </c>
      <c r="K69" s="678">
        <v>271.60000000000002</v>
      </c>
      <c r="L69" s="678">
        <v>277.89999999999998</v>
      </c>
      <c r="M69" s="678">
        <v>258.7</v>
      </c>
      <c r="N69" s="678">
        <v>246.5</v>
      </c>
      <c r="O69" s="678">
        <v>295.10000000000002</v>
      </c>
      <c r="P69" s="678">
        <v>0</v>
      </c>
      <c r="Q69" s="678">
        <v>0</v>
      </c>
      <c r="R69" s="830">
        <f>SUM('Nurse Hours'!$F69:$Q69)</f>
        <v>2730.4999999999995</v>
      </c>
      <c r="S69" s="354"/>
      <c r="T69" s="616">
        <f t="shared" si="24"/>
        <v>1.5755434782608695</v>
      </c>
      <c r="U69" s="360">
        <f t="shared" si="25"/>
        <v>1.5589285714285712</v>
      </c>
      <c r="V69" s="360">
        <f t="shared" si="26"/>
        <v>1.6208333333333333</v>
      </c>
      <c r="W69" s="360">
        <f t="shared" si="27"/>
        <v>1.6227272727272728</v>
      </c>
      <c r="X69" s="360">
        <f t="shared" si="28"/>
        <v>1.4728260869565217</v>
      </c>
      <c r="Y69" s="360">
        <f t="shared" si="29"/>
        <v>1.6975000000000002</v>
      </c>
      <c r="Z69" s="360">
        <f t="shared" si="30"/>
        <v>1.5103260869565216</v>
      </c>
      <c r="AA69" s="360">
        <f t="shared" si="31"/>
        <v>1.4698863636363635</v>
      </c>
      <c r="AB69" s="360">
        <f t="shared" si="32"/>
        <v>1.4672619047619047</v>
      </c>
      <c r="AC69" s="360">
        <f t="shared" si="33"/>
        <v>1.6038043478260871</v>
      </c>
      <c r="AD69" s="360">
        <f t="shared" si="34"/>
        <v>0</v>
      </c>
      <c r="AE69" s="360">
        <f t="shared" si="35"/>
        <v>0</v>
      </c>
      <c r="AF69" s="834">
        <f t="shared" si="36"/>
        <v>1.5585045662100454</v>
      </c>
      <c r="AG69" s="353"/>
      <c r="AH69" s="680">
        <v>288.89999999999998</v>
      </c>
      <c r="AI69" s="678">
        <v>261.89999999999998</v>
      </c>
      <c r="AJ69" s="678">
        <v>272.3</v>
      </c>
      <c r="AK69" s="678">
        <v>284.3</v>
      </c>
      <c r="AL69" s="678">
        <v>271</v>
      </c>
      <c r="AM69" s="678">
        <v>270.3</v>
      </c>
      <c r="AN69" s="678">
        <v>277.89999999999998</v>
      </c>
      <c r="AO69" s="678">
        <v>258.7</v>
      </c>
      <c r="AP69" s="678">
        <v>246.5</v>
      </c>
      <c r="AQ69" s="678">
        <v>295.10000000000002</v>
      </c>
      <c r="AR69" s="678">
        <v>0</v>
      </c>
      <c r="AS69" s="678">
        <v>0</v>
      </c>
      <c r="AT69" s="823">
        <f t="shared" si="6"/>
        <v>2726.8999999999996</v>
      </c>
      <c r="AU69" s="680">
        <v>104.9</v>
      </c>
      <c r="AV69" s="678">
        <v>93.9</v>
      </c>
      <c r="AW69" s="678">
        <v>104.3</v>
      </c>
      <c r="AX69" s="678">
        <v>108.3</v>
      </c>
      <c r="AY69" s="678">
        <v>87</v>
      </c>
      <c r="AZ69" s="678">
        <v>110.3</v>
      </c>
      <c r="BA69" s="678">
        <v>93.9</v>
      </c>
      <c r="BB69" s="678">
        <v>82.7</v>
      </c>
      <c r="BC69" s="678">
        <v>78.5</v>
      </c>
      <c r="BD69" s="678">
        <v>111.1</v>
      </c>
      <c r="BE69" s="678">
        <v>0</v>
      </c>
      <c r="BF69" s="678">
        <v>0</v>
      </c>
      <c r="BG69" s="823">
        <f t="shared" si="7"/>
        <v>974.90000000000009</v>
      </c>
      <c r="BH69" s="680">
        <v>96.9</v>
      </c>
      <c r="BI69" s="678">
        <v>93.9</v>
      </c>
      <c r="BJ69" s="678">
        <v>104.3</v>
      </c>
      <c r="BK69" s="678">
        <v>108.3</v>
      </c>
      <c r="BL69" s="678">
        <v>79</v>
      </c>
      <c r="BM69" s="678">
        <v>109.3</v>
      </c>
      <c r="BN69" s="678">
        <v>37.9</v>
      </c>
      <c r="BO69" s="678">
        <v>82.7</v>
      </c>
      <c r="BP69" s="678">
        <v>70.5</v>
      </c>
      <c r="BQ69" s="678">
        <v>111.1</v>
      </c>
      <c r="BR69" s="678">
        <v>0</v>
      </c>
      <c r="BS69" s="678">
        <v>0</v>
      </c>
      <c r="BT69" s="823">
        <f t="shared" si="8"/>
        <v>893.90000000000009</v>
      </c>
    </row>
    <row r="70" spans="2:72" ht="14.5" x14ac:dyDescent="0.35">
      <c r="B70" s="597" t="s">
        <v>706</v>
      </c>
      <c r="C70" s="570" t="s">
        <v>19</v>
      </c>
      <c r="D70" s="570" t="s">
        <v>731</v>
      </c>
      <c r="E70" s="571" t="s">
        <v>19</v>
      </c>
      <c r="F70" s="678">
        <v>0</v>
      </c>
      <c r="G70" s="678">
        <v>0</v>
      </c>
      <c r="H70" s="678">
        <v>0</v>
      </c>
      <c r="I70" s="678">
        <v>0</v>
      </c>
      <c r="J70" s="678">
        <v>0</v>
      </c>
      <c r="K70" s="678">
        <v>0</v>
      </c>
      <c r="L70" s="678">
        <v>0</v>
      </c>
      <c r="M70" s="678">
        <v>0</v>
      </c>
      <c r="N70" s="678">
        <v>0</v>
      </c>
      <c r="O70" s="678">
        <v>0</v>
      </c>
      <c r="P70" s="678">
        <v>0</v>
      </c>
      <c r="Q70" s="678">
        <v>0</v>
      </c>
      <c r="R70" s="830">
        <f>SUM('Nurse Hours'!$F70:$Q70)</f>
        <v>0</v>
      </c>
      <c r="S70" s="354"/>
      <c r="T70" s="615">
        <f t="shared" ref="T70:AE70" si="37">F70/F$36</f>
        <v>0</v>
      </c>
      <c r="U70" s="606">
        <f t="shared" si="37"/>
        <v>0</v>
      </c>
      <c r="V70" s="606">
        <f t="shared" si="37"/>
        <v>0</v>
      </c>
      <c r="W70" s="606">
        <f t="shared" si="37"/>
        <v>0</v>
      </c>
      <c r="X70" s="606">
        <f t="shared" si="37"/>
        <v>0</v>
      </c>
      <c r="Y70" s="606">
        <f t="shared" si="37"/>
        <v>0</v>
      </c>
      <c r="Z70" s="606">
        <f t="shared" si="37"/>
        <v>0</v>
      </c>
      <c r="AA70" s="606">
        <f t="shared" si="37"/>
        <v>0</v>
      </c>
      <c r="AB70" s="606">
        <f t="shared" si="37"/>
        <v>0</v>
      </c>
      <c r="AC70" s="606">
        <f t="shared" si="37"/>
        <v>0</v>
      </c>
      <c r="AD70" s="606">
        <f t="shared" si="37"/>
        <v>0</v>
      </c>
      <c r="AE70" s="606">
        <f t="shared" si="37"/>
        <v>0</v>
      </c>
      <c r="AF70" s="833">
        <f>IFERROR(R70/SUMIF(F70:Q70,"&gt;0",$F$36:$Q$36),0)</f>
        <v>0</v>
      </c>
      <c r="AG70" s="353"/>
      <c r="AH70" s="681">
        <v>0</v>
      </c>
      <c r="AI70" s="677">
        <v>0</v>
      </c>
      <c r="AJ70" s="677">
        <v>0</v>
      </c>
      <c r="AK70" s="677">
        <v>0</v>
      </c>
      <c r="AL70" s="677">
        <v>0</v>
      </c>
      <c r="AM70" s="677">
        <v>0</v>
      </c>
      <c r="AN70" s="677">
        <v>0</v>
      </c>
      <c r="AO70" s="677">
        <v>0</v>
      </c>
      <c r="AP70" s="677">
        <v>0</v>
      </c>
      <c r="AQ70" s="677">
        <v>0</v>
      </c>
      <c r="AR70" s="677">
        <v>0</v>
      </c>
      <c r="AS70" s="677">
        <v>0</v>
      </c>
      <c r="AT70" s="838">
        <f>SUM(AH70:AS70)</f>
        <v>0</v>
      </c>
      <c r="AU70" s="681">
        <v>0</v>
      </c>
      <c r="AV70" s="677">
        <v>0</v>
      </c>
      <c r="AW70" s="677">
        <v>0</v>
      </c>
      <c r="AX70" s="677">
        <v>0</v>
      </c>
      <c r="AY70" s="677">
        <v>0</v>
      </c>
      <c r="AZ70" s="677">
        <v>0</v>
      </c>
      <c r="BA70" s="677">
        <v>0</v>
      </c>
      <c r="BB70" s="677">
        <v>0</v>
      </c>
      <c r="BC70" s="677">
        <v>0</v>
      </c>
      <c r="BD70" s="677">
        <v>0</v>
      </c>
      <c r="BE70" s="677">
        <v>0</v>
      </c>
      <c r="BF70" s="677">
        <v>0</v>
      </c>
      <c r="BG70" s="838">
        <f>SUM(AU70:BF70)</f>
        <v>0</v>
      </c>
      <c r="BH70" s="681">
        <v>0</v>
      </c>
      <c r="BI70" s="677">
        <v>0</v>
      </c>
      <c r="BJ70" s="677">
        <v>0</v>
      </c>
      <c r="BK70" s="677">
        <v>0</v>
      </c>
      <c r="BL70" s="677">
        <v>0</v>
      </c>
      <c r="BM70" s="677">
        <v>0</v>
      </c>
      <c r="BN70" s="677">
        <v>0</v>
      </c>
      <c r="BO70" s="677">
        <v>0</v>
      </c>
      <c r="BP70" s="677">
        <v>0</v>
      </c>
      <c r="BQ70" s="677">
        <v>0</v>
      </c>
      <c r="BR70" s="677">
        <v>0</v>
      </c>
      <c r="BS70" s="677">
        <v>0</v>
      </c>
      <c r="BT70" s="838">
        <f>SUM(BH70:BS70)</f>
        <v>0</v>
      </c>
    </row>
    <row r="71" spans="2:72" ht="14.5" x14ac:dyDescent="0.35">
      <c r="B71" s="597" t="s">
        <v>751</v>
      </c>
      <c r="C71" s="570" t="s">
        <v>733</v>
      </c>
      <c r="D71" s="570" t="s">
        <v>734</v>
      </c>
      <c r="E71" s="571" t="s">
        <v>746</v>
      </c>
      <c r="F71" s="678"/>
      <c r="G71" s="678"/>
      <c r="H71" s="678"/>
      <c r="I71" s="678"/>
      <c r="J71" s="678"/>
      <c r="K71" s="678"/>
      <c r="L71" s="678"/>
      <c r="M71" s="678"/>
      <c r="N71" s="678"/>
      <c r="O71" s="678">
        <v>9.8000000000000007</v>
      </c>
      <c r="P71" s="678"/>
      <c r="Q71" s="678"/>
      <c r="R71" s="830">
        <f>SUM('Nurse Hours'!$F71:$Q71)</f>
        <v>9.8000000000000007</v>
      </c>
      <c r="S71" s="354"/>
      <c r="T71" s="616"/>
      <c r="U71" s="360"/>
      <c r="V71" s="360"/>
      <c r="W71" s="360"/>
      <c r="X71" s="360"/>
      <c r="Y71" s="360"/>
      <c r="Z71" s="360"/>
      <c r="AA71" s="360"/>
      <c r="AB71" s="360"/>
      <c r="AC71" s="360"/>
      <c r="AD71" s="360"/>
      <c r="AE71" s="360"/>
      <c r="AF71" s="834">
        <f t="shared" si="36"/>
        <v>5.3260869565217396E-2</v>
      </c>
      <c r="AG71" s="353"/>
      <c r="AH71" s="680"/>
      <c r="AI71" s="678"/>
      <c r="AJ71" s="678"/>
      <c r="AK71" s="678"/>
      <c r="AL71" s="678"/>
      <c r="AM71" s="678"/>
      <c r="AN71" s="678"/>
      <c r="AO71" s="678"/>
      <c r="AP71" s="678"/>
      <c r="AQ71" s="678">
        <v>9.8000000000000007</v>
      </c>
      <c r="AR71" s="678"/>
      <c r="AS71" s="678"/>
      <c r="AT71" s="823">
        <f t="shared" si="6"/>
        <v>9.8000000000000007</v>
      </c>
      <c r="AU71" s="680"/>
      <c r="AV71" s="678"/>
      <c r="AW71" s="678"/>
      <c r="AX71" s="678"/>
      <c r="AY71" s="678"/>
      <c r="AZ71" s="678"/>
      <c r="BA71" s="678"/>
      <c r="BB71" s="678"/>
      <c r="BC71" s="678"/>
      <c r="BD71" s="678"/>
      <c r="BE71" s="678"/>
      <c r="BF71" s="678"/>
      <c r="BG71" s="823">
        <f t="shared" si="7"/>
        <v>0</v>
      </c>
      <c r="BH71" s="680"/>
      <c r="BI71" s="678"/>
      <c r="BJ71" s="678"/>
      <c r="BK71" s="678"/>
      <c r="BL71" s="678"/>
      <c r="BM71" s="678"/>
      <c r="BN71" s="678"/>
      <c r="BO71" s="678"/>
      <c r="BP71" s="678"/>
      <c r="BQ71" s="678"/>
      <c r="BR71" s="678"/>
      <c r="BS71" s="678"/>
      <c r="BT71" s="823">
        <f t="shared" si="8"/>
        <v>0</v>
      </c>
    </row>
    <row r="72" spans="2:72" ht="14.5" x14ac:dyDescent="0.35">
      <c r="B72" s="597" t="s">
        <v>676</v>
      </c>
      <c r="C72" s="570" t="s">
        <v>736</v>
      </c>
      <c r="D72" s="570" t="s">
        <v>739</v>
      </c>
      <c r="E72" s="571" t="s">
        <v>752</v>
      </c>
      <c r="F72" s="678">
        <v>0</v>
      </c>
      <c r="G72" s="678">
        <v>0</v>
      </c>
      <c r="H72" s="678">
        <v>0</v>
      </c>
      <c r="I72" s="678">
        <v>0</v>
      </c>
      <c r="J72" s="678">
        <v>0</v>
      </c>
      <c r="K72" s="678">
        <v>0</v>
      </c>
      <c r="L72" s="678">
        <v>0</v>
      </c>
      <c r="M72" s="678">
        <v>0</v>
      </c>
      <c r="N72" s="678">
        <v>0</v>
      </c>
      <c r="O72" s="678">
        <v>0</v>
      </c>
      <c r="P72" s="678">
        <v>0</v>
      </c>
      <c r="Q72" s="678">
        <v>0</v>
      </c>
      <c r="R72" s="830">
        <f>SUM('Nurse Hours'!$F72:$Q72)</f>
        <v>0</v>
      </c>
      <c r="S72" s="354"/>
      <c r="T72" s="615">
        <f t="shared" si="24"/>
        <v>0</v>
      </c>
      <c r="U72" s="606">
        <f t="shared" si="25"/>
        <v>0</v>
      </c>
      <c r="V72" s="606">
        <f t="shared" si="26"/>
        <v>0</v>
      </c>
      <c r="W72" s="606">
        <f t="shared" si="27"/>
        <v>0</v>
      </c>
      <c r="X72" s="606">
        <f t="shared" si="28"/>
        <v>0</v>
      </c>
      <c r="Y72" s="606">
        <f t="shared" si="29"/>
        <v>0</v>
      </c>
      <c r="Z72" s="606">
        <f t="shared" si="30"/>
        <v>0</v>
      </c>
      <c r="AA72" s="606">
        <f t="shared" si="31"/>
        <v>0</v>
      </c>
      <c r="AB72" s="606">
        <f t="shared" si="32"/>
        <v>0</v>
      </c>
      <c r="AC72" s="606">
        <f t="shared" si="33"/>
        <v>0</v>
      </c>
      <c r="AD72" s="606">
        <f t="shared" si="34"/>
        <v>0</v>
      </c>
      <c r="AE72" s="606">
        <f t="shared" si="35"/>
        <v>0</v>
      </c>
      <c r="AF72" s="833">
        <f t="shared" si="36"/>
        <v>0</v>
      </c>
      <c r="AG72" s="353"/>
      <c r="AH72" s="681">
        <v>0</v>
      </c>
      <c r="AI72" s="677">
        <v>0</v>
      </c>
      <c r="AJ72" s="677">
        <v>0</v>
      </c>
      <c r="AK72" s="677">
        <v>0</v>
      </c>
      <c r="AL72" s="677">
        <v>0</v>
      </c>
      <c r="AM72" s="677">
        <v>0</v>
      </c>
      <c r="AN72" s="677">
        <v>0</v>
      </c>
      <c r="AO72" s="677">
        <v>0</v>
      </c>
      <c r="AP72" s="677">
        <v>0</v>
      </c>
      <c r="AQ72" s="677">
        <v>0</v>
      </c>
      <c r="AR72" s="677">
        <v>0</v>
      </c>
      <c r="AS72" s="677">
        <v>0</v>
      </c>
      <c r="AT72" s="838">
        <f t="shared" si="6"/>
        <v>0</v>
      </c>
      <c r="AU72" s="681">
        <v>0</v>
      </c>
      <c r="AV72" s="677">
        <v>0</v>
      </c>
      <c r="AW72" s="677">
        <v>0</v>
      </c>
      <c r="AX72" s="677">
        <v>0</v>
      </c>
      <c r="AY72" s="677">
        <v>0</v>
      </c>
      <c r="AZ72" s="677">
        <v>0</v>
      </c>
      <c r="BA72" s="677">
        <v>0</v>
      </c>
      <c r="BB72" s="677">
        <v>0</v>
      </c>
      <c r="BC72" s="677">
        <v>0</v>
      </c>
      <c r="BD72" s="677">
        <v>0</v>
      </c>
      <c r="BE72" s="677">
        <v>0</v>
      </c>
      <c r="BF72" s="677">
        <v>0</v>
      </c>
      <c r="BG72" s="838">
        <f t="shared" si="7"/>
        <v>0</v>
      </c>
      <c r="BH72" s="681">
        <v>0</v>
      </c>
      <c r="BI72" s="677">
        <v>0</v>
      </c>
      <c r="BJ72" s="677">
        <v>0</v>
      </c>
      <c r="BK72" s="677">
        <v>0</v>
      </c>
      <c r="BL72" s="677">
        <v>0</v>
      </c>
      <c r="BM72" s="677">
        <v>0</v>
      </c>
      <c r="BN72" s="677">
        <v>0</v>
      </c>
      <c r="BO72" s="677">
        <v>0</v>
      </c>
      <c r="BP72" s="677">
        <v>0</v>
      </c>
      <c r="BQ72" s="677">
        <v>0</v>
      </c>
      <c r="BR72" s="677">
        <v>0</v>
      </c>
      <c r="BS72" s="677">
        <v>0</v>
      </c>
      <c r="BT72" s="838">
        <f t="shared" si="8"/>
        <v>0</v>
      </c>
    </row>
    <row r="73" spans="2:72" ht="29" x14ac:dyDescent="0.35">
      <c r="B73" s="825" t="s">
        <v>674</v>
      </c>
      <c r="C73" s="826" t="s">
        <v>730</v>
      </c>
      <c r="D73" s="826" t="s">
        <v>739</v>
      </c>
      <c r="E73" s="827" t="s">
        <v>753</v>
      </c>
      <c r="F73" s="828">
        <v>153</v>
      </c>
      <c r="G73" s="828">
        <v>149.9</v>
      </c>
      <c r="H73" s="828">
        <v>93.8</v>
      </c>
      <c r="I73" s="828">
        <v>0</v>
      </c>
      <c r="J73" s="828">
        <v>20.7</v>
      </c>
      <c r="K73" s="828">
        <v>57.3</v>
      </c>
      <c r="L73" s="828">
        <v>57.7</v>
      </c>
      <c r="M73" s="828">
        <v>56.2</v>
      </c>
      <c r="N73" s="828">
        <v>35.4</v>
      </c>
      <c r="O73" s="828">
        <v>0</v>
      </c>
      <c r="P73" s="828">
        <v>0</v>
      </c>
      <c r="Q73" s="828">
        <v>0</v>
      </c>
      <c r="R73" s="831">
        <f>SUM('Nurse Hours'!$F73:$Q73)</f>
        <v>624</v>
      </c>
      <c r="S73" s="354"/>
      <c r="T73" s="616">
        <f t="shared" si="24"/>
        <v>0.83152173913043481</v>
      </c>
      <c r="U73" s="360">
        <f t="shared" si="25"/>
        <v>0.89226190476190481</v>
      </c>
      <c r="V73" s="360">
        <f t="shared" si="26"/>
        <v>0.55833333333333335</v>
      </c>
      <c r="W73" s="360">
        <f t="shared" si="27"/>
        <v>0</v>
      </c>
      <c r="X73" s="360">
        <f t="shared" si="28"/>
        <v>0.1125</v>
      </c>
      <c r="Y73" s="360">
        <f t="shared" si="29"/>
        <v>0.35812499999999997</v>
      </c>
      <c r="Z73" s="360">
        <f t="shared" si="30"/>
        <v>0.31358695652173912</v>
      </c>
      <c r="AA73" s="360">
        <f t="shared" si="31"/>
        <v>0.31931818181818183</v>
      </c>
      <c r="AB73" s="360">
        <f t="shared" si="32"/>
        <v>0.21071428571428572</v>
      </c>
      <c r="AC73" s="360">
        <f t="shared" si="33"/>
        <v>0</v>
      </c>
      <c r="AD73" s="360">
        <f t="shared" si="34"/>
        <v>0</v>
      </c>
      <c r="AE73" s="360">
        <f t="shared" si="35"/>
        <v>0</v>
      </c>
      <c r="AF73" s="834">
        <f t="shared" si="36"/>
        <v>0.44827586206896552</v>
      </c>
      <c r="AG73" s="353"/>
      <c r="AH73" s="680">
        <v>144</v>
      </c>
      <c r="AI73" s="678">
        <v>137.4</v>
      </c>
      <c r="AJ73" s="678">
        <v>85.8</v>
      </c>
      <c r="AK73" s="678">
        <v>0</v>
      </c>
      <c r="AL73" s="678">
        <v>0</v>
      </c>
      <c r="AM73" s="678">
        <v>57.3</v>
      </c>
      <c r="AN73" s="678">
        <v>57.7</v>
      </c>
      <c r="AO73" s="678">
        <v>56.2</v>
      </c>
      <c r="AP73" s="678">
        <v>0</v>
      </c>
      <c r="AQ73" s="678">
        <v>0</v>
      </c>
      <c r="AR73" s="678">
        <v>0</v>
      </c>
      <c r="AS73" s="678">
        <v>0</v>
      </c>
      <c r="AT73" s="823">
        <f t="shared" si="6"/>
        <v>538.4</v>
      </c>
      <c r="AU73" s="680">
        <v>4</v>
      </c>
      <c r="AV73" s="678">
        <v>0</v>
      </c>
      <c r="AW73" s="678">
        <v>0</v>
      </c>
      <c r="AX73" s="678">
        <v>0</v>
      </c>
      <c r="AY73" s="678">
        <v>0</v>
      </c>
      <c r="AZ73" s="678">
        <v>0</v>
      </c>
      <c r="BA73" s="678">
        <v>0</v>
      </c>
      <c r="BB73" s="678">
        <v>0</v>
      </c>
      <c r="BC73" s="678">
        <v>0</v>
      </c>
      <c r="BD73" s="678">
        <v>0</v>
      </c>
      <c r="BE73" s="678">
        <v>0</v>
      </c>
      <c r="BF73" s="678">
        <v>0</v>
      </c>
      <c r="BG73" s="823">
        <f t="shared" si="7"/>
        <v>4</v>
      </c>
      <c r="BH73" s="680">
        <v>4</v>
      </c>
      <c r="BI73" s="678">
        <v>0</v>
      </c>
      <c r="BJ73" s="678">
        <v>0</v>
      </c>
      <c r="BK73" s="678">
        <v>0</v>
      </c>
      <c r="BL73" s="678">
        <v>0</v>
      </c>
      <c r="BM73" s="678">
        <v>0</v>
      </c>
      <c r="BN73" s="678">
        <v>0</v>
      </c>
      <c r="BO73" s="678">
        <v>0</v>
      </c>
      <c r="BP73" s="678">
        <v>0</v>
      </c>
      <c r="BQ73" s="678">
        <v>0</v>
      </c>
      <c r="BR73" s="678">
        <v>0</v>
      </c>
      <c r="BS73" s="678">
        <v>0</v>
      </c>
      <c r="BT73" s="823">
        <f t="shared" si="8"/>
        <v>4</v>
      </c>
    </row>
    <row r="74" spans="2:72" ht="14.5" x14ac:dyDescent="0.35">
      <c r="B74" s="597" t="s">
        <v>690</v>
      </c>
      <c r="C74" s="570" t="s">
        <v>733</v>
      </c>
      <c r="D74" s="570" t="s">
        <v>734</v>
      </c>
      <c r="E74" s="571" t="s">
        <v>19</v>
      </c>
      <c r="F74" s="678">
        <v>207.4</v>
      </c>
      <c r="G74" s="678">
        <v>182.4</v>
      </c>
      <c r="H74" s="678">
        <v>177.8</v>
      </c>
      <c r="I74" s="678">
        <v>186.4</v>
      </c>
      <c r="J74" s="678">
        <v>193</v>
      </c>
      <c r="K74" s="678">
        <v>166.6</v>
      </c>
      <c r="L74" s="678">
        <v>200.1</v>
      </c>
      <c r="M74" s="678">
        <v>184.8</v>
      </c>
      <c r="N74" s="678">
        <v>182.2</v>
      </c>
      <c r="O74" s="678">
        <v>218.5</v>
      </c>
      <c r="P74" s="678">
        <v>0</v>
      </c>
      <c r="Q74" s="678">
        <v>0</v>
      </c>
      <c r="R74" s="830">
        <f>SUM('Nurse Hours'!$F74:$Q74)</f>
        <v>1899.1999999999998</v>
      </c>
      <c r="S74" s="354"/>
      <c r="T74" s="615">
        <f t="shared" si="24"/>
        <v>1.1271739130434784</v>
      </c>
      <c r="U74" s="606">
        <f t="shared" si="25"/>
        <v>1.0857142857142859</v>
      </c>
      <c r="V74" s="606">
        <f t="shared" si="26"/>
        <v>1.0583333333333333</v>
      </c>
      <c r="W74" s="606">
        <f t="shared" si="27"/>
        <v>1.0590909090909091</v>
      </c>
      <c r="X74" s="606">
        <f t="shared" si="28"/>
        <v>1.048913043478261</v>
      </c>
      <c r="Y74" s="606">
        <f t="shared" si="29"/>
        <v>1.04125</v>
      </c>
      <c r="Z74" s="606">
        <f t="shared" si="30"/>
        <v>1.0874999999999999</v>
      </c>
      <c r="AA74" s="606">
        <f t="shared" si="31"/>
        <v>1.05</v>
      </c>
      <c r="AB74" s="606">
        <f t="shared" si="32"/>
        <v>1.0845238095238094</v>
      </c>
      <c r="AC74" s="606">
        <f t="shared" si="33"/>
        <v>1.1875</v>
      </c>
      <c r="AD74" s="606">
        <f t="shared" si="34"/>
        <v>0</v>
      </c>
      <c r="AE74" s="606">
        <f t="shared" si="35"/>
        <v>0</v>
      </c>
      <c r="AF74" s="833">
        <f t="shared" si="36"/>
        <v>1.0840182648401826</v>
      </c>
      <c r="AG74" s="353"/>
      <c r="AH74" s="681">
        <v>206.4</v>
      </c>
      <c r="AI74" s="677">
        <v>182.4</v>
      </c>
      <c r="AJ74" s="677">
        <v>177.3</v>
      </c>
      <c r="AK74" s="677">
        <v>177.4</v>
      </c>
      <c r="AL74" s="677">
        <v>192.5</v>
      </c>
      <c r="AM74" s="677">
        <v>165.3</v>
      </c>
      <c r="AN74" s="677">
        <v>200.1</v>
      </c>
      <c r="AO74" s="677">
        <v>184.8</v>
      </c>
      <c r="AP74" s="677">
        <v>181.4</v>
      </c>
      <c r="AQ74" s="677">
        <v>216.6</v>
      </c>
      <c r="AR74" s="677">
        <v>0</v>
      </c>
      <c r="AS74" s="677">
        <v>0</v>
      </c>
      <c r="AT74" s="838">
        <f t="shared" si="6"/>
        <v>1884.1999999999998</v>
      </c>
      <c r="AU74" s="681">
        <v>22.4</v>
      </c>
      <c r="AV74" s="677">
        <v>14.4</v>
      </c>
      <c r="AW74" s="677">
        <v>9.3000000000000007</v>
      </c>
      <c r="AX74" s="677">
        <v>1.4</v>
      </c>
      <c r="AY74" s="677">
        <v>8.5</v>
      </c>
      <c r="AZ74" s="677">
        <v>5.3</v>
      </c>
      <c r="BA74" s="677">
        <v>16.100000000000001</v>
      </c>
      <c r="BB74" s="677">
        <v>8.8000000000000007</v>
      </c>
      <c r="BC74" s="677">
        <v>13.4</v>
      </c>
      <c r="BD74" s="677">
        <v>32.6</v>
      </c>
      <c r="BE74" s="677">
        <v>0</v>
      </c>
      <c r="BF74" s="677">
        <v>0</v>
      </c>
      <c r="BG74" s="838">
        <f t="shared" si="7"/>
        <v>132.19999999999999</v>
      </c>
      <c r="BH74" s="681">
        <v>14.4</v>
      </c>
      <c r="BI74" s="677">
        <v>14.4</v>
      </c>
      <c r="BJ74" s="677">
        <v>9.3000000000000007</v>
      </c>
      <c r="BK74" s="677">
        <v>0</v>
      </c>
      <c r="BL74" s="677">
        <v>0.5</v>
      </c>
      <c r="BM74" s="677">
        <v>5.3</v>
      </c>
      <c r="BN74" s="677">
        <v>8.1</v>
      </c>
      <c r="BO74" s="677">
        <v>0</v>
      </c>
      <c r="BP74" s="677">
        <v>5.4</v>
      </c>
      <c r="BQ74" s="677">
        <v>32.6</v>
      </c>
      <c r="BR74" s="677">
        <v>0</v>
      </c>
      <c r="BS74" s="677">
        <v>0</v>
      </c>
      <c r="BT74" s="838">
        <f t="shared" si="8"/>
        <v>90</v>
      </c>
    </row>
    <row r="75" spans="2:72" ht="14.5" x14ac:dyDescent="0.35">
      <c r="B75" s="597" t="s">
        <v>691</v>
      </c>
      <c r="C75" s="570" t="s">
        <v>733</v>
      </c>
      <c r="D75" s="570" t="s">
        <v>734</v>
      </c>
      <c r="E75" s="571" t="s">
        <v>19</v>
      </c>
      <c r="F75" s="678">
        <v>0</v>
      </c>
      <c r="G75" s="678">
        <v>0</v>
      </c>
      <c r="H75" s="678">
        <v>107.1</v>
      </c>
      <c r="I75" s="678">
        <v>135.19999999999999</v>
      </c>
      <c r="J75" s="678">
        <v>160.9</v>
      </c>
      <c r="K75" s="678">
        <v>161</v>
      </c>
      <c r="L75" s="678">
        <v>184.9</v>
      </c>
      <c r="M75" s="678">
        <v>184.2</v>
      </c>
      <c r="N75" s="678">
        <v>176.4</v>
      </c>
      <c r="O75" s="678">
        <v>191.3</v>
      </c>
      <c r="P75" s="678">
        <v>0</v>
      </c>
      <c r="Q75" s="678">
        <v>0</v>
      </c>
      <c r="R75" s="830">
        <f>SUM('Nurse Hours'!$F75:$Q75)</f>
        <v>1301</v>
      </c>
      <c r="S75" s="354"/>
      <c r="T75" s="616">
        <f t="shared" si="24"/>
        <v>0</v>
      </c>
      <c r="U75" s="360">
        <f t="shared" si="25"/>
        <v>0</v>
      </c>
      <c r="V75" s="360">
        <f t="shared" si="26"/>
        <v>0.63749999999999996</v>
      </c>
      <c r="W75" s="360">
        <f t="shared" si="27"/>
        <v>0.76818181818181808</v>
      </c>
      <c r="X75" s="360">
        <f t="shared" si="28"/>
        <v>0.87445652173913047</v>
      </c>
      <c r="Y75" s="360">
        <f t="shared" si="29"/>
        <v>1.0062500000000001</v>
      </c>
      <c r="Z75" s="360">
        <f t="shared" si="30"/>
        <v>1.004891304347826</v>
      </c>
      <c r="AA75" s="360">
        <f t="shared" si="31"/>
        <v>1.0465909090909091</v>
      </c>
      <c r="AB75" s="360">
        <f t="shared" si="32"/>
        <v>1.05</v>
      </c>
      <c r="AC75" s="360">
        <f t="shared" si="33"/>
        <v>1.0396739130434782</v>
      </c>
      <c r="AD75" s="360">
        <f t="shared" si="34"/>
        <v>0</v>
      </c>
      <c r="AE75" s="360">
        <f t="shared" si="35"/>
        <v>0</v>
      </c>
      <c r="AF75" s="834">
        <f t="shared" si="36"/>
        <v>0.92928571428571427</v>
      </c>
      <c r="AG75" s="353"/>
      <c r="AH75" s="680">
        <v>0</v>
      </c>
      <c r="AI75" s="678">
        <v>0</v>
      </c>
      <c r="AJ75" s="678">
        <v>105.6</v>
      </c>
      <c r="AK75" s="678">
        <v>134.69999999999999</v>
      </c>
      <c r="AL75" s="678">
        <v>160.19999999999999</v>
      </c>
      <c r="AM75" s="678">
        <v>160.5</v>
      </c>
      <c r="AN75" s="678">
        <v>184.2</v>
      </c>
      <c r="AO75" s="678">
        <v>184.2</v>
      </c>
      <c r="AP75" s="678">
        <v>175.8</v>
      </c>
      <c r="AQ75" s="678">
        <v>135.30000000000001</v>
      </c>
      <c r="AR75" s="678">
        <v>0</v>
      </c>
      <c r="AS75" s="678">
        <v>0</v>
      </c>
      <c r="AT75" s="823">
        <f>SUM(AH75:AS75)</f>
        <v>1240.5</v>
      </c>
      <c r="AU75" s="680">
        <v>0</v>
      </c>
      <c r="AV75" s="678">
        <v>0</v>
      </c>
      <c r="AW75" s="678">
        <v>0</v>
      </c>
      <c r="AX75" s="678">
        <v>0</v>
      </c>
      <c r="AY75" s="678">
        <v>0</v>
      </c>
      <c r="AZ75" s="678">
        <v>0.5</v>
      </c>
      <c r="BA75" s="678">
        <v>0.2</v>
      </c>
      <c r="BB75" s="678">
        <v>7.7</v>
      </c>
      <c r="BC75" s="678">
        <v>7.8</v>
      </c>
      <c r="BD75" s="678">
        <v>0</v>
      </c>
      <c r="BE75" s="678">
        <v>0</v>
      </c>
      <c r="BF75" s="678">
        <v>0</v>
      </c>
      <c r="BG75" s="823">
        <f>SUM(AU75:BF75)</f>
        <v>16.2</v>
      </c>
      <c r="BH75" s="680">
        <v>0</v>
      </c>
      <c r="BI75" s="678">
        <v>0</v>
      </c>
      <c r="BJ75" s="678">
        <v>0</v>
      </c>
      <c r="BK75" s="678">
        <v>0</v>
      </c>
      <c r="BL75" s="678">
        <v>0</v>
      </c>
      <c r="BM75" s="678">
        <v>0.5</v>
      </c>
      <c r="BN75" s="678">
        <v>0</v>
      </c>
      <c r="BO75" s="678">
        <v>7.7</v>
      </c>
      <c r="BP75" s="678">
        <v>0</v>
      </c>
      <c r="BQ75" s="678">
        <v>0</v>
      </c>
      <c r="BR75" s="678">
        <v>0</v>
      </c>
      <c r="BS75" s="678">
        <v>0</v>
      </c>
      <c r="BT75" s="823">
        <f>SUM(BH75:BS75)</f>
        <v>8.1999999999999993</v>
      </c>
    </row>
    <row r="76" spans="2:72" ht="14.5" x14ac:dyDescent="0.35">
      <c r="B76" s="597" t="s">
        <v>692</v>
      </c>
      <c r="C76" s="570" t="s">
        <v>733</v>
      </c>
      <c r="D76" s="570" t="s">
        <v>739</v>
      </c>
      <c r="E76" s="571" t="s">
        <v>739</v>
      </c>
      <c r="F76" s="678">
        <v>0</v>
      </c>
      <c r="G76" s="678">
        <v>0</v>
      </c>
      <c r="H76" s="678">
        <v>118.75</v>
      </c>
      <c r="I76" s="678">
        <v>147.6</v>
      </c>
      <c r="J76" s="678">
        <v>177</v>
      </c>
      <c r="K76" s="678">
        <v>42.7</v>
      </c>
      <c r="L76" s="678">
        <v>0</v>
      </c>
      <c r="M76" s="678">
        <v>0</v>
      </c>
      <c r="N76" s="678">
        <v>0</v>
      </c>
      <c r="O76" s="678">
        <v>0</v>
      </c>
      <c r="P76" s="678">
        <v>0</v>
      </c>
      <c r="Q76" s="678">
        <v>0</v>
      </c>
      <c r="R76" s="830">
        <f>SUM('Nurse Hours'!$F76:$Q76)</f>
        <v>486.05</v>
      </c>
      <c r="S76" s="354"/>
      <c r="T76" s="615">
        <f t="shared" si="24"/>
        <v>0</v>
      </c>
      <c r="U76" s="606">
        <f t="shared" si="25"/>
        <v>0</v>
      </c>
      <c r="V76" s="606">
        <f t="shared" si="26"/>
        <v>0.70684523809523814</v>
      </c>
      <c r="W76" s="606">
        <f t="shared" si="27"/>
        <v>0.83863636363636362</v>
      </c>
      <c r="X76" s="606">
        <f t="shared" si="28"/>
        <v>0.96195652173913049</v>
      </c>
      <c r="Y76" s="606">
        <f t="shared" si="29"/>
        <v>0.26687500000000003</v>
      </c>
      <c r="Z76" s="606">
        <f t="shared" si="30"/>
        <v>0</v>
      </c>
      <c r="AA76" s="606">
        <f t="shared" si="31"/>
        <v>0</v>
      </c>
      <c r="AB76" s="606">
        <f t="shared" si="32"/>
        <v>0</v>
      </c>
      <c r="AC76" s="606">
        <f t="shared" si="33"/>
        <v>0</v>
      </c>
      <c r="AD76" s="606">
        <f t="shared" si="34"/>
        <v>0</v>
      </c>
      <c r="AE76" s="606">
        <f t="shared" si="35"/>
        <v>0</v>
      </c>
      <c r="AF76" s="833">
        <f t="shared" si="36"/>
        <v>0.70646802325581393</v>
      </c>
      <c r="AG76" s="353"/>
      <c r="AH76" s="681">
        <v>0</v>
      </c>
      <c r="AI76" s="677">
        <v>0</v>
      </c>
      <c r="AJ76" s="677">
        <v>118.75</v>
      </c>
      <c r="AK76" s="677">
        <v>147.6</v>
      </c>
      <c r="AL76" s="677">
        <v>177</v>
      </c>
      <c r="AM76" s="677">
        <v>42.7</v>
      </c>
      <c r="AN76" s="677">
        <v>0</v>
      </c>
      <c r="AO76" s="677">
        <v>0</v>
      </c>
      <c r="AP76" s="677">
        <v>0</v>
      </c>
      <c r="AQ76" s="677">
        <v>0</v>
      </c>
      <c r="AR76" s="677">
        <v>0</v>
      </c>
      <c r="AS76" s="677">
        <v>0</v>
      </c>
      <c r="AT76" s="838">
        <f t="shared" si="6"/>
        <v>486.05</v>
      </c>
      <c r="AU76" s="681">
        <v>0</v>
      </c>
      <c r="AV76" s="677">
        <v>0</v>
      </c>
      <c r="AW76" s="677">
        <v>0</v>
      </c>
      <c r="AX76" s="677">
        <v>0</v>
      </c>
      <c r="AY76" s="677">
        <v>0</v>
      </c>
      <c r="AZ76" s="677">
        <v>0</v>
      </c>
      <c r="BA76" s="677">
        <v>0</v>
      </c>
      <c r="BB76" s="677">
        <v>0</v>
      </c>
      <c r="BC76" s="677">
        <v>0</v>
      </c>
      <c r="BD76" s="677">
        <v>0</v>
      </c>
      <c r="BE76" s="677">
        <v>0</v>
      </c>
      <c r="BF76" s="677">
        <v>0</v>
      </c>
      <c r="BG76" s="838">
        <f t="shared" si="7"/>
        <v>0</v>
      </c>
      <c r="BH76" s="681">
        <v>0</v>
      </c>
      <c r="BI76" s="677">
        <v>0</v>
      </c>
      <c r="BJ76" s="677">
        <v>0</v>
      </c>
      <c r="BK76" s="677">
        <v>0</v>
      </c>
      <c r="BL76" s="677">
        <v>0</v>
      </c>
      <c r="BM76" s="677">
        <v>0</v>
      </c>
      <c r="BN76" s="677">
        <v>0</v>
      </c>
      <c r="BO76" s="677">
        <v>0</v>
      </c>
      <c r="BP76" s="677">
        <v>0</v>
      </c>
      <c r="BQ76" s="677">
        <v>0</v>
      </c>
      <c r="BR76" s="677">
        <v>0</v>
      </c>
      <c r="BS76" s="677">
        <v>0</v>
      </c>
      <c r="BT76" s="838">
        <f t="shared" si="8"/>
        <v>0</v>
      </c>
    </row>
    <row r="77" spans="2:72" ht="14.5" x14ac:dyDescent="0.35">
      <c r="B77" s="597" t="s">
        <v>697</v>
      </c>
      <c r="C77" s="570" t="s">
        <v>730</v>
      </c>
      <c r="D77" s="570" t="s">
        <v>737</v>
      </c>
      <c r="E77" s="572" t="s">
        <v>19</v>
      </c>
      <c r="F77" s="678">
        <v>159.69999999999999</v>
      </c>
      <c r="G77" s="678">
        <v>144.1</v>
      </c>
      <c r="H77" s="678">
        <v>103</v>
      </c>
      <c r="I77" s="678">
        <v>155.69999999999999</v>
      </c>
      <c r="J77" s="678">
        <v>89.6</v>
      </c>
      <c r="K77" s="678">
        <v>117.5</v>
      </c>
      <c r="L77" s="678">
        <v>120.4</v>
      </c>
      <c r="M77" s="678">
        <v>134.4</v>
      </c>
      <c r="N77" s="678">
        <v>128.80000000000001</v>
      </c>
      <c r="O77" s="678">
        <v>160.9</v>
      </c>
      <c r="P77" s="678">
        <v>0</v>
      </c>
      <c r="Q77" s="678">
        <v>0</v>
      </c>
      <c r="R77" s="830">
        <f>SUM('Nurse Hours'!$F77:$Q77)</f>
        <v>1314.1000000000001</v>
      </c>
      <c r="S77" s="354"/>
      <c r="T77" s="616">
        <f t="shared" si="24"/>
        <v>0.86793478260869561</v>
      </c>
      <c r="U77" s="360">
        <f t="shared" si="25"/>
        <v>0.85773809523809519</v>
      </c>
      <c r="V77" s="360">
        <f t="shared" si="26"/>
        <v>0.61309523809523814</v>
      </c>
      <c r="W77" s="360">
        <f t="shared" si="27"/>
        <v>0.88465909090909089</v>
      </c>
      <c r="X77" s="360">
        <f t="shared" si="28"/>
        <v>0.4869565217391304</v>
      </c>
      <c r="Y77" s="360">
        <f t="shared" si="29"/>
        <v>0.734375</v>
      </c>
      <c r="Z77" s="360">
        <f t="shared" si="30"/>
        <v>0.65434782608695652</v>
      </c>
      <c r="AA77" s="360">
        <f t="shared" si="31"/>
        <v>0.76363636363636367</v>
      </c>
      <c r="AB77" s="360">
        <f t="shared" si="32"/>
        <v>0.76666666666666672</v>
      </c>
      <c r="AC77" s="360">
        <f t="shared" si="33"/>
        <v>0.87445652173913047</v>
      </c>
      <c r="AD77" s="360">
        <f t="shared" si="34"/>
        <v>0</v>
      </c>
      <c r="AE77" s="360">
        <f t="shared" si="35"/>
        <v>0</v>
      </c>
      <c r="AF77" s="834">
        <f t="shared" si="36"/>
        <v>0.75005707762557083</v>
      </c>
      <c r="AG77" s="353"/>
      <c r="AH77" s="680">
        <v>135.5</v>
      </c>
      <c r="AI77" s="678">
        <v>124.5</v>
      </c>
      <c r="AJ77" s="678">
        <v>86</v>
      </c>
      <c r="AK77" s="678">
        <v>155.69999999999999</v>
      </c>
      <c r="AL77" s="678">
        <v>89.6</v>
      </c>
      <c r="AM77" s="678">
        <v>117.5</v>
      </c>
      <c r="AN77" s="678">
        <v>120.4</v>
      </c>
      <c r="AO77" s="678">
        <v>134.4</v>
      </c>
      <c r="AP77" s="678">
        <v>128.80000000000001</v>
      </c>
      <c r="AQ77" s="678">
        <v>160.9</v>
      </c>
      <c r="AR77" s="678">
        <v>0</v>
      </c>
      <c r="AS77" s="678">
        <v>0</v>
      </c>
      <c r="AT77" s="823">
        <f t="shared" ref="AT77:AT86" si="38">SUM(AH77:AS77)</f>
        <v>1253.3</v>
      </c>
      <c r="AU77" s="680">
        <v>0</v>
      </c>
      <c r="AV77" s="678">
        <v>0</v>
      </c>
      <c r="AW77" s="678">
        <v>60.8</v>
      </c>
      <c r="AX77" s="678">
        <v>0</v>
      </c>
      <c r="AY77" s="678">
        <v>0</v>
      </c>
      <c r="AZ77" s="678">
        <v>0</v>
      </c>
      <c r="BA77" s="678">
        <v>0</v>
      </c>
      <c r="BB77" s="678">
        <v>0</v>
      </c>
      <c r="BC77" s="678">
        <v>0</v>
      </c>
      <c r="BD77" s="678">
        <v>0</v>
      </c>
      <c r="BE77" s="678">
        <v>0</v>
      </c>
      <c r="BF77" s="678">
        <v>0</v>
      </c>
      <c r="BG77" s="823">
        <f t="shared" ref="BG77:BG86" si="39">SUM(AU77:BF77)</f>
        <v>60.8</v>
      </c>
      <c r="BH77" s="680">
        <v>0</v>
      </c>
      <c r="BI77" s="678">
        <v>0</v>
      </c>
      <c r="BJ77" s="678">
        <v>60.8</v>
      </c>
      <c r="BK77" s="678">
        <v>0</v>
      </c>
      <c r="BL77" s="678">
        <v>0</v>
      </c>
      <c r="BM77" s="678">
        <v>0</v>
      </c>
      <c r="BN77" s="678">
        <v>0</v>
      </c>
      <c r="BO77" s="678">
        <v>0</v>
      </c>
      <c r="BP77" s="678">
        <v>0</v>
      </c>
      <c r="BQ77" s="678">
        <v>0</v>
      </c>
      <c r="BR77" s="678">
        <v>0</v>
      </c>
      <c r="BS77" s="678">
        <v>0</v>
      </c>
      <c r="BT77" s="823">
        <f t="shared" ref="BT77:BT86" si="40">SUM(BH77:BS77)</f>
        <v>60.8</v>
      </c>
    </row>
    <row r="78" spans="2:72" ht="14.5" x14ac:dyDescent="0.35">
      <c r="B78" s="597" t="s">
        <v>693</v>
      </c>
      <c r="C78" s="570" t="s">
        <v>733</v>
      </c>
      <c r="D78" s="570" t="s">
        <v>734</v>
      </c>
      <c r="E78" s="572"/>
      <c r="F78" s="678">
        <v>0</v>
      </c>
      <c r="G78" s="678">
        <v>0</v>
      </c>
      <c r="H78" s="678">
        <v>0</v>
      </c>
      <c r="I78" s="678">
        <v>97.8</v>
      </c>
      <c r="J78" s="678">
        <v>152.80000000000001</v>
      </c>
      <c r="K78" s="678">
        <v>163</v>
      </c>
      <c r="L78" s="678">
        <v>186.9</v>
      </c>
      <c r="M78" s="678">
        <v>200.1</v>
      </c>
      <c r="N78" s="678">
        <v>211.3</v>
      </c>
      <c r="O78" s="678">
        <v>210.4</v>
      </c>
      <c r="P78" s="678">
        <v>0</v>
      </c>
      <c r="Q78" s="678">
        <v>0</v>
      </c>
      <c r="R78" s="830">
        <f>SUM('Nurse Hours'!$F78:$Q78)</f>
        <v>1222.3000000000002</v>
      </c>
      <c r="S78" s="354"/>
      <c r="T78" s="615">
        <f t="shared" si="24"/>
        <v>0</v>
      </c>
      <c r="U78" s="606">
        <f t="shared" si="25"/>
        <v>0</v>
      </c>
      <c r="V78" s="606">
        <f t="shared" si="26"/>
        <v>0</v>
      </c>
      <c r="W78" s="606">
        <f t="shared" si="27"/>
        <v>0.55568181818181817</v>
      </c>
      <c r="X78" s="606">
        <f t="shared" si="28"/>
        <v>0.83043478260869574</v>
      </c>
      <c r="Y78" s="606">
        <f t="shared" si="29"/>
        <v>1.01875</v>
      </c>
      <c r="Z78" s="606">
        <f t="shared" si="30"/>
        <v>1.0157608695652174</v>
      </c>
      <c r="AA78" s="606">
        <f t="shared" si="31"/>
        <v>1.1369318181818182</v>
      </c>
      <c r="AB78" s="606">
        <f t="shared" si="32"/>
        <v>1.2577380952380952</v>
      </c>
      <c r="AC78" s="606">
        <f t="shared" si="33"/>
        <v>1.1434782608695653</v>
      </c>
      <c r="AD78" s="606">
        <f t="shared" si="34"/>
        <v>0</v>
      </c>
      <c r="AE78" s="606">
        <f t="shared" si="35"/>
        <v>0</v>
      </c>
      <c r="AF78" s="833">
        <f t="shared" si="36"/>
        <v>0.9921266233766235</v>
      </c>
      <c r="AG78" s="353"/>
      <c r="AH78" s="681">
        <v>0</v>
      </c>
      <c r="AI78" s="677">
        <v>0</v>
      </c>
      <c r="AJ78" s="677">
        <v>0</v>
      </c>
      <c r="AK78" s="677">
        <v>88.1</v>
      </c>
      <c r="AL78" s="677">
        <v>148.69999999999999</v>
      </c>
      <c r="AM78" s="677">
        <v>159.4</v>
      </c>
      <c r="AN78" s="677">
        <v>184.7</v>
      </c>
      <c r="AO78" s="677">
        <v>198.5</v>
      </c>
      <c r="AP78" s="677">
        <v>210</v>
      </c>
      <c r="AQ78" s="677">
        <v>209.9</v>
      </c>
      <c r="AR78" s="677">
        <v>0</v>
      </c>
      <c r="AS78" s="677">
        <v>0</v>
      </c>
      <c r="AT78" s="838">
        <f t="shared" si="38"/>
        <v>1199.3</v>
      </c>
      <c r="AU78" s="681">
        <v>0</v>
      </c>
      <c r="AV78" s="677">
        <v>0</v>
      </c>
      <c r="AW78" s="677">
        <v>0</v>
      </c>
      <c r="AX78" s="677">
        <v>0</v>
      </c>
      <c r="AY78" s="677">
        <v>0</v>
      </c>
      <c r="AZ78" s="677">
        <v>0</v>
      </c>
      <c r="BA78" s="677">
        <v>0.7</v>
      </c>
      <c r="BB78" s="677">
        <v>22.5</v>
      </c>
      <c r="BC78" s="677">
        <v>42</v>
      </c>
      <c r="BD78" s="677">
        <v>25.9</v>
      </c>
      <c r="BE78" s="677">
        <v>0</v>
      </c>
      <c r="BF78" s="677">
        <v>0</v>
      </c>
      <c r="BG78" s="838">
        <f t="shared" si="39"/>
        <v>91.1</v>
      </c>
      <c r="BH78" s="681">
        <v>0</v>
      </c>
      <c r="BI78" s="677">
        <v>0</v>
      </c>
      <c r="BJ78" s="677">
        <v>0</v>
      </c>
      <c r="BK78" s="677">
        <v>0</v>
      </c>
      <c r="BL78" s="677">
        <v>0</v>
      </c>
      <c r="BM78" s="677">
        <v>0</v>
      </c>
      <c r="BN78" s="677">
        <v>0</v>
      </c>
      <c r="BO78" s="677">
        <v>22.5</v>
      </c>
      <c r="BP78" s="677">
        <v>34</v>
      </c>
      <c r="BQ78" s="677">
        <v>25.9</v>
      </c>
      <c r="BR78" s="677">
        <v>0</v>
      </c>
      <c r="BS78" s="677">
        <v>0</v>
      </c>
      <c r="BT78" s="838">
        <f t="shared" si="40"/>
        <v>82.4</v>
      </c>
    </row>
    <row r="79" spans="2:72" ht="14.5" x14ac:dyDescent="0.35">
      <c r="B79" s="597" t="s">
        <v>754</v>
      </c>
      <c r="C79" s="570" t="s">
        <v>733</v>
      </c>
      <c r="D79" s="570" t="s">
        <v>734</v>
      </c>
      <c r="E79" s="571" t="s">
        <v>746</v>
      </c>
      <c r="F79" s="678"/>
      <c r="G79" s="678"/>
      <c r="H79" s="678"/>
      <c r="I79" s="678"/>
      <c r="J79" s="678"/>
      <c r="K79" s="678"/>
      <c r="L79" s="678"/>
      <c r="M79" s="678"/>
      <c r="N79" s="678"/>
      <c r="O79" s="678">
        <v>19.7</v>
      </c>
      <c r="P79" s="678"/>
      <c r="Q79" s="678"/>
      <c r="R79" s="830">
        <f>SUM('Nurse Hours'!$F79:$Q79)</f>
        <v>19.7</v>
      </c>
      <c r="S79" s="354"/>
      <c r="T79" s="616"/>
      <c r="U79" s="360"/>
      <c r="V79" s="360"/>
      <c r="W79" s="360"/>
      <c r="X79" s="360"/>
      <c r="Y79" s="360"/>
      <c r="Z79" s="360"/>
      <c r="AA79" s="360"/>
      <c r="AB79" s="360"/>
      <c r="AC79" s="360"/>
      <c r="AD79" s="360"/>
      <c r="AE79" s="360"/>
      <c r="AF79" s="834">
        <f t="shared" si="36"/>
        <v>0.10706521739130434</v>
      </c>
      <c r="AG79" s="353"/>
      <c r="AH79" s="680"/>
      <c r="AI79" s="678"/>
      <c r="AJ79" s="678"/>
      <c r="AK79" s="678"/>
      <c r="AL79" s="678"/>
      <c r="AM79" s="678"/>
      <c r="AN79" s="678"/>
      <c r="AO79" s="678"/>
      <c r="AP79" s="678"/>
      <c r="AQ79" s="678">
        <v>19.7</v>
      </c>
      <c r="AR79" s="678"/>
      <c r="AS79" s="678"/>
      <c r="AT79" s="823">
        <f t="shared" si="38"/>
        <v>19.7</v>
      </c>
      <c r="AU79" s="680"/>
      <c r="AV79" s="678"/>
      <c r="AW79" s="678"/>
      <c r="AX79" s="678"/>
      <c r="AY79" s="678"/>
      <c r="AZ79" s="678"/>
      <c r="BA79" s="678"/>
      <c r="BB79" s="678"/>
      <c r="BC79" s="678"/>
      <c r="BD79" s="678"/>
      <c r="BE79" s="678"/>
      <c r="BF79" s="678"/>
      <c r="BG79" s="823">
        <f t="shared" si="39"/>
        <v>0</v>
      </c>
      <c r="BH79" s="680"/>
      <c r="BI79" s="678"/>
      <c r="BJ79" s="678"/>
      <c r="BK79" s="678"/>
      <c r="BL79" s="678"/>
      <c r="BM79" s="678"/>
      <c r="BN79" s="678"/>
      <c r="BO79" s="678"/>
      <c r="BP79" s="678"/>
      <c r="BQ79" s="678"/>
      <c r="BR79" s="678"/>
      <c r="BS79" s="678"/>
      <c r="BT79" s="823">
        <f t="shared" si="40"/>
        <v>0</v>
      </c>
    </row>
    <row r="80" spans="2:72" ht="14.5" x14ac:dyDescent="0.35">
      <c r="B80" s="597" t="s">
        <v>675</v>
      </c>
      <c r="C80" s="570" t="s">
        <v>730</v>
      </c>
      <c r="D80" s="570" t="s">
        <v>734</v>
      </c>
      <c r="E80" s="572" t="s">
        <v>755</v>
      </c>
      <c r="F80" s="678">
        <v>33.299999999999997</v>
      </c>
      <c r="G80" s="678">
        <v>51.7</v>
      </c>
      <c r="H80" s="678">
        <v>62.1</v>
      </c>
      <c r="I80" s="678">
        <v>43.1</v>
      </c>
      <c r="J80" s="678">
        <v>26.7</v>
      </c>
      <c r="K80" s="678">
        <v>21.6</v>
      </c>
      <c r="L80" s="678">
        <v>20.5</v>
      </c>
      <c r="M80" s="678">
        <v>8.5</v>
      </c>
      <c r="N80" s="678">
        <v>15</v>
      </c>
      <c r="O80" s="678">
        <v>11</v>
      </c>
      <c r="P80" s="678">
        <v>0</v>
      </c>
      <c r="Q80" s="678">
        <v>0</v>
      </c>
      <c r="R80" s="830">
        <f>SUM('Nurse Hours'!$F80:$Q80)</f>
        <v>293.5</v>
      </c>
      <c r="S80" s="354"/>
      <c r="T80" s="615">
        <f t="shared" si="24"/>
        <v>0.1809782608695652</v>
      </c>
      <c r="U80" s="606">
        <f t="shared" si="25"/>
        <v>0.30773809523809526</v>
      </c>
      <c r="V80" s="606">
        <f t="shared" si="26"/>
        <v>0.36964285714285716</v>
      </c>
      <c r="W80" s="606">
        <f t="shared" si="27"/>
        <v>0.24488636363636365</v>
      </c>
      <c r="X80" s="606">
        <f t="shared" si="28"/>
        <v>0.14510869565217391</v>
      </c>
      <c r="Y80" s="606">
        <f t="shared" si="29"/>
        <v>0.13500000000000001</v>
      </c>
      <c r="Z80" s="606">
        <f t="shared" si="30"/>
        <v>0.11141304347826086</v>
      </c>
      <c r="AA80" s="606">
        <f t="shared" si="31"/>
        <v>4.8295454545454544E-2</v>
      </c>
      <c r="AB80" s="606">
        <f t="shared" si="32"/>
        <v>8.9285714285714288E-2</v>
      </c>
      <c r="AC80" s="606">
        <f t="shared" si="33"/>
        <v>5.9782608695652176E-2</v>
      </c>
      <c r="AD80" s="606">
        <f t="shared" si="34"/>
        <v>0</v>
      </c>
      <c r="AE80" s="606">
        <f t="shared" si="35"/>
        <v>0</v>
      </c>
      <c r="AF80" s="833">
        <f t="shared" si="36"/>
        <v>0.1675228310502283</v>
      </c>
      <c r="AG80" s="353"/>
      <c r="AH80" s="681">
        <v>33.299999999999997</v>
      </c>
      <c r="AI80" s="677">
        <v>51.7</v>
      </c>
      <c r="AJ80" s="677">
        <v>62.1</v>
      </c>
      <c r="AK80" s="677">
        <v>43.1</v>
      </c>
      <c r="AL80" s="677">
        <v>26.7</v>
      </c>
      <c r="AM80" s="677">
        <v>21.6</v>
      </c>
      <c r="AN80" s="677">
        <v>20.5</v>
      </c>
      <c r="AO80" s="677">
        <v>8.5</v>
      </c>
      <c r="AP80" s="677">
        <v>0</v>
      </c>
      <c r="AQ80" s="677">
        <v>11</v>
      </c>
      <c r="AR80" s="677">
        <v>0</v>
      </c>
      <c r="AS80" s="677">
        <v>0</v>
      </c>
      <c r="AT80" s="838">
        <f t="shared" si="38"/>
        <v>278.5</v>
      </c>
      <c r="AU80" s="681">
        <v>0</v>
      </c>
      <c r="AV80" s="677">
        <v>0</v>
      </c>
      <c r="AW80" s="677">
        <v>0</v>
      </c>
      <c r="AX80" s="677">
        <v>0</v>
      </c>
      <c r="AY80" s="677">
        <v>0</v>
      </c>
      <c r="AZ80" s="677">
        <v>0</v>
      </c>
      <c r="BA80" s="677">
        <v>0</v>
      </c>
      <c r="BB80" s="677">
        <v>0</v>
      </c>
      <c r="BC80" s="677">
        <v>0</v>
      </c>
      <c r="BD80" s="677">
        <v>0</v>
      </c>
      <c r="BE80" s="677">
        <v>0</v>
      </c>
      <c r="BF80" s="677">
        <v>0</v>
      </c>
      <c r="BG80" s="838">
        <f t="shared" si="39"/>
        <v>0</v>
      </c>
      <c r="BH80" s="681">
        <v>0</v>
      </c>
      <c r="BI80" s="677">
        <v>0</v>
      </c>
      <c r="BJ80" s="677">
        <v>0</v>
      </c>
      <c r="BK80" s="677">
        <v>0</v>
      </c>
      <c r="BL80" s="677">
        <v>0</v>
      </c>
      <c r="BM80" s="677">
        <v>0</v>
      </c>
      <c r="BN80" s="677">
        <v>0</v>
      </c>
      <c r="BO80" s="677">
        <v>0</v>
      </c>
      <c r="BP80" s="677">
        <v>0</v>
      </c>
      <c r="BQ80" s="677">
        <v>0</v>
      </c>
      <c r="BR80" s="677">
        <v>0</v>
      </c>
      <c r="BS80" s="677">
        <v>0</v>
      </c>
      <c r="BT80" s="838">
        <f t="shared" si="40"/>
        <v>0</v>
      </c>
    </row>
    <row r="81" spans="2:73" ht="14.5" x14ac:dyDescent="0.35">
      <c r="B81" s="597" t="s">
        <v>703</v>
      </c>
      <c r="C81" s="570" t="s">
        <v>733</v>
      </c>
      <c r="D81" s="570" t="s">
        <v>739</v>
      </c>
      <c r="E81" s="572" t="s">
        <v>756</v>
      </c>
      <c r="F81" s="678">
        <v>0</v>
      </c>
      <c r="G81" s="678">
        <v>0</v>
      </c>
      <c r="H81" s="678">
        <v>0</v>
      </c>
      <c r="I81" s="678">
        <v>0</v>
      </c>
      <c r="J81" s="678">
        <v>0</v>
      </c>
      <c r="K81" s="678">
        <v>0</v>
      </c>
      <c r="L81" s="678">
        <v>0</v>
      </c>
      <c r="M81" s="678">
        <v>0</v>
      </c>
      <c r="N81" s="678">
        <v>0</v>
      </c>
      <c r="O81" s="678">
        <v>0</v>
      </c>
      <c r="P81" s="678">
        <v>0</v>
      </c>
      <c r="Q81" s="678">
        <v>0</v>
      </c>
      <c r="R81" s="830">
        <f>SUM('Nurse Hours'!$F81:$Q81)</f>
        <v>0</v>
      </c>
      <c r="S81" s="354"/>
      <c r="T81" s="616">
        <f t="shared" si="24"/>
        <v>0</v>
      </c>
      <c r="U81" s="360">
        <f t="shared" si="25"/>
        <v>0</v>
      </c>
      <c r="V81" s="360">
        <f t="shared" si="26"/>
        <v>0</v>
      </c>
      <c r="W81" s="360">
        <f t="shared" si="27"/>
        <v>0</v>
      </c>
      <c r="X81" s="360">
        <f t="shared" si="28"/>
        <v>0</v>
      </c>
      <c r="Y81" s="360">
        <f t="shared" si="29"/>
        <v>0</v>
      </c>
      <c r="Z81" s="360">
        <f t="shared" si="30"/>
        <v>0</v>
      </c>
      <c r="AA81" s="360">
        <f t="shared" si="31"/>
        <v>0</v>
      </c>
      <c r="AB81" s="360">
        <f t="shared" si="32"/>
        <v>0</v>
      </c>
      <c r="AC81" s="360">
        <f t="shared" si="33"/>
        <v>0</v>
      </c>
      <c r="AD81" s="360">
        <f t="shared" si="34"/>
        <v>0</v>
      </c>
      <c r="AE81" s="360">
        <f t="shared" si="35"/>
        <v>0</v>
      </c>
      <c r="AF81" s="834">
        <f t="shared" si="36"/>
        <v>0</v>
      </c>
      <c r="AG81" s="353"/>
      <c r="AH81" s="680">
        <v>0</v>
      </c>
      <c r="AI81" s="678">
        <v>0</v>
      </c>
      <c r="AJ81" s="678">
        <v>0</v>
      </c>
      <c r="AK81" s="678">
        <v>0</v>
      </c>
      <c r="AL81" s="678">
        <v>0</v>
      </c>
      <c r="AM81" s="678">
        <v>0</v>
      </c>
      <c r="AN81" s="678">
        <v>0</v>
      </c>
      <c r="AO81" s="678">
        <v>0</v>
      </c>
      <c r="AP81" s="678">
        <v>0</v>
      </c>
      <c r="AQ81" s="678">
        <v>0</v>
      </c>
      <c r="AR81" s="678">
        <v>0</v>
      </c>
      <c r="AS81" s="678">
        <v>0</v>
      </c>
      <c r="AT81" s="823">
        <f t="shared" si="38"/>
        <v>0</v>
      </c>
      <c r="AU81" s="680">
        <v>0</v>
      </c>
      <c r="AV81" s="678">
        <v>0</v>
      </c>
      <c r="AW81" s="678">
        <v>0</v>
      </c>
      <c r="AX81" s="678">
        <v>0</v>
      </c>
      <c r="AY81" s="678">
        <v>0</v>
      </c>
      <c r="AZ81" s="678">
        <v>0</v>
      </c>
      <c r="BA81" s="678">
        <v>0</v>
      </c>
      <c r="BB81" s="678">
        <v>0</v>
      </c>
      <c r="BC81" s="678">
        <v>0</v>
      </c>
      <c r="BD81" s="678">
        <v>0</v>
      </c>
      <c r="BE81" s="678">
        <v>0</v>
      </c>
      <c r="BF81" s="678">
        <v>0</v>
      </c>
      <c r="BG81" s="823">
        <f t="shared" si="39"/>
        <v>0</v>
      </c>
      <c r="BH81" s="680">
        <v>0</v>
      </c>
      <c r="BI81" s="678">
        <v>0</v>
      </c>
      <c r="BJ81" s="678">
        <v>0</v>
      </c>
      <c r="BK81" s="678">
        <v>0</v>
      </c>
      <c r="BL81" s="678">
        <v>0</v>
      </c>
      <c r="BM81" s="678">
        <v>0</v>
      </c>
      <c r="BN81" s="678">
        <v>0</v>
      </c>
      <c r="BO81" s="678">
        <v>0</v>
      </c>
      <c r="BP81" s="678">
        <v>0</v>
      </c>
      <c r="BQ81" s="678">
        <v>0</v>
      </c>
      <c r="BR81" s="678">
        <v>0</v>
      </c>
      <c r="BS81" s="678">
        <v>0</v>
      </c>
      <c r="BT81" s="823">
        <f t="shared" si="40"/>
        <v>0</v>
      </c>
    </row>
    <row r="82" spans="2:73" ht="14.5" x14ac:dyDescent="0.35">
      <c r="B82" s="597" t="s">
        <v>701</v>
      </c>
      <c r="C82" s="570" t="s">
        <v>733</v>
      </c>
      <c r="D82" s="570" t="s">
        <v>734</v>
      </c>
      <c r="E82" s="572" t="s">
        <v>19</v>
      </c>
      <c r="F82" s="678">
        <v>0</v>
      </c>
      <c r="G82" s="678">
        <v>0</v>
      </c>
      <c r="H82" s="678">
        <v>0</v>
      </c>
      <c r="I82" s="678">
        <v>0</v>
      </c>
      <c r="J82" s="678">
        <v>0</v>
      </c>
      <c r="K82" s="678">
        <v>125.8</v>
      </c>
      <c r="L82" s="678">
        <v>178.8</v>
      </c>
      <c r="M82" s="678">
        <v>207.7</v>
      </c>
      <c r="N82" s="678">
        <v>205.1</v>
      </c>
      <c r="O82" s="678">
        <v>249.2</v>
      </c>
      <c r="P82" s="678">
        <v>0</v>
      </c>
      <c r="Q82" s="678">
        <v>0</v>
      </c>
      <c r="R82" s="830">
        <f>SUM('Nurse Hours'!$F82:$Q82)</f>
        <v>966.59999999999991</v>
      </c>
      <c r="S82" s="354"/>
      <c r="T82" s="615">
        <f t="shared" si="24"/>
        <v>0</v>
      </c>
      <c r="U82" s="606">
        <f t="shared" si="25"/>
        <v>0</v>
      </c>
      <c r="V82" s="606">
        <f t="shared" si="26"/>
        <v>0</v>
      </c>
      <c r="W82" s="606">
        <f t="shared" si="27"/>
        <v>0</v>
      </c>
      <c r="X82" s="606">
        <f t="shared" si="28"/>
        <v>0</v>
      </c>
      <c r="Y82" s="606">
        <f t="shared" si="29"/>
        <v>0.78625</v>
      </c>
      <c r="Z82" s="606">
        <f t="shared" si="30"/>
        <v>0.97173913043478266</v>
      </c>
      <c r="AA82" s="606">
        <f t="shared" si="31"/>
        <v>1.1801136363636362</v>
      </c>
      <c r="AB82" s="606">
        <f t="shared" si="32"/>
        <v>1.2208333333333332</v>
      </c>
      <c r="AC82" s="606">
        <f t="shared" si="33"/>
        <v>1.3543478260869564</v>
      </c>
      <c r="AD82" s="606">
        <f t="shared" si="34"/>
        <v>0</v>
      </c>
      <c r="AE82" s="606">
        <f t="shared" si="35"/>
        <v>0</v>
      </c>
      <c r="AF82" s="833">
        <f t="shared" si="36"/>
        <v>1.1084862385321099</v>
      </c>
      <c r="AG82" s="353"/>
      <c r="AH82" s="681">
        <v>0</v>
      </c>
      <c r="AI82" s="677">
        <v>0</v>
      </c>
      <c r="AJ82" s="677">
        <v>0</v>
      </c>
      <c r="AK82" s="677">
        <v>0</v>
      </c>
      <c r="AL82" s="677">
        <v>0</v>
      </c>
      <c r="AM82" s="677">
        <v>125.8</v>
      </c>
      <c r="AN82" s="677">
        <v>177.6</v>
      </c>
      <c r="AO82" s="677">
        <v>207.7</v>
      </c>
      <c r="AP82" s="677">
        <v>205.1</v>
      </c>
      <c r="AQ82" s="677">
        <v>248.7</v>
      </c>
      <c r="AR82" s="677">
        <v>0</v>
      </c>
      <c r="AS82" s="677">
        <v>0</v>
      </c>
      <c r="AT82" s="838">
        <f t="shared" si="38"/>
        <v>964.89999999999986</v>
      </c>
      <c r="AU82" s="681">
        <v>0</v>
      </c>
      <c r="AV82" s="677">
        <v>0</v>
      </c>
      <c r="AW82" s="677">
        <v>0</v>
      </c>
      <c r="AX82" s="677">
        <v>0</v>
      </c>
      <c r="AY82" s="677">
        <v>0</v>
      </c>
      <c r="AZ82" s="677">
        <v>0</v>
      </c>
      <c r="BA82" s="677">
        <v>0</v>
      </c>
      <c r="BB82" s="677">
        <v>31.7</v>
      </c>
      <c r="BC82" s="677">
        <v>37.1</v>
      </c>
      <c r="BD82" s="677">
        <v>64.7</v>
      </c>
      <c r="BE82" s="677">
        <v>0</v>
      </c>
      <c r="BF82" s="677">
        <v>0</v>
      </c>
      <c r="BG82" s="838">
        <f t="shared" si="39"/>
        <v>133.5</v>
      </c>
      <c r="BH82" s="681">
        <v>0</v>
      </c>
      <c r="BI82" s="677">
        <v>0</v>
      </c>
      <c r="BJ82" s="677">
        <v>0</v>
      </c>
      <c r="BK82" s="677">
        <v>0</v>
      </c>
      <c r="BL82" s="677">
        <v>0</v>
      </c>
      <c r="BM82" s="677">
        <v>0</v>
      </c>
      <c r="BN82" s="677">
        <v>0</v>
      </c>
      <c r="BO82" s="677">
        <v>31.7</v>
      </c>
      <c r="BP82" s="677">
        <v>25.1</v>
      </c>
      <c r="BQ82" s="677">
        <v>64.7</v>
      </c>
      <c r="BR82" s="677">
        <v>0</v>
      </c>
      <c r="BS82" s="677">
        <v>0</v>
      </c>
      <c r="BT82" s="838">
        <f t="shared" si="40"/>
        <v>121.5</v>
      </c>
    </row>
    <row r="83" spans="2:73" ht="14.5" x14ac:dyDescent="0.35">
      <c r="B83" s="597" t="s">
        <v>700</v>
      </c>
      <c r="C83" s="570" t="s">
        <v>733</v>
      </c>
      <c r="D83" s="570" t="s">
        <v>734</v>
      </c>
      <c r="E83" s="572" t="s">
        <v>19</v>
      </c>
      <c r="F83" s="678">
        <v>0</v>
      </c>
      <c r="G83" s="678">
        <v>0</v>
      </c>
      <c r="H83" s="678">
        <v>0</v>
      </c>
      <c r="I83" s="678">
        <v>0</v>
      </c>
      <c r="J83" s="678">
        <v>0</v>
      </c>
      <c r="K83" s="678">
        <v>89.4</v>
      </c>
      <c r="L83" s="678">
        <v>151.80000000000001</v>
      </c>
      <c r="M83" s="678">
        <v>173.5</v>
      </c>
      <c r="N83" s="678">
        <v>178</v>
      </c>
      <c r="O83" s="678">
        <v>186.9</v>
      </c>
      <c r="P83" s="678">
        <v>0</v>
      </c>
      <c r="Q83" s="678">
        <v>0</v>
      </c>
      <c r="R83" s="830">
        <f>SUM('Nurse Hours'!$F83:$Q83)</f>
        <v>779.6</v>
      </c>
      <c r="S83" s="354"/>
      <c r="T83" s="616">
        <f t="shared" si="24"/>
        <v>0</v>
      </c>
      <c r="U83" s="360">
        <f t="shared" si="25"/>
        <v>0</v>
      </c>
      <c r="V83" s="360">
        <f t="shared" si="26"/>
        <v>0</v>
      </c>
      <c r="W83" s="360">
        <f t="shared" si="27"/>
        <v>0</v>
      </c>
      <c r="X83" s="360">
        <f t="shared" si="28"/>
        <v>0</v>
      </c>
      <c r="Y83" s="360">
        <f t="shared" si="29"/>
        <v>0.55875000000000008</v>
      </c>
      <c r="Z83" s="360">
        <f t="shared" si="30"/>
        <v>0.82500000000000007</v>
      </c>
      <c r="AA83" s="360">
        <f t="shared" si="31"/>
        <v>0.98579545454545459</v>
      </c>
      <c r="AB83" s="360">
        <f t="shared" si="32"/>
        <v>1.0595238095238095</v>
      </c>
      <c r="AC83" s="360">
        <f t="shared" si="33"/>
        <v>1.0157608695652174</v>
      </c>
      <c r="AD83" s="360">
        <f t="shared" si="34"/>
        <v>0</v>
      </c>
      <c r="AE83" s="360">
        <f t="shared" si="35"/>
        <v>0</v>
      </c>
      <c r="AF83" s="834">
        <f t="shared" si="36"/>
        <v>0.8940366972477064</v>
      </c>
      <c r="AG83" s="353"/>
      <c r="AH83" s="680">
        <v>0</v>
      </c>
      <c r="AI83" s="678">
        <v>0</v>
      </c>
      <c r="AJ83" s="678">
        <v>0</v>
      </c>
      <c r="AK83" s="678">
        <v>0</v>
      </c>
      <c r="AL83" s="678">
        <v>0</v>
      </c>
      <c r="AM83" s="678">
        <v>89.4</v>
      </c>
      <c r="AN83" s="678">
        <v>147.6</v>
      </c>
      <c r="AO83" s="678">
        <v>171.4</v>
      </c>
      <c r="AP83" s="678">
        <v>176.9</v>
      </c>
      <c r="AQ83" s="678">
        <v>185.7</v>
      </c>
      <c r="AR83" s="678">
        <v>0</v>
      </c>
      <c r="AS83" s="678">
        <v>0</v>
      </c>
      <c r="AT83" s="823">
        <f t="shared" si="38"/>
        <v>771</v>
      </c>
      <c r="AU83" s="680">
        <v>0</v>
      </c>
      <c r="AV83" s="678">
        <v>0</v>
      </c>
      <c r="AW83" s="678">
        <v>0</v>
      </c>
      <c r="AX83" s="678">
        <v>0</v>
      </c>
      <c r="AY83" s="678">
        <v>0</v>
      </c>
      <c r="AZ83" s="678">
        <v>0</v>
      </c>
      <c r="BA83" s="678">
        <v>0</v>
      </c>
      <c r="BB83" s="678">
        <v>0</v>
      </c>
      <c r="BC83" s="678">
        <v>8.9</v>
      </c>
      <c r="BD83" s="678">
        <v>1.7</v>
      </c>
      <c r="BE83" s="678">
        <v>0</v>
      </c>
      <c r="BF83" s="678">
        <v>0</v>
      </c>
      <c r="BG83" s="823">
        <f t="shared" si="39"/>
        <v>10.6</v>
      </c>
      <c r="BH83" s="680">
        <v>0</v>
      </c>
      <c r="BI83" s="678">
        <v>0</v>
      </c>
      <c r="BJ83" s="678">
        <v>0</v>
      </c>
      <c r="BK83" s="678">
        <v>0</v>
      </c>
      <c r="BL83" s="678">
        <v>0</v>
      </c>
      <c r="BM83" s="678">
        <v>0</v>
      </c>
      <c r="BN83" s="678">
        <v>0</v>
      </c>
      <c r="BO83" s="678">
        <v>0</v>
      </c>
      <c r="BP83" s="678">
        <v>0</v>
      </c>
      <c r="BQ83" s="678">
        <v>0</v>
      </c>
      <c r="BR83" s="678">
        <v>0</v>
      </c>
      <c r="BS83" s="678">
        <v>0</v>
      </c>
      <c r="BT83" s="823">
        <f t="shared" si="40"/>
        <v>0</v>
      </c>
    </row>
    <row r="84" spans="2:73" ht="14.5" x14ac:dyDescent="0.35">
      <c r="B84" s="597" t="s">
        <v>757</v>
      </c>
      <c r="C84" s="570" t="s">
        <v>733</v>
      </c>
      <c r="D84" s="570" t="s">
        <v>734</v>
      </c>
      <c r="E84" s="572"/>
      <c r="F84" s="678"/>
      <c r="G84" s="678"/>
      <c r="H84" s="678"/>
      <c r="I84" s="678"/>
      <c r="J84" s="678"/>
      <c r="K84" s="678"/>
      <c r="L84" s="678"/>
      <c r="M84" s="678"/>
      <c r="N84" s="678">
        <v>26.9</v>
      </c>
      <c r="O84" s="678">
        <v>84.1</v>
      </c>
      <c r="P84" s="678"/>
      <c r="Q84" s="678"/>
      <c r="R84" s="830">
        <f>SUM('Nurse Hours'!$F84:$Q84)</f>
        <v>111</v>
      </c>
      <c r="S84" s="354"/>
      <c r="T84" s="615">
        <f t="shared" si="24"/>
        <v>0</v>
      </c>
      <c r="U84" s="606">
        <f t="shared" si="25"/>
        <v>0</v>
      </c>
      <c r="V84" s="606">
        <f t="shared" si="26"/>
        <v>0</v>
      </c>
      <c r="W84" s="606">
        <f t="shared" si="27"/>
        <v>0</v>
      </c>
      <c r="X84" s="606">
        <f t="shared" si="28"/>
        <v>0</v>
      </c>
      <c r="Y84" s="606">
        <f t="shared" si="29"/>
        <v>0</v>
      </c>
      <c r="Z84" s="606">
        <f t="shared" si="30"/>
        <v>0</v>
      </c>
      <c r="AA84" s="606">
        <f t="shared" si="31"/>
        <v>0</v>
      </c>
      <c r="AB84" s="606">
        <f t="shared" si="32"/>
        <v>0.16011904761904761</v>
      </c>
      <c r="AC84" s="606">
        <f t="shared" si="33"/>
        <v>0.45706521739130429</v>
      </c>
      <c r="AD84" s="606">
        <f t="shared" si="34"/>
        <v>0</v>
      </c>
      <c r="AE84" s="606">
        <f t="shared" si="35"/>
        <v>0</v>
      </c>
      <c r="AF84" s="833">
        <f t="shared" si="36"/>
        <v>0.31534090909090912</v>
      </c>
      <c r="AG84" s="353"/>
      <c r="AH84" s="681"/>
      <c r="AI84" s="677"/>
      <c r="AJ84" s="677"/>
      <c r="AK84" s="677"/>
      <c r="AL84" s="677"/>
      <c r="AM84" s="677"/>
      <c r="AN84" s="677"/>
      <c r="AO84" s="677"/>
      <c r="AP84" s="677">
        <v>25.6</v>
      </c>
      <c r="AQ84" s="677">
        <v>83.6</v>
      </c>
      <c r="AR84" s="677"/>
      <c r="AS84" s="677"/>
      <c r="AT84" s="838">
        <f t="shared" si="38"/>
        <v>109.19999999999999</v>
      </c>
      <c r="AU84" s="681"/>
      <c r="AV84" s="677"/>
      <c r="AW84" s="677"/>
      <c r="AX84" s="677"/>
      <c r="AY84" s="677"/>
      <c r="AZ84" s="677"/>
      <c r="BA84" s="677"/>
      <c r="BB84" s="677"/>
      <c r="BC84" s="677"/>
      <c r="BD84" s="677"/>
      <c r="BE84" s="677"/>
      <c r="BF84" s="677"/>
      <c r="BG84" s="838">
        <f t="shared" si="39"/>
        <v>0</v>
      </c>
      <c r="BH84" s="681"/>
      <c r="BI84" s="677"/>
      <c r="BJ84" s="677"/>
      <c r="BK84" s="677"/>
      <c r="BL84" s="677"/>
      <c r="BM84" s="677"/>
      <c r="BN84" s="677"/>
      <c r="BO84" s="677"/>
      <c r="BP84" s="677"/>
      <c r="BQ84" s="677"/>
      <c r="BR84" s="677"/>
      <c r="BS84" s="677"/>
      <c r="BT84" s="838">
        <f t="shared" si="40"/>
        <v>0</v>
      </c>
    </row>
    <row r="85" spans="2:73" ht="14.5" x14ac:dyDescent="0.35">
      <c r="B85" s="597" t="s">
        <v>698</v>
      </c>
      <c r="C85" s="570" t="s">
        <v>730</v>
      </c>
      <c r="D85" s="570" t="s">
        <v>737</v>
      </c>
      <c r="E85" s="572" t="s">
        <v>758</v>
      </c>
      <c r="F85" s="678">
        <v>169.9</v>
      </c>
      <c r="G85" s="678">
        <v>174.1</v>
      </c>
      <c r="H85" s="678">
        <v>131.1</v>
      </c>
      <c r="I85" s="678">
        <v>109.6</v>
      </c>
      <c r="J85" s="678">
        <v>143.6</v>
      </c>
      <c r="K85" s="678">
        <v>150.9</v>
      </c>
      <c r="L85" s="678">
        <v>169.3</v>
      </c>
      <c r="M85" s="678">
        <v>118</v>
      </c>
      <c r="N85" s="678">
        <v>140.5</v>
      </c>
      <c r="O85" s="678">
        <v>125.2</v>
      </c>
      <c r="P85" s="678">
        <v>0</v>
      </c>
      <c r="Q85" s="678">
        <v>0</v>
      </c>
      <c r="R85" s="830">
        <f>SUM('Nurse Hours'!$F85:$Q85)</f>
        <v>1432.2</v>
      </c>
      <c r="S85" s="354"/>
      <c r="T85" s="616">
        <f t="shared" si="24"/>
        <v>0.92336956521739133</v>
      </c>
      <c r="U85" s="360">
        <f t="shared" si="25"/>
        <v>1.0363095238095237</v>
      </c>
      <c r="V85" s="360">
        <f t="shared" si="26"/>
        <v>0.78035714285714286</v>
      </c>
      <c r="W85" s="360">
        <f t="shared" si="27"/>
        <v>0.62272727272727268</v>
      </c>
      <c r="X85" s="360">
        <f t="shared" si="28"/>
        <v>0.78043478260869559</v>
      </c>
      <c r="Y85" s="360">
        <f t="shared" si="29"/>
        <v>0.94312499999999999</v>
      </c>
      <c r="Z85" s="360">
        <f t="shared" si="30"/>
        <v>0.92010869565217401</v>
      </c>
      <c r="AA85" s="360">
        <f t="shared" si="31"/>
        <v>0.67045454545454541</v>
      </c>
      <c r="AB85" s="360">
        <f t="shared" si="32"/>
        <v>0.83630952380952384</v>
      </c>
      <c r="AC85" s="360">
        <f t="shared" si="33"/>
        <v>0.68043478260869572</v>
      </c>
      <c r="AD85" s="360">
        <f t="shared" si="34"/>
        <v>0</v>
      </c>
      <c r="AE85" s="360">
        <f t="shared" si="35"/>
        <v>0</v>
      </c>
      <c r="AF85" s="834">
        <f t="shared" si="36"/>
        <v>0.81746575342465755</v>
      </c>
      <c r="AG85" s="353"/>
      <c r="AH85" s="680">
        <v>143.9</v>
      </c>
      <c r="AI85" s="678">
        <v>173.6</v>
      </c>
      <c r="AJ85" s="678">
        <v>112.5</v>
      </c>
      <c r="AK85" s="678">
        <v>109.6</v>
      </c>
      <c r="AL85" s="678">
        <v>143.6</v>
      </c>
      <c r="AM85" s="678">
        <v>150.9</v>
      </c>
      <c r="AN85" s="678">
        <v>169.3</v>
      </c>
      <c r="AO85" s="678">
        <v>118</v>
      </c>
      <c r="AP85" s="678">
        <v>140.5</v>
      </c>
      <c r="AQ85" s="678">
        <v>125.2</v>
      </c>
      <c r="AR85" s="678">
        <v>0</v>
      </c>
      <c r="AS85" s="678">
        <v>0</v>
      </c>
      <c r="AT85" s="823">
        <f t="shared" si="38"/>
        <v>1387.1000000000001</v>
      </c>
      <c r="AU85" s="680">
        <v>3.9</v>
      </c>
      <c r="AV85" s="678">
        <v>33.6</v>
      </c>
      <c r="AW85" s="678" t="s">
        <v>759</v>
      </c>
      <c r="AX85" s="678">
        <v>0</v>
      </c>
      <c r="AY85" s="678">
        <v>0</v>
      </c>
      <c r="AZ85" s="678">
        <v>0</v>
      </c>
      <c r="BA85" s="678">
        <v>0</v>
      </c>
      <c r="BB85" s="678">
        <v>0</v>
      </c>
      <c r="BC85" s="678">
        <v>0</v>
      </c>
      <c r="BD85" s="678">
        <v>0</v>
      </c>
      <c r="BE85" s="678">
        <v>0</v>
      </c>
      <c r="BF85" s="678">
        <v>0</v>
      </c>
      <c r="BG85" s="823">
        <f t="shared" si="39"/>
        <v>37.5</v>
      </c>
      <c r="BH85" s="680">
        <v>3.9</v>
      </c>
      <c r="BI85" s="678">
        <v>33.6</v>
      </c>
      <c r="BJ85" s="678">
        <v>0</v>
      </c>
      <c r="BK85" s="678">
        <v>0</v>
      </c>
      <c r="BL85" s="678">
        <v>0</v>
      </c>
      <c r="BM85" s="678">
        <v>0</v>
      </c>
      <c r="BN85" s="678">
        <v>0</v>
      </c>
      <c r="BO85" s="678">
        <v>0</v>
      </c>
      <c r="BP85" s="678">
        <v>0</v>
      </c>
      <c r="BQ85" s="678">
        <v>0</v>
      </c>
      <c r="BR85" s="678">
        <v>0</v>
      </c>
      <c r="BS85" s="678">
        <v>0</v>
      </c>
      <c r="BT85" s="823">
        <f t="shared" si="40"/>
        <v>37.5</v>
      </c>
    </row>
    <row r="86" spans="2:73" ht="15" thickBot="1" x14ac:dyDescent="0.4">
      <c r="B86" s="864" t="s">
        <v>677</v>
      </c>
      <c r="C86" s="865" t="s">
        <v>736</v>
      </c>
      <c r="D86" s="865" t="s">
        <v>734</v>
      </c>
      <c r="E86" s="866" t="s">
        <v>19</v>
      </c>
      <c r="F86" s="867">
        <v>152.69999999999999</v>
      </c>
      <c r="G86" s="867">
        <v>182.7</v>
      </c>
      <c r="H86" s="867">
        <v>146.5</v>
      </c>
      <c r="I86" s="867">
        <v>142.30000000000001</v>
      </c>
      <c r="J86" s="867">
        <v>145.30000000000001</v>
      </c>
      <c r="K86" s="867">
        <v>145.30000000000001</v>
      </c>
      <c r="L86" s="867">
        <v>147</v>
      </c>
      <c r="M86" s="867">
        <v>147.19999999999999</v>
      </c>
      <c r="N86" s="867">
        <v>138.4</v>
      </c>
      <c r="O86" s="867">
        <v>145.69999999999999</v>
      </c>
      <c r="P86" s="867">
        <v>0</v>
      </c>
      <c r="Q86" s="867">
        <v>0</v>
      </c>
      <c r="R86" s="868">
        <f>SUM('Nurse Hours'!$F86:$Q86)</f>
        <v>1493.1000000000001</v>
      </c>
      <c r="S86" s="354"/>
      <c r="T86" s="615">
        <f t="shared" si="24"/>
        <v>0.82989130434782599</v>
      </c>
      <c r="U86" s="606">
        <f t="shared" si="25"/>
        <v>1.0874999999999999</v>
      </c>
      <c r="V86" s="606">
        <f t="shared" si="26"/>
        <v>0.87202380952380953</v>
      </c>
      <c r="W86" s="606">
        <f t="shared" si="27"/>
        <v>0.80852272727272734</v>
      </c>
      <c r="X86" s="606">
        <f t="shared" si="28"/>
        <v>0.78967391304347834</v>
      </c>
      <c r="Y86" s="606">
        <f t="shared" si="29"/>
        <v>0.90812500000000007</v>
      </c>
      <c r="Z86" s="606">
        <f t="shared" si="30"/>
        <v>0.79891304347826086</v>
      </c>
      <c r="AA86" s="606">
        <f t="shared" si="31"/>
        <v>0.83636363636363631</v>
      </c>
      <c r="AB86" s="606">
        <f t="shared" si="32"/>
        <v>0.82380952380952388</v>
      </c>
      <c r="AC86" s="606">
        <f t="shared" si="33"/>
        <v>0.79184782608695647</v>
      </c>
      <c r="AD86" s="606">
        <f t="shared" si="34"/>
        <v>0</v>
      </c>
      <c r="AE86" s="606">
        <f t="shared" si="35"/>
        <v>0</v>
      </c>
      <c r="AF86" s="833">
        <f t="shared" si="36"/>
        <v>0.85222602739726039</v>
      </c>
      <c r="AG86" s="353"/>
      <c r="AH86" s="681">
        <v>143.19999999999999</v>
      </c>
      <c r="AI86" s="677">
        <v>149.69999999999999</v>
      </c>
      <c r="AJ86" s="677">
        <v>145</v>
      </c>
      <c r="AK86" s="677">
        <v>141.30000000000001</v>
      </c>
      <c r="AL86" s="677">
        <v>136.80000000000001</v>
      </c>
      <c r="AM86" s="677">
        <v>136.80000000000001</v>
      </c>
      <c r="AN86" s="677">
        <v>134.4</v>
      </c>
      <c r="AO86" s="677">
        <v>135.19999999999999</v>
      </c>
      <c r="AP86" s="677">
        <v>129.6</v>
      </c>
      <c r="AQ86" s="677">
        <v>145.19999999999999</v>
      </c>
      <c r="AR86" s="677">
        <v>0</v>
      </c>
      <c r="AS86" s="677">
        <v>0</v>
      </c>
      <c r="AT86" s="838">
        <f t="shared" si="38"/>
        <v>1397.1999999999998</v>
      </c>
      <c r="AU86" s="681">
        <v>3.2</v>
      </c>
      <c r="AV86" s="677">
        <v>9.6999999999999993</v>
      </c>
      <c r="AW86" s="677">
        <v>5</v>
      </c>
      <c r="AX86" s="677">
        <v>1.3</v>
      </c>
      <c r="AY86" s="677">
        <v>0</v>
      </c>
      <c r="AZ86" s="677">
        <v>0</v>
      </c>
      <c r="BA86" s="677">
        <v>0</v>
      </c>
      <c r="BB86" s="677">
        <v>0</v>
      </c>
      <c r="BC86" s="677">
        <v>0</v>
      </c>
      <c r="BD86" s="677">
        <v>5.2</v>
      </c>
      <c r="BE86" s="677">
        <v>0</v>
      </c>
      <c r="BF86" s="677">
        <v>0</v>
      </c>
      <c r="BG86" s="838">
        <f t="shared" si="39"/>
        <v>24.4</v>
      </c>
      <c r="BH86" s="681">
        <v>3.2</v>
      </c>
      <c r="BI86" s="677">
        <v>9.6999999999999993</v>
      </c>
      <c r="BJ86" s="677">
        <v>5</v>
      </c>
      <c r="BK86" s="677">
        <v>1.3</v>
      </c>
      <c r="BL86" s="677">
        <v>0</v>
      </c>
      <c r="BM86" s="677">
        <v>0</v>
      </c>
      <c r="BN86" s="677">
        <v>0</v>
      </c>
      <c r="BO86" s="677">
        <v>0</v>
      </c>
      <c r="BP86" s="677">
        <v>0</v>
      </c>
      <c r="BQ86" s="677">
        <v>5.2</v>
      </c>
      <c r="BR86" s="677">
        <v>0</v>
      </c>
      <c r="BS86" s="677">
        <v>0</v>
      </c>
      <c r="BT86" s="838">
        <f t="shared" si="40"/>
        <v>24.4</v>
      </c>
    </row>
    <row r="87" spans="2:73" s="358" customFormat="1" ht="18.649999999999999" customHeight="1" thickTop="1" thickBot="1" x14ac:dyDescent="0.3">
      <c r="B87" s="598" t="s">
        <v>24</v>
      </c>
      <c r="C87" s="599"/>
      <c r="D87" s="600"/>
      <c r="E87" s="601"/>
      <c r="F87" s="847">
        <f>SUBTOTAL(109,RegularHours_type1[Jan])</f>
        <v>4681.79</v>
      </c>
      <c r="G87" s="847">
        <f>SUBTOTAL(109,RegularHours_type1[Feb])</f>
        <v>5122.0999999999995</v>
      </c>
      <c r="H87" s="847">
        <f>SUBTOTAL(109,RegularHours_type1[Mar])</f>
        <v>4943.3500000000004</v>
      </c>
      <c r="I87" s="847">
        <f>SUBTOTAL(109,RegularHours_type1[Apr])</f>
        <v>5363.8200000000015</v>
      </c>
      <c r="J87" s="847">
        <f>SUBTOTAL(109,RegularHours_type1[May])</f>
        <v>5408.8</v>
      </c>
      <c r="K87" s="847">
        <f>SUBTOTAL(109,RegularHours_type1[Jun])</f>
        <v>5228.3</v>
      </c>
      <c r="L87" s="847">
        <f>SUBTOTAL(109,RegularHours_type1[July])</f>
        <v>5850.42</v>
      </c>
      <c r="M87" s="847">
        <f>SUBTOTAL(109,RegularHours_type1[Aug])</f>
        <v>5748.4999999999991</v>
      </c>
      <c r="N87" s="847">
        <f>SUBTOTAL(109,RegularHours_type1[Sep])</f>
        <v>5648.1999999999989</v>
      </c>
      <c r="O87" s="847">
        <f>SUBTOTAL(109,RegularHours_type1[Oct])</f>
        <v>6186</v>
      </c>
      <c r="P87" s="847">
        <f>SUBTOTAL(109,RegularHours_type1[Nov])</f>
        <v>0</v>
      </c>
      <c r="Q87" s="847">
        <f>SUBTOTAL(109,RegularHours_type1[Dec])</f>
        <v>0</v>
      </c>
      <c r="R87" s="832">
        <f>SUBTOTAL(109,RegularHours_type1[YTD])</f>
        <v>54181.279999999999</v>
      </c>
      <c r="T87" s="585">
        <f t="shared" ref="T87:AE87" si="41">IFERROR(F87/(F36*COUNTIF(F38:F87,"&gt;0")),0)</f>
        <v>0.94238929146537842</v>
      </c>
      <c r="U87" s="848">
        <f t="shared" si="41"/>
        <v>1.0888818027210883</v>
      </c>
      <c r="V87" s="848">
        <f t="shared" si="41"/>
        <v>0.94918394777265747</v>
      </c>
      <c r="W87" s="848">
        <f t="shared" si="41"/>
        <v>0.98310483870967769</v>
      </c>
      <c r="X87" s="848">
        <f t="shared" si="41"/>
        <v>0.89077733860342556</v>
      </c>
      <c r="Y87" s="848">
        <f t="shared" si="41"/>
        <v>0.90769097222222228</v>
      </c>
      <c r="Z87" s="848">
        <f t="shared" si="41"/>
        <v>0.85934488836662748</v>
      </c>
      <c r="AA87" s="848">
        <f t="shared" si="41"/>
        <v>0.8827549140049139</v>
      </c>
      <c r="AB87" s="848">
        <f t="shared" si="41"/>
        <v>0.88474310776942344</v>
      </c>
      <c r="AC87" s="848">
        <f t="shared" si="41"/>
        <v>0.84048913043478257</v>
      </c>
      <c r="AD87" s="848">
        <f t="shared" si="41"/>
        <v>0</v>
      </c>
      <c r="AE87" s="848">
        <f t="shared" si="41"/>
        <v>0</v>
      </c>
      <c r="AF87" s="835">
        <f>IFERROR(R87/(SUMIF(F87:Q87,"&gt;0",$F$36:$Q$36)*COUNTIF(R38:R87,"&gt;0")),0)</f>
        <v>0.68723084728564177</v>
      </c>
      <c r="AH87" s="837">
        <f t="shared" ref="AH87:BT87" si="42">SUM(AH38:AH86)</f>
        <v>4385.1899999999996</v>
      </c>
      <c r="AI87" s="836">
        <f t="shared" si="42"/>
        <v>4953.5899999999992</v>
      </c>
      <c r="AJ87" s="836">
        <f t="shared" si="42"/>
        <v>4762.9500000000007</v>
      </c>
      <c r="AK87" s="836">
        <f t="shared" si="42"/>
        <v>5017.340000000002</v>
      </c>
      <c r="AL87" s="836">
        <f t="shared" si="42"/>
        <v>5024.8000000000011</v>
      </c>
      <c r="AM87" s="836">
        <f t="shared" si="42"/>
        <v>5052.5</v>
      </c>
      <c r="AN87" s="836">
        <f t="shared" si="42"/>
        <v>5575.1</v>
      </c>
      <c r="AO87" s="836">
        <f t="shared" si="42"/>
        <v>5524.2999999999984</v>
      </c>
      <c r="AP87" s="836">
        <f t="shared" si="42"/>
        <v>5353.2000000000016</v>
      </c>
      <c r="AQ87" s="836">
        <f t="shared" si="42"/>
        <v>5657.4000000000005</v>
      </c>
      <c r="AR87" s="836">
        <f t="shared" si="42"/>
        <v>0</v>
      </c>
      <c r="AS87" s="836">
        <f t="shared" si="42"/>
        <v>0</v>
      </c>
      <c r="AT87" s="836">
        <f t="shared" si="42"/>
        <v>51306.37</v>
      </c>
      <c r="AU87" s="849">
        <f t="shared" si="42"/>
        <v>651.33999999999992</v>
      </c>
      <c r="AV87" s="849">
        <f t="shared" si="42"/>
        <v>1004.0000000000001</v>
      </c>
      <c r="AW87" s="849">
        <f t="shared" si="42"/>
        <v>872.8</v>
      </c>
      <c r="AX87" s="849">
        <f t="shared" si="42"/>
        <v>861.93999999999983</v>
      </c>
      <c r="AY87" s="849">
        <f t="shared" si="42"/>
        <v>692.2</v>
      </c>
      <c r="AZ87" s="849">
        <f t="shared" si="42"/>
        <v>679.49999999999989</v>
      </c>
      <c r="BA87" s="849">
        <f t="shared" si="42"/>
        <v>702.6</v>
      </c>
      <c r="BB87" s="849">
        <f t="shared" si="42"/>
        <v>717.6</v>
      </c>
      <c r="BC87" s="849">
        <f t="shared" si="42"/>
        <v>840.19999999999993</v>
      </c>
      <c r="BD87" s="849">
        <f t="shared" si="42"/>
        <v>813.50000000000011</v>
      </c>
      <c r="BE87" s="849">
        <f t="shared" si="42"/>
        <v>0</v>
      </c>
      <c r="BF87" s="849">
        <f t="shared" si="42"/>
        <v>0</v>
      </c>
      <c r="BG87" s="837">
        <f t="shared" si="42"/>
        <v>7835.6799999999994</v>
      </c>
      <c r="BH87" s="837">
        <f t="shared" si="42"/>
        <v>550.54</v>
      </c>
      <c r="BI87" s="837">
        <f t="shared" si="42"/>
        <v>912.00000000000011</v>
      </c>
      <c r="BJ87" s="837">
        <f t="shared" si="42"/>
        <v>852.59999999999991</v>
      </c>
      <c r="BK87" s="837">
        <f t="shared" si="42"/>
        <v>800.43999999999994</v>
      </c>
      <c r="BL87" s="837">
        <f t="shared" si="42"/>
        <v>535.9</v>
      </c>
      <c r="BM87" s="837">
        <f t="shared" si="42"/>
        <v>653.29999999999995</v>
      </c>
      <c r="BN87" s="837">
        <f t="shared" si="42"/>
        <v>504.29999999999995</v>
      </c>
      <c r="BO87" s="837">
        <f t="shared" si="42"/>
        <v>626.70000000000005</v>
      </c>
      <c r="BP87" s="837">
        <f t="shared" si="42"/>
        <v>654.20000000000005</v>
      </c>
      <c r="BQ87" s="837">
        <f t="shared" si="42"/>
        <v>731.80000000000007</v>
      </c>
      <c r="BR87" s="837">
        <f t="shared" si="42"/>
        <v>0</v>
      </c>
      <c r="BS87" s="837">
        <f t="shared" si="42"/>
        <v>0</v>
      </c>
      <c r="BT87" s="839">
        <f t="shared" si="42"/>
        <v>6821.7799999999988</v>
      </c>
    </row>
    <row r="88" spans="2:73" s="358" customFormat="1" ht="18.649999999999999" customHeight="1" x14ac:dyDescent="0.25">
      <c r="F88" s="640"/>
      <c r="G88" s="640"/>
      <c r="H88" s="640"/>
      <c r="I88" s="640"/>
      <c r="J88" s="640"/>
      <c r="K88" s="640"/>
      <c r="L88" s="640"/>
      <c r="M88" s="640"/>
      <c r="N88" s="640"/>
      <c r="O88" s="640"/>
      <c r="P88" s="640"/>
      <c r="Q88" s="640"/>
      <c r="R88" s="640"/>
      <c r="T88" s="641"/>
      <c r="U88" s="641"/>
      <c r="V88" s="641"/>
      <c r="W88" s="641"/>
      <c r="X88" s="641"/>
      <c r="Y88" s="641"/>
      <c r="Z88" s="641"/>
      <c r="AA88" s="641"/>
      <c r="AB88" s="641"/>
      <c r="AC88" s="641"/>
      <c r="AD88" s="641"/>
      <c r="AE88" s="641"/>
      <c r="AF88" s="641"/>
      <c r="AH88" s="642"/>
      <c r="AI88" s="642"/>
      <c r="AJ88" s="642"/>
      <c r="AK88" s="642"/>
      <c r="AL88" s="642"/>
      <c r="AM88" s="642"/>
      <c r="AN88" s="642"/>
      <c r="AO88" s="642"/>
      <c r="AP88" s="642"/>
      <c r="AQ88" s="642"/>
      <c r="AR88" s="642"/>
      <c r="AS88" s="642"/>
      <c r="AT88" s="642"/>
      <c r="AU88" s="643"/>
      <c r="AV88" s="643"/>
      <c r="AW88" s="643"/>
      <c r="AX88" s="643"/>
      <c r="AY88" s="643"/>
      <c r="AZ88" s="643"/>
      <c r="BA88" s="643"/>
      <c r="BB88" s="643"/>
      <c r="BC88" s="643"/>
      <c r="BD88" s="643"/>
      <c r="BE88" s="643"/>
      <c r="BF88" s="643"/>
      <c r="BG88" s="642"/>
      <c r="BH88" s="642"/>
      <c r="BI88" s="642"/>
      <c r="BJ88" s="642"/>
      <c r="BK88" s="642"/>
      <c r="BL88" s="642"/>
      <c r="BM88" s="642"/>
      <c r="BN88" s="642"/>
      <c r="BO88" s="642"/>
      <c r="BP88" s="642"/>
      <c r="BQ88" s="642"/>
      <c r="BR88" s="642"/>
      <c r="BS88" s="642"/>
      <c r="BT88" s="642"/>
    </row>
    <row r="89" spans="2:73" s="358" customFormat="1" ht="13" hidden="1" x14ac:dyDescent="0.25">
      <c r="R89" s="640"/>
      <c r="S89" s="640"/>
      <c r="AA89" s="648"/>
      <c r="AB89" s="641"/>
      <c r="AC89" s="641"/>
      <c r="AD89" s="641"/>
      <c r="AE89" s="641"/>
      <c r="AF89" s="641"/>
      <c r="AG89" s="641"/>
      <c r="AU89" s="642"/>
      <c r="AV89" s="643"/>
      <c r="AW89" s="643"/>
      <c r="AX89" s="643"/>
      <c r="AY89" s="643"/>
      <c r="AZ89" s="643"/>
      <c r="BA89" s="643"/>
      <c r="BB89" s="643"/>
      <c r="BC89" s="643"/>
      <c r="BD89" s="643"/>
      <c r="BE89" s="643"/>
      <c r="BF89" s="643"/>
      <c r="BG89" s="643"/>
      <c r="BH89" s="642"/>
      <c r="BI89" s="642"/>
      <c r="BJ89" s="642"/>
      <c r="BK89" s="642"/>
      <c r="BL89" s="642"/>
      <c r="BM89" s="642"/>
      <c r="BN89" s="642"/>
      <c r="BO89" s="642"/>
      <c r="BP89" s="642"/>
      <c r="BQ89" s="642"/>
      <c r="BR89" s="642"/>
      <c r="BS89" s="642"/>
      <c r="BT89" s="642"/>
      <c r="BU89" s="642"/>
    </row>
    <row r="90" spans="2:73" s="358" customFormat="1" ht="18.649999999999999" hidden="1" customHeight="1" x14ac:dyDescent="0.25">
      <c r="R90" s="640"/>
      <c r="S90" s="640"/>
      <c r="AA90" s="641"/>
      <c r="AB90" s="641"/>
      <c r="AC90" s="641"/>
      <c r="AD90" s="641"/>
      <c r="AE90" s="641"/>
      <c r="AF90" s="641"/>
      <c r="AG90" s="641"/>
      <c r="AU90" s="642"/>
      <c r="AV90" s="643"/>
      <c r="AW90" s="643"/>
      <c r="AX90" s="643"/>
      <c r="AY90" s="643"/>
      <c r="AZ90" s="643"/>
      <c r="BA90" s="643"/>
      <c r="BB90" s="643"/>
      <c r="BC90" s="643"/>
      <c r="BD90" s="643"/>
      <c r="BE90" s="643"/>
      <c r="BF90" s="643"/>
      <c r="BG90" s="643"/>
      <c r="BH90" s="642"/>
      <c r="BI90" s="642"/>
      <c r="BJ90" s="642"/>
      <c r="BK90" s="642"/>
      <c r="BL90" s="642"/>
      <c r="BM90" s="642"/>
      <c r="BN90" s="642"/>
      <c r="BO90" s="642"/>
      <c r="BP90" s="642"/>
      <c r="BQ90" s="642"/>
      <c r="BR90" s="642"/>
      <c r="BS90" s="642"/>
      <c r="BT90" s="642"/>
      <c r="BU90" s="642"/>
    </row>
    <row r="91" spans="2:73" s="358" customFormat="1" ht="18.649999999999999" hidden="1" customHeight="1" x14ac:dyDescent="0.25">
      <c r="R91" s="640"/>
      <c r="T91" s="641"/>
      <c r="U91" s="641"/>
      <c r="V91" s="641"/>
      <c r="W91" s="641"/>
      <c r="X91" s="641"/>
      <c r="Y91" s="641"/>
      <c r="Z91" s="641"/>
      <c r="AA91" s="641"/>
      <c r="AB91" s="641"/>
      <c r="AC91" s="641"/>
      <c r="AD91" s="641"/>
      <c r="AE91" s="641"/>
      <c r="AF91" s="641"/>
      <c r="AH91" s="642"/>
      <c r="AI91" s="642"/>
      <c r="AJ91" s="642"/>
      <c r="AK91" s="642"/>
      <c r="AL91" s="642"/>
      <c r="AM91" s="642"/>
      <c r="AN91" s="642"/>
      <c r="AO91" s="642"/>
      <c r="AP91" s="642"/>
      <c r="AQ91" s="642"/>
      <c r="AR91" s="642"/>
      <c r="AS91" s="642"/>
      <c r="AT91" s="642"/>
      <c r="AU91" s="643"/>
      <c r="AV91" s="643"/>
      <c r="AW91" s="643"/>
      <c r="AX91" s="643"/>
      <c r="AY91" s="643"/>
      <c r="AZ91" s="643"/>
      <c r="BA91" s="643"/>
      <c r="BB91" s="643"/>
      <c r="BC91" s="643"/>
      <c r="BD91" s="643"/>
      <c r="BE91" s="643"/>
      <c r="BF91" s="643"/>
      <c r="BG91" s="642"/>
      <c r="BH91" s="642"/>
      <c r="BI91" s="642"/>
      <c r="BJ91" s="642"/>
      <c r="BK91" s="642"/>
      <c r="BL91" s="642"/>
      <c r="BM91" s="642"/>
      <c r="BN91" s="642"/>
      <c r="BO91" s="642"/>
      <c r="BP91" s="642"/>
      <c r="BQ91" s="642"/>
      <c r="BR91" s="642"/>
      <c r="BS91" s="642"/>
      <c r="BT91" s="642"/>
    </row>
    <row r="92" spans="2:73" ht="13" hidden="1" x14ac:dyDescent="0.3"/>
    <row r="93" spans="2:73" ht="13" customHeight="1" x14ac:dyDescent="0.3">
      <c r="B93" s="966" t="s">
        <v>760</v>
      </c>
      <c r="C93" s="966"/>
      <c r="D93" s="966"/>
      <c r="E93" s="966"/>
      <c r="F93" s="966"/>
      <c r="G93" s="966"/>
      <c r="H93" s="966"/>
      <c r="I93" s="966"/>
      <c r="J93" s="966"/>
      <c r="K93" s="966"/>
      <c r="L93" s="966"/>
      <c r="M93" s="966"/>
      <c r="N93" s="966"/>
      <c r="O93" s="966"/>
      <c r="P93" s="966"/>
      <c r="Q93" s="966"/>
      <c r="R93" s="966"/>
      <c r="S93" s="966"/>
      <c r="T93" s="966"/>
      <c r="U93" s="966"/>
      <c r="V93" s="966"/>
      <c r="W93" s="966"/>
      <c r="X93" s="966"/>
      <c r="Y93" s="966"/>
      <c r="Z93" s="966"/>
      <c r="AA93" s="966"/>
      <c r="AB93" s="966"/>
      <c r="AC93" s="966"/>
      <c r="AD93" s="966"/>
      <c r="AE93" s="966"/>
      <c r="AF93" s="966"/>
      <c r="AG93" s="966"/>
      <c r="AH93" s="966"/>
      <c r="AI93" s="966"/>
      <c r="AJ93" s="966"/>
      <c r="AK93" s="966"/>
      <c r="AL93" s="966"/>
      <c r="AM93" s="966"/>
      <c r="AN93" s="966"/>
      <c r="AO93" s="966"/>
      <c r="AP93" s="966"/>
      <c r="AQ93" s="966"/>
      <c r="AR93" s="966"/>
      <c r="AS93" s="966"/>
      <c r="AT93" s="966"/>
    </row>
    <row r="94" spans="2:73" ht="13" customHeight="1" x14ac:dyDescent="0.3">
      <c r="B94" s="966"/>
      <c r="C94" s="966"/>
      <c r="D94" s="966"/>
      <c r="E94" s="966"/>
      <c r="F94" s="966"/>
      <c r="G94" s="966"/>
      <c r="H94" s="966"/>
      <c r="I94" s="966"/>
      <c r="J94" s="966"/>
      <c r="K94" s="966"/>
      <c r="L94" s="966"/>
      <c r="M94" s="966"/>
      <c r="N94" s="966"/>
      <c r="O94" s="966"/>
      <c r="P94" s="966"/>
      <c r="Q94" s="966"/>
      <c r="R94" s="966"/>
      <c r="S94" s="966"/>
      <c r="T94" s="966"/>
      <c r="U94" s="966"/>
      <c r="V94" s="966"/>
      <c r="W94" s="966"/>
      <c r="X94" s="966"/>
      <c r="Y94" s="966"/>
      <c r="Z94" s="966"/>
      <c r="AA94" s="966"/>
      <c r="AB94" s="966"/>
      <c r="AC94" s="966"/>
      <c r="AD94" s="966"/>
      <c r="AE94" s="966"/>
      <c r="AF94" s="966"/>
      <c r="AG94" s="966"/>
      <c r="AH94" s="966"/>
      <c r="AI94" s="966"/>
      <c r="AJ94" s="966"/>
      <c r="AK94" s="966"/>
      <c r="AL94" s="966"/>
      <c r="AM94" s="966"/>
      <c r="AN94" s="966"/>
      <c r="AO94" s="966"/>
      <c r="AP94" s="966"/>
      <c r="AQ94" s="966"/>
      <c r="AR94" s="966"/>
      <c r="AS94" s="966"/>
      <c r="AT94" s="966"/>
    </row>
    <row r="95" spans="2:73" ht="12.65" customHeight="1" thickBot="1" x14ac:dyDescent="0.35"/>
    <row r="96" spans="2:73" ht="15" thickBot="1" x14ac:dyDescent="0.4">
      <c r="B96" s="973" t="s">
        <v>718</v>
      </c>
      <c r="C96" s="973"/>
      <c r="D96" s="973"/>
      <c r="E96" s="737"/>
      <c r="F96" s="950" t="s">
        <v>761</v>
      </c>
      <c r="G96" s="950"/>
      <c r="H96" s="950"/>
      <c r="I96" s="950"/>
      <c r="J96" s="950"/>
      <c r="K96" s="950"/>
      <c r="L96" s="950"/>
      <c r="M96" s="950"/>
      <c r="N96" s="950"/>
      <c r="O96" s="950"/>
      <c r="P96" s="950"/>
      <c r="Q96" s="950"/>
      <c r="R96" s="974"/>
      <c r="S96" s="356"/>
      <c r="T96" s="952" t="s">
        <v>720</v>
      </c>
      <c r="U96" s="953"/>
      <c r="V96" s="953"/>
      <c r="W96" s="953"/>
      <c r="X96" s="953"/>
      <c r="Y96" s="953"/>
      <c r="Z96" s="953"/>
      <c r="AA96" s="953"/>
      <c r="AB96" s="953"/>
      <c r="AC96" s="953"/>
      <c r="AD96" s="953"/>
      <c r="AE96" s="953"/>
      <c r="AF96" s="953"/>
      <c r="AG96" s="356"/>
      <c r="AH96" s="954" t="s">
        <v>762</v>
      </c>
      <c r="AI96" s="954"/>
      <c r="AJ96" s="954"/>
      <c r="AK96" s="954"/>
      <c r="AL96" s="954"/>
      <c r="AM96" s="954"/>
      <c r="AN96" s="954"/>
      <c r="AO96" s="954"/>
      <c r="AP96" s="954"/>
      <c r="AQ96" s="954"/>
      <c r="AR96" s="954"/>
      <c r="AS96" s="954"/>
      <c r="AT96" s="975"/>
      <c r="AU96" s="955"/>
      <c r="AV96" s="955"/>
      <c r="AW96" s="955"/>
      <c r="AX96" s="955"/>
      <c r="AY96" s="955"/>
      <c r="AZ96" s="955"/>
      <c r="BA96" s="955"/>
      <c r="BB96" s="955"/>
      <c r="BC96" s="955"/>
      <c r="BD96" s="955"/>
      <c r="BE96" s="955"/>
      <c r="BF96" s="955"/>
      <c r="BG96" s="955"/>
      <c r="BH96" s="948"/>
      <c r="BI96" s="948"/>
      <c r="BJ96" s="948"/>
      <c r="BK96" s="948"/>
      <c r="BL96" s="948"/>
      <c r="BM96" s="948"/>
      <c r="BN96" s="948"/>
      <c r="BO96" s="948"/>
      <c r="BP96" s="948"/>
      <c r="BQ96" s="948"/>
      <c r="BR96" s="948"/>
      <c r="BS96" s="948"/>
      <c r="BT96" s="948"/>
    </row>
    <row r="97" spans="2:73" ht="14.5" x14ac:dyDescent="0.35">
      <c r="B97" s="738"/>
      <c r="C97" s="739" t="s">
        <v>19</v>
      </c>
      <c r="D97" s="740" t="s">
        <v>19</v>
      </c>
      <c r="E97" s="741" t="s">
        <v>763</v>
      </c>
      <c r="F97" s="742">
        <v>150</v>
      </c>
      <c r="G97" s="743">
        <v>150</v>
      </c>
      <c r="H97" s="743">
        <v>150</v>
      </c>
      <c r="I97" s="743">
        <v>150</v>
      </c>
      <c r="J97" s="743">
        <v>150</v>
      </c>
      <c r="K97" s="743">
        <v>150</v>
      </c>
      <c r="L97" s="743">
        <v>150</v>
      </c>
      <c r="M97" s="743">
        <v>150</v>
      </c>
      <c r="N97" s="743">
        <v>150</v>
      </c>
      <c r="O97" s="743">
        <v>150</v>
      </c>
      <c r="P97" s="743">
        <v>150</v>
      </c>
      <c r="Q97" s="743">
        <v>150</v>
      </c>
      <c r="R97" s="744">
        <f>SUM(F97:Q97)</f>
        <v>1800</v>
      </c>
      <c r="S97" s="357"/>
      <c r="T97" s="583">
        <v>1</v>
      </c>
      <c r="U97" s="351">
        <v>1</v>
      </c>
      <c r="V97" s="351">
        <v>1</v>
      </c>
      <c r="W97" s="351">
        <v>1</v>
      </c>
      <c r="X97" s="351">
        <v>1</v>
      </c>
      <c r="Y97" s="351">
        <v>1</v>
      </c>
      <c r="Z97" s="351">
        <v>1</v>
      </c>
      <c r="AA97" s="351">
        <v>1</v>
      </c>
      <c r="AB97" s="351">
        <v>1</v>
      </c>
      <c r="AC97" s="351">
        <v>1</v>
      </c>
      <c r="AD97" s="351">
        <v>1</v>
      </c>
      <c r="AE97" s="351">
        <v>1</v>
      </c>
      <c r="AF97" s="584">
        <v>1</v>
      </c>
      <c r="AG97" s="352"/>
      <c r="AH97" s="976"/>
      <c r="AI97" s="976"/>
      <c r="AJ97" s="976"/>
      <c r="AK97" s="976"/>
      <c r="AL97" s="976"/>
      <c r="AM97" s="976"/>
      <c r="AN97" s="976"/>
      <c r="AO97" s="976"/>
      <c r="AP97" s="976"/>
      <c r="AQ97" s="976"/>
      <c r="AR97" s="976"/>
      <c r="AS97" s="976"/>
      <c r="AT97" s="977"/>
      <c r="AU97" s="955"/>
      <c r="AV97" s="955"/>
      <c r="AW97" s="955"/>
      <c r="AX97" s="955"/>
      <c r="AY97" s="955"/>
      <c r="AZ97" s="955"/>
      <c r="BA97" s="955"/>
      <c r="BB97" s="955"/>
      <c r="BC97" s="955"/>
      <c r="BD97" s="955"/>
      <c r="BE97" s="955"/>
      <c r="BF97" s="955"/>
      <c r="BG97" s="955"/>
      <c r="BH97" s="948"/>
      <c r="BI97" s="948"/>
      <c r="BJ97" s="948"/>
      <c r="BK97" s="948"/>
      <c r="BL97" s="948"/>
      <c r="BM97" s="948"/>
      <c r="BN97" s="948"/>
      <c r="BO97" s="948"/>
      <c r="BP97" s="948"/>
      <c r="BQ97" s="948"/>
      <c r="BR97" s="948"/>
      <c r="BS97" s="948"/>
      <c r="BT97" s="948"/>
    </row>
    <row r="98" spans="2:73" ht="14.5" x14ac:dyDescent="0.35">
      <c r="B98" s="745" t="s">
        <v>725</v>
      </c>
      <c r="C98" s="612" t="s">
        <v>726</v>
      </c>
      <c r="D98" s="612" t="s">
        <v>257</v>
      </c>
      <c r="E98" s="612" t="s">
        <v>727</v>
      </c>
      <c r="F98" s="612" t="s">
        <v>655</v>
      </c>
      <c r="G98" s="612" t="s">
        <v>656</v>
      </c>
      <c r="H98" s="612" t="s">
        <v>657</v>
      </c>
      <c r="I98" s="612" t="s">
        <v>658</v>
      </c>
      <c r="J98" s="612" t="s">
        <v>659</v>
      </c>
      <c r="K98" s="612" t="s">
        <v>660</v>
      </c>
      <c r="L98" s="612" t="s">
        <v>728</v>
      </c>
      <c r="M98" s="612" t="s">
        <v>662</v>
      </c>
      <c r="N98" s="612" t="s">
        <v>663</v>
      </c>
      <c r="O98" s="612" t="s">
        <v>664</v>
      </c>
      <c r="P98" s="612" t="s">
        <v>665</v>
      </c>
      <c r="Q98" s="612" t="s">
        <v>666</v>
      </c>
      <c r="R98" s="746" t="s">
        <v>652</v>
      </c>
      <c r="S98" s="356" t="s">
        <v>729</v>
      </c>
      <c r="T98" s="610" t="str">
        <f>F98</f>
        <v>Jan</v>
      </c>
      <c r="U98" s="607" t="str">
        <f t="shared" ref="U98:AF98" si="43">G98</f>
        <v>Feb</v>
      </c>
      <c r="V98" s="607" t="str">
        <f t="shared" si="43"/>
        <v>Mar</v>
      </c>
      <c r="W98" s="607" t="str">
        <f t="shared" si="43"/>
        <v>Apr</v>
      </c>
      <c r="X98" s="607" t="str">
        <f t="shared" si="43"/>
        <v>May</v>
      </c>
      <c r="Y98" s="607" t="str">
        <f t="shared" si="43"/>
        <v>Jun</v>
      </c>
      <c r="Z98" s="607" t="str">
        <f t="shared" si="43"/>
        <v>July</v>
      </c>
      <c r="AA98" s="607" t="str">
        <f t="shared" si="43"/>
        <v>Aug</v>
      </c>
      <c r="AB98" s="607" t="str">
        <f t="shared" si="43"/>
        <v>Sep</v>
      </c>
      <c r="AC98" s="607" t="str">
        <f t="shared" si="43"/>
        <v>Oct</v>
      </c>
      <c r="AD98" s="607" t="str">
        <f t="shared" si="43"/>
        <v>Nov</v>
      </c>
      <c r="AE98" s="607" t="str">
        <f t="shared" si="43"/>
        <v>Dec</v>
      </c>
      <c r="AF98" s="611" t="str">
        <f t="shared" si="43"/>
        <v>YTD</v>
      </c>
      <c r="AG98" s="359"/>
      <c r="AH98" s="610" t="str">
        <f>T98</f>
        <v>Jan</v>
      </c>
      <c r="AI98" s="607" t="str">
        <f t="shared" ref="AI98:AT98" si="44">U98</f>
        <v>Feb</v>
      </c>
      <c r="AJ98" s="607" t="str">
        <f t="shared" si="44"/>
        <v>Mar</v>
      </c>
      <c r="AK98" s="607" t="str">
        <f t="shared" si="44"/>
        <v>Apr</v>
      </c>
      <c r="AL98" s="607" t="str">
        <f t="shared" si="44"/>
        <v>May</v>
      </c>
      <c r="AM98" s="607" t="str">
        <f t="shared" si="44"/>
        <v>Jun</v>
      </c>
      <c r="AN98" s="607" t="str">
        <f t="shared" si="44"/>
        <v>July</v>
      </c>
      <c r="AO98" s="607" t="str">
        <f t="shared" si="44"/>
        <v>Aug</v>
      </c>
      <c r="AP98" s="607" t="str">
        <f t="shared" si="44"/>
        <v>Sep</v>
      </c>
      <c r="AQ98" s="607" t="str">
        <f t="shared" si="44"/>
        <v>Oct</v>
      </c>
      <c r="AR98" s="607" t="str">
        <f t="shared" si="44"/>
        <v>Nov</v>
      </c>
      <c r="AS98" s="607" t="str">
        <f t="shared" si="44"/>
        <v>Dec</v>
      </c>
      <c r="AT98" s="611" t="str">
        <f t="shared" si="44"/>
        <v>YTD</v>
      </c>
      <c r="AU98" s="359"/>
      <c r="AV98" s="359"/>
      <c r="AW98" s="359"/>
      <c r="AX98" s="359"/>
      <c r="AY98" s="359"/>
      <c r="AZ98" s="359"/>
      <c r="BA98" s="359"/>
      <c r="BB98" s="359"/>
      <c r="BC98" s="359"/>
      <c r="BD98" s="359"/>
      <c r="BE98" s="359"/>
      <c r="BF98" s="359"/>
      <c r="BG98" s="359"/>
      <c r="BH98" s="359"/>
      <c r="BI98" s="359"/>
      <c r="BJ98" s="359"/>
      <c r="BK98" s="359"/>
      <c r="BL98" s="359"/>
      <c r="BM98" s="359"/>
      <c r="BN98" s="359"/>
      <c r="BO98" s="359"/>
      <c r="BP98" s="359"/>
      <c r="BQ98" s="359"/>
      <c r="BR98" s="359"/>
      <c r="BS98" s="359"/>
      <c r="BT98" s="359"/>
    </row>
    <row r="99" spans="2:73" ht="14.5" x14ac:dyDescent="0.35">
      <c r="B99" s="747" t="s">
        <v>764</v>
      </c>
      <c r="C99" s="591" t="s">
        <v>765</v>
      </c>
      <c r="D99" s="591" t="s">
        <v>734</v>
      </c>
      <c r="E99" s="869" t="s">
        <v>766</v>
      </c>
      <c r="R99" s="863">
        <f>SUM('Nurse Hours'!$F99:$Q99)</f>
        <v>0</v>
      </c>
      <c r="S99" s="354"/>
      <c r="T99" s="617">
        <f>EIPHours_Type1[[#This Row],[Jan]]/F97</f>
        <v>0</v>
      </c>
      <c r="U99" s="618">
        <f>EIPHours_Type1[[#This Row],[Feb]]/G97</f>
        <v>0</v>
      </c>
      <c r="V99" s="618">
        <f>EIPHours_Type1[[#This Row],[Mar]]/H97</f>
        <v>0</v>
      </c>
      <c r="W99" s="618">
        <f>EIPHours_Type1[[#This Row],[Apr]]/I97</f>
        <v>0</v>
      </c>
      <c r="X99" s="618">
        <f>EIPHours_Type1[[#This Row],[May]]/J97</f>
        <v>0</v>
      </c>
      <c r="Y99" s="618">
        <f>EIPHours_Type1[[#This Row],[Jun]]/K97</f>
        <v>0</v>
      </c>
      <c r="Z99" s="618">
        <f>EIPHours_Type1[[#This Row],[July]]/L97</f>
        <v>0</v>
      </c>
      <c r="AA99" s="618">
        <f>EIPHours_Type1[[#This Row],[Aug]]/M97</f>
        <v>0</v>
      </c>
      <c r="AB99" s="618">
        <f>EIPHours_Type1[[#This Row],[Sep]]/N97</f>
        <v>0</v>
      </c>
      <c r="AC99" s="618">
        <f>EIPHours_Type1[[#This Row],[Oct]]/O97</f>
        <v>0</v>
      </c>
      <c r="AD99" s="618">
        <f>EIPHours_Type1[[#This Row],[Nov]]/P97</f>
        <v>0</v>
      </c>
      <c r="AE99" s="618">
        <f>EIPHours_Type1[[#This Row],[Dec]]/Q97</f>
        <v>0</v>
      </c>
      <c r="AF99" s="842">
        <f>IFERROR(R101/SUMIF(F101:Q101,"&gt;0",$F$97:$Q$97),0)</f>
        <v>0</v>
      </c>
      <c r="AG99" s="353"/>
      <c r="AH99" s="682">
        <v>0</v>
      </c>
      <c r="AI99" s="683">
        <v>0</v>
      </c>
      <c r="AJ99" s="683">
        <v>0</v>
      </c>
      <c r="AK99" s="683">
        <v>0</v>
      </c>
      <c r="AL99" s="683">
        <v>0</v>
      </c>
      <c r="AM99" s="683">
        <v>0</v>
      </c>
      <c r="AN99" s="683">
        <v>0</v>
      </c>
      <c r="AO99" s="683">
        <v>0</v>
      </c>
      <c r="AP99" s="683">
        <v>0</v>
      </c>
      <c r="AQ99" s="683">
        <v>0</v>
      </c>
      <c r="AR99" s="683">
        <v>0</v>
      </c>
      <c r="AS99" s="683">
        <v>0</v>
      </c>
      <c r="AT99" s="822">
        <f>SUM(AH99:AS99)</f>
        <v>0</v>
      </c>
      <c r="AU99" s="363"/>
      <c r="AV99" s="363"/>
      <c r="AW99" s="363"/>
      <c r="AX99" s="363"/>
      <c r="AY99" s="363"/>
      <c r="AZ99" s="363"/>
      <c r="BA99" s="363"/>
      <c r="BB99" s="363"/>
      <c r="BC99" s="363"/>
      <c r="BD99" s="363"/>
      <c r="BE99" s="363"/>
      <c r="BF99" s="363"/>
      <c r="BG99" s="364"/>
      <c r="BH99" s="363"/>
      <c r="BI99" s="363"/>
      <c r="BJ99" s="363"/>
      <c r="BK99" s="363"/>
      <c r="BL99" s="363"/>
      <c r="BM99" s="363"/>
      <c r="BN99" s="363"/>
      <c r="BO99" s="363"/>
      <c r="BP99" s="363"/>
      <c r="BQ99" s="363"/>
      <c r="BR99" s="363"/>
      <c r="BS99" s="363"/>
      <c r="BT99" s="364"/>
    </row>
    <row r="100" spans="2:73" ht="14.5" x14ac:dyDescent="0.35">
      <c r="B100" s="747" t="s">
        <v>767</v>
      </c>
      <c r="C100" s="591" t="s">
        <v>765</v>
      </c>
      <c r="D100" s="591" t="s">
        <v>734</v>
      </c>
      <c r="E100" s="870" t="s">
        <v>768</v>
      </c>
      <c r="R100" s="863">
        <f>SUM('Nurse Hours'!$F100:$Q100)</f>
        <v>0</v>
      </c>
      <c r="S100" s="354"/>
      <c r="T100" s="619"/>
      <c r="U100" s="620"/>
      <c r="V100" s="620"/>
      <c r="W100" s="620"/>
      <c r="X100" s="620"/>
      <c r="Y100" s="620"/>
      <c r="Z100" s="620"/>
      <c r="AA100" s="620"/>
      <c r="AB100" s="620"/>
      <c r="AC100" s="620"/>
      <c r="AD100" s="620"/>
      <c r="AE100" s="620"/>
      <c r="AF100" s="834">
        <f>IFERROR(R102/SUMIF(F102:Q102,"&gt;0",$F$97:$Q$97),0)</f>
        <v>0</v>
      </c>
      <c r="AG100" s="353"/>
      <c r="AH100" s="684"/>
      <c r="AI100" s="678"/>
      <c r="AJ100" s="678"/>
      <c r="AK100" s="678"/>
      <c r="AL100" s="678"/>
      <c r="AM100" s="678"/>
      <c r="AN100" s="678"/>
      <c r="AO100" s="678"/>
      <c r="AP100" s="678"/>
      <c r="AQ100" s="678"/>
      <c r="AR100" s="678"/>
      <c r="AS100" s="678"/>
      <c r="AT100" s="823">
        <f>SUM(AH100:AS100)</f>
        <v>0</v>
      </c>
      <c r="AU100" s="363"/>
      <c r="AV100" s="363"/>
      <c r="AW100" s="363"/>
      <c r="AX100" s="363"/>
      <c r="AY100" s="363"/>
      <c r="AZ100" s="363"/>
      <c r="BA100" s="363"/>
      <c r="BB100" s="363"/>
      <c r="BC100" s="363"/>
      <c r="BD100" s="363"/>
      <c r="BE100" s="363"/>
      <c r="BF100" s="363"/>
      <c r="BG100" s="364"/>
      <c r="BH100" s="363"/>
      <c r="BI100" s="363"/>
      <c r="BJ100" s="363"/>
      <c r="BK100" s="363"/>
      <c r="BL100" s="363"/>
      <c r="BM100" s="363"/>
      <c r="BN100" s="363"/>
      <c r="BO100" s="363"/>
      <c r="BP100" s="363"/>
      <c r="BQ100" s="363"/>
      <c r="BR100" s="363"/>
      <c r="BS100" s="363"/>
      <c r="BT100" s="364"/>
    </row>
    <row r="101" spans="2:73" ht="14.5" x14ac:dyDescent="0.35">
      <c r="B101" s="747" t="s">
        <v>769</v>
      </c>
      <c r="C101" s="591" t="s">
        <v>765</v>
      </c>
      <c r="D101" s="591" t="s">
        <v>734</v>
      </c>
      <c r="E101" s="870" t="s">
        <v>766</v>
      </c>
      <c r="F101" s="679"/>
      <c r="G101" s="679"/>
      <c r="H101" s="679"/>
      <c r="I101" s="679"/>
      <c r="J101" s="679"/>
      <c r="K101" s="679"/>
      <c r="L101" s="679"/>
      <c r="M101" s="679"/>
      <c r="N101" s="679"/>
      <c r="O101" s="679"/>
      <c r="P101" s="679"/>
      <c r="Q101" s="679"/>
      <c r="R101" s="863">
        <f>SUM('Nurse Hours'!$F101:$Q101)</f>
        <v>0</v>
      </c>
      <c r="S101" s="354"/>
      <c r="T101" s="617">
        <f>EIPHours_Type1[[#This Row],[Jan]]/F97</f>
        <v>0</v>
      </c>
      <c r="U101" s="618">
        <f>EIPHours_Type1[[#This Row],[Feb]]/G97</f>
        <v>0</v>
      </c>
      <c r="V101" s="618">
        <f>EIPHours_Type1[[#This Row],[Mar]]/H97</f>
        <v>0</v>
      </c>
      <c r="W101" s="618">
        <f>EIPHours_Type1[[#This Row],[Apr]]/I97</f>
        <v>0</v>
      </c>
      <c r="X101" s="618">
        <f>EIPHours_Type1[[#This Row],[May]]/J97</f>
        <v>0</v>
      </c>
      <c r="Y101" s="618">
        <f>EIPHours_Type1[[#This Row],[Jun]]/K97</f>
        <v>0</v>
      </c>
      <c r="Z101" s="618">
        <f>EIPHours_Type1[[#This Row],[July]]/L97</f>
        <v>0</v>
      </c>
      <c r="AA101" s="618">
        <f>EIPHours_Type1[[#This Row],[Aug]]/M97</f>
        <v>0</v>
      </c>
      <c r="AB101" s="618">
        <f>EIPHours_Type1[[#This Row],[Sep]]/N97</f>
        <v>0</v>
      </c>
      <c r="AC101" s="618">
        <f>EIPHours_Type1[[#This Row],[Oct]]/O97</f>
        <v>0</v>
      </c>
      <c r="AD101" s="618">
        <f>EIPHours_Type1[[#This Row],[Nov]]/P97</f>
        <v>0</v>
      </c>
      <c r="AE101" s="618">
        <f>EIPHours_Type1[[#This Row],[Dec]]/Q97</f>
        <v>0</v>
      </c>
      <c r="AF101" s="842">
        <f>IFERROR(R102/SUMIF(F102:Q102,"&gt;0",$F$97:$Q$97),0)</f>
        <v>0</v>
      </c>
      <c r="AG101" s="353"/>
      <c r="AH101" s="682"/>
      <c r="AI101" s="683"/>
      <c r="AJ101" s="683"/>
      <c r="AK101" s="683"/>
      <c r="AL101" s="683"/>
      <c r="AM101" s="683"/>
      <c r="AN101" s="683"/>
      <c r="AO101" s="683"/>
      <c r="AP101" s="683"/>
      <c r="AQ101" s="683"/>
      <c r="AR101" s="683"/>
      <c r="AS101" s="683"/>
      <c r="AT101" s="822"/>
      <c r="AU101" s="363"/>
      <c r="AV101" s="363"/>
      <c r="AW101" s="363"/>
      <c r="AX101" s="363"/>
      <c r="AY101" s="363"/>
      <c r="AZ101" s="363"/>
      <c r="BA101" s="363"/>
      <c r="BB101" s="363"/>
      <c r="BC101" s="363"/>
      <c r="BD101" s="363"/>
      <c r="BE101" s="363"/>
      <c r="BF101" s="363"/>
      <c r="BG101" s="364"/>
      <c r="BH101" s="363"/>
      <c r="BI101" s="363"/>
      <c r="BJ101" s="363"/>
      <c r="BK101" s="363"/>
      <c r="BL101" s="363"/>
      <c r="BM101" s="363"/>
      <c r="BN101" s="363"/>
      <c r="BO101" s="363"/>
      <c r="BP101" s="363"/>
      <c r="BQ101" s="363"/>
      <c r="BR101" s="363"/>
      <c r="BS101" s="363"/>
      <c r="BT101" s="364"/>
    </row>
    <row r="102" spans="2:73" ht="14.5" x14ac:dyDescent="0.35">
      <c r="B102" s="747" t="s">
        <v>770</v>
      </c>
      <c r="C102" s="591" t="s">
        <v>765</v>
      </c>
      <c r="D102" s="591" t="s">
        <v>734</v>
      </c>
      <c r="E102" s="870" t="s">
        <v>768</v>
      </c>
      <c r="F102" s="679"/>
      <c r="G102" s="679"/>
      <c r="H102" s="679"/>
      <c r="I102" s="679"/>
      <c r="J102" s="679"/>
      <c r="K102" s="679"/>
      <c r="L102" s="679"/>
      <c r="M102" s="679"/>
      <c r="N102" s="679"/>
      <c r="O102" s="679"/>
      <c r="P102" s="679"/>
      <c r="Q102" s="679"/>
      <c r="R102" s="840">
        <f>SUM('Nurse Hours'!$F102:$Q102)</f>
        <v>0</v>
      </c>
      <c r="S102" s="354"/>
      <c r="T102" s="619"/>
      <c r="U102" s="620"/>
      <c r="V102" s="620"/>
      <c r="W102" s="620"/>
      <c r="X102" s="620"/>
      <c r="Y102" s="620"/>
      <c r="Z102" s="620"/>
      <c r="AA102" s="620"/>
      <c r="AB102" s="620"/>
      <c r="AC102" s="620"/>
      <c r="AD102" s="620"/>
      <c r="AE102" s="620"/>
      <c r="AF102" s="834"/>
      <c r="AG102" s="353"/>
      <c r="AH102" s="684"/>
      <c r="AI102" s="678"/>
      <c r="AJ102" s="678"/>
      <c r="AK102" s="678"/>
      <c r="AL102" s="678"/>
      <c r="AM102" s="678"/>
      <c r="AN102" s="678"/>
      <c r="AO102" s="678"/>
      <c r="AP102" s="678"/>
      <c r="AQ102" s="678"/>
      <c r="AR102" s="678"/>
      <c r="AS102" s="678"/>
      <c r="AT102" s="823"/>
      <c r="AU102" s="363"/>
      <c r="AV102" s="363"/>
      <c r="AW102" s="363"/>
      <c r="AX102" s="363"/>
      <c r="AY102" s="363"/>
      <c r="AZ102" s="363"/>
      <c r="BA102" s="363"/>
      <c r="BB102" s="363"/>
      <c r="BC102" s="363"/>
      <c r="BD102" s="363"/>
      <c r="BE102" s="363"/>
      <c r="BF102" s="363"/>
      <c r="BG102" s="364"/>
      <c r="BH102" s="363"/>
      <c r="BI102" s="363"/>
      <c r="BJ102" s="363"/>
      <c r="BK102" s="363"/>
      <c r="BL102" s="363"/>
      <c r="BM102" s="363"/>
      <c r="BN102" s="363"/>
      <c r="BO102" s="363"/>
      <c r="BP102" s="363"/>
      <c r="BQ102" s="363"/>
      <c r="BR102" s="363"/>
      <c r="BS102" s="363"/>
      <c r="BT102" s="364"/>
    </row>
    <row r="103" spans="2:73" ht="14.5" x14ac:dyDescent="0.35">
      <c r="B103" s="748" t="s">
        <v>771</v>
      </c>
      <c r="C103" s="570" t="s">
        <v>733</v>
      </c>
      <c r="D103" s="570" t="s">
        <v>734</v>
      </c>
      <c r="E103" s="870" t="s">
        <v>766</v>
      </c>
      <c r="F103" s="678"/>
      <c r="G103" s="678"/>
      <c r="H103" s="678"/>
      <c r="I103" s="678"/>
      <c r="J103" s="678"/>
      <c r="K103" s="678"/>
      <c r="L103" s="678"/>
      <c r="M103" s="678"/>
      <c r="N103" s="678"/>
      <c r="O103" s="678"/>
      <c r="P103" s="678"/>
      <c r="Q103" s="678"/>
      <c r="R103" s="840">
        <f>SUM('Nurse Hours'!$F103:$Q103)</f>
        <v>0</v>
      </c>
      <c r="S103" s="354"/>
      <c r="T103" s="617">
        <f>EIPHours_Type1[[#This Row],[Jan]]/F97</f>
        <v>0</v>
      </c>
      <c r="U103" s="618">
        <f>EIPHours_Type1[[#This Row],[Feb]]/G97</f>
        <v>0</v>
      </c>
      <c r="V103" s="618">
        <f>EIPHours_Type1[[#This Row],[Mar]]/H97</f>
        <v>0</v>
      </c>
      <c r="W103" s="618">
        <f>EIPHours_Type1[[#This Row],[Apr]]/I97</f>
        <v>0</v>
      </c>
      <c r="X103" s="618">
        <f>EIPHours_Type1[[#This Row],[May]]/J97</f>
        <v>0</v>
      </c>
      <c r="Y103" s="618">
        <f>EIPHours_Type1[[#This Row],[Jun]]/K97</f>
        <v>0</v>
      </c>
      <c r="Z103" s="618">
        <f>EIPHours_Type1[[#This Row],[July]]/L97</f>
        <v>0</v>
      </c>
      <c r="AA103" s="618">
        <f>EIPHours_Type1[[#This Row],[Aug]]/M97</f>
        <v>0</v>
      </c>
      <c r="AB103" s="618">
        <f>EIPHours_Type1[[#This Row],[Sep]]/N97</f>
        <v>0</v>
      </c>
      <c r="AC103" s="618">
        <f>EIPHours_Type1[[#This Row],[Oct]]/O97</f>
        <v>0</v>
      </c>
      <c r="AD103" s="618">
        <f>EIPHours_Type1[[#This Row],[Nov]]/P97</f>
        <v>0</v>
      </c>
      <c r="AE103" s="618">
        <f>EIPHours_Type1[[#This Row],[Dec]]/Q97</f>
        <v>0</v>
      </c>
      <c r="AF103" s="842">
        <f t="shared" ref="AF103:AF106" si="45">IFERROR(R103/SUMIF(F103:Q103,"&gt;0",$F$97:$Q$97),0)</f>
        <v>0</v>
      </c>
      <c r="AG103" s="353"/>
      <c r="AH103" s="682">
        <v>0</v>
      </c>
      <c r="AI103" s="683">
        <v>0</v>
      </c>
      <c r="AJ103" s="683">
        <v>0</v>
      </c>
      <c r="AK103" s="683">
        <v>0</v>
      </c>
      <c r="AL103" s="683">
        <v>0</v>
      </c>
      <c r="AM103" s="683">
        <v>0</v>
      </c>
      <c r="AN103" s="683">
        <v>0</v>
      </c>
      <c r="AO103" s="683">
        <v>0</v>
      </c>
      <c r="AP103" s="683">
        <v>0</v>
      </c>
      <c r="AQ103" s="683">
        <v>0</v>
      </c>
      <c r="AR103" s="683">
        <v>0</v>
      </c>
      <c r="AS103" s="683">
        <v>0</v>
      </c>
      <c r="AT103" s="822">
        <f t="shared" ref="AT103" si="46">SUM(AH103:AS103)</f>
        <v>0</v>
      </c>
      <c r="AU103" s="363"/>
      <c r="AV103" s="363"/>
      <c r="AW103" s="363"/>
      <c r="AX103" s="363"/>
      <c r="AY103" s="363"/>
      <c r="AZ103" s="363"/>
      <c r="BA103" s="363"/>
      <c r="BB103" s="363"/>
      <c r="BC103" s="363"/>
      <c r="BD103" s="363"/>
      <c r="BE103" s="363"/>
      <c r="BF103" s="363"/>
      <c r="BG103" s="364"/>
      <c r="BH103" s="363"/>
      <c r="BI103" s="363"/>
      <c r="BJ103" s="363"/>
      <c r="BK103" s="363"/>
      <c r="BL103" s="363"/>
      <c r="BM103" s="363"/>
      <c r="BN103" s="363"/>
      <c r="BO103" s="363"/>
      <c r="BP103" s="363"/>
      <c r="BQ103" s="363"/>
      <c r="BR103" s="363"/>
      <c r="BS103" s="363"/>
      <c r="BT103" s="364"/>
    </row>
    <row r="104" spans="2:73" ht="14.5" x14ac:dyDescent="0.35">
      <c r="B104" s="748" t="s">
        <v>772</v>
      </c>
      <c r="C104" s="570" t="s">
        <v>733</v>
      </c>
      <c r="D104" s="570" t="s">
        <v>734</v>
      </c>
      <c r="E104" s="592" t="s">
        <v>768</v>
      </c>
      <c r="F104" s="680"/>
      <c r="G104" s="678"/>
      <c r="H104" s="678"/>
      <c r="I104" s="678"/>
      <c r="J104" s="678"/>
      <c r="K104" s="678"/>
      <c r="L104" s="678"/>
      <c r="M104" s="678"/>
      <c r="N104" s="678"/>
      <c r="O104" s="678"/>
      <c r="P104" s="678"/>
      <c r="Q104" s="678"/>
      <c r="R104" s="840">
        <f>SUM('Nurse Hours'!$F104:$Q104)</f>
        <v>0</v>
      </c>
      <c r="S104" s="354"/>
      <c r="T104" s="619">
        <f>EIPHours_Type1[[#This Row],[Jan]]/F97</f>
        <v>0</v>
      </c>
      <c r="U104" s="620">
        <f>EIPHours_Type1[[#This Row],[Feb]]/G97</f>
        <v>0</v>
      </c>
      <c r="V104" s="620">
        <f>EIPHours_Type1[[#This Row],[Mar]]/H97</f>
        <v>0</v>
      </c>
      <c r="W104" s="620">
        <f>EIPHours_Type1[[#This Row],[Apr]]/I97</f>
        <v>0</v>
      </c>
      <c r="X104" s="620">
        <f>EIPHours_Type1[[#This Row],[May]]/J97</f>
        <v>0</v>
      </c>
      <c r="Y104" s="620">
        <f>EIPHours_Type1[[#This Row],[Jun]]/K97</f>
        <v>0</v>
      </c>
      <c r="Z104" s="620">
        <f>EIPHours_Type1[[#This Row],[July]]/L97</f>
        <v>0</v>
      </c>
      <c r="AA104" s="620">
        <f>EIPHours_Type1[[#This Row],[Aug]]/M97</f>
        <v>0</v>
      </c>
      <c r="AB104" s="620">
        <f>EIPHours_Type1[[#This Row],[Sep]]/N97</f>
        <v>0</v>
      </c>
      <c r="AC104" s="620">
        <f>EIPHours_Type1[[#This Row],[Oct]]/O97</f>
        <v>0</v>
      </c>
      <c r="AD104" s="620">
        <f>EIPHours_Type1[[#This Row],[Nov]]/P97</f>
        <v>0</v>
      </c>
      <c r="AE104" s="620">
        <f>EIPHours_Type1[[#This Row],[Dec]]/Q97</f>
        <v>0</v>
      </c>
      <c r="AF104" s="834">
        <f t="shared" si="45"/>
        <v>0</v>
      </c>
      <c r="AG104" s="353"/>
      <c r="AH104" s="684"/>
      <c r="AI104" s="678"/>
      <c r="AJ104" s="678"/>
      <c r="AK104" s="678"/>
      <c r="AL104" s="678"/>
      <c r="AM104" s="678"/>
      <c r="AN104" s="678"/>
      <c r="AO104" s="678"/>
      <c r="AP104" s="678"/>
      <c r="AQ104" s="678"/>
      <c r="AR104" s="678"/>
      <c r="AS104" s="678"/>
      <c r="AT104" s="823"/>
      <c r="AU104" s="363"/>
      <c r="AV104" s="363"/>
      <c r="AW104" s="363"/>
      <c r="AX104" s="363"/>
      <c r="AY104" s="363"/>
      <c r="AZ104" s="363"/>
      <c r="BA104" s="363"/>
      <c r="BB104" s="363"/>
      <c r="BC104" s="363"/>
      <c r="BD104" s="363"/>
      <c r="BE104" s="363"/>
      <c r="BF104" s="363"/>
      <c r="BG104" s="364"/>
      <c r="BH104" s="363"/>
      <c r="BI104" s="363"/>
      <c r="BJ104" s="363"/>
      <c r="BK104" s="363"/>
      <c r="BL104" s="363"/>
      <c r="BM104" s="363"/>
      <c r="BN104" s="363"/>
      <c r="BO104" s="363"/>
      <c r="BP104" s="363"/>
      <c r="BQ104" s="363"/>
      <c r="BR104" s="363"/>
      <c r="BS104" s="363"/>
      <c r="BT104" s="364"/>
    </row>
    <row r="105" spans="2:73" ht="14.5" x14ac:dyDescent="0.35">
      <c r="B105" s="748" t="s">
        <v>773</v>
      </c>
      <c r="C105" s="570" t="s">
        <v>733</v>
      </c>
      <c r="D105" s="570" t="s">
        <v>737</v>
      </c>
      <c r="E105" s="592" t="s">
        <v>766</v>
      </c>
      <c r="F105" s="680"/>
      <c r="G105" s="736"/>
      <c r="H105" s="736"/>
      <c r="I105" s="736"/>
      <c r="J105" s="736"/>
      <c r="K105" s="678"/>
      <c r="L105" s="678"/>
      <c r="M105" s="678"/>
      <c r="N105" s="678"/>
      <c r="O105" s="678"/>
      <c r="P105" s="678"/>
      <c r="Q105" s="678"/>
      <c r="R105" s="840">
        <f>SUM('Nurse Hours'!$F105:$Q105)</f>
        <v>0</v>
      </c>
      <c r="S105" s="354"/>
      <c r="T105" s="617">
        <f>EIPHours_Type1[[#This Row],[Jan]]/F97</f>
        <v>0</v>
      </c>
      <c r="U105" s="618">
        <f>EIPHours_Type1[[#This Row],[Feb]]/G97</f>
        <v>0</v>
      </c>
      <c r="V105" s="618">
        <f>EIPHours_Type1[[#This Row],[Mar]]/H97</f>
        <v>0</v>
      </c>
      <c r="W105" s="618">
        <f>EIPHours_Type1[[#This Row],[Apr]]/I97</f>
        <v>0</v>
      </c>
      <c r="X105" s="618">
        <f>EIPHours_Type1[[#This Row],[May]]/J97</f>
        <v>0</v>
      </c>
      <c r="Y105" s="618">
        <f>EIPHours_Type1[[#This Row],[Jun]]/K97</f>
        <v>0</v>
      </c>
      <c r="Z105" s="618">
        <f>EIPHours_Type1[[#This Row],[July]]/L97</f>
        <v>0</v>
      </c>
      <c r="AA105" s="618">
        <f>EIPHours_Type1[[#This Row],[Aug]]/M97</f>
        <v>0</v>
      </c>
      <c r="AB105" s="618">
        <f>EIPHours_Type1[[#This Row],[Sep]]/N97</f>
        <v>0</v>
      </c>
      <c r="AC105" s="618">
        <f>EIPHours_Type1[[#This Row],[Oct]]/O97</f>
        <v>0</v>
      </c>
      <c r="AD105" s="618">
        <f>EIPHours_Type1[[#This Row],[Nov]]/P97</f>
        <v>0</v>
      </c>
      <c r="AE105" s="618">
        <f>EIPHours_Type1[[#This Row],[Dec]]/Q97</f>
        <v>0</v>
      </c>
      <c r="AF105" s="842">
        <f t="shared" si="45"/>
        <v>0</v>
      </c>
      <c r="AG105" s="353"/>
      <c r="AH105" s="682"/>
      <c r="AI105" s="683"/>
      <c r="AJ105" s="683"/>
      <c r="AK105" s="683"/>
      <c r="AL105" s="683"/>
      <c r="AM105" s="683"/>
      <c r="AN105" s="683"/>
      <c r="AO105" s="683"/>
      <c r="AP105" s="683"/>
      <c r="AQ105" s="683"/>
      <c r="AR105" s="683"/>
      <c r="AS105" s="683"/>
      <c r="AT105" s="822"/>
      <c r="AU105" s="363"/>
      <c r="AV105" s="363"/>
      <c r="AW105" s="363"/>
      <c r="AX105" s="363"/>
      <c r="AY105" s="363"/>
      <c r="AZ105" s="363"/>
      <c r="BA105" s="363"/>
      <c r="BB105" s="363"/>
      <c r="BC105" s="363"/>
      <c r="BD105" s="363"/>
      <c r="BE105" s="363"/>
      <c r="BF105" s="363"/>
      <c r="BG105" s="364"/>
      <c r="BH105" s="363"/>
      <c r="BI105" s="363"/>
      <c r="BJ105" s="363"/>
      <c r="BK105" s="363"/>
      <c r="BL105" s="363"/>
      <c r="BM105" s="363"/>
      <c r="BN105" s="363"/>
      <c r="BO105" s="363"/>
      <c r="BP105" s="363"/>
      <c r="BQ105" s="363"/>
      <c r="BR105" s="363"/>
      <c r="BS105" s="363"/>
      <c r="BT105" s="364"/>
    </row>
    <row r="106" spans="2:73" s="548" customFormat="1" ht="15" thickBot="1" x14ac:dyDescent="0.4">
      <c r="B106" s="749" t="s">
        <v>774</v>
      </c>
      <c r="C106" s="750" t="s">
        <v>733</v>
      </c>
      <c r="D106" s="750" t="s">
        <v>737</v>
      </c>
      <c r="E106" s="592" t="s">
        <v>768</v>
      </c>
      <c r="F106" s="735"/>
      <c r="G106" s="756"/>
      <c r="H106" s="756"/>
      <c r="I106" s="756"/>
      <c r="J106" s="756"/>
      <c r="K106" s="736"/>
      <c r="L106" s="736"/>
      <c r="M106" s="736"/>
      <c r="N106" s="736"/>
      <c r="O106" s="736"/>
      <c r="P106" s="736"/>
      <c r="Q106" s="736"/>
      <c r="R106" s="840">
        <f>SUM('Nurse Hours'!$F106:$Q106)</f>
        <v>0</v>
      </c>
      <c r="S106" s="354"/>
      <c r="T106" s="619">
        <f>EIPHours_Type1[[#This Row],[Jan]]/F97</f>
        <v>0</v>
      </c>
      <c r="U106" s="620">
        <f>EIPHours_Type1[[#This Row],[Feb]]/G97</f>
        <v>0</v>
      </c>
      <c r="V106" s="620">
        <f>EIPHours_Type1[[#This Row],[Mar]]/H97</f>
        <v>0</v>
      </c>
      <c r="W106" s="620">
        <f>EIPHours_Type1[[#This Row],[Apr]]/I97</f>
        <v>0</v>
      </c>
      <c r="X106" s="620">
        <f>EIPHours_Type1[[#This Row],[May]]/J97</f>
        <v>0</v>
      </c>
      <c r="Y106" s="620">
        <f>EIPHours_Type1[[#This Row],[Jun]]/K97</f>
        <v>0</v>
      </c>
      <c r="Z106" s="620">
        <f>EIPHours_Type1[[#This Row],[July]]/L97</f>
        <v>0</v>
      </c>
      <c r="AA106" s="620">
        <f>EIPHours_Type1[[#This Row],[Aug]]/M97</f>
        <v>0</v>
      </c>
      <c r="AB106" s="620">
        <f>EIPHours_Type1[[#This Row],[Sep]]/N97</f>
        <v>0</v>
      </c>
      <c r="AC106" s="620">
        <f>EIPHours_Type1[[#This Row],[Oct]]/O97</f>
        <v>0</v>
      </c>
      <c r="AD106" s="620">
        <f>EIPHours_Type1[[#This Row],[Nov]]/P97</f>
        <v>0</v>
      </c>
      <c r="AE106" s="620">
        <f>EIPHours_Type1[[#This Row],[Dec]]/Q97</f>
        <v>0</v>
      </c>
      <c r="AF106" s="834">
        <f t="shared" si="45"/>
        <v>0</v>
      </c>
      <c r="AG106" s="353"/>
      <c r="AH106" s="684">
        <v>0</v>
      </c>
      <c r="AI106" s="678">
        <v>0</v>
      </c>
      <c r="AJ106" s="678">
        <v>0</v>
      </c>
      <c r="AK106" s="678">
        <v>0</v>
      </c>
      <c r="AL106" s="678">
        <v>0</v>
      </c>
      <c r="AM106" s="678">
        <v>0</v>
      </c>
      <c r="AN106" s="678">
        <v>0</v>
      </c>
      <c r="AO106" s="678">
        <v>0</v>
      </c>
      <c r="AP106" s="678">
        <v>0</v>
      </c>
      <c r="AQ106" s="678">
        <v>0</v>
      </c>
      <c r="AR106" s="678">
        <v>0</v>
      </c>
      <c r="AS106" s="678">
        <v>0</v>
      </c>
      <c r="AT106" s="823">
        <f>SUM(AH106:AS106)</f>
        <v>0</v>
      </c>
      <c r="AU106" s="363"/>
      <c r="AV106" s="363"/>
      <c r="AW106" s="363"/>
      <c r="AX106" s="363"/>
      <c r="AY106" s="363"/>
      <c r="AZ106" s="363"/>
      <c r="BA106" s="363"/>
      <c r="BB106" s="363"/>
      <c r="BC106" s="363"/>
      <c r="BD106" s="363"/>
      <c r="BE106" s="363"/>
      <c r="BF106" s="363"/>
      <c r="BG106" s="364"/>
      <c r="BH106" s="363"/>
      <c r="BI106" s="363"/>
      <c r="BJ106" s="363"/>
      <c r="BK106" s="363"/>
      <c r="BL106" s="363"/>
      <c r="BM106" s="363"/>
      <c r="BN106" s="363"/>
      <c r="BO106" s="363"/>
      <c r="BP106" s="363"/>
      <c r="BQ106" s="363"/>
      <c r="BR106" s="363"/>
      <c r="BS106" s="363"/>
      <c r="BT106" s="364"/>
      <c r="BU106" s="28"/>
    </row>
    <row r="107" spans="2:73" ht="15.5" thickTop="1" thickBot="1" x14ac:dyDescent="0.4">
      <c r="B107" s="751" t="s">
        <v>24</v>
      </c>
      <c r="C107" s="752"/>
      <c r="D107" s="752"/>
      <c r="E107" s="753"/>
      <c r="F107" s="757">
        <f>ReportingDashboard!F53+ReportingDashboard!F57</f>
        <v>291.8</v>
      </c>
      <c r="G107" s="757">
        <f>ReportingDashboard!G53+ReportingDashboard!G57</f>
        <v>377.1</v>
      </c>
      <c r="H107" s="757">
        <f>ReportingDashboard!H53+ReportingDashboard!H57</f>
        <v>299.5</v>
      </c>
      <c r="I107" s="757">
        <f>ReportingDashboard!I53+ReportingDashboard!I57</f>
        <v>489.6</v>
      </c>
      <c r="J107" s="757">
        <f>ReportingDashboard!J53+ReportingDashboard!J57</f>
        <v>429</v>
      </c>
      <c r="K107" s="757">
        <f>ReportingDashboard!K53+ReportingDashboard!K57</f>
        <v>466</v>
      </c>
      <c r="L107" s="757">
        <f>ReportingDashboard!L53+ReportingDashboard!L57</f>
        <v>412.40000000000003</v>
      </c>
      <c r="M107" s="757">
        <f>ReportingDashboard!M53+ReportingDashboard!M57</f>
        <v>526.29999999999995</v>
      </c>
      <c r="N107" s="757">
        <f>ReportingDashboard!N53+ReportingDashboard!N57</f>
        <v>492</v>
      </c>
      <c r="O107" s="757">
        <f>ReportingDashboard!O53+ReportingDashboard!O57</f>
        <v>527</v>
      </c>
      <c r="P107" s="757">
        <f>ReportingDashboard!P53+ReportingDashboard!P57</f>
        <v>0</v>
      </c>
      <c r="Q107" s="757">
        <f>ReportingDashboard!Q53+ReportingDashboard!Q57</f>
        <v>0</v>
      </c>
      <c r="R107" s="841">
        <f>SUBTOTAL(109,EIPHours_Type1[YTD])</f>
        <v>0</v>
      </c>
      <c r="T107" s="585">
        <f t="shared" ref="T107:AE107" si="47">IFERROR(F107/(F97*COUNTIF(F101:F106,"&gt;0")),0)</f>
        <v>0</v>
      </c>
      <c r="U107" s="586">
        <f t="shared" si="47"/>
        <v>0</v>
      </c>
      <c r="V107" s="586">
        <f t="shared" si="47"/>
        <v>0</v>
      </c>
      <c r="W107" s="586">
        <f t="shared" si="47"/>
        <v>0</v>
      </c>
      <c r="X107" s="586">
        <f t="shared" si="47"/>
        <v>0</v>
      </c>
      <c r="Y107" s="586">
        <f t="shared" si="47"/>
        <v>0</v>
      </c>
      <c r="Z107" s="586">
        <f t="shared" si="47"/>
        <v>0</v>
      </c>
      <c r="AA107" s="586">
        <f t="shared" si="47"/>
        <v>0</v>
      </c>
      <c r="AB107" s="586">
        <f t="shared" si="47"/>
        <v>0</v>
      </c>
      <c r="AC107" s="586">
        <f t="shared" si="47"/>
        <v>0</v>
      </c>
      <c r="AD107" s="586">
        <f t="shared" si="47"/>
        <v>0</v>
      </c>
      <c r="AE107" s="586">
        <f t="shared" si="47"/>
        <v>0</v>
      </c>
      <c r="AF107" s="835">
        <f>IFERROR(R107/(SUMIF(F107:Q107,"&gt;0",$F$97:$Q$97)*COUNTIF(R101:R106,"&gt;0")),0)</f>
        <v>0</v>
      </c>
      <c r="AH107" s="575">
        <f t="shared" ref="AH107:AT107" si="48">SUM(AH99:AH106)</f>
        <v>0</v>
      </c>
      <c r="AI107" s="576">
        <f t="shared" si="48"/>
        <v>0</v>
      </c>
      <c r="AJ107" s="576">
        <f t="shared" si="48"/>
        <v>0</v>
      </c>
      <c r="AK107" s="576">
        <f t="shared" si="48"/>
        <v>0</v>
      </c>
      <c r="AL107" s="576">
        <f t="shared" si="48"/>
        <v>0</v>
      </c>
      <c r="AM107" s="576">
        <f t="shared" si="48"/>
        <v>0</v>
      </c>
      <c r="AN107" s="576">
        <f t="shared" si="48"/>
        <v>0</v>
      </c>
      <c r="AO107" s="576">
        <f t="shared" si="48"/>
        <v>0</v>
      </c>
      <c r="AP107" s="576">
        <f t="shared" si="48"/>
        <v>0</v>
      </c>
      <c r="AQ107" s="576">
        <f t="shared" si="48"/>
        <v>0</v>
      </c>
      <c r="AR107" s="576">
        <f t="shared" si="48"/>
        <v>0</v>
      </c>
      <c r="AS107" s="576">
        <f t="shared" si="48"/>
        <v>0</v>
      </c>
      <c r="AT107" s="843">
        <f t="shared" si="48"/>
        <v>0</v>
      </c>
    </row>
    <row r="108" spans="2:73" ht="13" x14ac:dyDescent="0.3"/>
    <row r="109" spans="2:73" ht="12.75" customHeight="1" x14ac:dyDescent="0.3">
      <c r="B109" s="966" t="s">
        <v>775</v>
      </c>
      <c r="C109" s="966"/>
      <c r="D109" s="966"/>
      <c r="E109" s="966"/>
      <c r="F109" s="966"/>
      <c r="G109" s="966"/>
      <c r="H109" s="966"/>
      <c r="I109" s="966"/>
      <c r="J109" s="966"/>
      <c r="K109" s="966"/>
      <c r="L109" s="966"/>
      <c r="M109" s="966"/>
      <c r="N109" s="966"/>
      <c r="O109" s="966"/>
      <c r="P109" s="966"/>
      <c r="Q109" s="966"/>
      <c r="R109" s="966"/>
      <c r="S109" s="966"/>
      <c r="T109" s="966"/>
      <c r="U109" s="966"/>
      <c r="V109" s="966"/>
      <c r="W109" s="966"/>
      <c r="X109" s="966"/>
      <c r="Y109" s="966"/>
      <c r="Z109" s="966"/>
      <c r="AA109" s="966"/>
      <c r="AB109" s="966"/>
      <c r="AC109" s="966"/>
      <c r="AD109" s="966"/>
      <c r="AE109" s="966"/>
      <c r="AF109" s="966"/>
      <c r="AG109" s="966"/>
      <c r="AH109" s="966"/>
      <c r="AI109" s="966"/>
      <c r="AJ109" s="966"/>
      <c r="AK109" s="966"/>
      <c r="AL109" s="966"/>
      <c r="AM109" s="966"/>
      <c r="AN109" s="966"/>
      <c r="AO109" s="966"/>
      <c r="AP109" s="966"/>
      <c r="AQ109" s="966"/>
      <c r="AR109" s="966"/>
      <c r="AS109" s="966"/>
      <c r="AT109" s="966"/>
    </row>
    <row r="110" spans="2:73" ht="12.75" customHeight="1" x14ac:dyDescent="0.3">
      <c r="B110" s="966"/>
      <c r="C110" s="966"/>
      <c r="D110" s="966"/>
      <c r="E110" s="966"/>
      <c r="F110" s="966"/>
      <c r="G110" s="966"/>
      <c r="H110" s="966"/>
      <c r="I110" s="966"/>
      <c r="J110" s="966"/>
      <c r="K110" s="966"/>
      <c r="L110" s="966"/>
      <c r="M110" s="966"/>
      <c r="N110" s="966"/>
      <c r="O110" s="966"/>
      <c r="P110" s="966"/>
      <c r="Q110" s="966"/>
      <c r="R110" s="966"/>
      <c r="S110" s="966"/>
      <c r="T110" s="966"/>
      <c r="U110" s="966"/>
      <c r="V110" s="966"/>
      <c r="W110" s="966"/>
      <c r="X110" s="966"/>
      <c r="Y110" s="966"/>
      <c r="Z110" s="966"/>
      <c r="AA110" s="966"/>
      <c r="AB110" s="966"/>
      <c r="AC110" s="966"/>
      <c r="AD110" s="966"/>
      <c r="AE110" s="966"/>
      <c r="AF110" s="966"/>
      <c r="AG110" s="966"/>
      <c r="AH110" s="966"/>
      <c r="AI110" s="966"/>
      <c r="AJ110" s="966"/>
      <c r="AK110" s="966"/>
      <c r="AL110" s="966"/>
      <c r="AM110" s="966"/>
      <c r="AN110" s="966"/>
      <c r="AO110" s="966"/>
      <c r="AP110" s="966"/>
      <c r="AQ110" s="966"/>
      <c r="AR110" s="966"/>
      <c r="AS110" s="966"/>
      <c r="AT110" s="966"/>
    </row>
    <row r="111" spans="2:73" ht="12.75" customHeight="1" thickBot="1" x14ac:dyDescent="0.35">
      <c r="B111" s="644"/>
      <c r="C111" s="644"/>
      <c r="D111" s="644"/>
      <c r="E111" s="644"/>
      <c r="F111" s="645"/>
      <c r="G111" s="645"/>
      <c r="H111" s="645"/>
      <c r="I111" s="645"/>
      <c r="J111" s="645"/>
      <c r="K111" s="645"/>
      <c r="L111" s="645"/>
      <c r="M111" s="645"/>
      <c r="N111" s="645"/>
      <c r="O111" s="645"/>
      <c r="P111" s="645"/>
      <c r="Q111" s="645"/>
      <c r="R111" s="645"/>
      <c r="S111" s="644"/>
      <c r="T111" s="644"/>
      <c r="U111" s="644"/>
      <c r="V111" s="644"/>
      <c r="W111" s="644"/>
      <c r="X111" s="644"/>
      <c r="Y111" s="644"/>
      <c r="Z111" s="644"/>
      <c r="AA111" s="644"/>
      <c r="AB111" s="644"/>
      <c r="AC111" s="644"/>
      <c r="AD111" s="644"/>
      <c r="AE111" s="644"/>
      <c r="AF111" s="644"/>
      <c r="AG111" s="644"/>
      <c r="AH111" s="644"/>
      <c r="AI111" s="644"/>
      <c r="AJ111" s="644"/>
      <c r="AK111" s="644"/>
      <c r="AL111" s="644"/>
      <c r="AM111" s="644"/>
      <c r="AN111" s="644"/>
      <c r="AO111" s="644"/>
      <c r="AP111" s="644"/>
      <c r="AQ111" s="644"/>
      <c r="AR111" s="644"/>
      <c r="AS111" s="644"/>
      <c r="AT111" s="644"/>
    </row>
    <row r="112" spans="2:73" ht="26.5" hidden="1" thickBot="1" x14ac:dyDescent="0.35">
      <c r="B112" s="644"/>
      <c r="C112" s="644"/>
      <c r="D112" s="644"/>
      <c r="E112" s="644"/>
      <c r="R112" s="645"/>
      <c r="S112" s="644"/>
      <c r="T112" s="646"/>
      <c r="Y112" s="646"/>
      <c r="Z112" s="646"/>
      <c r="AA112" s="646"/>
      <c r="AB112" s="646"/>
      <c r="AC112" s="646"/>
      <c r="AD112" s="646"/>
      <c r="AE112" s="646"/>
      <c r="AF112" s="646"/>
      <c r="AG112" s="644"/>
      <c r="AH112" s="647"/>
    </row>
    <row r="113" spans="2:72" ht="12.75" hidden="1" customHeight="1" x14ac:dyDescent="0.3">
      <c r="B113" s="644"/>
      <c r="C113" s="644"/>
      <c r="D113" s="644"/>
      <c r="E113" s="644"/>
      <c r="R113" s="647"/>
      <c r="S113" s="644"/>
      <c r="T113" s="646"/>
      <c r="Y113" s="649"/>
      <c r="Z113" s="646"/>
      <c r="AA113" s="646"/>
      <c r="AB113" s="646"/>
      <c r="AC113" s="646"/>
      <c r="AD113" s="646"/>
      <c r="AE113" s="646"/>
      <c r="AF113" s="646"/>
      <c r="AG113" s="644"/>
      <c r="AH113" s="647"/>
    </row>
    <row r="114" spans="2:72" ht="12.75" hidden="1" customHeight="1" x14ac:dyDescent="0.3">
      <c r="B114" s="644"/>
      <c r="C114" s="644"/>
      <c r="D114" s="644"/>
      <c r="E114" s="644"/>
      <c r="R114" s="647"/>
      <c r="S114" s="644"/>
      <c r="T114" s="646"/>
      <c r="U114" s="646"/>
      <c r="V114" s="646"/>
      <c r="W114" s="646"/>
      <c r="X114" s="646"/>
      <c r="Y114" s="646"/>
      <c r="Z114" s="646"/>
      <c r="AA114" s="646"/>
      <c r="AB114" s="646"/>
      <c r="AC114" s="646"/>
      <c r="AD114" s="646"/>
      <c r="AE114" s="646"/>
      <c r="AF114" s="646"/>
      <c r="AG114" s="644"/>
      <c r="AH114" s="647"/>
      <c r="AI114" s="647"/>
      <c r="AJ114" s="647"/>
      <c r="AK114" s="647"/>
      <c r="AL114" s="647"/>
      <c r="AM114" s="647"/>
      <c r="AN114" s="647"/>
      <c r="AO114" s="647"/>
      <c r="AP114" s="647"/>
      <c r="AQ114" s="647"/>
      <c r="AR114" s="647"/>
      <c r="AS114" s="647"/>
      <c r="AT114" s="647"/>
    </row>
    <row r="115" spans="2:72" ht="12.75" hidden="1" customHeight="1" x14ac:dyDescent="0.3">
      <c r="B115" s="644"/>
      <c r="C115" s="644"/>
      <c r="D115" s="644"/>
      <c r="E115" s="644"/>
      <c r="F115" s="647"/>
      <c r="G115" s="647"/>
      <c r="H115" s="647"/>
      <c r="I115" s="647"/>
      <c r="J115" s="647"/>
      <c r="K115" s="647"/>
      <c r="L115" s="647"/>
      <c r="M115" s="647"/>
      <c r="N115" s="647"/>
      <c r="O115" s="647"/>
      <c r="P115" s="647"/>
      <c r="Q115" s="647"/>
      <c r="R115" s="647"/>
      <c r="S115" s="644"/>
      <c r="T115" s="646"/>
      <c r="U115" s="646"/>
      <c r="V115" s="646"/>
      <c r="W115" s="646"/>
      <c r="X115" s="646"/>
      <c r="Y115" s="646"/>
      <c r="Z115" s="646"/>
      <c r="AA115" s="646"/>
      <c r="AB115" s="646"/>
      <c r="AC115" s="646"/>
      <c r="AD115" s="646"/>
      <c r="AE115" s="646"/>
      <c r="AF115" s="646"/>
      <c r="AG115" s="644"/>
      <c r="AH115" s="647"/>
      <c r="AI115" s="647"/>
      <c r="AJ115" s="647"/>
      <c r="AK115" s="647"/>
      <c r="AL115" s="647"/>
      <c r="AM115" s="647"/>
      <c r="AN115" s="647"/>
      <c r="AO115" s="647"/>
      <c r="AP115" s="647"/>
      <c r="AQ115" s="647"/>
      <c r="AR115" s="647"/>
      <c r="AS115" s="647"/>
      <c r="AT115" s="647"/>
    </row>
    <row r="116" spans="2:72" ht="12.75" hidden="1" customHeight="1" x14ac:dyDescent="0.3">
      <c r="B116" s="644"/>
      <c r="C116" s="644"/>
      <c r="D116" s="644"/>
      <c r="E116" s="644"/>
      <c r="F116" s="647"/>
      <c r="G116" s="647"/>
      <c r="H116" s="647"/>
      <c r="I116" s="647"/>
      <c r="J116" s="647"/>
      <c r="K116" s="647"/>
      <c r="L116" s="647"/>
      <c r="M116" s="647"/>
      <c r="N116" s="647"/>
      <c r="O116" s="647"/>
      <c r="P116" s="647"/>
      <c r="Q116" s="647"/>
      <c r="R116" s="647"/>
      <c r="S116" s="644"/>
      <c r="T116" s="644"/>
      <c r="U116" s="644"/>
      <c r="V116" s="644"/>
      <c r="W116" s="644"/>
      <c r="X116" s="644"/>
      <c r="Y116" s="644"/>
      <c r="Z116" s="644"/>
      <c r="AA116" s="644"/>
      <c r="AB116" s="644"/>
      <c r="AC116" s="644"/>
      <c r="AD116" s="644"/>
      <c r="AE116" s="644"/>
      <c r="AF116" s="644"/>
      <c r="AG116" s="644"/>
      <c r="AH116" s="647"/>
      <c r="AI116" s="647"/>
      <c r="AJ116" s="647"/>
      <c r="AK116" s="647"/>
      <c r="AL116" s="647"/>
      <c r="AM116" s="647"/>
      <c r="AN116" s="647"/>
      <c r="AO116" s="647"/>
      <c r="AP116" s="647"/>
      <c r="AQ116" s="647"/>
      <c r="AR116" s="647"/>
      <c r="AS116" s="647"/>
      <c r="AT116" s="647"/>
    </row>
    <row r="117" spans="2:72" ht="12.75" hidden="1" customHeight="1" thickBot="1" x14ac:dyDescent="0.35">
      <c r="F117" s="377"/>
      <c r="G117" s="377"/>
      <c r="H117" s="560"/>
      <c r="I117" s="377"/>
      <c r="J117" s="376"/>
      <c r="K117" s="559"/>
      <c r="L117" s="559"/>
      <c r="M117" s="559"/>
      <c r="N117" s="559"/>
      <c r="O117" s="559"/>
      <c r="P117" s="559"/>
      <c r="Q117" s="559"/>
      <c r="R117" s="559"/>
    </row>
    <row r="118" spans="2:72" ht="15" thickBot="1" x14ac:dyDescent="0.4">
      <c r="B118" s="949" t="s">
        <v>718</v>
      </c>
      <c r="C118" s="949"/>
      <c r="D118" s="949"/>
      <c r="E118" s="577"/>
      <c r="F118" s="950" t="s">
        <v>761</v>
      </c>
      <c r="G118" s="950"/>
      <c r="H118" s="950"/>
      <c r="I118" s="950"/>
      <c r="J118" s="950"/>
      <c r="K118" s="950"/>
      <c r="L118" s="950"/>
      <c r="M118" s="950"/>
      <c r="N118" s="950"/>
      <c r="O118" s="950"/>
      <c r="P118" s="950"/>
      <c r="Q118" s="950"/>
      <c r="R118" s="951"/>
      <c r="S118" s="356"/>
      <c r="T118" s="952" t="s">
        <v>720</v>
      </c>
      <c r="U118" s="953"/>
      <c r="V118" s="953"/>
      <c r="W118" s="953"/>
      <c r="X118" s="953"/>
      <c r="Y118" s="953"/>
      <c r="Z118" s="953"/>
      <c r="AA118" s="953"/>
      <c r="AB118" s="953"/>
      <c r="AC118" s="953"/>
      <c r="AD118" s="953"/>
      <c r="AE118" s="953"/>
      <c r="AF118" s="953"/>
      <c r="AG118" s="356"/>
      <c r="AH118" s="954" t="s">
        <v>762</v>
      </c>
      <c r="AI118" s="954"/>
      <c r="AJ118" s="954"/>
      <c r="AK118" s="954"/>
      <c r="AL118" s="954"/>
      <c r="AM118" s="954"/>
      <c r="AN118" s="954"/>
      <c r="AO118" s="954"/>
      <c r="AP118" s="954"/>
      <c r="AQ118" s="954"/>
      <c r="AR118" s="954"/>
      <c r="AS118" s="954"/>
      <c r="AT118" s="954"/>
      <c r="AU118" s="955"/>
      <c r="AV118" s="955"/>
      <c r="AW118" s="955"/>
      <c r="AX118" s="955"/>
      <c r="AY118" s="955"/>
      <c r="AZ118" s="955"/>
      <c r="BA118" s="955"/>
      <c r="BB118" s="955"/>
      <c r="BC118" s="955"/>
      <c r="BD118" s="955"/>
      <c r="BE118" s="955"/>
      <c r="BF118" s="955"/>
      <c r="BG118" s="955"/>
      <c r="BH118" s="948"/>
      <c r="BI118" s="948"/>
      <c r="BJ118" s="948"/>
      <c r="BK118" s="948"/>
      <c r="BL118" s="948"/>
      <c r="BM118" s="948"/>
      <c r="BN118" s="948"/>
      <c r="BO118" s="948"/>
      <c r="BP118" s="948"/>
      <c r="BQ118" s="948"/>
      <c r="BR118" s="948"/>
      <c r="BS118" s="948"/>
      <c r="BT118" s="948"/>
    </row>
    <row r="119" spans="2:72" ht="15" thickBot="1" x14ac:dyDescent="0.4">
      <c r="B119" s="578"/>
      <c r="C119" s="594" t="s">
        <v>19</v>
      </c>
      <c r="D119" s="348" t="s">
        <v>19</v>
      </c>
      <c r="E119" s="350" t="s">
        <v>763</v>
      </c>
      <c r="F119" s="350">
        <f t="shared" ref="F119:Q119" si="49">F36*(7/8)</f>
        <v>161</v>
      </c>
      <c r="G119" s="595">
        <f t="shared" si="49"/>
        <v>147</v>
      </c>
      <c r="H119" s="595">
        <f t="shared" si="49"/>
        <v>147</v>
      </c>
      <c r="I119" s="595">
        <f t="shared" si="49"/>
        <v>154</v>
      </c>
      <c r="J119" s="595">
        <f t="shared" si="49"/>
        <v>161</v>
      </c>
      <c r="K119" s="595">
        <f t="shared" si="49"/>
        <v>140</v>
      </c>
      <c r="L119" s="595">
        <f t="shared" si="49"/>
        <v>161</v>
      </c>
      <c r="M119" s="595">
        <f t="shared" si="49"/>
        <v>154</v>
      </c>
      <c r="N119" s="595">
        <f t="shared" si="49"/>
        <v>147</v>
      </c>
      <c r="O119" s="595">
        <f t="shared" si="49"/>
        <v>161</v>
      </c>
      <c r="P119" s="595">
        <f t="shared" si="49"/>
        <v>147</v>
      </c>
      <c r="Q119" s="595">
        <f t="shared" si="49"/>
        <v>154</v>
      </c>
      <c r="R119" s="675">
        <f>SUM(F119:Q119)</f>
        <v>1834</v>
      </c>
      <c r="S119" s="357"/>
      <c r="T119" s="583">
        <v>1</v>
      </c>
      <c r="U119" s="351">
        <v>1</v>
      </c>
      <c r="V119" s="351">
        <v>1</v>
      </c>
      <c r="W119" s="351">
        <v>1</v>
      </c>
      <c r="X119" s="351">
        <v>1</v>
      </c>
      <c r="Y119" s="351">
        <v>1</v>
      </c>
      <c r="Z119" s="351">
        <v>1</v>
      </c>
      <c r="AA119" s="351">
        <v>1</v>
      </c>
      <c r="AB119" s="351">
        <v>1</v>
      </c>
      <c r="AC119" s="351">
        <v>1</v>
      </c>
      <c r="AD119" s="351">
        <v>1</v>
      </c>
      <c r="AE119" s="351">
        <v>1</v>
      </c>
      <c r="AF119" s="584">
        <v>1</v>
      </c>
      <c r="AG119" s="352"/>
      <c r="AH119" s="954"/>
      <c r="AI119" s="954"/>
      <c r="AJ119" s="954"/>
      <c r="AK119" s="954"/>
      <c r="AL119" s="954"/>
      <c r="AM119" s="954"/>
      <c r="AN119" s="954"/>
      <c r="AO119" s="954"/>
      <c r="AP119" s="954"/>
      <c r="AQ119" s="954"/>
      <c r="AR119" s="954"/>
      <c r="AS119" s="954"/>
      <c r="AT119" s="954"/>
      <c r="AU119" s="955"/>
      <c r="AV119" s="955"/>
      <c r="AW119" s="955"/>
      <c r="AX119" s="955"/>
      <c r="AY119" s="955"/>
      <c r="AZ119" s="955"/>
      <c r="BA119" s="955"/>
      <c r="BB119" s="955"/>
      <c r="BC119" s="955"/>
      <c r="BD119" s="955"/>
      <c r="BE119" s="955"/>
      <c r="BF119" s="955"/>
      <c r="BG119" s="955"/>
      <c r="BH119" s="948"/>
      <c r="BI119" s="948"/>
      <c r="BJ119" s="948"/>
      <c r="BK119" s="948"/>
      <c r="BL119" s="948"/>
      <c r="BM119" s="948"/>
      <c r="BN119" s="948"/>
      <c r="BO119" s="948"/>
      <c r="BP119" s="948"/>
      <c r="BQ119" s="948"/>
      <c r="BR119" s="948"/>
      <c r="BS119" s="948"/>
      <c r="BT119" s="948"/>
    </row>
    <row r="120" spans="2:72" ht="15" thickBot="1" x14ac:dyDescent="0.4">
      <c r="B120" s="621" t="s">
        <v>725</v>
      </c>
      <c r="C120" s="622" t="s">
        <v>726</v>
      </c>
      <c r="D120" s="622" t="s">
        <v>257</v>
      </c>
      <c r="E120" s="622" t="s">
        <v>727</v>
      </c>
      <c r="F120" s="676" t="s">
        <v>655</v>
      </c>
      <c r="G120" s="676" t="s">
        <v>656</v>
      </c>
      <c r="H120" s="676" t="s">
        <v>657</v>
      </c>
      <c r="I120" s="676" t="s">
        <v>658</v>
      </c>
      <c r="J120" s="676" t="s">
        <v>659</v>
      </c>
      <c r="K120" s="676" t="s">
        <v>660</v>
      </c>
      <c r="L120" s="676" t="s">
        <v>728</v>
      </c>
      <c r="M120" s="676" t="s">
        <v>662</v>
      </c>
      <c r="N120" s="676" t="s">
        <v>663</v>
      </c>
      <c r="O120" s="676" t="s">
        <v>664</v>
      </c>
      <c r="P120" s="676" t="s">
        <v>665</v>
      </c>
      <c r="Q120" s="676" t="s">
        <v>666</v>
      </c>
      <c r="R120" s="623" t="s">
        <v>652</v>
      </c>
      <c r="S120" s="356" t="s">
        <v>729</v>
      </c>
      <c r="T120" s="624" t="str">
        <f>F120</f>
        <v>Jan</v>
      </c>
      <c r="U120" s="625" t="str">
        <f t="shared" ref="U120:AF120" si="50">G120</f>
        <v>Feb</v>
      </c>
      <c r="V120" s="625" t="str">
        <f t="shared" si="50"/>
        <v>Mar</v>
      </c>
      <c r="W120" s="625" t="str">
        <f t="shared" si="50"/>
        <v>Apr</v>
      </c>
      <c r="X120" s="625" t="str">
        <f t="shared" si="50"/>
        <v>May</v>
      </c>
      <c r="Y120" s="625" t="str">
        <f t="shared" si="50"/>
        <v>Jun</v>
      </c>
      <c r="Z120" s="625" t="str">
        <f t="shared" si="50"/>
        <v>July</v>
      </c>
      <c r="AA120" s="625" t="str">
        <f t="shared" si="50"/>
        <v>Aug</v>
      </c>
      <c r="AB120" s="625" t="str">
        <f t="shared" si="50"/>
        <v>Sep</v>
      </c>
      <c r="AC120" s="625" t="str">
        <f t="shared" si="50"/>
        <v>Oct</v>
      </c>
      <c r="AD120" s="625" t="str">
        <f t="shared" si="50"/>
        <v>Nov</v>
      </c>
      <c r="AE120" s="625" t="str">
        <f t="shared" si="50"/>
        <v>Dec</v>
      </c>
      <c r="AF120" s="626" t="str">
        <f t="shared" si="50"/>
        <v>YTD</v>
      </c>
      <c r="AG120" s="359"/>
      <c r="AH120" s="624" t="str">
        <f>T120</f>
        <v>Jan</v>
      </c>
      <c r="AI120" s="625" t="str">
        <f t="shared" ref="AI120:AT120" si="51">U120</f>
        <v>Feb</v>
      </c>
      <c r="AJ120" s="625" t="str">
        <f t="shared" si="51"/>
        <v>Mar</v>
      </c>
      <c r="AK120" s="625" t="str">
        <f t="shared" si="51"/>
        <v>Apr</v>
      </c>
      <c r="AL120" s="625" t="str">
        <f t="shared" si="51"/>
        <v>May</v>
      </c>
      <c r="AM120" s="625" t="str">
        <f t="shared" si="51"/>
        <v>Jun</v>
      </c>
      <c r="AN120" s="625" t="str">
        <f t="shared" si="51"/>
        <v>July</v>
      </c>
      <c r="AO120" s="625" t="str">
        <f t="shared" si="51"/>
        <v>Aug</v>
      </c>
      <c r="AP120" s="625" t="str">
        <f t="shared" si="51"/>
        <v>Sep</v>
      </c>
      <c r="AQ120" s="625" t="str">
        <f t="shared" si="51"/>
        <v>Oct</v>
      </c>
      <c r="AR120" s="625" t="str">
        <f t="shared" si="51"/>
        <v>Nov</v>
      </c>
      <c r="AS120" s="625" t="str">
        <f t="shared" si="51"/>
        <v>Dec</v>
      </c>
      <c r="AT120" s="626" t="str">
        <f t="shared" si="51"/>
        <v>YTD</v>
      </c>
      <c r="AU120" s="359"/>
      <c r="AV120" s="359"/>
      <c r="AW120" s="359"/>
      <c r="AX120" s="359"/>
      <c r="AY120" s="359"/>
      <c r="AZ120" s="359"/>
      <c r="BA120" s="359"/>
      <c r="BB120" s="359"/>
      <c r="BC120" s="359"/>
      <c r="BD120" s="359"/>
      <c r="BE120" s="359"/>
      <c r="BF120" s="359"/>
      <c r="BG120" s="359"/>
      <c r="BH120" s="359"/>
      <c r="BI120" s="359"/>
      <c r="BJ120" s="359"/>
      <c r="BK120" s="359"/>
      <c r="BL120" s="359"/>
      <c r="BM120" s="359"/>
      <c r="BN120" s="359"/>
      <c r="BO120" s="359"/>
      <c r="BP120" s="359"/>
      <c r="BQ120" s="359"/>
      <c r="BR120" s="359"/>
      <c r="BS120" s="359"/>
      <c r="BT120" s="359"/>
    </row>
    <row r="121" spans="2:72" ht="14.5" x14ac:dyDescent="0.35">
      <c r="B121" s="589" t="s">
        <v>714</v>
      </c>
      <c r="C121" s="570" t="s">
        <v>776</v>
      </c>
      <c r="D121" s="570" t="s">
        <v>734</v>
      </c>
      <c r="E121" s="590" t="s">
        <v>19</v>
      </c>
      <c r="F121" s="680">
        <v>0</v>
      </c>
      <c r="G121" s="678">
        <v>7.2</v>
      </c>
      <c r="H121" s="678">
        <v>56.9</v>
      </c>
      <c r="I121" s="678">
        <v>86.9</v>
      </c>
      <c r="J121" s="678">
        <v>150.4</v>
      </c>
      <c r="K121" s="678">
        <v>121.3</v>
      </c>
      <c r="L121" s="678">
        <v>144.5</v>
      </c>
      <c r="M121" s="678">
        <v>165.3</v>
      </c>
      <c r="N121" s="678">
        <v>138.9</v>
      </c>
      <c r="O121" s="678">
        <v>95.1</v>
      </c>
      <c r="P121" s="678">
        <v>0</v>
      </c>
      <c r="Q121" s="678">
        <v>0</v>
      </c>
      <c r="R121" s="830">
        <f>SUM('Nurse Hours'!$F121:$Q121)</f>
        <v>966.5</v>
      </c>
      <c r="S121" s="354"/>
      <c r="T121" s="627">
        <f>NC_hours_type1[[#This Row],[Jan]]/F119</f>
        <v>0</v>
      </c>
      <c r="U121" s="628">
        <f>NC_hours_type1[[#This Row],[Feb]]/G119</f>
        <v>4.8979591836734698E-2</v>
      </c>
      <c r="V121" s="628">
        <f>NC_hours_type1[[#This Row],[Mar]]/H119</f>
        <v>0.38707482993197279</v>
      </c>
      <c r="W121" s="628">
        <f>NC_hours_type1[[#This Row],[Apr]]/I119</f>
        <v>0.56428571428571428</v>
      </c>
      <c r="X121" s="628">
        <f>NC_hours_type1[[#This Row],[May]]/J119</f>
        <v>0.93416149068322984</v>
      </c>
      <c r="Y121" s="628">
        <f>NC_hours_type1[[#This Row],[Jun]]/K119</f>
        <v>0.86642857142857144</v>
      </c>
      <c r="Z121" s="628">
        <f>NC_hours_type1[[#This Row],[July]]/L119</f>
        <v>0.89751552795031053</v>
      </c>
      <c r="AA121" s="628">
        <f>NC_hours_type1[[#This Row],[Aug]]/M119</f>
        <v>1.0733766233766235</v>
      </c>
      <c r="AB121" s="628">
        <f>NC_hours_type1[[#This Row],[Sep]]/N119</f>
        <v>0.94489795918367347</v>
      </c>
      <c r="AC121" s="628">
        <f>NC_hours_type1[[#This Row],[Oct]]/O119</f>
        <v>0.59068322981366461</v>
      </c>
      <c r="AD121" s="628">
        <f>NC_hours_type1[[#This Row],[Nov]]/P119</f>
        <v>0</v>
      </c>
      <c r="AE121" s="628">
        <f>NC_hours_type1[[#This Row],[Dec]]/Q119</f>
        <v>0</v>
      </c>
      <c r="AF121" s="844">
        <f>IFERROR(R121/SUMIF(F121:Q121,"&gt;0",$F$119:$Q$119),0)</f>
        <v>0.70444606413994171</v>
      </c>
      <c r="AG121" s="353"/>
      <c r="AH121" s="685">
        <v>146.80000000000001</v>
      </c>
      <c r="AI121" s="683">
        <v>134.9</v>
      </c>
      <c r="AJ121" s="683">
        <v>137.9</v>
      </c>
      <c r="AK121" s="683">
        <v>131.30000000000001</v>
      </c>
      <c r="AL121" s="683">
        <v>150.4</v>
      </c>
      <c r="AM121" s="683">
        <v>0</v>
      </c>
      <c r="AN121" s="683">
        <v>0</v>
      </c>
      <c r="AO121" s="683">
        <v>165.3</v>
      </c>
      <c r="AP121" s="683">
        <v>138.9</v>
      </c>
      <c r="AQ121" s="683">
        <v>0</v>
      </c>
      <c r="AR121" s="683">
        <v>0</v>
      </c>
      <c r="AS121" s="683">
        <v>0</v>
      </c>
      <c r="AT121" s="822">
        <f>SUM(AH121:AS121)</f>
        <v>1005.5000000000001</v>
      </c>
      <c r="AU121" s="363"/>
      <c r="AV121" s="363"/>
      <c r="AW121" s="363"/>
      <c r="AX121" s="363"/>
      <c r="AY121" s="363"/>
      <c r="AZ121" s="363"/>
      <c r="BA121" s="363"/>
      <c r="BB121" s="363"/>
      <c r="BC121" s="363"/>
      <c r="BD121" s="363"/>
      <c r="BE121" s="363"/>
      <c r="BF121" s="363"/>
      <c r="BG121" s="364"/>
      <c r="BH121" s="363"/>
      <c r="BI121" s="363"/>
      <c r="BJ121" s="363"/>
      <c r="BK121" s="363"/>
      <c r="BL121" s="363"/>
      <c r="BM121" s="363"/>
      <c r="BN121" s="363"/>
      <c r="BO121" s="363"/>
      <c r="BP121" s="363"/>
      <c r="BQ121" s="363"/>
      <c r="BR121" s="363"/>
      <c r="BS121" s="363"/>
      <c r="BT121" s="364"/>
    </row>
    <row r="122" spans="2:72" ht="14.5" x14ac:dyDescent="0.35">
      <c r="B122" s="589" t="s">
        <v>715</v>
      </c>
      <c r="C122" s="570" t="s">
        <v>777</v>
      </c>
      <c r="D122" s="570" t="s">
        <v>734</v>
      </c>
      <c r="E122" s="590" t="s">
        <v>19</v>
      </c>
      <c r="F122" s="680">
        <v>138.80000000000001</v>
      </c>
      <c r="G122" s="678">
        <v>130.9</v>
      </c>
      <c r="H122" s="678">
        <v>137.9</v>
      </c>
      <c r="I122" s="678">
        <v>131.30000000000001</v>
      </c>
      <c r="J122" s="678">
        <v>131</v>
      </c>
      <c r="K122" s="678">
        <v>85</v>
      </c>
      <c r="L122" s="678">
        <v>110.2</v>
      </c>
      <c r="M122" s="678">
        <v>127.3</v>
      </c>
      <c r="N122" s="678">
        <v>125</v>
      </c>
      <c r="O122" s="678">
        <v>124.6</v>
      </c>
      <c r="P122" s="678">
        <v>0</v>
      </c>
      <c r="Q122" s="678">
        <v>0</v>
      </c>
      <c r="R122" s="830">
        <f>SUM('Nurse Hours'!$F122:$Q122)</f>
        <v>1242</v>
      </c>
      <c r="S122" s="354"/>
      <c r="T122" s="619">
        <f>NC_hours_type1[[#This Row],[Jan]]/F119</f>
        <v>0.86211180124223608</v>
      </c>
      <c r="U122" s="620">
        <f>NC_hours_type1[[#This Row],[Feb]]/G119</f>
        <v>0.89047619047619053</v>
      </c>
      <c r="V122" s="620">
        <f>NC_hours_type1[[#This Row],[Mar]]/H119</f>
        <v>0.93809523809523809</v>
      </c>
      <c r="W122" s="620">
        <f>NC_hours_type1[[#This Row],[Apr]]/I119</f>
        <v>0.85259740259740269</v>
      </c>
      <c r="X122" s="620">
        <f>NC_hours_type1[[#This Row],[May]]/J119</f>
        <v>0.81366459627329191</v>
      </c>
      <c r="Y122" s="620">
        <f>NC_hours_type1[[#This Row],[Jun]]/K119</f>
        <v>0.6071428571428571</v>
      </c>
      <c r="Z122" s="620">
        <f>NC_hours_type1[[#This Row],[July]]/L119</f>
        <v>0.68447204968944098</v>
      </c>
      <c r="AA122" s="620">
        <f>NC_hours_type1[[#This Row],[Aug]]/M119</f>
        <v>0.82662337662337659</v>
      </c>
      <c r="AB122" s="620">
        <f>NC_hours_type1[[#This Row],[Sep]]/N119</f>
        <v>0.85034013605442171</v>
      </c>
      <c r="AC122" s="620">
        <f>NC_hours_type1[[#This Row],[Oct]]/O119</f>
        <v>0.77391304347826084</v>
      </c>
      <c r="AD122" s="620">
        <f>NC_hours_type1[[#This Row],[Nov]]/P119</f>
        <v>0</v>
      </c>
      <c r="AE122" s="620">
        <f>NC_hours_type1[[#This Row],[Dec]]/Q119</f>
        <v>0</v>
      </c>
      <c r="AF122" s="834">
        <f>IFERROR(R122/SUMIF(F122:Q122,"&gt;0",$F$119:$Q$119),0)</f>
        <v>0.81017612524461835</v>
      </c>
      <c r="AG122" s="353"/>
      <c r="AH122" s="680">
        <v>0</v>
      </c>
      <c r="AI122" s="678">
        <v>17.5</v>
      </c>
      <c r="AJ122" s="678">
        <v>74.400000000000006</v>
      </c>
      <c r="AK122" s="678">
        <v>125.3</v>
      </c>
      <c r="AL122" s="678">
        <v>133</v>
      </c>
      <c r="AM122" s="678">
        <v>50</v>
      </c>
      <c r="AN122" s="678">
        <v>0</v>
      </c>
      <c r="AO122" s="678">
        <v>137.30000000000001</v>
      </c>
      <c r="AP122" s="678">
        <v>135</v>
      </c>
      <c r="AQ122" s="678">
        <v>0</v>
      </c>
      <c r="AR122" s="678">
        <v>0</v>
      </c>
      <c r="AS122" s="678">
        <v>0</v>
      </c>
      <c r="AT122" s="823">
        <f>SUM(AH122:AS122)</f>
        <v>672.5</v>
      </c>
      <c r="AU122" s="363"/>
      <c r="AV122" s="363"/>
      <c r="AW122" s="363"/>
      <c r="AX122" s="363"/>
      <c r="AY122" s="363"/>
      <c r="AZ122" s="363"/>
      <c r="BA122" s="363"/>
      <c r="BB122" s="363"/>
      <c r="BC122" s="363"/>
      <c r="BD122" s="363"/>
      <c r="BE122" s="363"/>
      <c r="BF122" s="363"/>
      <c r="BG122" s="364"/>
      <c r="BH122" s="363"/>
      <c r="BI122" s="363"/>
      <c r="BJ122" s="363"/>
      <c r="BK122" s="363"/>
      <c r="BL122" s="363"/>
      <c r="BM122" s="363"/>
      <c r="BN122" s="363"/>
      <c r="BO122" s="363"/>
      <c r="BP122" s="363"/>
      <c r="BQ122" s="363"/>
      <c r="BR122" s="363"/>
      <c r="BS122" s="363"/>
      <c r="BT122" s="364"/>
    </row>
    <row r="123" spans="2:72" ht="14.5" x14ac:dyDescent="0.35">
      <c r="B123" s="589" t="s">
        <v>716</v>
      </c>
      <c r="C123" s="570" t="s">
        <v>776</v>
      </c>
      <c r="D123" s="570" t="s">
        <v>734</v>
      </c>
      <c r="E123" s="590" t="s">
        <v>19</v>
      </c>
      <c r="F123" s="680">
        <v>0</v>
      </c>
      <c r="G123" s="678">
        <v>17.5</v>
      </c>
      <c r="H123" s="678">
        <v>74.400000000000006</v>
      </c>
      <c r="I123" s="678">
        <v>125.3</v>
      </c>
      <c r="J123" s="678">
        <v>114.8</v>
      </c>
      <c r="K123" s="678">
        <v>142.5</v>
      </c>
      <c r="L123" s="678">
        <v>153.1</v>
      </c>
      <c r="M123" s="678">
        <v>165.7</v>
      </c>
      <c r="N123" s="678">
        <v>149</v>
      </c>
      <c r="O123" s="678">
        <v>142.5</v>
      </c>
      <c r="P123" s="678">
        <v>0</v>
      </c>
      <c r="Q123" s="678">
        <v>0</v>
      </c>
      <c r="R123" s="830">
        <f>SUM('Nurse Hours'!$F123:$Q123)</f>
        <v>1084.8</v>
      </c>
      <c r="S123" s="354"/>
      <c r="T123" s="629">
        <f>NC_hours_type1[[#This Row],[Jan]]/F119</f>
        <v>0</v>
      </c>
      <c r="U123" s="630">
        <f>NC_hours_type1[[#This Row],[Feb]]/G119</f>
        <v>0.11904761904761904</v>
      </c>
      <c r="V123" s="630">
        <f>NC_hours_type1[[#This Row],[Mar]]/H119</f>
        <v>0.50612244897959191</v>
      </c>
      <c r="W123" s="630">
        <f>NC_hours_type1[[#This Row],[Apr]]/I119</f>
        <v>0.8136363636363636</v>
      </c>
      <c r="X123" s="630">
        <f>NC_hours_type1[[#This Row],[May]]/J119</f>
        <v>0.71304347826086956</v>
      </c>
      <c r="Y123" s="630">
        <f>NC_hours_type1[[#This Row],[Jun]]/K119</f>
        <v>1.0178571428571428</v>
      </c>
      <c r="Z123" s="630">
        <f>NC_hours_type1[[#This Row],[July]]/L119</f>
        <v>0.95093167701863346</v>
      </c>
      <c r="AA123" s="630">
        <f>NC_hours_type1[[#This Row],[Aug]]/M119</f>
        <v>1.0759740259740258</v>
      </c>
      <c r="AB123" s="630">
        <f>NC_hours_type1[[#This Row],[Sep]]/N119</f>
        <v>1.0136054421768708</v>
      </c>
      <c r="AC123" s="630">
        <f>NC_hours_type1[[#This Row],[Oct]]/O119</f>
        <v>0.8850931677018633</v>
      </c>
      <c r="AD123" s="630">
        <f>NC_hours_type1[[#This Row],[Nov]]/P119</f>
        <v>0</v>
      </c>
      <c r="AE123" s="630">
        <f>NC_hours_type1[[#This Row],[Dec]]/Q119</f>
        <v>0</v>
      </c>
      <c r="AF123" s="845">
        <f>IFERROR(R123/SUMIF(F123:Q123,"&gt;0",$F$119:$Q$119),0)</f>
        <v>0.79067055393586005</v>
      </c>
      <c r="AG123" s="353"/>
      <c r="AH123" s="686">
        <v>0</v>
      </c>
      <c r="AI123" s="683">
        <v>7.2</v>
      </c>
      <c r="AJ123" s="683">
        <v>56.9</v>
      </c>
      <c r="AK123" s="683">
        <v>86.9</v>
      </c>
      <c r="AL123" s="683">
        <v>150.80000000000001</v>
      </c>
      <c r="AM123" s="683">
        <v>0</v>
      </c>
      <c r="AN123" s="683">
        <v>0</v>
      </c>
      <c r="AO123" s="683">
        <v>165.7</v>
      </c>
      <c r="AP123" s="683">
        <v>149</v>
      </c>
      <c r="AQ123" s="683">
        <v>0</v>
      </c>
      <c r="AR123" s="683">
        <v>0</v>
      </c>
      <c r="AS123" s="683">
        <v>0</v>
      </c>
      <c r="AT123" s="822">
        <f>SUM(AH123:AS123)</f>
        <v>616.5</v>
      </c>
      <c r="AU123" s="363"/>
      <c r="AV123" s="363"/>
      <c r="AW123" s="363"/>
      <c r="AX123" s="363"/>
      <c r="AY123" s="363"/>
      <c r="AZ123" s="363"/>
      <c r="BA123" s="363"/>
      <c r="BB123" s="363"/>
      <c r="BC123" s="363"/>
      <c r="BD123" s="363"/>
      <c r="BE123" s="363"/>
      <c r="BF123" s="363"/>
      <c r="BG123" s="364"/>
      <c r="BH123" s="363"/>
      <c r="BI123" s="363"/>
      <c r="BJ123" s="363"/>
      <c r="BK123" s="363"/>
      <c r="BL123" s="363"/>
      <c r="BM123" s="363"/>
      <c r="BN123" s="363"/>
      <c r="BO123" s="363"/>
      <c r="BP123" s="363"/>
      <c r="BQ123" s="363"/>
      <c r="BR123" s="363"/>
      <c r="BS123" s="363"/>
      <c r="BT123" s="364"/>
    </row>
    <row r="124" spans="2:72" ht="15" thickBot="1" x14ac:dyDescent="0.4">
      <c r="B124" s="589" t="s">
        <v>717</v>
      </c>
      <c r="C124" s="570" t="s">
        <v>778</v>
      </c>
      <c r="D124" s="570" t="s">
        <v>734</v>
      </c>
      <c r="E124" s="590" t="s">
        <v>19</v>
      </c>
      <c r="F124" s="680">
        <v>169.3</v>
      </c>
      <c r="G124" s="678">
        <v>154.6</v>
      </c>
      <c r="H124" s="678">
        <v>151.1</v>
      </c>
      <c r="I124" s="678">
        <v>182.3</v>
      </c>
      <c r="J124" s="678">
        <v>191.3</v>
      </c>
      <c r="K124" s="678">
        <v>176.2</v>
      </c>
      <c r="L124" s="678">
        <v>160.5</v>
      </c>
      <c r="M124" s="678">
        <v>115.2</v>
      </c>
      <c r="N124" s="678">
        <v>130.1</v>
      </c>
      <c r="O124" s="678">
        <v>135.1</v>
      </c>
      <c r="P124" s="678">
        <v>0</v>
      </c>
      <c r="Q124" s="678">
        <v>0</v>
      </c>
      <c r="R124" s="830">
        <f>SUM('Nurse Hours'!$F124:$Q124)</f>
        <v>1565.6999999999998</v>
      </c>
      <c r="S124" s="354"/>
      <c r="T124" s="619">
        <f>NC_hours_type1[[#This Row],[Jan]]/F119</f>
        <v>1.0515527950310559</v>
      </c>
      <c r="U124" s="620">
        <f>NC_hours_type1[[#This Row],[Feb]]/G119</f>
        <v>1.0517006802721087</v>
      </c>
      <c r="V124" s="620">
        <f>NC_hours_type1[[#This Row],[Mar]]/H119</f>
        <v>1.027891156462585</v>
      </c>
      <c r="W124" s="620">
        <f>NC_hours_type1[[#This Row],[Apr]]/I119</f>
        <v>1.1837662337662338</v>
      </c>
      <c r="X124" s="620">
        <f>NC_hours_type1[[#This Row],[May]]/J119</f>
        <v>1.1881987577639752</v>
      </c>
      <c r="Y124" s="620">
        <f>NC_hours_type1[[#This Row],[Jun]]/K119</f>
        <v>1.2585714285714285</v>
      </c>
      <c r="Z124" s="620">
        <f>NC_hours_type1[[#This Row],[July]]/L119</f>
        <v>0.99689440993788825</v>
      </c>
      <c r="AA124" s="620">
        <f>NC_hours_type1[[#This Row],[Aug]]/M119</f>
        <v>0.74805194805194808</v>
      </c>
      <c r="AB124" s="620">
        <f>NC_hours_type1[[#This Row],[Sep]]/N119</f>
        <v>0.88503401360544209</v>
      </c>
      <c r="AC124" s="620">
        <f>NC_hours_type1[[#This Row],[Oct]]/O119</f>
        <v>0.83913043478260863</v>
      </c>
      <c r="AD124" s="620">
        <f>NC_hours_type1[[#This Row],[Nov]]/P119</f>
        <v>0</v>
      </c>
      <c r="AE124" s="620">
        <f>NC_hours_type1[[#This Row],[Dec]]/Q119</f>
        <v>0</v>
      </c>
      <c r="AF124" s="834">
        <f>IFERROR(R124/SUMIF(F124:Q124,"&gt;0",$F$119:$Q$119),0)</f>
        <v>1.0213307240704499</v>
      </c>
      <c r="AG124" s="353"/>
      <c r="AH124" s="680">
        <v>0</v>
      </c>
      <c r="AI124" s="678">
        <v>0</v>
      </c>
      <c r="AJ124" s="678">
        <v>0</v>
      </c>
      <c r="AK124" s="678">
        <v>0</v>
      </c>
      <c r="AL124" s="678">
        <v>191.3</v>
      </c>
      <c r="AM124" s="678">
        <v>8</v>
      </c>
      <c r="AN124" s="678">
        <v>0</v>
      </c>
      <c r="AO124" s="678">
        <v>123.2</v>
      </c>
      <c r="AP124" s="678">
        <v>130.1</v>
      </c>
      <c r="AQ124" s="678">
        <v>0</v>
      </c>
      <c r="AR124" s="678">
        <v>0</v>
      </c>
      <c r="AS124" s="678">
        <v>0</v>
      </c>
      <c r="AT124" s="823">
        <f>SUM(AH124:AS124)</f>
        <v>452.6</v>
      </c>
      <c r="AU124" s="363"/>
      <c r="AV124" s="363"/>
      <c r="AW124" s="363"/>
      <c r="AX124" s="363"/>
      <c r="AY124" s="363"/>
      <c r="AZ124" s="363"/>
      <c r="BA124" s="363"/>
      <c r="BB124" s="363"/>
      <c r="BC124" s="363"/>
      <c r="BD124" s="363"/>
      <c r="BE124" s="363"/>
      <c r="BF124" s="363"/>
      <c r="BG124" s="364"/>
      <c r="BH124" s="363"/>
      <c r="BI124" s="363"/>
      <c r="BJ124" s="363"/>
      <c r="BK124" s="363"/>
      <c r="BL124" s="363"/>
      <c r="BM124" s="363"/>
      <c r="BN124" s="363"/>
      <c r="BO124" s="363"/>
      <c r="BP124" s="363"/>
      <c r="BQ124" s="363"/>
      <c r="BR124" s="363"/>
      <c r="BS124" s="363"/>
      <c r="BT124" s="364"/>
    </row>
    <row r="125" spans="2:72" ht="15.5" thickTop="1" thickBot="1" x14ac:dyDescent="0.4">
      <c r="B125" s="580" t="s">
        <v>24</v>
      </c>
      <c r="C125" s="581"/>
      <c r="D125" s="581"/>
      <c r="E125" s="582"/>
      <c r="F125" s="850">
        <f>SUBTOTAL(109,NC_hours_type1[Jan])</f>
        <v>308.10000000000002</v>
      </c>
      <c r="G125" s="851">
        <f>SUBTOTAL(109,NC_hours_type1[Feb])</f>
        <v>310.2</v>
      </c>
      <c r="H125" s="851">
        <f>SUBTOTAL(109,NC_hours_type1[Mar])</f>
        <v>420.30000000000007</v>
      </c>
      <c r="I125" s="851">
        <f>SUBTOTAL(109,NC_hours_type1[Apr])</f>
        <v>525.79999999999995</v>
      </c>
      <c r="J125" s="851">
        <f>SUBTOTAL(109,NC_hours_type1[May])</f>
        <v>587.5</v>
      </c>
      <c r="K125" s="851">
        <f>SUBTOTAL(109,NC_hours_type1[Jun])</f>
        <v>525</v>
      </c>
      <c r="L125" s="851">
        <f>SUBTOTAL(109,NC_hours_type1[July])</f>
        <v>568.29999999999995</v>
      </c>
      <c r="M125" s="851">
        <f>SUBTOTAL(109,NC_hours_type1[Aug])</f>
        <v>573.5</v>
      </c>
      <c r="N125" s="851">
        <f>SUBTOTAL(109,NC_hours_type1[Sep])</f>
        <v>543</v>
      </c>
      <c r="O125" s="851">
        <f>SUBTOTAL(109,NC_hours_type1[Oct])</f>
        <v>497.29999999999995</v>
      </c>
      <c r="P125" s="851">
        <f>SUBTOTAL(109,NC_hours_type1[Nov])</f>
        <v>0</v>
      </c>
      <c r="Q125" s="851">
        <f>SUBTOTAL(109,NC_hours_type1[Dec])</f>
        <v>0</v>
      </c>
      <c r="R125" s="846">
        <f>SUBTOTAL(109,NC_hours_type1[YTD])</f>
        <v>4859</v>
      </c>
      <c r="T125" s="585">
        <f t="shared" ref="T125:AE125" si="52">IFERROR(F125/(F119*COUNTIF(F121:F124,"&gt;0")),0)</f>
        <v>0.95683229813664605</v>
      </c>
      <c r="U125" s="586">
        <f t="shared" si="52"/>
        <v>0.52755102040816326</v>
      </c>
      <c r="V125" s="586">
        <f t="shared" si="52"/>
        <v>0.71479591836734702</v>
      </c>
      <c r="W125" s="586">
        <f t="shared" si="52"/>
        <v>0.85357142857142854</v>
      </c>
      <c r="X125" s="586">
        <f t="shared" si="52"/>
        <v>0.91226708074534157</v>
      </c>
      <c r="Y125" s="586">
        <f t="shared" si="52"/>
        <v>0.9375</v>
      </c>
      <c r="Z125" s="586">
        <f t="shared" si="52"/>
        <v>0.88245341614906825</v>
      </c>
      <c r="AA125" s="586">
        <f t="shared" si="52"/>
        <v>0.93100649350649356</v>
      </c>
      <c r="AB125" s="586">
        <f t="shared" si="52"/>
        <v>0.92346938775510201</v>
      </c>
      <c r="AC125" s="586">
        <f t="shared" si="52"/>
        <v>0.77220496894409929</v>
      </c>
      <c r="AD125" s="586">
        <f t="shared" si="52"/>
        <v>0</v>
      </c>
      <c r="AE125" s="586">
        <f t="shared" si="52"/>
        <v>0</v>
      </c>
      <c r="AF125" s="835">
        <f>IFERROR(R125/(SUMIF(F125:Q125,"&gt;0",$F$119:$Q$119)*COUNTIF(R121:R124,"&gt;0")),0)</f>
        <v>0.7924005218525767</v>
      </c>
      <c r="AH125" s="575">
        <f t="shared" ref="AH125:AT125" si="53">SUM(AH121:AH124)</f>
        <v>146.80000000000001</v>
      </c>
      <c r="AI125" s="576">
        <f t="shared" si="53"/>
        <v>159.6</v>
      </c>
      <c r="AJ125" s="576">
        <f t="shared" si="53"/>
        <v>269.2</v>
      </c>
      <c r="AK125" s="576">
        <f t="shared" si="53"/>
        <v>343.5</v>
      </c>
      <c r="AL125" s="576">
        <f t="shared" si="53"/>
        <v>625.5</v>
      </c>
      <c r="AM125" s="576">
        <f t="shared" si="53"/>
        <v>58</v>
      </c>
      <c r="AN125" s="576">
        <f t="shared" si="53"/>
        <v>0</v>
      </c>
      <c r="AO125" s="576">
        <f t="shared" si="53"/>
        <v>591.5</v>
      </c>
      <c r="AP125" s="576">
        <f t="shared" si="53"/>
        <v>553</v>
      </c>
      <c r="AQ125" s="576">
        <f t="shared" si="53"/>
        <v>0</v>
      </c>
      <c r="AR125" s="576">
        <f t="shared" si="53"/>
        <v>0</v>
      </c>
      <c r="AS125" s="576">
        <f t="shared" si="53"/>
        <v>0</v>
      </c>
      <c r="AT125" s="843">
        <f t="shared" si="53"/>
        <v>2747.1</v>
      </c>
    </row>
  </sheetData>
  <sheetProtection algorithmName="SHA-512" hashValue="ITiXLKSm89hSvrGLVLCT/3FDXAAyoCkvZKCWBPXzVmIRRh+K2FoCFt7V4cDrySrBgss200jSgXSPQicqnfdoAw==" saltValue="s1NHLzyKp6I9FD9arHQxAg==" spinCount="100000" sheet="1" objects="1" scenarios="1"/>
  <protectedRanges>
    <protectedRange sqref="B51:B52 AE15" name="Data_2"/>
    <protectedRange sqref="B38 T15" name="Data_3"/>
    <protectedRange sqref="B53 AF15" name="Data_4"/>
    <protectedRange sqref="B72 AV15" name="Data_5"/>
    <protectedRange sqref="B54 AG15" name="Data_7"/>
    <protectedRange sqref="B55 AH15" name="Data_8"/>
    <protectedRange sqref="B39:B40 U15" name="Data_9"/>
    <protectedRange sqref="B73 AW15" name="Data_10"/>
    <protectedRange sqref="B41 V15" name="Data_12"/>
    <protectedRange sqref="B42 W15" name="Data_13"/>
    <protectedRange sqref="B56 AI15" name="Data_14"/>
    <protectedRange sqref="B57 AJ15" name="Data_15"/>
    <protectedRange sqref="B58 AK15" name="Data_16"/>
    <protectedRange sqref="B43 X15" name="Data_17"/>
    <protectedRange sqref="B62 AO15" name="Data_18"/>
    <protectedRange sqref="B44 Y15" name="Data_19"/>
    <protectedRange sqref="B45 Z15" name="Data_20"/>
    <protectedRange sqref="B46 AA15" name="Data_21"/>
    <protectedRange sqref="B64:B66 AQ15" name="Data_22"/>
    <protectedRange sqref="B67 AR15" name="Data_23"/>
    <protectedRange sqref="B68 AS15" name="Data_24"/>
    <protectedRange sqref="AT15 B69 B71" name="Data_25"/>
    <protectedRange sqref="B74 AX15" name="Data_26"/>
    <protectedRange sqref="B61 AN15 B103:B104 V25:W25" name="Data_27"/>
    <protectedRange sqref="B75 AY15" name="Data_28"/>
    <protectedRange sqref="B77:B84 BA15:BF15" name="Data_30"/>
    <protectedRange sqref="B85 BG15" name="Data_33"/>
    <protectedRange sqref="B47 AB15" name="Data_34"/>
    <protectedRange sqref="B86 BH15" name="Data_35"/>
  </protectedRanges>
  <mergeCells count="25">
    <mergeCell ref="B109:AT110"/>
    <mergeCell ref="AU35:BG36"/>
    <mergeCell ref="BH35:BT36"/>
    <mergeCell ref="B93:AT94"/>
    <mergeCell ref="B96:D96"/>
    <mergeCell ref="F96:R96"/>
    <mergeCell ref="T96:AF96"/>
    <mergeCell ref="AH96:AT97"/>
    <mergeCell ref="AU96:BG97"/>
    <mergeCell ref="BH96:BT97"/>
    <mergeCell ref="AH35:AT36"/>
    <mergeCell ref="D3:G5"/>
    <mergeCell ref="J4:R6"/>
    <mergeCell ref="B35:D35"/>
    <mergeCell ref="F35:R35"/>
    <mergeCell ref="T35:AF35"/>
    <mergeCell ref="Y11:Z11"/>
    <mergeCell ref="T11:U11"/>
    <mergeCell ref="V11:W11"/>
    <mergeCell ref="BH118:BT119"/>
    <mergeCell ref="B118:D118"/>
    <mergeCell ref="F118:R118"/>
    <mergeCell ref="T118:AF118"/>
    <mergeCell ref="AH118:AT119"/>
    <mergeCell ref="AU118:BG119"/>
  </mergeCells>
  <dataValidations count="4">
    <dataValidation type="list" allowBlank="1" showInputMessage="1" showErrorMessage="1" sqref="AA11" xr:uid="{4836A14D-5B45-427B-BE6E-AD52F3F9C7DD}">
      <formula1>$T$37:$AF$37</formula1>
    </dataValidation>
    <dataValidation type="list" allowBlank="1" showInputMessage="1" showErrorMessage="1" sqref="K11" xr:uid="{D612537E-BF80-4E7D-8FDE-495E0AA60225}">
      <formula1>IF($C$11=$B$9,$J$9:$M$9,IF($C$11=$C$9,$J$9:$K$9,$J$9:$K$9))</formula1>
    </dataValidation>
    <dataValidation type="list" allowBlank="1" showInputMessage="1" showErrorMessage="1" sqref="C11 V11" xr:uid="{0CC1370D-E413-4364-B64C-B2DB506AA1C5}">
      <formula1>"Regular,Impact EIP,Nurse Coordinator"</formula1>
    </dataValidation>
    <dataValidation type="list" allowBlank="1" showInputMessage="1" showErrorMessage="1" sqref="E11" xr:uid="{63A00545-A01E-4215-8117-56DE5CD304B4}">
      <formula1>IF($C$11=$B$9,$B$38:$B$87,IF($C$11=$C$9,$B$101:$B$107,$B$121:$B$125))</formula1>
    </dataValidation>
  </dataValidations>
  <pageMargins left="0.7" right="0.7" top="0.75" bottom="0.75" header="0.3" footer="0.3"/>
  <pageSetup orientation="portrait" r:id="rId1"/>
  <ignoredErrors>
    <ignoredError sqref="O15:O16" evalError="1"/>
  </ignoredErrors>
  <drawing r:id="rId2"/>
  <tableParts count="3">
    <tablePart r:id="rId3"/>
    <tablePart r:id="rId4"/>
    <tablePart r:id="rId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3B37F-E9F9-41E3-8396-44C47AC1E09A}">
  <sheetPr codeName="Sheet2"/>
  <dimension ref="A1:H26"/>
  <sheetViews>
    <sheetView showGridLines="0" topLeftCell="B1" zoomScale="70" zoomScaleNormal="70" workbookViewId="0">
      <pane ySplit="3" topLeftCell="A10" activePane="bottomLeft" state="frozen"/>
      <selection pane="bottomLeft" activeCell="B17" sqref="B17"/>
    </sheetView>
  </sheetViews>
  <sheetFormatPr defaultRowHeight="12.5" x14ac:dyDescent="0.25"/>
  <cols>
    <col min="1" max="1" width="4.81640625" customWidth="1"/>
    <col min="2" max="2" width="41" customWidth="1"/>
    <col min="3" max="3" width="81.81640625" customWidth="1"/>
    <col min="4" max="6" width="31.81640625" customWidth="1"/>
    <col min="7" max="7" width="32.1796875" customWidth="1"/>
    <col min="8" max="8" width="42.81640625" customWidth="1"/>
  </cols>
  <sheetData>
    <row r="1" spans="1:8" s="27" customFormat="1" ht="28.5" thickBot="1" x14ac:dyDescent="0.65">
      <c r="A1" s="23"/>
      <c r="B1" s="24" t="s">
        <v>779</v>
      </c>
      <c r="C1" s="25"/>
      <c r="D1" s="26"/>
      <c r="E1" s="26"/>
      <c r="F1" s="26"/>
      <c r="G1" s="26"/>
      <c r="H1" s="26"/>
    </row>
    <row r="2" spans="1:8" ht="51.65" customHeight="1" thickBot="1" x14ac:dyDescent="0.3">
      <c r="A2" s="10"/>
      <c r="B2" s="9" t="s">
        <v>780</v>
      </c>
      <c r="C2" s="9" t="s">
        <v>781</v>
      </c>
      <c r="D2" s="9" t="s">
        <v>782</v>
      </c>
      <c r="E2" s="9" t="s">
        <v>783</v>
      </c>
      <c r="F2" s="9" t="s">
        <v>784</v>
      </c>
      <c r="G2" s="21" t="s">
        <v>785</v>
      </c>
      <c r="H2" s="9" t="s">
        <v>786</v>
      </c>
    </row>
    <row r="3" spans="1:8" s="5" customFormat="1" ht="46.4" customHeight="1" thickBot="1" x14ac:dyDescent="0.4">
      <c r="A3" s="11"/>
      <c r="B3" s="7" t="s">
        <v>787</v>
      </c>
      <c r="C3" s="7" t="s">
        <v>788</v>
      </c>
      <c r="D3" s="7" t="s">
        <v>789</v>
      </c>
      <c r="E3" s="7" t="s">
        <v>790</v>
      </c>
      <c r="F3" s="7" t="s">
        <v>791</v>
      </c>
      <c r="G3" s="22" t="s">
        <v>792</v>
      </c>
      <c r="H3" s="7" t="s">
        <v>793</v>
      </c>
    </row>
    <row r="4" spans="1:8" ht="38.15" customHeight="1" thickBot="1" x14ac:dyDescent="0.3">
      <c r="A4" s="10"/>
      <c r="B4" s="12" t="s">
        <v>794</v>
      </c>
      <c r="C4" s="13" t="s">
        <v>795</v>
      </c>
      <c r="D4" s="12" t="s">
        <v>796</v>
      </c>
      <c r="E4" s="12" t="s">
        <v>797</v>
      </c>
      <c r="F4" s="16"/>
      <c r="G4" s="16"/>
      <c r="H4" s="16"/>
    </row>
    <row r="5" spans="1:8" ht="38.15" customHeight="1" thickBot="1" x14ac:dyDescent="0.3">
      <c r="A5" s="10"/>
      <c r="B5" s="20" t="s">
        <v>798</v>
      </c>
      <c r="C5" s="3" t="s">
        <v>799</v>
      </c>
      <c r="D5" s="1" t="s">
        <v>800</v>
      </c>
      <c r="E5" s="1" t="s">
        <v>797</v>
      </c>
      <c r="F5" s="981" t="s">
        <v>801</v>
      </c>
      <c r="G5" s="1" t="s">
        <v>802</v>
      </c>
      <c r="H5" s="979" t="s">
        <v>803</v>
      </c>
    </row>
    <row r="6" spans="1:8" ht="38.15" customHeight="1" thickBot="1" x14ac:dyDescent="0.3">
      <c r="A6" s="10"/>
      <c r="B6" s="20" t="s">
        <v>804</v>
      </c>
      <c r="C6" s="3" t="s">
        <v>805</v>
      </c>
      <c r="D6" s="1" t="s">
        <v>806</v>
      </c>
      <c r="E6" s="1" t="s">
        <v>807</v>
      </c>
      <c r="F6" s="982"/>
      <c r="G6" s="1" t="s">
        <v>802</v>
      </c>
      <c r="H6" s="979"/>
    </row>
    <row r="7" spans="1:8" ht="38.15" customHeight="1" thickBot="1" x14ac:dyDescent="0.3">
      <c r="A7" s="10"/>
      <c r="B7" s="20" t="s">
        <v>808</v>
      </c>
      <c r="C7" s="3" t="s">
        <v>809</v>
      </c>
      <c r="D7" s="1" t="s">
        <v>810</v>
      </c>
      <c r="E7" s="1" t="s">
        <v>797</v>
      </c>
      <c r="F7" s="982"/>
      <c r="G7" s="1" t="s">
        <v>802</v>
      </c>
      <c r="H7" s="979"/>
    </row>
    <row r="8" spans="1:8" ht="38.15" customHeight="1" thickBot="1" x14ac:dyDescent="0.3">
      <c r="A8" s="10"/>
      <c r="B8" s="14" t="s">
        <v>811</v>
      </c>
      <c r="C8" s="4" t="s">
        <v>812</v>
      </c>
      <c r="D8" s="14" t="s">
        <v>806</v>
      </c>
      <c r="E8" s="14" t="s">
        <v>813</v>
      </c>
      <c r="F8" s="982"/>
      <c r="G8" s="17"/>
      <c r="H8" s="980" t="s">
        <v>814</v>
      </c>
    </row>
    <row r="9" spans="1:8" ht="38.15" customHeight="1" thickBot="1" x14ac:dyDescent="0.3">
      <c r="A9" s="10"/>
      <c r="B9" s="1" t="s">
        <v>815</v>
      </c>
      <c r="C9" s="3" t="s">
        <v>816</v>
      </c>
      <c r="D9" s="15" t="s">
        <v>817</v>
      </c>
      <c r="E9" s="1" t="s">
        <v>818</v>
      </c>
      <c r="F9" s="983"/>
      <c r="G9" s="17"/>
      <c r="H9" s="980"/>
    </row>
    <row r="10" spans="1:8" ht="38.15" customHeight="1" thickBot="1" x14ac:dyDescent="0.3">
      <c r="A10" s="10"/>
      <c r="B10" s="1" t="s">
        <v>819</v>
      </c>
      <c r="C10" s="3" t="s">
        <v>820</v>
      </c>
      <c r="D10" s="1" t="s">
        <v>821</v>
      </c>
      <c r="E10" s="1" t="s">
        <v>822</v>
      </c>
      <c r="F10" s="984"/>
      <c r="G10" s="17"/>
      <c r="H10" s="980"/>
    </row>
    <row r="11" spans="1:8" ht="38.15" customHeight="1" thickBot="1" x14ac:dyDescent="0.3">
      <c r="A11" s="10"/>
      <c r="B11" s="1" t="s">
        <v>823</v>
      </c>
      <c r="C11" s="3" t="s">
        <v>824</v>
      </c>
      <c r="D11" s="1" t="s">
        <v>825</v>
      </c>
      <c r="E11" s="1" t="s">
        <v>826</v>
      </c>
      <c r="F11" s="985"/>
      <c r="G11" s="17"/>
      <c r="H11" s="980"/>
    </row>
    <row r="12" spans="1:8" ht="38.15" customHeight="1" thickBot="1" x14ac:dyDescent="0.3">
      <c r="A12" s="10"/>
      <c r="B12" s="1" t="s">
        <v>827</v>
      </c>
      <c r="C12" s="3" t="s">
        <v>828</v>
      </c>
      <c r="D12" s="1" t="s">
        <v>825</v>
      </c>
      <c r="E12" s="1" t="s">
        <v>829</v>
      </c>
      <c r="F12" s="985"/>
      <c r="G12" s="17"/>
      <c r="H12" s="980"/>
    </row>
    <row r="13" spans="1:8" ht="38.15" customHeight="1" thickBot="1" x14ac:dyDescent="0.3">
      <c r="A13" s="10"/>
      <c r="B13" s="1" t="s">
        <v>830</v>
      </c>
      <c r="C13" s="3" t="s">
        <v>831</v>
      </c>
      <c r="D13" s="1" t="s">
        <v>832</v>
      </c>
      <c r="E13" s="1" t="s">
        <v>833</v>
      </c>
      <c r="F13" s="985"/>
      <c r="G13" s="19"/>
      <c r="H13" s="980"/>
    </row>
    <row r="14" spans="1:8" ht="38.15" customHeight="1" thickBot="1" x14ac:dyDescent="0.3">
      <c r="A14" s="10"/>
      <c r="B14" s="1" t="s">
        <v>834</v>
      </c>
      <c r="C14" s="4" t="s">
        <v>835</v>
      </c>
      <c r="D14" s="1" t="s">
        <v>818</v>
      </c>
      <c r="E14" s="1" t="s">
        <v>796</v>
      </c>
      <c r="F14" s="985"/>
      <c r="G14" s="17"/>
      <c r="H14" s="980"/>
    </row>
    <row r="15" spans="1:8" ht="38.15" customHeight="1" thickBot="1" x14ac:dyDescent="0.3">
      <c r="A15" s="10"/>
      <c r="B15" s="1" t="s">
        <v>836</v>
      </c>
      <c r="C15" s="3" t="s">
        <v>837</v>
      </c>
      <c r="D15" s="1" t="s">
        <v>832</v>
      </c>
      <c r="E15" s="1" t="s">
        <v>818</v>
      </c>
      <c r="F15" s="985"/>
      <c r="G15" s="17"/>
      <c r="H15" s="980"/>
    </row>
    <row r="16" spans="1:8" ht="38.15" customHeight="1" thickBot="1" x14ac:dyDescent="0.3">
      <c r="A16" s="10"/>
      <c r="B16" s="1" t="s">
        <v>838</v>
      </c>
      <c r="C16" s="3" t="s">
        <v>839</v>
      </c>
      <c r="D16" s="1" t="s">
        <v>840</v>
      </c>
      <c r="E16" s="1" t="s">
        <v>841</v>
      </c>
      <c r="F16" s="985"/>
      <c r="G16" s="17"/>
      <c r="H16" s="980"/>
    </row>
    <row r="17" spans="1:8" ht="38.15" customHeight="1" thickBot="1" x14ac:dyDescent="0.3">
      <c r="A17" s="10"/>
      <c r="B17" s="1" t="s">
        <v>842</v>
      </c>
      <c r="C17" s="3" t="s">
        <v>843</v>
      </c>
      <c r="D17" s="1" t="s">
        <v>796</v>
      </c>
      <c r="E17" s="1" t="s">
        <v>844</v>
      </c>
      <c r="F17" s="985"/>
      <c r="G17" s="17"/>
      <c r="H17" s="980"/>
    </row>
    <row r="18" spans="1:8" ht="38.15" customHeight="1" thickBot="1" x14ac:dyDescent="0.3">
      <c r="A18" s="10"/>
      <c r="B18" s="1" t="s">
        <v>845</v>
      </c>
      <c r="C18" s="3" t="s">
        <v>846</v>
      </c>
      <c r="D18" s="1" t="s">
        <v>847</v>
      </c>
      <c r="E18" s="1" t="s">
        <v>848</v>
      </c>
      <c r="F18" s="985"/>
      <c r="G18" s="17"/>
      <c r="H18" s="980"/>
    </row>
    <row r="19" spans="1:8" ht="38.15" customHeight="1" thickBot="1" x14ac:dyDescent="0.3">
      <c r="A19" s="10"/>
      <c r="B19" s="1" t="s">
        <v>849</v>
      </c>
      <c r="C19" s="3" t="s">
        <v>850</v>
      </c>
      <c r="D19" s="1" t="s">
        <v>832</v>
      </c>
      <c r="E19" s="1" t="s">
        <v>833</v>
      </c>
      <c r="F19" s="986"/>
      <c r="G19" s="17"/>
      <c r="H19" s="980"/>
    </row>
    <row r="20" spans="1:8" ht="14.9" customHeight="1" x14ac:dyDescent="0.25"/>
    <row r="21" spans="1:8" ht="23" x14ac:dyDescent="0.25">
      <c r="B21" s="6" t="s">
        <v>851</v>
      </c>
    </row>
    <row r="22" spans="1:8" ht="25.4" customHeight="1" x14ac:dyDescent="0.35">
      <c r="B22" s="2" t="s">
        <v>852</v>
      </c>
    </row>
    <row r="23" spans="1:8" ht="25.4" customHeight="1" thickBot="1" x14ac:dyDescent="0.4">
      <c r="B23" s="8" t="s">
        <v>853</v>
      </c>
    </row>
    <row r="24" spans="1:8" ht="25.4" customHeight="1" x14ac:dyDescent="0.35">
      <c r="B24" s="8" t="s">
        <v>854</v>
      </c>
      <c r="F24" s="18"/>
    </row>
    <row r="25" spans="1:8" ht="25.4" customHeight="1" x14ac:dyDescent="0.35">
      <c r="B25" s="8" t="s">
        <v>855</v>
      </c>
    </row>
    <row r="26" spans="1:8" ht="25.4" customHeight="1" x14ac:dyDescent="0.35">
      <c r="B26" s="8" t="s">
        <v>856</v>
      </c>
    </row>
  </sheetData>
  <mergeCells count="4">
    <mergeCell ref="H5:H7"/>
    <mergeCell ref="H8:H19"/>
    <mergeCell ref="F5:F9"/>
    <mergeCell ref="F10:F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335BF-C650-49D6-AAC8-043B109C26B6}">
  <sheetPr codeName="Sheet10"/>
  <dimension ref="A2:DY90"/>
  <sheetViews>
    <sheetView showGridLines="0" tabSelected="1" topLeftCell="A5" zoomScale="70" zoomScaleNormal="70" workbookViewId="0">
      <pane xSplit="2" topLeftCell="C1" activePane="topRight" state="frozen"/>
      <selection pane="topRight" activeCell="C11" sqref="C11"/>
    </sheetView>
  </sheetViews>
  <sheetFormatPr defaultColWidth="0" defaultRowHeight="13" x14ac:dyDescent="0.3"/>
  <cols>
    <col min="1" max="1" width="2.81640625" style="28" customWidth="1"/>
    <col min="2" max="2" width="22.1796875" style="28" customWidth="1"/>
    <col min="3" max="3" width="18.453125" style="28" bestFit="1" customWidth="1"/>
    <col min="4" max="4" width="13.54296875" style="204" bestFit="1" customWidth="1"/>
    <col min="5" max="5" width="16.81640625" style="204" bestFit="1" customWidth="1"/>
    <col min="6" max="7" width="14.54296875" style="346" bestFit="1" customWidth="1"/>
    <col min="8" max="8" width="13.54296875" style="347" bestFit="1" customWidth="1"/>
    <col min="9" max="9" width="16.81640625" style="346" bestFit="1" customWidth="1"/>
    <col min="10" max="10" width="14.54296875" style="204" bestFit="1" customWidth="1"/>
    <col min="11" max="11" width="14.54296875" style="28" bestFit="1" customWidth="1"/>
    <col min="12" max="12" width="13.54296875" style="28" bestFit="1" customWidth="1"/>
    <col min="13" max="13" width="16.81640625" style="28" bestFit="1" customWidth="1"/>
    <col min="14" max="15" width="14.54296875" style="28" bestFit="1" customWidth="1"/>
    <col min="16" max="16" width="13.54296875" style="28" bestFit="1" customWidth="1"/>
    <col min="17" max="17" width="16.81640625" style="28" bestFit="1" customWidth="1"/>
    <col min="18" max="18" width="14.54296875" style="28" bestFit="1" customWidth="1"/>
    <col min="19" max="19" width="15.54296875" style="28" customWidth="1"/>
    <col min="20" max="20" width="13.81640625" style="28" customWidth="1"/>
    <col min="21" max="21" width="16.1796875" style="28" customWidth="1"/>
    <col min="22" max="22" width="14.1796875" style="28" customWidth="1"/>
    <col min="23" max="23" width="14.54296875" style="28" bestFit="1" customWidth="1"/>
    <col min="24" max="24" width="13.54296875" style="28" bestFit="1" customWidth="1"/>
    <col min="25" max="25" width="16.81640625" style="28" bestFit="1" customWidth="1"/>
    <col min="26" max="26" width="14.54296875" style="28" bestFit="1" customWidth="1"/>
    <col min="27" max="27" width="14.54296875" style="28" customWidth="1"/>
    <col min="28" max="28" width="13.54296875" style="28" customWidth="1"/>
    <col min="29" max="29" width="16.81640625" style="28" customWidth="1"/>
    <col min="30" max="31" width="14.54296875" style="28" customWidth="1"/>
    <col min="32" max="32" width="13.54296875" style="28" customWidth="1"/>
    <col min="33" max="33" width="17.1796875" style="28" customWidth="1"/>
    <col min="34" max="34" width="15.453125" style="28" customWidth="1"/>
    <col min="35" max="35" width="14.54296875" style="28" customWidth="1"/>
    <col min="36" max="36" width="13.54296875" style="28" customWidth="1"/>
    <col min="37" max="37" width="16.81640625" style="28" customWidth="1"/>
    <col min="38" max="38" width="14.7265625" style="28" customWidth="1"/>
    <col min="39" max="39" width="14.54296875" style="28" customWidth="1"/>
    <col min="40" max="40" width="13.54296875" style="28" customWidth="1"/>
    <col min="41" max="41" width="16.81640625" style="28" customWidth="1"/>
    <col min="42" max="43" width="14.54296875" style="28" customWidth="1"/>
    <col min="44" max="44" width="13.54296875" style="28" customWidth="1"/>
    <col min="45" max="45" width="16.81640625" style="28" customWidth="1"/>
    <col min="46" max="47" width="14.54296875" style="28" customWidth="1"/>
    <col min="48" max="48" width="13.54296875" style="28" customWidth="1"/>
    <col min="49" max="49" width="16.81640625" style="28" customWidth="1"/>
    <col min="50" max="50" width="14.54296875" style="28" customWidth="1"/>
    <col min="51" max="51" width="8.7265625" style="28" customWidth="1"/>
    <col min="52" max="52" width="14.54296875" style="28" bestFit="1" customWidth="1"/>
    <col min="53" max="53" width="13.54296875" style="28" bestFit="1" customWidth="1"/>
    <col min="54" max="54" width="16.81640625" style="28" bestFit="1" customWidth="1"/>
    <col min="55" max="56" width="14.54296875" style="28" bestFit="1" customWidth="1"/>
    <col min="57" max="57" width="13.54296875" style="28" bestFit="1" customWidth="1"/>
    <col min="58" max="58" width="16.81640625" style="28" bestFit="1" customWidth="1"/>
    <col min="59" max="60" width="14.54296875" style="28" bestFit="1" customWidth="1"/>
    <col min="61" max="61" width="13.54296875" style="28" bestFit="1" customWidth="1"/>
    <col min="62" max="62" width="16.81640625" style="28" bestFit="1" customWidth="1"/>
    <col min="63" max="64" width="14.54296875" style="28" bestFit="1" customWidth="1"/>
    <col min="65" max="65" width="13.54296875" style="28" bestFit="1" customWidth="1"/>
    <col min="66" max="66" width="16.81640625" style="28" bestFit="1" customWidth="1"/>
    <col min="67" max="68" width="14.54296875" style="28" bestFit="1" customWidth="1"/>
    <col min="69" max="69" width="13.54296875" style="28" bestFit="1" customWidth="1"/>
    <col min="70" max="70" width="16.81640625" style="28" bestFit="1" customWidth="1"/>
    <col min="71" max="72" width="14.54296875" style="28" bestFit="1" customWidth="1"/>
    <col min="73" max="73" width="13.54296875" style="28" bestFit="1" customWidth="1"/>
    <col min="74" max="74" width="16.81640625" style="28" bestFit="1" customWidth="1"/>
    <col min="75" max="75" width="14.54296875" style="28" bestFit="1" customWidth="1"/>
    <col min="76" max="76" width="14.54296875" style="28" customWidth="1"/>
    <col min="77" max="77" width="13.54296875" style="28" customWidth="1"/>
    <col min="78" max="78" width="16.81640625" style="28" customWidth="1"/>
    <col min="79" max="80" width="14.54296875" style="28" customWidth="1"/>
    <col min="81" max="81" width="13.54296875" style="28" customWidth="1"/>
    <col min="82" max="82" width="16.81640625" style="28" customWidth="1"/>
    <col min="83" max="83" width="15.7265625" style="28" customWidth="1"/>
    <col min="84" max="84" width="14.54296875" style="28" customWidth="1"/>
    <col min="85" max="85" width="13.54296875" style="28" customWidth="1"/>
    <col min="86" max="86" width="16.81640625" style="28" customWidth="1"/>
    <col min="87" max="88" width="14.54296875" style="28" customWidth="1"/>
    <col min="89" max="89" width="13.54296875" style="28" customWidth="1"/>
    <col min="90" max="90" width="16.81640625" style="28" customWidth="1"/>
    <col min="91" max="92" width="14.54296875" style="28" customWidth="1"/>
    <col min="93" max="93" width="13.54296875" style="28" customWidth="1"/>
    <col min="94" max="94" width="16.81640625" style="28" customWidth="1"/>
    <col min="95" max="96" width="14.54296875" style="28" customWidth="1"/>
    <col min="97" max="97" width="13.54296875" style="28" customWidth="1"/>
    <col min="98" max="98" width="16.81640625" style="28" customWidth="1"/>
    <col min="99" max="99" width="14.54296875" style="28" customWidth="1"/>
    <col min="100" max="100" width="8.7265625" style="28" customWidth="1"/>
    <col min="101" max="102" width="9.54296875" style="28" customWidth="1"/>
    <col min="103" max="103" width="9.81640625" style="28" customWidth="1"/>
    <col min="104" max="105" width="9.54296875" style="28" customWidth="1"/>
    <col min="106" max="107" width="9.81640625" style="28" customWidth="1"/>
    <col min="108" max="108" width="10.1796875" style="28" customWidth="1"/>
    <col min="109" max="109" width="9.54296875" style="28" customWidth="1"/>
    <col min="110" max="129" width="0" style="28" hidden="1" customWidth="1"/>
    <col min="130" max="16384" width="8.81640625" style="28" hidden="1"/>
  </cols>
  <sheetData>
    <row r="2" spans="2:108" ht="13.5" customHeight="1" x14ac:dyDescent="0.3">
      <c r="B2" s="338"/>
      <c r="C2" s="339"/>
      <c r="D2" s="340"/>
      <c r="E2" s="340"/>
      <c r="F2" s="341"/>
      <c r="G2" s="341"/>
      <c r="H2" s="342"/>
      <c r="I2" s="341"/>
      <c r="J2" s="338"/>
      <c r="K2" s="341"/>
      <c r="L2" s="341"/>
      <c r="M2" s="339"/>
      <c r="N2" s="339"/>
      <c r="O2" s="339"/>
      <c r="P2" s="339"/>
      <c r="Q2" s="339"/>
      <c r="R2" s="339"/>
      <c r="S2" s="339"/>
      <c r="T2" s="339"/>
      <c r="U2" s="339"/>
      <c r="V2" s="339"/>
      <c r="W2" s="339"/>
      <c r="X2" s="339"/>
      <c r="Y2" s="339"/>
      <c r="Z2" s="339"/>
      <c r="AA2" s="339"/>
      <c r="AB2" s="339"/>
      <c r="AC2" s="339"/>
      <c r="AD2" s="339"/>
      <c r="AE2" s="339"/>
      <c r="AF2" s="339"/>
      <c r="AG2" s="339"/>
      <c r="AH2" s="339"/>
      <c r="AI2" s="339"/>
      <c r="AJ2" s="339"/>
      <c r="AK2" s="339"/>
      <c r="AL2" s="339"/>
      <c r="AM2" s="339"/>
      <c r="AN2" s="339"/>
      <c r="AO2" s="339"/>
      <c r="AP2" s="339"/>
      <c r="AQ2" s="339"/>
      <c r="AR2" s="339"/>
      <c r="AS2" s="339"/>
      <c r="AT2" s="339"/>
      <c r="AU2" s="339"/>
      <c r="AV2" s="339"/>
      <c r="AW2" s="339"/>
      <c r="AX2" s="339"/>
      <c r="AY2" s="339"/>
      <c r="AZ2" s="339"/>
      <c r="BA2" s="339"/>
      <c r="BB2" s="339"/>
      <c r="BC2" s="339"/>
      <c r="BD2" s="339"/>
      <c r="BE2" s="339"/>
      <c r="BF2" s="339"/>
      <c r="BG2" s="339"/>
      <c r="BH2" s="339"/>
      <c r="BI2" s="339"/>
      <c r="BJ2" s="339"/>
      <c r="BK2" s="339"/>
      <c r="BL2" s="339"/>
      <c r="BM2" s="339"/>
      <c r="BN2" s="339"/>
      <c r="BO2" s="339"/>
      <c r="BP2" s="339"/>
      <c r="BR2" s="339"/>
      <c r="BS2" s="339"/>
      <c r="BT2" s="339"/>
      <c r="BU2" s="339"/>
      <c r="BV2" s="339"/>
      <c r="BW2" s="339"/>
      <c r="BX2" s="339"/>
      <c r="BY2" s="339"/>
      <c r="BZ2" s="339"/>
      <c r="CA2" s="339"/>
      <c r="CB2" s="339"/>
      <c r="CC2" s="339"/>
      <c r="CD2" s="339"/>
      <c r="CE2" s="339"/>
      <c r="CF2" s="339"/>
      <c r="CG2" s="339"/>
      <c r="CH2" s="339"/>
      <c r="CI2" s="339"/>
      <c r="CJ2" s="339"/>
      <c r="CK2" s="339"/>
      <c r="CL2" s="339"/>
      <c r="CM2" s="339"/>
      <c r="CN2" s="339"/>
      <c r="CO2" s="339"/>
      <c r="CP2" s="339"/>
      <c r="CQ2" s="339"/>
      <c r="CR2" s="339"/>
      <c r="CS2" s="339"/>
      <c r="CT2" s="339"/>
      <c r="CU2" s="339"/>
      <c r="CV2" s="339"/>
      <c r="CW2" s="339"/>
      <c r="CX2" s="339"/>
      <c r="CY2" s="339"/>
      <c r="CZ2" s="339"/>
      <c r="DA2" s="339"/>
      <c r="DB2" s="339"/>
      <c r="DC2" s="339"/>
      <c r="DD2" s="339"/>
    </row>
    <row r="3" spans="2:108" ht="13.5" customHeight="1" x14ac:dyDescent="0.3">
      <c r="B3" s="338"/>
      <c r="C3" s="339"/>
      <c r="D3" s="956"/>
      <c r="E3" s="956"/>
      <c r="F3" s="956"/>
      <c r="G3" s="956"/>
      <c r="H3" s="344"/>
      <c r="I3" s="343"/>
      <c r="J3" s="343"/>
      <c r="K3" s="343"/>
      <c r="L3" s="343"/>
      <c r="M3" s="345"/>
      <c r="N3" s="345"/>
      <c r="O3" s="345"/>
      <c r="P3" s="345"/>
      <c r="Q3" s="345"/>
      <c r="R3" s="345"/>
      <c r="S3" s="345"/>
      <c r="T3" s="345"/>
      <c r="U3" s="345"/>
      <c r="V3" s="345"/>
      <c r="W3" s="345"/>
      <c r="X3" s="345"/>
      <c r="Y3" s="345"/>
      <c r="Z3" s="345"/>
      <c r="AA3" s="345"/>
      <c r="AB3" s="345"/>
      <c r="AC3" s="345"/>
      <c r="AD3" s="345"/>
      <c r="AE3" s="345"/>
      <c r="AF3" s="345"/>
      <c r="AG3" s="345"/>
      <c r="AH3" s="345"/>
      <c r="AI3" s="345"/>
      <c r="AJ3" s="345"/>
      <c r="AK3" s="345"/>
      <c r="AL3" s="345"/>
      <c r="AM3" s="345"/>
      <c r="AN3" s="345"/>
      <c r="AO3" s="345"/>
      <c r="AP3" s="345"/>
      <c r="AQ3" s="345"/>
      <c r="AR3" s="345"/>
      <c r="AS3" s="345"/>
      <c r="AT3" s="345"/>
      <c r="AU3" s="345"/>
      <c r="AV3" s="345"/>
      <c r="AW3" s="345"/>
      <c r="AX3" s="345"/>
      <c r="AY3" s="345"/>
      <c r="AZ3" s="345"/>
      <c r="BA3" s="345"/>
      <c r="BB3" s="345"/>
      <c r="BC3" s="345"/>
      <c r="BD3" s="345"/>
      <c r="BE3" s="345"/>
      <c r="BF3" s="345"/>
      <c r="BG3" s="345"/>
      <c r="BH3" s="345"/>
      <c r="BI3" s="345"/>
      <c r="BJ3" s="345"/>
      <c r="BK3" s="345"/>
      <c r="BL3" s="345"/>
      <c r="BM3" s="345"/>
      <c r="BN3" s="345"/>
      <c r="BO3" s="345"/>
      <c r="BP3" s="345"/>
      <c r="BQ3" s="355"/>
      <c r="BR3" s="345"/>
      <c r="BS3" s="345"/>
      <c r="BT3" s="345"/>
      <c r="BU3" s="345"/>
      <c r="BV3" s="345"/>
      <c r="BW3" s="345"/>
      <c r="BX3" s="345"/>
      <c r="BY3" s="345"/>
      <c r="BZ3" s="345"/>
      <c r="CA3" s="345"/>
      <c r="CB3" s="345"/>
      <c r="CC3" s="345"/>
      <c r="CD3" s="345"/>
      <c r="CE3" s="345"/>
      <c r="CF3" s="345"/>
      <c r="CG3" s="345"/>
      <c r="CH3" s="345"/>
      <c r="CI3" s="345"/>
      <c r="CJ3" s="345"/>
      <c r="CK3" s="345"/>
      <c r="CL3" s="345"/>
      <c r="CM3" s="345"/>
      <c r="CN3" s="345"/>
      <c r="CO3" s="345"/>
      <c r="CP3" s="345"/>
      <c r="CQ3" s="345"/>
      <c r="CR3" s="345"/>
      <c r="CS3" s="345"/>
      <c r="CT3" s="345"/>
      <c r="CU3" s="345"/>
      <c r="CV3" s="345"/>
      <c r="CW3" s="345"/>
      <c r="CX3" s="345"/>
      <c r="CY3" s="345"/>
      <c r="CZ3" s="345"/>
      <c r="DA3" s="345"/>
      <c r="DB3" s="345"/>
      <c r="DC3" s="345"/>
      <c r="DD3" s="345"/>
    </row>
    <row r="4" spans="2:108" ht="13.5" customHeight="1" x14ac:dyDescent="0.3">
      <c r="B4" s="338"/>
      <c r="C4" s="339"/>
      <c r="D4" s="956"/>
      <c r="E4" s="956"/>
      <c r="F4" s="956"/>
      <c r="G4" s="956"/>
      <c r="H4" s="344"/>
      <c r="I4" s="343"/>
      <c r="J4" s="956" t="s">
        <v>857</v>
      </c>
      <c r="K4" s="956"/>
      <c r="L4" s="956"/>
      <c r="M4" s="956"/>
      <c r="N4" s="956"/>
      <c r="O4" s="956"/>
      <c r="P4" s="956"/>
      <c r="Q4" s="956"/>
      <c r="R4" s="956"/>
      <c r="S4" s="956"/>
      <c r="T4" s="956"/>
      <c r="U4" s="956"/>
      <c r="V4" s="956"/>
      <c r="W4" s="956"/>
      <c r="X4" s="956"/>
      <c r="Y4" s="956"/>
      <c r="Z4" s="956"/>
      <c r="AA4" s="956"/>
      <c r="AB4" s="956"/>
      <c r="AC4" s="956"/>
      <c r="AD4" s="956"/>
      <c r="AE4" s="956"/>
      <c r="AF4" s="956"/>
      <c r="AG4" s="956"/>
      <c r="AH4" s="956"/>
      <c r="AI4" s="956"/>
      <c r="AJ4" s="956"/>
      <c r="AK4" s="956"/>
      <c r="AL4" s="956"/>
      <c r="AM4" s="956"/>
      <c r="AN4" s="956"/>
      <c r="AO4" s="956"/>
      <c r="AP4" s="956"/>
      <c r="AQ4" s="956"/>
      <c r="AR4" s="956"/>
      <c r="AS4" s="956"/>
      <c r="AT4" s="956"/>
      <c r="AU4" s="956"/>
      <c r="AV4" s="956"/>
      <c r="AW4" s="956"/>
      <c r="AX4" s="956"/>
      <c r="AY4" s="956"/>
      <c r="AZ4" s="956"/>
      <c r="BA4" s="956"/>
      <c r="BB4" s="956"/>
      <c r="BC4" s="343"/>
      <c r="BD4" s="345"/>
      <c r="BE4" s="345"/>
      <c r="BF4" s="345"/>
      <c r="BG4" s="345"/>
      <c r="BH4" s="345"/>
      <c r="BI4" s="345"/>
      <c r="BJ4" s="345"/>
      <c r="BK4" s="345"/>
      <c r="BL4" s="345"/>
      <c r="BM4" s="345"/>
      <c r="BN4" s="345"/>
      <c r="BO4" s="345"/>
      <c r="BP4" s="345"/>
      <c r="BQ4" s="355"/>
      <c r="BR4" s="345"/>
      <c r="BS4" s="345"/>
      <c r="BT4" s="345"/>
      <c r="BU4" s="345"/>
      <c r="BV4" s="345"/>
      <c r="BW4" s="345"/>
      <c r="BX4" s="345"/>
      <c r="BY4" s="345"/>
      <c r="BZ4" s="345"/>
      <c r="CA4" s="345"/>
      <c r="CB4" s="345"/>
      <c r="CC4" s="345"/>
      <c r="CD4" s="345"/>
      <c r="CE4" s="345"/>
      <c r="CF4" s="345"/>
      <c r="CG4" s="345"/>
      <c r="CH4" s="345"/>
      <c r="CI4" s="345"/>
      <c r="CJ4" s="345"/>
      <c r="CK4" s="345"/>
      <c r="CL4" s="345"/>
      <c r="CM4" s="345"/>
      <c r="CN4" s="345"/>
      <c r="CO4" s="345"/>
      <c r="CP4" s="345"/>
      <c r="CQ4" s="345"/>
      <c r="CR4" s="345"/>
      <c r="CS4" s="345"/>
      <c r="CT4" s="345"/>
      <c r="CU4" s="345"/>
      <c r="CV4" s="345"/>
      <c r="CW4" s="345"/>
      <c r="CX4" s="345"/>
      <c r="CY4" s="345"/>
      <c r="CZ4" s="345"/>
      <c r="DA4" s="345"/>
      <c r="DB4" s="345"/>
      <c r="DC4" s="345"/>
      <c r="DD4" s="345"/>
    </row>
    <row r="5" spans="2:108" ht="13.5" customHeight="1" x14ac:dyDescent="0.3">
      <c r="B5" s="338"/>
      <c r="C5" s="339"/>
      <c r="D5" s="956"/>
      <c r="E5" s="956"/>
      <c r="F5" s="956"/>
      <c r="G5" s="956"/>
      <c r="H5" s="344"/>
      <c r="I5" s="343"/>
      <c r="J5" s="956"/>
      <c r="K5" s="956"/>
      <c r="L5" s="956"/>
      <c r="M5" s="956"/>
      <c r="N5" s="956"/>
      <c r="O5" s="956"/>
      <c r="P5" s="956"/>
      <c r="Q5" s="956"/>
      <c r="R5" s="956"/>
      <c r="S5" s="956"/>
      <c r="T5" s="956"/>
      <c r="U5" s="956"/>
      <c r="V5" s="956"/>
      <c r="W5" s="956"/>
      <c r="X5" s="956"/>
      <c r="Y5" s="956"/>
      <c r="Z5" s="956"/>
      <c r="AA5" s="956"/>
      <c r="AB5" s="956"/>
      <c r="AC5" s="956"/>
      <c r="AD5" s="956"/>
      <c r="AE5" s="956"/>
      <c r="AF5" s="956"/>
      <c r="AG5" s="956"/>
      <c r="AH5" s="956"/>
      <c r="AI5" s="956"/>
      <c r="AJ5" s="956"/>
      <c r="AK5" s="956"/>
      <c r="AL5" s="956"/>
      <c r="AM5" s="956"/>
      <c r="AN5" s="956"/>
      <c r="AO5" s="956"/>
      <c r="AP5" s="956"/>
      <c r="AQ5" s="956"/>
      <c r="AR5" s="956"/>
      <c r="AS5" s="956"/>
      <c r="AT5" s="956"/>
      <c r="AU5" s="956"/>
      <c r="AV5" s="956"/>
      <c r="AW5" s="956"/>
      <c r="AX5" s="956"/>
      <c r="AY5" s="956"/>
      <c r="AZ5" s="956"/>
      <c r="BA5" s="956"/>
      <c r="BB5" s="956"/>
      <c r="BC5" s="343"/>
      <c r="BD5" s="345"/>
      <c r="BE5" s="345"/>
      <c r="BF5" s="345"/>
      <c r="BG5" s="345"/>
      <c r="BH5" s="345"/>
      <c r="BI5" s="345"/>
      <c r="BJ5" s="345"/>
      <c r="BK5" s="345"/>
      <c r="BL5" s="345"/>
      <c r="BM5" s="345"/>
      <c r="BN5" s="345"/>
      <c r="BO5" s="345"/>
      <c r="BP5" s="345"/>
      <c r="BQ5" s="355"/>
      <c r="BR5" s="345"/>
      <c r="BS5" s="345"/>
      <c r="BT5" s="345"/>
      <c r="BU5" s="345"/>
      <c r="BV5" s="345"/>
      <c r="BW5" s="345"/>
      <c r="BX5" s="345"/>
      <c r="BY5" s="345"/>
      <c r="BZ5" s="345"/>
      <c r="CA5" s="345"/>
      <c r="CB5" s="345"/>
      <c r="CC5" s="345"/>
      <c r="CD5" s="345"/>
      <c r="CE5" s="345"/>
      <c r="CF5" s="345"/>
      <c r="CG5" s="345"/>
      <c r="CH5" s="345"/>
      <c r="CI5" s="345"/>
      <c r="CJ5" s="345"/>
      <c r="CK5" s="345"/>
      <c r="CL5" s="345"/>
      <c r="CM5" s="345"/>
      <c r="CN5" s="345"/>
      <c r="CO5" s="345"/>
      <c r="CP5" s="345"/>
      <c r="CQ5" s="345"/>
      <c r="CR5" s="345"/>
      <c r="CS5" s="345"/>
      <c r="CT5" s="345"/>
      <c r="CU5" s="345"/>
      <c r="CV5" s="345"/>
      <c r="CW5" s="345"/>
      <c r="CX5" s="345"/>
      <c r="CY5" s="345"/>
      <c r="CZ5" s="345"/>
      <c r="DA5" s="345"/>
      <c r="DB5" s="345"/>
      <c r="DC5" s="345"/>
      <c r="DD5" s="345"/>
    </row>
    <row r="6" spans="2:108" ht="13.5" customHeight="1" x14ac:dyDescent="0.3">
      <c r="B6" s="338"/>
      <c r="C6" s="339"/>
      <c r="D6" s="343"/>
      <c r="E6" s="343"/>
      <c r="F6" s="343"/>
      <c r="G6" s="343"/>
      <c r="H6" s="344"/>
      <c r="I6" s="343"/>
      <c r="J6" s="956"/>
      <c r="K6" s="956"/>
      <c r="L6" s="956"/>
      <c r="M6" s="956"/>
      <c r="N6" s="956"/>
      <c r="O6" s="956"/>
      <c r="P6" s="956"/>
      <c r="Q6" s="956"/>
      <c r="R6" s="956"/>
      <c r="S6" s="956"/>
      <c r="T6" s="956"/>
      <c r="U6" s="956"/>
      <c r="V6" s="956"/>
      <c r="W6" s="956"/>
      <c r="X6" s="956"/>
      <c r="Y6" s="956"/>
      <c r="Z6" s="956"/>
      <c r="AA6" s="956"/>
      <c r="AB6" s="956"/>
      <c r="AC6" s="956"/>
      <c r="AD6" s="956"/>
      <c r="AE6" s="956"/>
      <c r="AF6" s="956"/>
      <c r="AG6" s="956"/>
      <c r="AH6" s="956"/>
      <c r="AI6" s="956"/>
      <c r="AJ6" s="956"/>
      <c r="AK6" s="956"/>
      <c r="AL6" s="956"/>
      <c r="AM6" s="956"/>
      <c r="AN6" s="956"/>
      <c r="AO6" s="956"/>
      <c r="AP6" s="956"/>
      <c r="AQ6" s="956"/>
      <c r="AR6" s="956"/>
      <c r="AS6" s="956"/>
      <c r="AT6" s="956"/>
      <c r="AU6" s="956"/>
      <c r="AV6" s="956"/>
      <c r="AW6" s="956"/>
      <c r="AX6" s="956"/>
      <c r="AY6" s="956"/>
      <c r="AZ6" s="956"/>
      <c r="BA6" s="956"/>
      <c r="BB6" s="956"/>
      <c r="BC6" s="343"/>
      <c r="BD6" s="345"/>
      <c r="BE6" s="345"/>
      <c r="BF6" s="345"/>
      <c r="BG6" s="345"/>
      <c r="BH6" s="345"/>
      <c r="BI6" s="345"/>
      <c r="BJ6" s="345"/>
      <c r="BK6" s="345"/>
      <c r="BL6" s="345"/>
      <c r="BM6" s="345"/>
      <c r="BN6" s="345"/>
      <c r="BO6" s="345"/>
      <c r="BP6" s="345"/>
      <c r="BQ6" s="355"/>
      <c r="BR6" s="345"/>
      <c r="BS6" s="345"/>
      <c r="BT6" s="345"/>
      <c r="BU6" s="345"/>
      <c r="BV6" s="345"/>
      <c r="BW6" s="345"/>
      <c r="BX6" s="345"/>
      <c r="BY6" s="345"/>
      <c r="BZ6" s="345"/>
      <c r="CA6" s="345"/>
      <c r="CB6" s="345"/>
      <c r="CC6" s="345"/>
      <c r="CD6" s="345"/>
      <c r="CE6" s="345"/>
      <c r="CF6" s="345"/>
      <c r="CG6" s="345"/>
      <c r="CH6" s="345"/>
      <c r="CI6" s="345"/>
      <c r="CJ6" s="345"/>
      <c r="CK6" s="345"/>
      <c r="CL6" s="345"/>
      <c r="CM6" s="345"/>
      <c r="CN6" s="345"/>
      <c r="CO6" s="345"/>
      <c r="CP6" s="345"/>
      <c r="CQ6" s="345"/>
      <c r="CR6" s="345"/>
      <c r="CS6" s="345"/>
      <c r="CT6" s="345"/>
      <c r="CU6" s="345"/>
      <c r="CV6" s="345"/>
      <c r="CW6" s="345"/>
      <c r="CX6" s="345"/>
      <c r="CY6" s="345"/>
      <c r="CZ6" s="345"/>
      <c r="DA6" s="345"/>
      <c r="DB6" s="345"/>
      <c r="DC6" s="345"/>
      <c r="DD6" s="345"/>
    </row>
    <row r="7" spans="2:108" ht="13.5" customHeight="1" x14ac:dyDescent="0.3">
      <c r="B7" s="338"/>
      <c r="C7" s="339"/>
      <c r="D7" s="340"/>
      <c r="E7" s="340"/>
      <c r="F7" s="341"/>
      <c r="G7" s="341"/>
      <c r="H7" s="342"/>
      <c r="I7" s="341"/>
      <c r="J7" s="338"/>
      <c r="K7" s="341"/>
      <c r="L7" s="341"/>
      <c r="M7" s="339"/>
      <c r="N7" s="339"/>
      <c r="O7" s="339"/>
      <c r="P7" s="339"/>
      <c r="Q7" s="339"/>
      <c r="R7" s="339"/>
      <c r="S7" s="339"/>
      <c r="T7" s="339"/>
      <c r="U7" s="339"/>
      <c r="V7" s="339"/>
      <c r="W7" s="339"/>
      <c r="X7" s="339"/>
      <c r="Y7" s="339"/>
      <c r="Z7" s="339"/>
      <c r="AA7" s="339"/>
      <c r="AB7" s="339"/>
      <c r="AC7" s="339"/>
      <c r="AD7" s="339"/>
      <c r="AE7" s="339"/>
      <c r="AF7" s="339"/>
      <c r="AG7" s="339"/>
      <c r="AH7" s="339"/>
      <c r="AI7" s="339"/>
      <c r="AJ7" s="339"/>
      <c r="AK7" s="339"/>
      <c r="AL7" s="339"/>
      <c r="AM7" s="339"/>
      <c r="AN7" s="339"/>
      <c r="AO7" s="339"/>
      <c r="AP7" s="339"/>
      <c r="AQ7" s="339"/>
      <c r="AR7" s="339"/>
      <c r="AS7" s="339"/>
      <c r="AT7" s="339"/>
      <c r="AU7" s="339"/>
      <c r="AV7" s="339"/>
      <c r="AW7" s="339"/>
      <c r="AX7" s="339"/>
      <c r="AY7" s="339"/>
      <c r="AZ7" s="339"/>
      <c r="BA7" s="339"/>
      <c r="BB7" s="339"/>
      <c r="BC7" s="339"/>
      <c r="BD7" s="339"/>
      <c r="BE7" s="339"/>
      <c r="BF7" s="339"/>
      <c r="BG7" s="339"/>
      <c r="BH7" s="339"/>
      <c r="BI7" s="339"/>
      <c r="BJ7" s="339"/>
      <c r="BK7" s="339"/>
      <c r="BL7" s="339"/>
      <c r="BM7" s="339"/>
      <c r="BN7" s="339"/>
      <c r="BO7" s="339"/>
      <c r="BP7" s="339"/>
      <c r="BR7" s="339"/>
      <c r="BS7" s="339"/>
      <c r="BT7" s="339"/>
      <c r="BU7" s="339"/>
      <c r="BV7" s="339"/>
      <c r="BW7" s="339"/>
      <c r="BX7" s="339"/>
      <c r="BY7" s="339"/>
      <c r="BZ7" s="339"/>
      <c r="CA7" s="339"/>
      <c r="CB7" s="339"/>
      <c r="CC7" s="339"/>
      <c r="CD7" s="339"/>
      <c r="CE7" s="339"/>
      <c r="CF7" s="339"/>
      <c r="CG7" s="339"/>
      <c r="CH7" s="339"/>
      <c r="CI7" s="339"/>
      <c r="CJ7" s="339"/>
      <c r="CK7" s="339"/>
      <c r="CL7" s="339"/>
      <c r="CM7" s="339"/>
      <c r="CN7" s="339"/>
      <c r="CO7" s="339"/>
      <c r="CP7" s="339"/>
      <c r="CQ7" s="339"/>
      <c r="CR7" s="339"/>
      <c r="CS7" s="339"/>
      <c r="CT7" s="339"/>
      <c r="CU7" s="339"/>
      <c r="CV7" s="339"/>
      <c r="CW7" s="339"/>
      <c r="CX7" s="339"/>
      <c r="CY7" s="339"/>
      <c r="CZ7" s="339"/>
      <c r="DA7" s="339"/>
      <c r="DB7" s="339"/>
      <c r="DC7" s="339"/>
      <c r="DD7" s="339"/>
    </row>
    <row r="9" spans="2:108" x14ac:dyDescent="0.3">
      <c r="P9" s="362" t="s">
        <v>643</v>
      </c>
      <c r="Q9" s="362"/>
    </row>
    <row r="10" spans="2:108" x14ac:dyDescent="0.3">
      <c r="B10" s="378"/>
      <c r="C10" s="379"/>
      <c r="D10" s="380"/>
      <c r="E10" s="380"/>
      <c r="F10" s="381"/>
      <c r="G10" s="381"/>
      <c r="H10" s="382"/>
      <c r="I10" s="381"/>
      <c r="J10" s="380"/>
      <c r="K10" s="379"/>
      <c r="L10" s="379"/>
      <c r="M10" s="383"/>
      <c r="O10" s="378"/>
      <c r="P10" s="379"/>
      <c r="Q10" s="379"/>
      <c r="R10" s="379"/>
      <c r="S10" s="379"/>
      <c r="T10" s="379"/>
      <c r="U10" s="379"/>
      <c r="V10" s="379"/>
      <c r="W10" s="383"/>
    </row>
    <row r="11" spans="2:108" ht="14.15" customHeight="1" x14ac:dyDescent="0.3">
      <c r="B11" s="384" t="s">
        <v>647</v>
      </c>
      <c r="C11" s="392" t="s">
        <v>681</v>
      </c>
      <c r="D11" s="962" t="s">
        <v>858</v>
      </c>
      <c r="E11" s="962"/>
      <c r="F11" s="392" t="s">
        <v>865</v>
      </c>
      <c r="G11" s="962" t="s">
        <v>860</v>
      </c>
      <c r="H11" s="962"/>
      <c r="I11" s="392" t="s">
        <v>643</v>
      </c>
      <c r="J11" s="393"/>
      <c r="K11" s="400" t="s">
        <v>643</v>
      </c>
      <c r="L11" s="393"/>
      <c r="M11" s="385"/>
      <c r="O11" s="384" t="s">
        <v>860</v>
      </c>
      <c r="P11" s="655" t="s">
        <v>643</v>
      </c>
      <c r="R11" s="651" t="s">
        <v>861</v>
      </c>
      <c r="S11" s="655" t="s">
        <v>663</v>
      </c>
      <c r="U11" s="651" t="s">
        <v>858</v>
      </c>
      <c r="V11" s="655" t="s">
        <v>859</v>
      </c>
      <c r="W11" s="385"/>
    </row>
    <row r="12" spans="2:108" x14ac:dyDescent="0.3">
      <c r="B12" s="386"/>
      <c r="C12" s="387"/>
      <c r="D12" s="388"/>
      <c r="E12" s="388"/>
      <c r="F12" s="389"/>
      <c r="G12" s="389"/>
      <c r="H12" s="390"/>
      <c r="I12" s="389"/>
      <c r="J12" s="388"/>
      <c r="K12" s="387"/>
      <c r="L12" s="387"/>
      <c r="M12" s="391"/>
      <c r="O12" s="386"/>
      <c r="P12" s="387"/>
      <c r="Q12" s="387"/>
      <c r="R12" s="387"/>
      <c r="S12" s="387"/>
      <c r="T12" s="387"/>
      <c r="U12" s="387"/>
      <c r="V12" s="387"/>
      <c r="W12" s="391"/>
    </row>
    <row r="14" spans="2:108" x14ac:dyDescent="0.3">
      <c r="B14" s="397" t="s">
        <v>655</v>
      </c>
      <c r="C14" s="397" t="s">
        <v>656</v>
      </c>
      <c r="D14" s="397" t="s">
        <v>657</v>
      </c>
      <c r="E14" s="397" t="s">
        <v>658</v>
      </c>
      <c r="F14" s="398" t="s">
        <v>659</v>
      </c>
      <c r="G14" s="398" t="s">
        <v>660</v>
      </c>
      <c r="H14" s="399" t="s">
        <v>661</v>
      </c>
      <c r="I14" s="398" t="s">
        <v>662</v>
      </c>
      <c r="J14" s="397" t="s">
        <v>663</v>
      </c>
      <c r="K14" s="362" t="s">
        <v>664</v>
      </c>
      <c r="L14" s="362" t="s">
        <v>665</v>
      </c>
      <c r="M14" s="362" t="s">
        <v>666</v>
      </c>
      <c r="AZ14" s="397" t="s">
        <v>655</v>
      </c>
      <c r="BA14" s="397" t="s">
        <v>656</v>
      </c>
      <c r="BB14" s="397" t="s">
        <v>657</v>
      </c>
      <c r="BC14" s="397" t="s">
        <v>658</v>
      </c>
      <c r="BD14" s="398" t="s">
        <v>659</v>
      </c>
      <c r="BE14" s="398" t="s">
        <v>660</v>
      </c>
      <c r="BF14" s="399" t="s">
        <v>661</v>
      </c>
      <c r="BG14" s="398" t="s">
        <v>662</v>
      </c>
      <c r="BH14" s="397" t="s">
        <v>663</v>
      </c>
      <c r="BI14" s="397" t="s">
        <v>664</v>
      </c>
      <c r="BJ14" s="397" t="s">
        <v>665</v>
      </c>
      <c r="BK14" s="397" t="s">
        <v>666</v>
      </c>
    </row>
    <row r="15" spans="2:108" x14ac:dyDescent="0.3">
      <c r="B15" s="397">
        <f>INDEX(Regular_cases_jan[#All],MATCH($C$11,$B$36:$B$86,0),MATCH($F$11,$B$36:$F$36,0))</f>
        <v>5</v>
      </c>
      <c r="C15" s="397">
        <f>INDEX(Regular_cases_feb[#All],MATCH($C$11,$B$36:$B$86,0),MATCH($F$11,$G$36:$J$36,0))</f>
        <v>7</v>
      </c>
      <c r="D15" s="397">
        <f>INDEX(Regular_cases_mar[#All],MATCH($C$11,$B$36:$B$86,0),MATCH($F$11,$K$36:$N$36,0))</f>
        <v>6</v>
      </c>
      <c r="E15" s="397">
        <f>INDEX(Regular_cases_apr[#All],MATCH($C$11,$B$36:$B$86,0),MATCH($F$11,$O$36:$R$36,0))</f>
        <v>1</v>
      </c>
      <c r="F15" s="397">
        <f>INDEX(Regular_cases_may[#All],MATCH($C$11,$B$36:$B$86,0),MATCH($F$11,$S$36:$V$36,0))</f>
        <v>0</v>
      </c>
      <c r="G15" s="397">
        <f>INDEX(Regular_cases_jun[#All],MATCH($C$11,$B$36:$B$86,0),MATCH($F$11,$W$36:$Z$36,0))</f>
        <v>4</v>
      </c>
      <c r="H15" s="397">
        <f>INDEX(Regular_cases_jul[#All],MATCH($C$11,$B$36:$B$86,0),MATCH($F$11,$AA$36:$AD$36,0))</f>
        <v>3</v>
      </c>
      <c r="I15" s="397">
        <f>INDEX(Regular_cases_Aug[#All],MATCH($C$11,$B$36:$B$86,0),MATCH($F$11,$AE$36:$AH$36,0))</f>
        <v>4</v>
      </c>
      <c r="J15" s="397">
        <f>INDEX(Regular_cases_Sep[#All],MATCH($C$11,$B$36:$B$86,0),MATCH($F$11,$AI$36:$AL$36,0))</f>
        <v>4</v>
      </c>
      <c r="K15" s="397">
        <f>INDEX(Regular_cases_Oct[#All],MATCH($C$11,$B$36:$B$86,0),MATCH($F$11,$AM$36:$AP$36,0))</f>
        <v>1</v>
      </c>
      <c r="L15" s="397">
        <f>INDEX(Regular_cases_Nov[#All],MATCH($C$11,$B$36:$B$86,0),MATCH($F$11,$AQ$36:$AT$36,0))</f>
        <v>21</v>
      </c>
      <c r="M15" s="397">
        <f>INDEX(Regular_cases_Dec[#All],MATCH($C$11,$B$36:$B$86,0),MATCH($F$11,$AU$36:$AX$36,0))</f>
        <v>0</v>
      </c>
      <c r="AZ15" s="397">
        <f>INDEX($AZ$37:$BC$86,MATCH($C$11,$B$37:$B$86,0),MATCH($F$11,$AZ$36:$BC$36,0))</f>
        <v>0</v>
      </c>
      <c r="BA15" s="397">
        <f>INDEX($BD$37:$BG$86,MATCH($C$11,$B$37:$B$86,0),MATCH($F$11,$BD$36:$BG$36,0))</f>
        <v>0</v>
      </c>
      <c r="BB15" s="397">
        <f>INDEX($BH$37:$BK$86,MATCH($C$11,$B$37:$B$86,0),MATCH($F$11,$BH$36:$BK$36,0))</f>
        <v>0</v>
      </c>
      <c r="BC15" s="397">
        <f>INDEX($BL$37:$BO$86,MATCH($C$11,$B$37:$B$86,0),MATCH($F$11,$BL$36:$BO$36,0))</f>
        <v>0</v>
      </c>
      <c r="BD15" s="397">
        <f>INDEX($BP$37:$BS$86,MATCH($C$11,$B$37:$B$86,0),MATCH($F$11,$BP$36:$BS$36,0))</f>
        <v>0</v>
      </c>
      <c r="BE15" s="397">
        <f>INDEX($BT$37:$BW$86,MATCH($C$11,$B$37:$B$86,0),MATCH($F$11,$BT$36:$BW$36,0))</f>
        <v>0</v>
      </c>
      <c r="BF15" s="397">
        <f>INDEX($BX$37:$CA$86,MATCH($C$11,$B$37:$B$86,0),MATCH($F$11,$BX$36:$CA$36,0))</f>
        <v>0</v>
      </c>
      <c r="BG15" s="397">
        <f>INDEX($CB$37:$CE$86,MATCH($C$11,$B$37:$B$86,0),MATCH($F$11,$CB$36:$CE$36,0))</f>
        <v>0</v>
      </c>
      <c r="BH15" s="397">
        <f>INDEX($CF$37:$CI$86,MATCH($C$11,$B$37:$B$86,0),MATCH($F$11,$CF$36:$CI$36,0))</f>
        <v>0</v>
      </c>
      <c r="BI15" s="397">
        <f>INDEX($CJ$37:$CM$86,MATCH($C$11,$B$37:$B$86,0),MATCH($F$11,$CJ$36:$CM$36,0))</f>
        <v>0</v>
      </c>
      <c r="BJ15" s="397">
        <f>INDEX($CN$37:$CQ$86,MATCH($C$11,$B$37:$B$86,0),MATCH($F$11,$CN$36:$CQ$36,0))</f>
        <v>0</v>
      </c>
      <c r="BK15" s="397">
        <f>INDEX($CR$37:$CU$86,MATCH($C$11,$B$37:$B$86,0),MATCH($F$11,$CR$36:$CU$36,0))</f>
        <v>0</v>
      </c>
    </row>
    <row r="16" spans="2:108" x14ac:dyDescent="0.3">
      <c r="B16" s="204"/>
      <c r="C16" s="204"/>
      <c r="K16" s="204"/>
      <c r="L16" s="204"/>
      <c r="M16" s="204"/>
    </row>
    <row r="17" spans="2:57" x14ac:dyDescent="0.3">
      <c r="B17" s="204" t="str" cm="1">
        <f t="array" ref="B17:M18">IF(K11=I11,B14:M15,AZ14:BK15)</f>
        <v>Jan</v>
      </c>
      <c r="C17" s="204" t="str">
        <v>Feb</v>
      </c>
      <c r="D17" s="204" t="str">
        <v>Mar</v>
      </c>
      <c r="E17" s="346" t="str">
        <v>Apr</v>
      </c>
      <c r="F17" s="346" t="str">
        <v>May</v>
      </c>
      <c r="G17" s="347" t="str">
        <v>Jun</v>
      </c>
      <c r="H17" s="346" t="str">
        <v>Jul</v>
      </c>
      <c r="I17" s="204" t="str">
        <v>Aug</v>
      </c>
      <c r="J17" s="28" t="str">
        <v>Sep</v>
      </c>
      <c r="K17" s="28" t="str">
        <v>Oct</v>
      </c>
      <c r="L17" s="28" t="str">
        <v>Nov</v>
      </c>
      <c r="M17" s="28" t="str">
        <v>Dec</v>
      </c>
    </row>
    <row r="18" spans="2:57" ht="14.5" x14ac:dyDescent="0.35">
      <c r="B18" s="204">
        <v>5</v>
      </c>
      <c r="C18" s="346">
        <v>7</v>
      </c>
      <c r="D18" s="346">
        <v>6</v>
      </c>
      <c r="E18" s="347">
        <v>1</v>
      </c>
      <c r="F18" s="346">
        <v>0</v>
      </c>
      <c r="G18" s="204">
        <v>4</v>
      </c>
      <c r="H18" s="204">
        <v>3</v>
      </c>
      <c r="I18" s="204">
        <v>4</v>
      </c>
      <c r="J18" s="204">
        <v>4</v>
      </c>
      <c r="K18" s="204">
        <v>1</v>
      </c>
      <c r="L18" s="204">
        <v>21</v>
      </c>
      <c r="M18" s="204">
        <v>0</v>
      </c>
      <c r="O18" s="820" t="s">
        <v>694</v>
      </c>
      <c r="P18" s="820" t="s">
        <v>678</v>
      </c>
      <c r="Q18" s="820" t="s">
        <v>667</v>
      </c>
      <c r="R18" s="820" t="s">
        <v>679</v>
      </c>
      <c r="S18" s="820" t="s">
        <v>695</v>
      </c>
      <c r="T18" s="820" t="s">
        <v>705</v>
      </c>
      <c r="U18" s="820" t="s">
        <v>680</v>
      </c>
      <c r="V18" s="820" t="s">
        <v>704</v>
      </c>
      <c r="W18" s="821" t="s">
        <v>681</v>
      </c>
      <c r="X18" s="821" t="s">
        <v>668</v>
      </c>
      <c r="Y18" s="821" t="s">
        <v>743</v>
      </c>
      <c r="Z18" s="821" t="s">
        <v>696</v>
      </c>
      <c r="AA18" s="821" t="s">
        <v>669</v>
      </c>
      <c r="AB18" s="821" t="s">
        <v>670</v>
      </c>
      <c r="AC18" s="821" t="s">
        <v>707</v>
      </c>
      <c r="AD18" s="821" t="s">
        <v>682</v>
      </c>
      <c r="AE18" s="821" t="s">
        <v>702</v>
      </c>
      <c r="AF18" s="821" t="s">
        <v>683</v>
      </c>
      <c r="AG18" s="821" t="s">
        <v>684</v>
      </c>
      <c r="AH18" s="821" t="s">
        <v>671</v>
      </c>
      <c r="AI18" s="821" t="s">
        <v>685</v>
      </c>
      <c r="AJ18" s="821" t="s">
        <v>686</v>
      </c>
      <c r="AK18" s="821" t="s">
        <v>687</v>
      </c>
      <c r="AL18" s="821" t="s">
        <v>699</v>
      </c>
      <c r="AM18" s="821" t="s">
        <v>688</v>
      </c>
      <c r="AN18" s="821" t="s">
        <v>749</v>
      </c>
      <c r="AO18" s="821" t="s">
        <v>672</v>
      </c>
      <c r="AP18" s="821" t="s">
        <v>673</v>
      </c>
      <c r="AQ18" s="821" t="s">
        <v>689</v>
      </c>
      <c r="AR18" s="821" t="s">
        <v>706</v>
      </c>
      <c r="AS18" s="821" t="s">
        <v>676</v>
      </c>
      <c r="AT18" s="821" t="s">
        <v>674</v>
      </c>
      <c r="AU18" s="821" t="s">
        <v>690</v>
      </c>
      <c r="AV18" s="821" t="s">
        <v>691</v>
      </c>
      <c r="AW18" s="821" t="s">
        <v>692</v>
      </c>
      <c r="AX18" s="821" t="s">
        <v>697</v>
      </c>
      <c r="AY18" s="821" t="s">
        <v>693</v>
      </c>
      <c r="AZ18" s="821" t="s">
        <v>675</v>
      </c>
      <c r="BA18" s="821" t="s">
        <v>703</v>
      </c>
      <c r="BB18" s="821" t="s">
        <v>701</v>
      </c>
      <c r="BC18" s="821" t="s">
        <v>700</v>
      </c>
      <c r="BD18" s="821" t="s">
        <v>698</v>
      </c>
      <c r="BE18" s="821" t="s">
        <v>677</v>
      </c>
    </row>
    <row r="19" spans="2:57" x14ac:dyDescent="0.3">
      <c r="B19" s="204"/>
      <c r="C19" s="346"/>
      <c r="D19" s="346"/>
      <c r="E19" s="347"/>
      <c r="G19" s="204"/>
      <c r="H19" s="204"/>
      <c r="I19" s="204"/>
      <c r="K19" s="204"/>
      <c r="L19" s="204"/>
      <c r="M19" s="204"/>
      <c r="O19" s="204" cm="1">
        <f t="array" ref="O19">IF($P$11=$P$9,
_xlfn.IFS(
$S$11=$C$35,INDEX($C$37:$AX$79,MATCH(O18,Regular_cases_jan[[Nurse]:[Nurse]],0),MATCH($V$11,Regular_cases_jan[[#Headers],[BOM Cases]:[EOM Cases]],0)),
$S$11=$G$35,INDEX($G$37:$AX$79,MATCH(O18,Regular_cases_jan[[Nurse]:[Nurse]],0),MATCH($V$11,Regular_cases_feb[[#Headers],[BOM Cases]:[EOM Cases]],0)),
$S$11=$K$35,INDEX($K$37:$AX$79,MATCH(O18,Regular_cases_jan[[Nurse]:[Nurse]],0),MATCH($V$11,Regular_cases_mar[[#Headers],[BOM Cases]:[EOM Cases]],0)),
$S$11=$O$35,INDEX($O$37:$AX$79,MATCH(O18,Regular_cases_jan[[Nurse]:[Nurse]],0),MATCH($V$11,Regular_cases_apr[[#Headers],[BOM Cases]:[EOM Cases]],0)),
$S$11=$S$35,INDEX($S$37:$AX$79,MATCH(O18,Regular_cases_jan[[Nurse]:[Nurse]],0),MATCH($V$11,Regular_cases_may[[#Headers],[BOM Cases]:[EOM Cases]],0)),
$S$11=$W$35,INDEX($W$37:$AX$79,MATCH(O18,Regular_cases_jan[[Nurse]:[Nurse]],0),MATCH($V$11,Regular_cases_jun[[#Headers],[BOM Cases]:[EOM Cases]],0)),
$S$11=$AA$35,INDEX($AA$37:$AX$79,MATCH(O18,Regular_cases_jan[[Nurse]:[Nurse]],0),MATCH($V$11,Regular_cases_jul[[#Headers],[BOM Cases]:[EOM Cases]],0)),
$S$11=$AE$35,INDEX($AE$37:$AX$79,MATCH(O18,Regular_cases_jan[[Nurse]:[Nurse]],0),MATCH($V$11,Regular_cases_Aug[[#Headers],[BOM Cases]:[EOM Cases]],0)),
$S$11=$AI$35,INDEX($AI$37:$AX$79,MATCH(O18,Regular_cases_jan[[Nurse]:[Nurse]],0),MATCH($V$11,Regular_cases_Sep[[#Headers],[BOM Cases]:[EOM Cases]],0)),
$S$11=$AM$35,INDEX($AM$37:$AX$79,MATCH(O18,Regular_cases_jan[[Nurse]:[Nurse]],0),MATCH($V$11,Regular_cases_Oct[[#Headers],[BOM Cases]:[EOM Cases]],0)),
$S$11=$AQ$35,INDEX($AQ$37:$AX$79,MATCH(O18,Regular_cases_jan[[Nurse]:[Nurse]],0),MATCH($V$11,Regular_cases_Nov[[#Headers],[BOM Cases]:[EOM Cases]],0)),
$S$11=$AU$35,INDEX($AU$37:$AX$85,MATCH(O18,Regular_cases_jan[[Nurse]:[Nurse]],0),MATCH($V$11,Regular_cases_Dec[[#Headers],[BOM Cases]:[EOM Cases]],0))
),
_xlfn.IFS(
$S$11=$AZ$35,INDEX($AZ$37:$CU$79,MATCH(O18,Regular_cases_jan[[Nurse]:[Nurse]],0),MATCH($V$11,Eip_cases_jan[#Headers],0)),
$S$11=$BD$35,INDEX($BD$37:$CU$79,MATCH(O18,Regular_cases_jan[[Nurse]:[Nurse]],0),MATCH($V$11,Eip_cases_feb[#Headers],0)),
$S$11=$BH$35,INDEX($BH$37:$CU$79,MATCH(O18,Regular_cases_jan[[Nurse]:[Nurse]],0),MATCH($V$11,Eip_cases_mar[#Headers],0)),
$S$11=$BL$35,INDEX($BL$37:$CU$79,MATCH(O18,Regular_cases_jan[[Nurse]:[Nurse]],0),MATCH($V$11,Eip_cases_Apr[#Headers],0)),
$S$11=$BP$35,INDEX($BP$37:$CU$79,MATCH(O18,Regular_cases_jan[[Nurse]:[Nurse]],0),MATCH($V$11,Eip_cases_May[#Headers],0)),
$S$11=$BT$35,INDEX($BT$37:$CU$79,MATCH(O18,Regular_cases_jan[[Nurse]:[Nurse]],0),MATCH($V$11,Eip_cases_Jun[#Headers],0)),
$S$11=$BX$35,INDEX($BX$37:$CU$79,MATCH(O18,Regular_cases_jan[[Nurse]:[Nurse]],0),MATCH($V$11,Eip_cases_Jul[#Headers],0)),
$S$11=$CB$35,INDEX($CB$37:$CU$79,MATCH(O18,Regular_cases_jan[[Nurse]:[Nurse]],0),MATCH($V$11,Eip_cases_Aug[#Headers],0)),
$S$11=$CF$35,INDEX($CF$37:$CU$79,MATCH(O18,Regular_cases_jan[[Nurse]:[Nurse]],0),MATCH($V$11,Eip_cases_Sep[#Headers],0)),
$S$11=$CJ$35,INDEX($CJ$37:$CU$79,MATCH(O18,Regular_cases_jan[[Nurse]:[Nurse]],0),MATCH($V$11,Eip_cases_Oct[#Headers],0)),
$S$11=$CN$35,INDEX($CN$37:$CU$79,MATCH(O18,Regular_cases_jan[[Nurse]:[Nurse]],0),MATCH($V$11,Eip_cases_Nov[#Headers],0)),
$S$11=$CR$35,INDEX($CR$37:$CU$85,MATCH(O18,Regular_cases_jan[[Nurse]:[Nurse]],0),MATCH($V$11,Eip_cases_Dec[#Headers],0))
))</f>
        <v>0</v>
      </c>
      <c r="P19" s="204" cm="1">
        <f t="array" ref="P19">IF($P$11=$P$9,
_xlfn.IFS(
$S$11=$C$35,INDEX($C$37:$AX$79,MATCH(P18,Regular_cases_jan[[Nurse]:[Nurse]],0),MATCH($V$11,Regular_cases_jan[[#Headers],[BOM Cases]:[EOM Cases]],0)),
$S$11=$G$35,INDEX($G$37:$AX$79,MATCH(P18,Regular_cases_jan[[Nurse]:[Nurse]],0),MATCH($V$11,Regular_cases_feb[[#Headers],[BOM Cases]:[EOM Cases]],0)),
$S$11=$K$35,INDEX($K$37:$AX$79,MATCH(P18,Regular_cases_jan[[Nurse]:[Nurse]],0),MATCH($V$11,Regular_cases_mar[[#Headers],[BOM Cases]:[EOM Cases]],0)),
$S$11=$O$35,INDEX($O$37:$AX$79,MATCH(P18,Regular_cases_jan[[Nurse]:[Nurse]],0),MATCH($V$11,Regular_cases_apr[[#Headers],[BOM Cases]:[EOM Cases]],0)),
$S$11=$S$35,INDEX($S$37:$AX$79,MATCH(P18,Regular_cases_jan[[Nurse]:[Nurse]],0),MATCH($V$11,Regular_cases_may[[#Headers],[BOM Cases]:[EOM Cases]],0)),
$S$11=$W$35,INDEX($W$37:$AX$79,MATCH(P18,Regular_cases_jan[[Nurse]:[Nurse]],0),MATCH($V$11,Regular_cases_jun[[#Headers],[BOM Cases]:[EOM Cases]],0)),
$S$11=$AA$35,INDEX($AA$37:$AX$79,MATCH(P18,Regular_cases_jan[[Nurse]:[Nurse]],0),MATCH($V$11,Regular_cases_jul[[#Headers],[BOM Cases]:[EOM Cases]],0)),
$S$11=$AE$35,INDEX($AE$37:$AX$79,MATCH(P18,Regular_cases_jan[[Nurse]:[Nurse]],0),MATCH($V$11,Regular_cases_Aug[[#Headers],[BOM Cases]:[EOM Cases]],0)),
$S$11=$AI$35,INDEX($AI$37:$AX$79,MATCH(P18,Regular_cases_jan[[Nurse]:[Nurse]],0),MATCH($V$11,Regular_cases_Sep[[#Headers],[BOM Cases]:[EOM Cases]],0)),
$S$11=$AM$35,INDEX($AM$37:$AX$79,MATCH(P18,Regular_cases_jan[[Nurse]:[Nurse]],0),MATCH($V$11,Regular_cases_Oct[[#Headers],[BOM Cases]:[EOM Cases]],0)),
$S$11=$AQ$35,INDEX($AQ$37:$AX$79,MATCH(P18,Regular_cases_jan[[Nurse]:[Nurse]],0),MATCH($V$11,Regular_cases_Nov[[#Headers],[BOM Cases]:[EOM Cases]],0)),
$S$11=$AU$35,INDEX($AU$37:$AX$85,MATCH(P18,Regular_cases_jan[[Nurse]:[Nurse]],0),MATCH($V$11,Regular_cases_Dec[[#Headers],[BOM Cases]:[EOM Cases]],0))
),
_xlfn.IFS(
$S$11=$AZ$35,INDEX($AZ$37:$CU$79,MATCH(P18,Regular_cases_jan[[Nurse]:[Nurse]],0),MATCH($V$11,Eip_cases_jan[#Headers],0)),
$S$11=$BD$35,INDEX($BD$37:$CU$79,MATCH(P18,Regular_cases_jan[[Nurse]:[Nurse]],0),MATCH($V$11,Eip_cases_feb[#Headers],0)),
$S$11=$BH$35,INDEX($BH$37:$CU$79,MATCH(P18,Regular_cases_jan[[Nurse]:[Nurse]],0),MATCH($V$11,Eip_cases_mar[#Headers],0)),
$S$11=$BL$35,INDEX($BL$37:$CU$79,MATCH(P18,Regular_cases_jan[[Nurse]:[Nurse]],0),MATCH($V$11,Eip_cases_Apr[#Headers],0)),
$S$11=$BP$35,INDEX($BP$37:$CU$79,MATCH(P18,Regular_cases_jan[[Nurse]:[Nurse]],0),MATCH($V$11,Eip_cases_May[#Headers],0)),
$S$11=$BT$35,INDEX($BT$37:$CU$79,MATCH(P18,Regular_cases_jan[[Nurse]:[Nurse]],0),MATCH($V$11,Eip_cases_Jun[#Headers],0)),
$S$11=$BX$35,INDEX($BX$37:$CU$79,MATCH(P18,Regular_cases_jan[[Nurse]:[Nurse]],0),MATCH($V$11,Eip_cases_Jul[#Headers],0)),
$S$11=$CB$35,INDEX($CB$37:$CU$79,MATCH(P18,Regular_cases_jan[[Nurse]:[Nurse]],0),MATCH($V$11,Eip_cases_Aug[#Headers],0)),
$S$11=$CF$35,INDEX($CF$37:$CU$79,MATCH(P18,Regular_cases_jan[[Nurse]:[Nurse]],0),MATCH($V$11,Eip_cases_Sep[#Headers],0)),
$S$11=$CJ$35,INDEX($CJ$37:$CU$79,MATCH(P18,Regular_cases_jan[[Nurse]:[Nurse]],0),MATCH($V$11,Eip_cases_Oct[#Headers],0)),
$S$11=$CN$35,INDEX($CN$37:$CU$79,MATCH(P18,Regular_cases_jan[[Nurse]:[Nurse]],0),MATCH($V$11,Eip_cases_Nov[#Headers],0)),
$S$11=$CR$35,INDEX($CR$37:$CU$85,MATCH(P18,Regular_cases_jan[[Nurse]:[Nurse]],0),MATCH($V$11,Eip_cases_Dec[#Headers],0))
))</f>
        <v>0</v>
      </c>
      <c r="Q19" s="204" cm="1">
        <f t="array" ref="Q19">IF($P$11=$P$9,
_xlfn.IFS(
$S$11=$C$35,INDEX($C$37:$AX$79,MATCH(Q18,Regular_cases_jan[[Nurse]:[Nurse]],0),MATCH($V$11,Regular_cases_jan[[#Headers],[BOM Cases]:[EOM Cases]],0)),
$S$11=$G$35,INDEX($G$37:$AX$79,MATCH(Q18,Regular_cases_jan[[Nurse]:[Nurse]],0),MATCH($V$11,Regular_cases_feb[[#Headers],[BOM Cases]:[EOM Cases]],0)),
$S$11=$K$35,INDEX($K$37:$AX$79,MATCH(Q18,Regular_cases_jan[[Nurse]:[Nurse]],0),MATCH($V$11,Regular_cases_mar[[#Headers],[BOM Cases]:[EOM Cases]],0)),
$S$11=$O$35,INDEX($O$37:$AX$79,MATCH(Q18,Regular_cases_jan[[Nurse]:[Nurse]],0),MATCH($V$11,Regular_cases_apr[[#Headers],[BOM Cases]:[EOM Cases]],0)),
$S$11=$S$35,INDEX($S$37:$AX$79,MATCH(Q18,Regular_cases_jan[[Nurse]:[Nurse]],0),MATCH($V$11,Regular_cases_may[[#Headers],[BOM Cases]:[EOM Cases]],0)),
$S$11=$W$35,INDEX($W$37:$AX$79,MATCH(Q18,Regular_cases_jan[[Nurse]:[Nurse]],0),MATCH($V$11,Regular_cases_jun[[#Headers],[BOM Cases]:[EOM Cases]],0)),
$S$11=$AA$35,INDEX($AA$37:$AX$79,MATCH(Q18,Regular_cases_jan[[Nurse]:[Nurse]],0),MATCH($V$11,Regular_cases_jul[[#Headers],[BOM Cases]:[EOM Cases]],0)),
$S$11=$AE$35,INDEX($AE$37:$AX$79,MATCH(Q18,Regular_cases_jan[[Nurse]:[Nurse]],0),MATCH($V$11,Regular_cases_Aug[[#Headers],[BOM Cases]:[EOM Cases]],0)),
$S$11=$AI$35,INDEX($AI$37:$AX$79,MATCH(Q18,Regular_cases_jan[[Nurse]:[Nurse]],0),MATCH($V$11,Regular_cases_Sep[[#Headers],[BOM Cases]:[EOM Cases]],0)),
$S$11=$AM$35,INDEX($AM$37:$AX$79,MATCH(Q18,Regular_cases_jan[[Nurse]:[Nurse]],0),MATCH($V$11,Regular_cases_Oct[[#Headers],[BOM Cases]:[EOM Cases]],0)),
$S$11=$AQ$35,INDEX($AQ$37:$AX$79,MATCH(Q18,Regular_cases_jan[[Nurse]:[Nurse]],0),MATCH($V$11,Regular_cases_Nov[[#Headers],[BOM Cases]:[EOM Cases]],0)),
$S$11=$AU$35,INDEX($AU$37:$AX$85,MATCH(Q18,Regular_cases_jan[[Nurse]:[Nurse]],0),MATCH($V$11,Regular_cases_Dec[[#Headers],[BOM Cases]:[EOM Cases]],0))
),
_xlfn.IFS(
$S$11=$AZ$35,INDEX($AZ$37:$CU$79,MATCH(Q18,Regular_cases_jan[[Nurse]:[Nurse]],0),MATCH($V$11,Eip_cases_jan[#Headers],0)),
$S$11=$BD$35,INDEX($BD$37:$CU$79,MATCH(Q18,Regular_cases_jan[[Nurse]:[Nurse]],0),MATCH($V$11,Eip_cases_feb[#Headers],0)),
$S$11=$BH$35,INDEX($BH$37:$CU$79,MATCH(Q18,Regular_cases_jan[[Nurse]:[Nurse]],0),MATCH($V$11,Eip_cases_mar[#Headers],0)),
$S$11=$BL$35,INDEX($BL$37:$CU$79,MATCH(Q18,Regular_cases_jan[[Nurse]:[Nurse]],0),MATCH($V$11,Eip_cases_Apr[#Headers],0)),
$S$11=$BP$35,INDEX($BP$37:$CU$79,MATCH(Q18,Regular_cases_jan[[Nurse]:[Nurse]],0),MATCH($V$11,Eip_cases_May[#Headers],0)),
$S$11=$BT$35,INDEX($BT$37:$CU$79,MATCH(Q18,Regular_cases_jan[[Nurse]:[Nurse]],0),MATCH($V$11,Eip_cases_Jun[#Headers],0)),
$S$11=$BX$35,INDEX($BX$37:$CU$79,MATCH(Q18,Regular_cases_jan[[Nurse]:[Nurse]],0),MATCH($V$11,Eip_cases_Jul[#Headers],0)),
$S$11=$CB$35,INDEX($CB$37:$CU$79,MATCH(Q18,Regular_cases_jan[[Nurse]:[Nurse]],0),MATCH($V$11,Eip_cases_Aug[#Headers],0)),
$S$11=$CF$35,INDEX($CF$37:$CU$79,MATCH(Q18,Regular_cases_jan[[Nurse]:[Nurse]],0),MATCH($V$11,Eip_cases_Sep[#Headers],0)),
$S$11=$CJ$35,INDEX($CJ$37:$CU$79,MATCH(Q18,Regular_cases_jan[[Nurse]:[Nurse]],0),MATCH($V$11,Eip_cases_Oct[#Headers],0)),
$S$11=$CN$35,INDEX($CN$37:$CU$79,MATCH(Q18,Regular_cases_jan[[Nurse]:[Nurse]],0),MATCH($V$11,Eip_cases_Nov[#Headers],0)),
$S$11=$CR$35,INDEX($CR$37:$CU$85,MATCH(Q18,Regular_cases_jan[[Nurse]:[Nurse]],0),MATCH($V$11,Eip_cases_Dec[#Headers],0))
))</f>
        <v>1</v>
      </c>
      <c r="R19" s="204" cm="1">
        <f t="array" ref="R19">IF($P$11=$P$9,
_xlfn.IFS(
$S$11=$C$35,INDEX($C$37:$AX$79,MATCH(R18,Regular_cases_jan[[Nurse]:[Nurse]],0),MATCH($V$11,Regular_cases_jan[[#Headers],[BOM Cases]:[EOM Cases]],0)),
$S$11=$G$35,INDEX($G$37:$AX$79,MATCH(R18,Regular_cases_jan[[Nurse]:[Nurse]],0),MATCH($V$11,Regular_cases_feb[[#Headers],[BOM Cases]:[EOM Cases]],0)),
$S$11=$K$35,INDEX($K$37:$AX$79,MATCH(R18,Regular_cases_jan[[Nurse]:[Nurse]],0),MATCH($V$11,Regular_cases_mar[[#Headers],[BOM Cases]:[EOM Cases]],0)),
$S$11=$O$35,INDEX($O$37:$AX$79,MATCH(R18,Regular_cases_jan[[Nurse]:[Nurse]],0),MATCH($V$11,Regular_cases_apr[[#Headers],[BOM Cases]:[EOM Cases]],0)),
$S$11=$S$35,INDEX($S$37:$AX$79,MATCH(R18,Regular_cases_jan[[Nurse]:[Nurse]],0),MATCH($V$11,Regular_cases_may[[#Headers],[BOM Cases]:[EOM Cases]],0)),
$S$11=$W$35,INDEX($W$37:$AX$79,MATCH(R18,Regular_cases_jan[[Nurse]:[Nurse]],0),MATCH($V$11,Regular_cases_jun[[#Headers],[BOM Cases]:[EOM Cases]],0)),
$S$11=$AA$35,INDEX($AA$37:$AX$79,MATCH(R18,Regular_cases_jan[[Nurse]:[Nurse]],0),MATCH($V$11,Regular_cases_jul[[#Headers],[BOM Cases]:[EOM Cases]],0)),
$S$11=$AE$35,INDEX($AE$37:$AX$79,MATCH(R18,Regular_cases_jan[[Nurse]:[Nurse]],0),MATCH($V$11,Regular_cases_Aug[[#Headers],[BOM Cases]:[EOM Cases]],0)),
$S$11=$AI$35,INDEX($AI$37:$AX$79,MATCH(R18,Regular_cases_jan[[Nurse]:[Nurse]],0),MATCH($V$11,Regular_cases_Sep[[#Headers],[BOM Cases]:[EOM Cases]],0)),
$S$11=$AM$35,INDEX($AM$37:$AX$79,MATCH(R18,Regular_cases_jan[[Nurse]:[Nurse]],0),MATCH($V$11,Regular_cases_Oct[[#Headers],[BOM Cases]:[EOM Cases]],0)),
$S$11=$AQ$35,INDEX($AQ$37:$AX$79,MATCH(R18,Regular_cases_jan[[Nurse]:[Nurse]],0),MATCH($V$11,Regular_cases_Nov[[#Headers],[BOM Cases]:[EOM Cases]],0)),
$S$11=$AU$35,INDEX($AU$37:$AX$85,MATCH(R18,Regular_cases_jan[[Nurse]:[Nurse]],0),MATCH($V$11,Regular_cases_Dec[[#Headers],[BOM Cases]:[EOM Cases]],0))
),
_xlfn.IFS(
$S$11=$AZ$35,INDEX($AZ$37:$CU$79,MATCH(R18,Regular_cases_jan[[Nurse]:[Nurse]],0),MATCH($V$11,Eip_cases_jan[#Headers],0)),
$S$11=$BD$35,INDEX($BD$37:$CU$79,MATCH(R18,Regular_cases_jan[[Nurse]:[Nurse]],0),MATCH($V$11,Eip_cases_feb[#Headers],0)),
$S$11=$BH$35,INDEX($BH$37:$CU$79,MATCH(R18,Regular_cases_jan[[Nurse]:[Nurse]],0),MATCH($V$11,Eip_cases_mar[#Headers],0)),
$S$11=$BL$35,INDEX($BL$37:$CU$79,MATCH(R18,Regular_cases_jan[[Nurse]:[Nurse]],0),MATCH($V$11,Eip_cases_Apr[#Headers],0)),
$S$11=$BP$35,INDEX($BP$37:$CU$79,MATCH(R18,Regular_cases_jan[[Nurse]:[Nurse]],0),MATCH($V$11,Eip_cases_May[#Headers],0)),
$S$11=$BT$35,INDEX($BT$37:$CU$79,MATCH(R18,Regular_cases_jan[[Nurse]:[Nurse]],0),MATCH($V$11,Eip_cases_Jun[#Headers],0)),
$S$11=$BX$35,INDEX($BX$37:$CU$79,MATCH(R18,Regular_cases_jan[[Nurse]:[Nurse]],0),MATCH($V$11,Eip_cases_Jul[#Headers],0)),
$S$11=$CB$35,INDEX($CB$37:$CU$79,MATCH(R18,Regular_cases_jan[[Nurse]:[Nurse]],0),MATCH($V$11,Eip_cases_Aug[#Headers],0)),
$S$11=$CF$35,INDEX($CF$37:$CU$79,MATCH(R18,Regular_cases_jan[[Nurse]:[Nurse]],0),MATCH($V$11,Eip_cases_Sep[#Headers],0)),
$S$11=$CJ$35,INDEX($CJ$37:$CU$79,MATCH(R18,Regular_cases_jan[[Nurse]:[Nurse]],0),MATCH($V$11,Eip_cases_Oct[#Headers],0)),
$S$11=$CN$35,INDEX($CN$37:$CU$79,MATCH(R18,Regular_cases_jan[[Nurse]:[Nurse]],0),MATCH($V$11,Eip_cases_Nov[#Headers],0)),
$S$11=$CR$35,INDEX($CR$37:$CU$85,MATCH(R18,Regular_cases_jan[[Nurse]:[Nurse]],0),MATCH($V$11,Eip_cases_Dec[#Headers],0))
))</f>
        <v>4</v>
      </c>
      <c r="S19" s="204" cm="1">
        <f t="array" ref="S19">IF($P$11=$P$9,
_xlfn.IFS(
$S$11=$C$35,INDEX($C$37:$AX$79,MATCH(S18,Regular_cases_jan[[Nurse]:[Nurse]],0),MATCH($V$11,Regular_cases_jan[[#Headers],[BOM Cases]:[EOM Cases]],0)),
$S$11=$G$35,INDEX($G$37:$AX$79,MATCH(S18,Regular_cases_jan[[Nurse]:[Nurse]],0),MATCH($V$11,Regular_cases_feb[[#Headers],[BOM Cases]:[EOM Cases]],0)),
$S$11=$K$35,INDEX($K$37:$AX$79,MATCH(S18,Regular_cases_jan[[Nurse]:[Nurse]],0),MATCH($V$11,Regular_cases_mar[[#Headers],[BOM Cases]:[EOM Cases]],0)),
$S$11=$O$35,INDEX($O$37:$AX$79,MATCH(S18,Regular_cases_jan[[Nurse]:[Nurse]],0),MATCH($V$11,Regular_cases_apr[[#Headers],[BOM Cases]:[EOM Cases]],0)),
$S$11=$S$35,INDEX($S$37:$AX$79,MATCH(S18,Regular_cases_jan[[Nurse]:[Nurse]],0),MATCH($V$11,Regular_cases_may[[#Headers],[BOM Cases]:[EOM Cases]],0)),
$S$11=$W$35,INDEX($W$37:$AX$79,MATCH(S18,Regular_cases_jan[[Nurse]:[Nurse]],0),MATCH($V$11,Regular_cases_jun[[#Headers],[BOM Cases]:[EOM Cases]],0)),
$S$11=$AA$35,INDEX($AA$37:$AX$79,MATCH(S18,Regular_cases_jan[[Nurse]:[Nurse]],0),MATCH($V$11,Regular_cases_jul[[#Headers],[BOM Cases]:[EOM Cases]],0)),
$S$11=$AE$35,INDEX($AE$37:$AX$79,MATCH(S18,Regular_cases_jan[[Nurse]:[Nurse]],0),MATCH($V$11,Regular_cases_Aug[[#Headers],[BOM Cases]:[EOM Cases]],0)),
$S$11=$AI$35,INDEX($AI$37:$AX$79,MATCH(S18,Regular_cases_jan[[Nurse]:[Nurse]],0),MATCH($V$11,Regular_cases_Sep[[#Headers],[BOM Cases]:[EOM Cases]],0)),
$S$11=$AM$35,INDEX($AM$37:$AX$79,MATCH(S18,Regular_cases_jan[[Nurse]:[Nurse]],0),MATCH($V$11,Regular_cases_Oct[[#Headers],[BOM Cases]:[EOM Cases]],0)),
$S$11=$AQ$35,INDEX($AQ$37:$AX$79,MATCH(S18,Regular_cases_jan[[Nurse]:[Nurse]],0),MATCH($V$11,Regular_cases_Nov[[#Headers],[BOM Cases]:[EOM Cases]],0)),
$S$11=$AU$35,INDEX($AU$37:$AX$85,MATCH(S18,Regular_cases_jan[[Nurse]:[Nurse]],0),MATCH($V$11,Regular_cases_Dec[[#Headers],[BOM Cases]:[EOM Cases]],0))
),
_xlfn.IFS(
$S$11=$AZ$35,INDEX($AZ$37:$CU$79,MATCH(S18,Regular_cases_jan[[Nurse]:[Nurse]],0),MATCH($V$11,Eip_cases_jan[#Headers],0)),
$S$11=$BD$35,INDEX($BD$37:$CU$79,MATCH(S18,Regular_cases_jan[[Nurse]:[Nurse]],0),MATCH($V$11,Eip_cases_feb[#Headers],0)),
$S$11=$BH$35,INDEX($BH$37:$CU$79,MATCH(S18,Regular_cases_jan[[Nurse]:[Nurse]],0),MATCH($V$11,Eip_cases_mar[#Headers],0)),
$S$11=$BL$35,INDEX($BL$37:$CU$79,MATCH(S18,Regular_cases_jan[[Nurse]:[Nurse]],0),MATCH($V$11,Eip_cases_Apr[#Headers],0)),
$S$11=$BP$35,INDEX($BP$37:$CU$79,MATCH(S18,Regular_cases_jan[[Nurse]:[Nurse]],0),MATCH($V$11,Eip_cases_May[#Headers],0)),
$S$11=$BT$35,INDEX($BT$37:$CU$79,MATCH(S18,Regular_cases_jan[[Nurse]:[Nurse]],0),MATCH($V$11,Eip_cases_Jun[#Headers],0)),
$S$11=$BX$35,INDEX($BX$37:$CU$79,MATCH(S18,Regular_cases_jan[[Nurse]:[Nurse]],0),MATCH($V$11,Eip_cases_Jul[#Headers],0)),
$S$11=$CB$35,INDEX($CB$37:$CU$79,MATCH(S18,Regular_cases_jan[[Nurse]:[Nurse]],0),MATCH($V$11,Eip_cases_Aug[#Headers],0)),
$S$11=$CF$35,INDEX($CF$37:$CU$79,MATCH(S18,Regular_cases_jan[[Nurse]:[Nurse]],0),MATCH($V$11,Eip_cases_Sep[#Headers],0)),
$S$11=$CJ$35,INDEX($CJ$37:$CU$79,MATCH(S18,Regular_cases_jan[[Nurse]:[Nurse]],0),MATCH($V$11,Eip_cases_Oct[#Headers],0)),
$S$11=$CN$35,INDEX($CN$37:$CU$79,MATCH(S18,Regular_cases_jan[[Nurse]:[Nurse]],0),MATCH($V$11,Eip_cases_Nov[#Headers],0)),
$S$11=$CR$35,INDEX($CR$37:$CU$85,MATCH(S18,Regular_cases_jan[[Nurse]:[Nurse]],0),MATCH($V$11,Eip_cases_Dec[#Headers],0))
))</f>
        <v>1</v>
      </c>
      <c r="T19" s="204" cm="1">
        <f t="array" ref="T19">IF($P$11=$P$9,
_xlfn.IFS(
$S$11=$C$35,INDEX($C$37:$AX$79,MATCH(T18,Regular_cases_jan[[Nurse]:[Nurse]],0),MATCH($V$11,Regular_cases_jan[[#Headers],[BOM Cases]:[EOM Cases]],0)),
$S$11=$G$35,INDEX($G$37:$AX$79,MATCH(T18,Regular_cases_jan[[Nurse]:[Nurse]],0),MATCH($V$11,Regular_cases_feb[[#Headers],[BOM Cases]:[EOM Cases]],0)),
$S$11=$K$35,INDEX($K$37:$AX$79,MATCH(T18,Regular_cases_jan[[Nurse]:[Nurse]],0),MATCH($V$11,Regular_cases_mar[[#Headers],[BOM Cases]:[EOM Cases]],0)),
$S$11=$O$35,INDEX($O$37:$AX$79,MATCH(T18,Regular_cases_jan[[Nurse]:[Nurse]],0),MATCH($V$11,Regular_cases_apr[[#Headers],[BOM Cases]:[EOM Cases]],0)),
$S$11=$S$35,INDEX($S$37:$AX$79,MATCH(T18,Regular_cases_jan[[Nurse]:[Nurse]],0),MATCH($V$11,Regular_cases_may[[#Headers],[BOM Cases]:[EOM Cases]],0)),
$S$11=$W$35,INDEX($W$37:$AX$79,MATCH(T18,Regular_cases_jan[[Nurse]:[Nurse]],0),MATCH($V$11,Regular_cases_jun[[#Headers],[BOM Cases]:[EOM Cases]],0)),
$S$11=$AA$35,INDEX($AA$37:$AX$79,MATCH(T18,Regular_cases_jan[[Nurse]:[Nurse]],0),MATCH($V$11,Regular_cases_jul[[#Headers],[BOM Cases]:[EOM Cases]],0)),
$S$11=$AE$35,INDEX($AE$37:$AX$79,MATCH(T18,Regular_cases_jan[[Nurse]:[Nurse]],0),MATCH($V$11,Regular_cases_Aug[[#Headers],[BOM Cases]:[EOM Cases]],0)),
$S$11=$AI$35,INDEX($AI$37:$AX$79,MATCH(T18,Regular_cases_jan[[Nurse]:[Nurse]],0),MATCH($V$11,Regular_cases_Sep[[#Headers],[BOM Cases]:[EOM Cases]],0)),
$S$11=$AM$35,INDEX($AM$37:$AX$79,MATCH(T18,Regular_cases_jan[[Nurse]:[Nurse]],0),MATCH($V$11,Regular_cases_Oct[[#Headers],[BOM Cases]:[EOM Cases]],0)),
$S$11=$AQ$35,INDEX($AQ$37:$AX$79,MATCH(T18,Regular_cases_jan[[Nurse]:[Nurse]],0),MATCH($V$11,Regular_cases_Nov[[#Headers],[BOM Cases]:[EOM Cases]],0)),
$S$11=$AU$35,INDEX($AU$37:$AX$85,MATCH(T18,Regular_cases_jan[[Nurse]:[Nurse]],0),MATCH($V$11,Regular_cases_Dec[[#Headers],[BOM Cases]:[EOM Cases]],0))
),
_xlfn.IFS(
$S$11=$AZ$35,INDEX($AZ$37:$CU$79,MATCH(T18,Regular_cases_jan[[Nurse]:[Nurse]],0),MATCH($V$11,Eip_cases_jan[#Headers],0)),
$S$11=$BD$35,INDEX($BD$37:$CU$79,MATCH(T18,Regular_cases_jan[[Nurse]:[Nurse]],0),MATCH($V$11,Eip_cases_feb[#Headers],0)),
$S$11=$BH$35,INDEX($BH$37:$CU$79,MATCH(T18,Regular_cases_jan[[Nurse]:[Nurse]],0),MATCH($V$11,Eip_cases_mar[#Headers],0)),
$S$11=$BL$35,INDEX($BL$37:$CU$79,MATCH(T18,Regular_cases_jan[[Nurse]:[Nurse]],0),MATCH($V$11,Eip_cases_Apr[#Headers],0)),
$S$11=$BP$35,INDEX($BP$37:$CU$79,MATCH(T18,Regular_cases_jan[[Nurse]:[Nurse]],0),MATCH($V$11,Eip_cases_May[#Headers],0)),
$S$11=$BT$35,INDEX($BT$37:$CU$79,MATCH(T18,Regular_cases_jan[[Nurse]:[Nurse]],0),MATCH($V$11,Eip_cases_Jun[#Headers],0)),
$S$11=$BX$35,INDEX($BX$37:$CU$79,MATCH(T18,Regular_cases_jan[[Nurse]:[Nurse]],0),MATCH($V$11,Eip_cases_Jul[#Headers],0)),
$S$11=$CB$35,INDEX($CB$37:$CU$79,MATCH(T18,Regular_cases_jan[[Nurse]:[Nurse]],0),MATCH($V$11,Eip_cases_Aug[#Headers],0)),
$S$11=$CF$35,INDEX($CF$37:$CU$79,MATCH(T18,Regular_cases_jan[[Nurse]:[Nurse]],0),MATCH($V$11,Eip_cases_Sep[#Headers],0)),
$S$11=$CJ$35,INDEX($CJ$37:$CU$79,MATCH(T18,Regular_cases_jan[[Nurse]:[Nurse]],0),MATCH($V$11,Eip_cases_Oct[#Headers],0)),
$S$11=$CN$35,INDEX($CN$37:$CU$79,MATCH(T18,Regular_cases_jan[[Nurse]:[Nurse]],0),MATCH($V$11,Eip_cases_Nov[#Headers],0)),
$S$11=$CR$35,INDEX($CR$37:$CU$85,MATCH(T18,Regular_cases_jan[[Nurse]:[Nurse]],0),MATCH($V$11,Eip_cases_Dec[#Headers],0))
))</f>
        <v>0</v>
      </c>
      <c r="U19" s="204" cm="1">
        <f t="array" ref="U19">IF($P$11=$P$9,
_xlfn.IFS(
$S$11=$C$35,INDEX($C$37:$AX$79,MATCH(U18,Regular_cases_jan[[Nurse]:[Nurse]],0),MATCH($V$11,Regular_cases_jan[[#Headers],[BOM Cases]:[EOM Cases]],0)),
$S$11=$G$35,INDEX($G$37:$AX$79,MATCH(U18,Regular_cases_jan[[Nurse]:[Nurse]],0),MATCH($V$11,Regular_cases_feb[[#Headers],[BOM Cases]:[EOM Cases]],0)),
$S$11=$K$35,INDEX($K$37:$AX$79,MATCH(U18,Regular_cases_jan[[Nurse]:[Nurse]],0),MATCH($V$11,Regular_cases_mar[[#Headers],[BOM Cases]:[EOM Cases]],0)),
$S$11=$O$35,INDEX($O$37:$AX$79,MATCH(U18,Regular_cases_jan[[Nurse]:[Nurse]],0),MATCH($V$11,Regular_cases_apr[[#Headers],[BOM Cases]:[EOM Cases]],0)),
$S$11=$S$35,INDEX($S$37:$AX$79,MATCH(U18,Regular_cases_jan[[Nurse]:[Nurse]],0),MATCH($V$11,Regular_cases_may[[#Headers],[BOM Cases]:[EOM Cases]],0)),
$S$11=$W$35,INDEX($W$37:$AX$79,MATCH(U18,Regular_cases_jan[[Nurse]:[Nurse]],0),MATCH($V$11,Regular_cases_jun[[#Headers],[BOM Cases]:[EOM Cases]],0)),
$S$11=$AA$35,INDEX($AA$37:$AX$79,MATCH(U18,Regular_cases_jan[[Nurse]:[Nurse]],0),MATCH($V$11,Regular_cases_jul[[#Headers],[BOM Cases]:[EOM Cases]],0)),
$S$11=$AE$35,INDEX($AE$37:$AX$79,MATCH(U18,Regular_cases_jan[[Nurse]:[Nurse]],0),MATCH($V$11,Regular_cases_Aug[[#Headers],[BOM Cases]:[EOM Cases]],0)),
$S$11=$AI$35,INDEX($AI$37:$AX$79,MATCH(U18,Regular_cases_jan[[Nurse]:[Nurse]],0),MATCH($V$11,Regular_cases_Sep[[#Headers],[BOM Cases]:[EOM Cases]],0)),
$S$11=$AM$35,INDEX($AM$37:$AX$79,MATCH(U18,Regular_cases_jan[[Nurse]:[Nurse]],0),MATCH($V$11,Regular_cases_Oct[[#Headers],[BOM Cases]:[EOM Cases]],0)),
$S$11=$AQ$35,INDEX($AQ$37:$AX$79,MATCH(U18,Regular_cases_jan[[Nurse]:[Nurse]],0),MATCH($V$11,Regular_cases_Nov[[#Headers],[BOM Cases]:[EOM Cases]],0)),
$S$11=$AU$35,INDEX($AU$37:$AX$85,MATCH(U18,Regular_cases_jan[[Nurse]:[Nurse]],0),MATCH($V$11,Regular_cases_Dec[[#Headers],[BOM Cases]:[EOM Cases]],0))
),
_xlfn.IFS(
$S$11=$AZ$35,INDEX($AZ$37:$CU$79,MATCH(U18,Regular_cases_jan[[Nurse]:[Nurse]],0),MATCH($V$11,Eip_cases_jan[#Headers],0)),
$S$11=$BD$35,INDEX($BD$37:$CU$79,MATCH(U18,Regular_cases_jan[[Nurse]:[Nurse]],0),MATCH($V$11,Eip_cases_feb[#Headers],0)),
$S$11=$BH$35,INDEX($BH$37:$CU$79,MATCH(U18,Regular_cases_jan[[Nurse]:[Nurse]],0),MATCH($V$11,Eip_cases_mar[#Headers],0)),
$S$11=$BL$35,INDEX($BL$37:$CU$79,MATCH(U18,Regular_cases_jan[[Nurse]:[Nurse]],0),MATCH($V$11,Eip_cases_Apr[#Headers],0)),
$S$11=$BP$35,INDEX($BP$37:$CU$79,MATCH(U18,Regular_cases_jan[[Nurse]:[Nurse]],0),MATCH($V$11,Eip_cases_May[#Headers],0)),
$S$11=$BT$35,INDEX($BT$37:$CU$79,MATCH(U18,Regular_cases_jan[[Nurse]:[Nurse]],0),MATCH($V$11,Eip_cases_Jun[#Headers],0)),
$S$11=$BX$35,INDEX($BX$37:$CU$79,MATCH(U18,Regular_cases_jan[[Nurse]:[Nurse]],0),MATCH($V$11,Eip_cases_Jul[#Headers],0)),
$S$11=$CB$35,INDEX($CB$37:$CU$79,MATCH(U18,Regular_cases_jan[[Nurse]:[Nurse]],0),MATCH($V$11,Eip_cases_Aug[#Headers],0)),
$S$11=$CF$35,INDEX($CF$37:$CU$79,MATCH(U18,Regular_cases_jan[[Nurse]:[Nurse]],0),MATCH($V$11,Eip_cases_Sep[#Headers],0)),
$S$11=$CJ$35,INDEX($CJ$37:$CU$79,MATCH(U18,Regular_cases_jan[[Nurse]:[Nurse]],0),MATCH($V$11,Eip_cases_Oct[#Headers],0)),
$S$11=$CN$35,INDEX($CN$37:$CU$79,MATCH(U18,Regular_cases_jan[[Nurse]:[Nurse]],0),MATCH($V$11,Eip_cases_Nov[#Headers],0)),
$S$11=$CR$35,INDEX($CR$37:$CU$85,MATCH(U18,Regular_cases_jan[[Nurse]:[Nurse]],0),MATCH($V$11,Eip_cases_Dec[#Headers],0))
))</f>
        <v>6</v>
      </c>
      <c r="V19" s="204" cm="1">
        <f t="array" ref="V19">IF($P$11=$P$9,
_xlfn.IFS(
$S$11=$C$35,INDEX($C$37:$AX$79,MATCH(V18,Regular_cases_jan[[Nurse]:[Nurse]],0),MATCH($V$11,Regular_cases_jan[[#Headers],[BOM Cases]:[EOM Cases]],0)),
$S$11=$G$35,INDEX($G$37:$AX$79,MATCH(V18,Regular_cases_jan[[Nurse]:[Nurse]],0),MATCH($V$11,Regular_cases_feb[[#Headers],[BOM Cases]:[EOM Cases]],0)),
$S$11=$K$35,INDEX($K$37:$AX$79,MATCH(V18,Regular_cases_jan[[Nurse]:[Nurse]],0),MATCH($V$11,Regular_cases_mar[[#Headers],[BOM Cases]:[EOM Cases]],0)),
$S$11=$O$35,INDEX($O$37:$AX$79,MATCH(V18,Regular_cases_jan[[Nurse]:[Nurse]],0),MATCH($V$11,Regular_cases_apr[[#Headers],[BOM Cases]:[EOM Cases]],0)),
$S$11=$S$35,INDEX($S$37:$AX$79,MATCH(V18,Regular_cases_jan[[Nurse]:[Nurse]],0),MATCH($V$11,Regular_cases_may[[#Headers],[BOM Cases]:[EOM Cases]],0)),
$S$11=$W$35,INDEX($W$37:$AX$79,MATCH(V18,Regular_cases_jan[[Nurse]:[Nurse]],0),MATCH($V$11,Regular_cases_jun[[#Headers],[BOM Cases]:[EOM Cases]],0)),
$S$11=$AA$35,INDEX($AA$37:$AX$79,MATCH(V18,Regular_cases_jan[[Nurse]:[Nurse]],0),MATCH($V$11,Regular_cases_jul[[#Headers],[BOM Cases]:[EOM Cases]],0)),
$S$11=$AE$35,INDEX($AE$37:$AX$79,MATCH(V18,Regular_cases_jan[[Nurse]:[Nurse]],0),MATCH($V$11,Regular_cases_Aug[[#Headers],[BOM Cases]:[EOM Cases]],0)),
$S$11=$AI$35,INDEX($AI$37:$AX$79,MATCH(V18,Regular_cases_jan[[Nurse]:[Nurse]],0),MATCH($V$11,Regular_cases_Sep[[#Headers],[BOM Cases]:[EOM Cases]],0)),
$S$11=$AM$35,INDEX($AM$37:$AX$79,MATCH(V18,Regular_cases_jan[[Nurse]:[Nurse]],0),MATCH($V$11,Regular_cases_Oct[[#Headers],[BOM Cases]:[EOM Cases]],0)),
$S$11=$AQ$35,INDEX($AQ$37:$AX$79,MATCH(V18,Regular_cases_jan[[Nurse]:[Nurse]],0),MATCH($V$11,Regular_cases_Nov[[#Headers],[BOM Cases]:[EOM Cases]],0)),
$S$11=$AU$35,INDEX($AU$37:$AX$85,MATCH(V18,Regular_cases_jan[[Nurse]:[Nurse]],0),MATCH($V$11,Regular_cases_Dec[[#Headers],[BOM Cases]:[EOM Cases]],0))
),
_xlfn.IFS(
$S$11=$AZ$35,INDEX($AZ$37:$CU$79,MATCH(V18,Regular_cases_jan[[Nurse]:[Nurse]],0),MATCH($V$11,Eip_cases_jan[#Headers],0)),
$S$11=$BD$35,INDEX($BD$37:$CU$79,MATCH(V18,Regular_cases_jan[[Nurse]:[Nurse]],0),MATCH($V$11,Eip_cases_feb[#Headers],0)),
$S$11=$BH$35,INDEX($BH$37:$CU$79,MATCH(V18,Regular_cases_jan[[Nurse]:[Nurse]],0),MATCH($V$11,Eip_cases_mar[#Headers],0)),
$S$11=$BL$35,INDEX($BL$37:$CU$79,MATCH(V18,Regular_cases_jan[[Nurse]:[Nurse]],0),MATCH($V$11,Eip_cases_Apr[#Headers],0)),
$S$11=$BP$35,INDEX($BP$37:$CU$79,MATCH(V18,Regular_cases_jan[[Nurse]:[Nurse]],0),MATCH($V$11,Eip_cases_May[#Headers],0)),
$S$11=$BT$35,INDEX($BT$37:$CU$79,MATCH(V18,Regular_cases_jan[[Nurse]:[Nurse]],0),MATCH($V$11,Eip_cases_Jun[#Headers],0)),
$S$11=$BX$35,INDEX($BX$37:$CU$79,MATCH(V18,Regular_cases_jan[[Nurse]:[Nurse]],0),MATCH($V$11,Eip_cases_Jul[#Headers],0)),
$S$11=$CB$35,INDEX($CB$37:$CU$79,MATCH(V18,Regular_cases_jan[[Nurse]:[Nurse]],0),MATCH($V$11,Eip_cases_Aug[#Headers],0)),
$S$11=$CF$35,INDEX($CF$37:$CU$79,MATCH(V18,Regular_cases_jan[[Nurse]:[Nurse]],0),MATCH($V$11,Eip_cases_Sep[#Headers],0)),
$S$11=$CJ$35,INDEX($CJ$37:$CU$79,MATCH(V18,Regular_cases_jan[[Nurse]:[Nurse]],0),MATCH($V$11,Eip_cases_Oct[#Headers],0)),
$S$11=$CN$35,INDEX($CN$37:$CU$79,MATCH(V18,Regular_cases_jan[[Nurse]:[Nurse]],0),MATCH($V$11,Eip_cases_Nov[#Headers],0)),
$S$11=$CR$35,INDEX($CR$37:$CU$85,MATCH(V18,Regular_cases_jan[[Nurse]:[Nurse]],0),MATCH($V$11,Eip_cases_Dec[#Headers],0))
))</f>
        <v>0</v>
      </c>
      <c r="W19" s="397" cm="1">
        <f t="array" ref="W19">IF($P$11=$P$9,
_xlfn.IFS(
$S$11=$C$35,INDEX($C$37:$AX$79,MATCH(W18,Regular_cases_jan[[Nurse]:[Nurse]],0),MATCH($V$11,Regular_cases_jan[[#Headers],[BOM Cases]:[EOM Cases]],0)),
$S$11=$G$35,INDEX($G$37:$AX$79,MATCH(W18,Regular_cases_jan[[Nurse]:[Nurse]],0),MATCH($V$11,Regular_cases_feb[[#Headers],[BOM Cases]:[EOM Cases]],0)),
$S$11=$K$35,INDEX($K$37:$AX$79,MATCH(W18,Regular_cases_jan[[Nurse]:[Nurse]],0),MATCH($V$11,Regular_cases_mar[[#Headers],[BOM Cases]:[EOM Cases]],0)),
$S$11=$O$35,INDEX($O$37:$AX$79,MATCH(W18,Regular_cases_jan[[Nurse]:[Nurse]],0),MATCH($V$11,Regular_cases_apr[[#Headers],[BOM Cases]:[EOM Cases]],0)),
$S$11=$S$35,INDEX($S$37:$AX$79,MATCH(W18,Regular_cases_jan[[Nurse]:[Nurse]],0),MATCH($V$11,Regular_cases_may[[#Headers],[BOM Cases]:[EOM Cases]],0)),
$S$11=$W$35,INDEX($W$37:$AX$79,MATCH(W18,Regular_cases_jan[[Nurse]:[Nurse]],0),MATCH($V$11,Regular_cases_jun[[#Headers],[BOM Cases]:[EOM Cases]],0)),
$S$11=$AA$35,INDEX($AA$37:$AX$79,MATCH(W18,Regular_cases_jan[[Nurse]:[Nurse]],0),MATCH($V$11,Regular_cases_jul[[#Headers],[BOM Cases]:[EOM Cases]],0)),
$S$11=$AE$35,INDEX($AE$37:$AX$79,MATCH(W18,Regular_cases_jan[[Nurse]:[Nurse]],0),MATCH($V$11,Regular_cases_Aug[[#Headers],[BOM Cases]:[EOM Cases]],0)),
$S$11=$AI$35,INDEX($AI$37:$AX$79,MATCH(W18,Regular_cases_jan[[Nurse]:[Nurse]],0),MATCH($V$11,Regular_cases_Sep[[#Headers],[BOM Cases]:[EOM Cases]],0)),
$S$11=$AM$35,INDEX($AM$37:$AX$79,MATCH(W18,Regular_cases_jan[[Nurse]:[Nurse]],0),MATCH($V$11,Regular_cases_Oct[[#Headers],[BOM Cases]:[EOM Cases]],0)),
$S$11=$AQ$35,INDEX($AQ$37:$AX$79,MATCH(W18,Regular_cases_jan[[Nurse]:[Nurse]],0),MATCH($V$11,Regular_cases_Nov[[#Headers],[BOM Cases]:[EOM Cases]],0)),
$S$11=$AU$35,INDEX($AU$37:$AX$85,MATCH(W18,Regular_cases_jan[[Nurse]:[Nurse]],0),MATCH($V$11,Regular_cases_Dec[[#Headers],[BOM Cases]:[EOM Cases]],0))
),
_xlfn.IFS(
$S$11=$AZ$35,INDEX($AZ$37:$CU$79,MATCH(W18,Regular_cases_jan[[Nurse]:[Nurse]],0),MATCH($V$11,Eip_cases_jan[#Headers],0)),
$S$11=$BD$35,INDEX($BD$37:$CU$79,MATCH(W18,Regular_cases_jan[[Nurse]:[Nurse]],0),MATCH($V$11,Eip_cases_feb[#Headers],0)),
$S$11=$BH$35,INDEX($BH$37:$CU$79,MATCH(W18,Regular_cases_jan[[Nurse]:[Nurse]],0),MATCH($V$11,Eip_cases_mar[#Headers],0)),
$S$11=$BL$35,INDEX($BL$37:$CU$79,MATCH(W18,Regular_cases_jan[[Nurse]:[Nurse]],0),MATCH($V$11,Eip_cases_Apr[#Headers],0)),
$S$11=$BP$35,INDEX($BP$37:$CU$79,MATCH(W18,Regular_cases_jan[[Nurse]:[Nurse]],0),MATCH($V$11,Eip_cases_May[#Headers],0)),
$S$11=$BT$35,INDEX($BT$37:$CU$79,MATCH(W18,Regular_cases_jan[[Nurse]:[Nurse]],0),MATCH($V$11,Eip_cases_Jun[#Headers],0)),
$S$11=$BX$35,INDEX($BX$37:$CU$79,MATCH(W18,Regular_cases_jan[[Nurse]:[Nurse]],0),MATCH($V$11,Eip_cases_Jul[#Headers],0)),
$S$11=$CB$35,INDEX($CB$37:$CU$79,MATCH(W18,Regular_cases_jan[[Nurse]:[Nurse]],0),MATCH($V$11,Eip_cases_Aug[#Headers],0)),
$S$11=$CF$35,INDEX($CF$37:$CU$79,MATCH(W18,Regular_cases_jan[[Nurse]:[Nurse]],0),MATCH($V$11,Eip_cases_Sep[#Headers],0)),
$S$11=$CJ$35,INDEX($CJ$37:$CU$79,MATCH(W18,Regular_cases_jan[[Nurse]:[Nurse]],0),MATCH($V$11,Eip_cases_Oct[#Headers],0)),
$S$11=$CN$35,INDEX($CN$37:$CU$79,MATCH(W18,Regular_cases_jan[[Nurse]:[Nurse]],0),MATCH($V$11,Eip_cases_Nov[#Headers],0)),
$S$11=$CR$35,INDEX($CR$37:$CU$85,MATCH(W18,Regular_cases_jan[[Nurse]:[Nurse]],0),MATCH($V$11,Eip_cases_Dec[#Headers],0))
))</f>
        <v>1</v>
      </c>
      <c r="X19" s="397" cm="1">
        <f t="array" ref="X19">IF($P$11=$P$9,
_xlfn.IFS(
$S$11=$C$35,INDEX($C$37:$AX$79,MATCH(X18,Regular_cases_jan[[Nurse]:[Nurse]],0),MATCH($V$11,Regular_cases_jan[[#Headers],[BOM Cases]:[EOM Cases]],0)),
$S$11=$G$35,INDEX($G$37:$AX$79,MATCH(X18,Regular_cases_jan[[Nurse]:[Nurse]],0),MATCH($V$11,Regular_cases_feb[[#Headers],[BOM Cases]:[EOM Cases]],0)),
$S$11=$K$35,INDEX($K$37:$AX$79,MATCH(X18,Regular_cases_jan[[Nurse]:[Nurse]],0),MATCH($V$11,Regular_cases_mar[[#Headers],[BOM Cases]:[EOM Cases]],0)),
$S$11=$O$35,INDEX($O$37:$AX$79,MATCH(X18,Regular_cases_jan[[Nurse]:[Nurse]],0),MATCH($V$11,Regular_cases_apr[[#Headers],[BOM Cases]:[EOM Cases]],0)),
$S$11=$S$35,INDEX($S$37:$AX$79,MATCH(X18,Regular_cases_jan[[Nurse]:[Nurse]],0),MATCH($V$11,Regular_cases_may[[#Headers],[BOM Cases]:[EOM Cases]],0)),
$S$11=$W$35,INDEX($W$37:$AX$79,MATCH(X18,Regular_cases_jan[[Nurse]:[Nurse]],0),MATCH($V$11,Regular_cases_jun[[#Headers],[BOM Cases]:[EOM Cases]],0)),
$S$11=$AA$35,INDEX($AA$37:$AX$79,MATCH(X18,Regular_cases_jan[[Nurse]:[Nurse]],0),MATCH($V$11,Regular_cases_jul[[#Headers],[BOM Cases]:[EOM Cases]],0)),
$S$11=$AE$35,INDEX($AE$37:$AX$79,MATCH(X18,Regular_cases_jan[[Nurse]:[Nurse]],0),MATCH($V$11,Regular_cases_Aug[[#Headers],[BOM Cases]:[EOM Cases]],0)),
$S$11=$AI$35,INDEX($AI$37:$AX$79,MATCH(X18,Regular_cases_jan[[Nurse]:[Nurse]],0),MATCH($V$11,Regular_cases_Sep[[#Headers],[BOM Cases]:[EOM Cases]],0)),
$S$11=$AM$35,INDEX($AM$37:$AX$79,MATCH(X18,Regular_cases_jan[[Nurse]:[Nurse]],0),MATCH($V$11,Regular_cases_Oct[[#Headers],[BOM Cases]:[EOM Cases]],0)),
$S$11=$AQ$35,INDEX($AQ$37:$AX$79,MATCH(X18,Regular_cases_jan[[Nurse]:[Nurse]],0),MATCH($V$11,Regular_cases_Nov[[#Headers],[BOM Cases]:[EOM Cases]],0)),
$S$11=$AU$35,INDEX($AU$37:$AX$85,MATCH(X18,Regular_cases_jan[[Nurse]:[Nurse]],0),MATCH($V$11,Regular_cases_Dec[[#Headers],[BOM Cases]:[EOM Cases]],0))
),
_xlfn.IFS(
$S$11=$AZ$35,INDEX($AZ$37:$CU$79,MATCH(X18,Regular_cases_jan[[Nurse]:[Nurse]],0),MATCH($V$11,Eip_cases_jan[#Headers],0)),
$S$11=$BD$35,INDEX($BD$37:$CU$79,MATCH(X18,Regular_cases_jan[[Nurse]:[Nurse]],0),MATCH($V$11,Eip_cases_feb[#Headers],0)),
$S$11=$BH$35,INDEX($BH$37:$CU$79,MATCH(X18,Regular_cases_jan[[Nurse]:[Nurse]],0),MATCH($V$11,Eip_cases_mar[#Headers],0)),
$S$11=$BL$35,INDEX($BL$37:$CU$79,MATCH(X18,Regular_cases_jan[[Nurse]:[Nurse]],0),MATCH($V$11,Eip_cases_Apr[#Headers],0)),
$S$11=$BP$35,INDEX($BP$37:$CU$79,MATCH(X18,Regular_cases_jan[[Nurse]:[Nurse]],0),MATCH($V$11,Eip_cases_May[#Headers],0)),
$S$11=$BT$35,INDEX($BT$37:$CU$79,MATCH(X18,Regular_cases_jan[[Nurse]:[Nurse]],0),MATCH($V$11,Eip_cases_Jun[#Headers],0)),
$S$11=$BX$35,INDEX($BX$37:$CU$79,MATCH(X18,Regular_cases_jan[[Nurse]:[Nurse]],0),MATCH($V$11,Eip_cases_Jul[#Headers],0)),
$S$11=$CB$35,INDEX($CB$37:$CU$79,MATCH(X18,Regular_cases_jan[[Nurse]:[Nurse]],0),MATCH($V$11,Eip_cases_Aug[#Headers],0)),
$S$11=$CF$35,INDEX($CF$37:$CU$79,MATCH(X18,Regular_cases_jan[[Nurse]:[Nurse]],0),MATCH($V$11,Eip_cases_Sep[#Headers],0)),
$S$11=$CJ$35,INDEX($CJ$37:$CU$79,MATCH(X18,Regular_cases_jan[[Nurse]:[Nurse]],0),MATCH($V$11,Eip_cases_Oct[#Headers],0)),
$S$11=$CN$35,INDEX($CN$37:$CU$79,MATCH(X18,Regular_cases_jan[[Nurse]:[Nurse]],0),MATCH($V$11,Eip_cases_Nov[#Headers],0)),
$S$11=$CR$35,INDEX($CR$37:$CU$85,MATCH(X18,Regular_cases_jan[[Nurse]:[Nurse]],0),MATCH($V$11,Eip_cases_Dec[#Headers],0))
))</f>
        <v>6</v>
      </c>
      <c r="Y19" s="397" cm="1">
        <f t="array" ref="Y19">IF($P$11=$P$9,
_xlfn.IFS(
$S$11=$C$35,INDEX($C$37:$AX$79,MATCH(Y18,Regular_cases_jan[[Nurse]:[Nurse]],0),MATCH($V$11,Regular_cases_jan[[#Headers],[BOM Cases]:[EOM Cases]],0)),
$S$11=$G$35,INDEX($G$37:$AX$79,MATCH(Y18,Regular_cases_jan[[Nurse]:[Nurse]],0),MATCH($V$11,Regular_cases_feb[[#Headers],[BOM Cases]:[EOM Cases]],0)),
$S$11=$K$35,INDEX($K$37:$AX$79,MATCH(Y18,Regular_cases_jan[[Nurse]:[Nurse]],0),MATCH($V$11,Regular_cases_mar[[#Headers],[BOM Cases]:[EOM Cases]],0)),
$S$11=$O$35,INDEX($O$37:$AX$79,MATCH(Y18,Regular_cases_jan[[Nurse]:[Nurse]],0),MATCH($V$11,Regular_cases_apr[[#Headers],[BOM Cases]:[EOM Cases]],0)),
$S$11=$S$35,INDEX($S$37:$AX$79,MATCH(Y18,Regular_cases_jan[[Nurse]:[Nurse]],0),MATCH($V$11,Regular_cases_may[[#Headers],[BOM Cases]:[EOM Cases]],0)),
$S$11=$W$35,INDEX($W$37:$AX$79,MATCH(Y18,Regular_cases_jan[[Nurse]:[Nurse]],0),MATCH($V$11,Regular_cases_jun[[#Headers],[BOM Cases]:[EOM Cases]],0)),
$S$11=$AA$35,INDEX($AA$37:$AX$79,MATCH(Y18,Regular_cases_jan[[Nurse]:[Nurse]],0),MATCH($V$11,Regular_cases_jul[[#Headers],[BOM Cases]:[EOM Cases]],0)),
$S$11=$AE$35,INDEX($AE$37:$AX$79,MATCH(Y18,Regular_cases_jan[[Nurse]:[Nurse]],0),MATCH($V$11,Regular_cases_Aug[[#Headers],[BOM Cases]:[EOM Cases]],0)),
$S$11=$AI$35,INDEX($AI$37:$AX$79,MATCH(Y18,Regular_cases_jan[[Nurse]:[Nurse]],0),MATCH($V$11,Regular_cases_Sep[[#Headers],[BOM Cases]:[EOM Cases]],0)),
$S$11=$AM$35,INDEX($AM$37:$AX$79,MATCH(Y18,Regular_cases_jan[[Nurse]:[Nurse]],0),MATCH($V$11,Regular_cases_Oct[[#Headers],[BOM Cases]:[EOM Cases]],0)),
$S$11=$AQ$35,INDEX($AQ$37:$AX$79,MATCH(Y18,Regular_cases_jan[[Nurse]:[Nurse]],0),MATCH($V$11,Regular_cases_Nov[[#Headers],[BOM Cases]:[EOM Cases]],0)),
$S$11=$AU$35,INDEX($AU$37:$AX$85,MATCH(Y18,Regular_cases_jan[[Nurse]:[Nurse]],0),MATCH($V$11,Regular_cases_Dec[[#Headers],[BOM Cases]:[EOM Cases]],0))
),
_xlfn.IFS(
$S$11=$AZ$35,INDEX($AZ$37:$CU$79,MATCH(Y18,Regular_cases_jan[[Nurse]:[Nurse]],0),MATCH($V$11,Eip_cases_jan[#Headers],0)),
$S$11=$BD$35,INDEX($BD$37:$CU$79,MATCH(Y18,Regular_cases_jan[[Nurse]:[Nurse]],0),MATCH($V$11,Eip_cases_feb[#Headers],0)),
$S$11=$BH$35,INDEX($BH$37:$CU$79,MATCH(Y18,Regular_cases_jan[[Nurse]:[Nurse]],0),MATCH($V$11,Eip_cases_mar[#Headers],0)),
$S$11=$BL$35,INDEX($BL$37:$CU$79,MATCH(Y18,Regular_cases_jan[[Nurse]:[Nurse]],0),MATCH($V$11,Eip_cases_Apr[#Headers],0)),
$S$11=$BP$35,INDEX($BP$37:$CU$79,MATCH(Y18,Regular_cases_jan[[Nurse]:[Nurse]],0),MATCH($V$11,Eip_cases_May[#Headers],0)),
$S$11=$BT$35,INDEX($BT$37:$CU$79,MATCH(Y18,Regular_cases_jan[[Nurse]:[Nurse]],0),MATCH($V$11,Eip_cases_Jun[#Headers],0)),
$S$11=$BX$35,INDEX($BX$37:$CU$79,MATCH(Y18,Regular_cases_jan[[Nurse]:[Nurse]],0),MATCH($V$11,Eip_cases_Jul[#Headers],0)),
$S$11=$CB$35,INDEX($CB$37:$CU$79,MATCH(Y18,Regular_cases_jan[[Nurse]:[Nurse]],0),MATCH($V$11,Eip_cases_Aug[#Headers],0)),
$S$11=$CF$35,INDEX($CF$37:$CU$79,MATCH(Y18,Regular_cases_jan[[Nurse]:[Nurse]],0),MATCH($V$11,Eip_cases_Sep[#Headers],0)),
$S$11=$CJ$35,INDEX($CJ$37:$CU$79,MATCH(Y18,Regular_cases_jan[[Nurse]:[Nurse]],0),MATCH($V$11,Eip_cases_Oct[#Headers],0)),
$S$11=$CN$35,INDEX($CN$37:$CU$79,MATCH(Y18,Regular_cases_jan[[Nurse]:[Nurse]],0),MATCH($V$11,Eip_cases_Nov[#Headers],0)),
$S$11=$CR$35,INDEX($CR$37:$CU$85,MATCH(Y18,Regular_cases_jan[[Nurse]:[Nurse]],0),MATCH($V$11,Eip_cases_Dec[#Headers],0))
))</f>
        <v>4</v>
      </c>
      <c r="Z19" s="397" cm="1">
        <f t="array" ref="Z19">IF($P$11=$P$9,
_xlfn.IFS(
$S$11=$C$35,INDEX($C$37:$AX$79,MATCH(Z18,Regular_cases_jan[[Nurse]:[Nurse]],0),MATCH($V$11,Regular_cases_jan[[#Headers],[BOM Cases]:[EOM Cases]],0)),
$S$11=$G$35,INDEX($G$37:$AX$79,MATCH(Z18,Regular_cases_jan[[Nurse]:[Nurse]],0),MATCH($V$11,Regular_cases_feb[[#Headers],[BOM Cases]:[EOM Cases]],0)),
$S$11=$K$35,INDEX($K$37:$AX$79,MATCH(Z18,Regular_cases_jan[[Nurse]:[Nurse]],0),MATCH($V$11,Regular_cases_mar[[#Headers],[BOM Cases]:[EOM Cases]],0)),
$S$11=$O$35,INDEX($O$37:$AX$79,MATCH(Z18,Regular_cases_jan[[Nurse]:[Nurse]],0),MATCH($V$11,Regular_cases_apr[[#Headers],[BOM Cases]:[EOM Cases]],0)),
$S$11=$S$35,INDEX($S$37:$AX$79,MATCH(Z18,Regular_cases_jan[[Nurse]:[Nurse]],0),MATCH($V$11,Regular_cases_may[[#Headers],[BOM Cases]:[EOM Cases]],0)),
$S$11=$W$35,INDEX($W$37:$AX$79,MATCH(Z18,Regular_cases_jan[[Nurse]:[Nurse]],0),MATCH($V$11,Regular_cases_jun[[#Headers],[BOM Cases]:[EOM Cases]],0)),
$S$11=$AA$35,INDEX($AA$37:$AX$79,MATCH(Z18,Regular_cases_jan[[Nurse]:[Nurse]],0),MATCH($V$11,Regular_cases_jul[[#Headers],[BOM Cases]:[EOM Cases]],0)),
$S$11=$AE$35,INDEX($AE$37:$AX$79,MATCH(Z18,Regular_cases_jan[[Nurse]:[Nurse]],0),MATCH($V$11,Regular_cases_Aug[[#Headers],[BOM Cases]:[EOM Cases]],0)),
$S$11=$AI$35,INDEX($AI$37:$AX$79,MATCH(Z18,Regular_cases_jan[[Nurse]:[Nurse]],0),MATCH($V$11,Regular_cases_Sep[[#Headers],[BOM Cases]:[EOM Cases]],0)),
$S$11=$AM$35,INDEX($AM$37:$AX$79,MATCH(Z18,Regular_cases_jan[[Nurse]:[Nurse]],0),MATCH($V$11,Regular_cases_Oct[[#Headers],[BOM Cases]:[EOM Cases]],0)),
$S$11=$AQ$35,INDEX($AQ$37:$AX$79,MATCH(Z18,Regular_cases_jan[[Nurse]:[Nurse]],0),MATCH($V$11,Regular_cases_Nov[[#Headers],[BOM Cases]:[EOM Cases]],0)),
$S$11=$AU$35,INDEX($AU$37:$AX$85,MATCH(Z18,Regular_cases_jan[[Nurse]:[Nurse]],0),MATCH($V$11,Regular_cases_Dec[[#Headers],[BOM Cases]:[EOM Cases]],0))
),
_xlfn.IFS(
$S$11=$AZ$35,INDEX($AZ$37:$CU$79,MATCH(Z18,Regular_cases_jan[[Nurse]:[Nurse]],0),MATCH($V$11,Eip_cases_jan[#Headers],0)),
$S$11=$BD$35,INDEX($BD$37:$CU$79,MATCH(Z18,Regular_cases_jan[[Nurse]:[Nurse]],0),MATCH($V$11,Eip_cases_feb[#Headers],0)),
$S$11=$BH$35,INDEX($BH$37:$CU$79,MATCH(Z18,Regular_cases_jan[[Nurse]:[Nurse]],0),MATCH($V$11,Eip_cases_mar[#Headers],0)),
$S$11=$BL$35,INDEX($BL$37:$CU$79,MATCH(Z18,Regular_cases_jan[[Nurse]:[Nurse]],0),MATCH($V$11,Eip_cases_Apr[#Headers],0)),
$S$11=$BP$35,INDEX($BP$37:$CU$79,MATCH(Z18,Regular_cases_jan[[Nurse]:[Nurse]],0),MATCH($V$11,Eip_cases_May[#Headers],0)),
$S$11=$BT$35,INDEX($BT$37:$CU$79,MATCH(Z18,Regular_cases_jan[[Nurse]:[Nurse]],0),MATCH($V$11,Eip_cases_Jun[#Headers],0)),
$S$11=$BX$35,INDEX($BX$37:$CU$79,MATCH(Z18,Regular_cases_jan[[Nurse]:[Nurse]],0),MATCH($V$11,Eip_cases_Jul[#Headers],0)),
$S$11=$CB$35,INDEX($CB$37:$CU$79,MATCH(Z18,Regular_cases_jan[[Nurse]:[Nurse]],0),MATCH($V$11,Eip_cases_Aug[#Headers],0)),
$S$11=$CF$35,INDEX($CF$37:$CU$79,MATCH(Z18,Regular_cases_jan[[Nurse]:[Nurse]],0),MATCH($V$11,Eip_cases_Sep[#Headers],0)),
$S$11=$CJ$35,INDEX($CJ$37:$CU$79,MATCH(Z18,Regular_cases_jan[[Nurse]:[Nurse]],0),MATCH($V$11,Eip_cases_Oct[#Headers],0)),
$S$11=$CN$35,INDEX($CN$37:$CU$79,MATCH(Z18,Regular_cases_jan[[Nurse]:[Nurse]],0),MATCH($V$11,Eip_cases_Nov[#Headers],0)),
$S$11=$CR$35,INDEX($CR$37:$CU$85,MATCH(Z18,Regular_cases_jan[[Nurse]:[Nurse]],0),MATCH($V$11,Eip_cases_Dec[#Headers],0))
))</f>
        <v>2</v>
      </c>
      <c r="AA19" s="397" cm="1">
        <f t="array" ref="AA19">IF($P$11=$P$9,
_xlfn.IFS(
$S$11=$C$35,INDEX($C$37:$AX$79,MATCH(AA18,Regular_cases_jan[[Nurse]:[Nurse]],0),MATCH($V$11,Regular_cases_jan[[#Headers],[BOM Cases]:[EOM Cases]],0)),
$S$11=$G$35,INDEX($G$37:$AX$79,MATCH(AA18,Regular_cases_jan[[Nurse]:[Nurse]],0),MATCH($V$11,Regular_cases_feb[[#Headers],[BOM Cases]:[EOM Cases]],0)),
$S$11=$K$35,INDEX($K$37:$AX$79,MATCH(AA18,Regular_cases_jan[[Nurse]:[Nurse]],0),MATCH($V$11,Regular_cases_mar[[#Headers],[BOM Cases]:[EOM Cases]],0)),
$S$11=$O$35,INDEX($O$37:$AX$79,MATCH(AA18,Regular_cases_jan[[Nurse]:[Nurse]],0),MATCH($V$11,Regular_cases_apr[[#Headers],[BOM Cases]:[EOM Cases]],0)),
$S$11=$S$35,INDEX($S$37:$AX$79,MATCH(AA18,Regular_cases_jan[[Nurse]:[Nurse]],0),MATCH($V$11,Regular_cases_may[[#Headers],[BOM Cases]:[EOM Cases]],0)),
$S$11=$W$35,INDEX($W$37:$AX$79,MATCH(AA18,Regular_cases_jan[[Nurse]:[Nurse]],0),MATCH($V$11,Regular_cases_jun[[#Headers],[BOM Cases]:[EOM Cases]],0)),
$S$11=$AA$35,INDEX($AA$37:$AX$79,MATCH(AA18,Regular_cases_jan[[Nurse]:[Nurse]],0),MATCH($V$11,Regular_cases_jul[[#Headers],[BOM Cases]:[EOM Cases]],0)),
$S$11=$AE$35,INDEX($AE$37:$AX$79,MATCH(AA18,Regular_cases_jan[[Nurse]:[Nurse]],0),MATCH($V$11,Regular_cases_Aug[[#Headers],[BOM Cases]:[EOM Cases]],0)),
$S$11=$AI$35,INDEX($AI$37:$AX$79,MATCH(AA18,Regular_cases_jan[[Nurse]:[Nurse]],0),MATCH($V$11,Regular_cases_Sep[[#Headers],[BOM Cases]:[EOM Cases]],0)),
$S$11=$AM$35,INDEX($AM$37:$AX$79,MATCH(AA18,Regular_cases_jan[[Nurse]:[Nurse]],0),MATCH($V$11,Regular_cases_Oct[[#Headers],[BOM Cases]:[EOM Cases]],0)),
$S$11=$AQ$35,INDEX($AQ$37:$AX$79,MATCH(AA18,Regular_cases_jan[[Nurse]:[Nurse]],0),MATCH($V$11,Regular_cases_Nov[[#Headers],[BOM Cases]:[EOM Cases]],0)),
$S$11=$AU$35,INDEX($AU$37:$AX$85,MATCH(AA18,Regular_cases_jan[[Nurse]:[Nurse]],0),MATCH($V$11,Regular_cases_Dec[[#Headers],[BOM Cases]:[EOM Cases]],0))
),
_xlfn.IFS(
$S$11=$AZ$35,INDEX($AZ$37:$CU$79,MATCH(AA18,Regular_cases_jan[[Nurse]:[Nurse]],0),MATCH($V$11,Eip_cases_jan[#Headers],0)),
$S$11=$BD$35,INDEX($BD$37:$CU$79,MATCH(AA18,Regular_cases_jan[[Nurse]:[Nurse]],0),MATCH($V$11,Eip_cases_feb[#Headers],0)),
$S$11=$BH$35,INDEX($BH$37:$CU$79,MATCH(AA18,Regular_cases_jan[[Nurse]:[Nurse]],0),MATCH($V$11,Eip_cases_mar[#Headers],0)),
$S$11=$BL$35,INDEX($BL$37:$CU$79,MATCH(AA18,Regular_cases_jan[[Nurse]:[Nurse]],0),MATCH($V$11,Eip_cases_Apr[#Headers],0)),
$S$11=$BP$35,INDEX($BP$37:$CU$79,MATCH(AA18,Regular_cases_jan[[Nurse]:[Nurse]],0),MATCH($V$11,Eip_cases_May[#Headers],0)),
$S$11=$BT$35,INDEX($BT$37:$CU$79,MATCH(AA18,Regular_cases_jan[[Nurse]:[Nurse]],0),MATCH($V$11,Eip_cases_Jun[#Headers],0)),
$S$11=$BX$35,INDEX($BX$37:$CU$79,MATCH(AA18,Regular_cases_jan[[Nurse]:[Nurse]],0),MATCH($V$11,Eip_cases_Jul[#Headers],0)),
$S$11=$CB$35,INDEX($CB$37:$CU$79,MATCH(AA18,Regular_cases_jan[[Nurse]:[Nurse]],0),MATCH($V$11,Eip_cases_Aug[#Headers],0)),
$S$11=$CF$35,INDEX($CF$37:$CU$79,MATCH(AA18,Regular_cases_jan[[Nurse]:[Nurse]],0),MATCH($V$11,Eip_cases_Sep[#Headers],0)),
$S$11=$CJ$35,INDEX($CJ$37:$CU$79,MATCH(AA18,Regular_cases_jan[[Nurse]:[Nurse]],0),MATCH($V$11,Eip_cases_Oct[#Headers],0)),
$S$11=$CN$35,INDEX($CN$37:$CU$79,MATCH(AA18,Regular_cases_jan[[Nurse]:[Nurse]],0),MATCH($V$11,Eip_cases_Nov[#Headers],0)),
$S$11=$CR$35,INDEX($CR$37:$CU$85,MATCH(AA18,Regular_cases_jan[[Nurse]:[Nurse]],0),MATCH($V$11,Eip_cases_Dec[#Headers],0))
))</f>
        <v>1</v>
      </c>
      <c r="AB19" s="397" cm="1">
        <f t="array" ref="AB19">IF($P$11=$P$9,
_xlfn.IFS(
$S$11=$C$35,INDEX($C$37:$AX$79,MATCH(AB18,Regular_cases_jan[[Nurse]:[Nurse]],0),MATCH($V$11,Regular_cases_jan[[#Headers],[BOM Cases]:[EOM Cases]],0)),
$S$11=$G$35,INDEX($G$37:$AX$79,MATCH(AB18,Regular_cases_jan[[Nurse]:[Nurse]],0),MATCH($V$11,Regular_cases_feb[[#Headers],[BOM Cases]:[EOM Cases]],0)),
$S$11=$K$35,INDEX($K$37:$AX$79,MATCH(AB18,Regular_cases_jan[[Nurse]:[Nurse]],0),MATCH($V$11,Regular_cases_mar[[#Headers],[BOM Cases]:[EOM Cases]],0)),
$S$11=$O$35,INDEX($O$37:$AX$79,MATCH(AB18,Regular_cases_jan[[Nurse]:[Nurse]],0),MATCH($V$11,Regular_cases_apr[[#Headers],[BOM Cases]:[EOM Cases]],0)),
$S$11=$S$35,INDEX($S$37:$AX$79,MATCH(AB18,Regular_cases_jan[[Nurse]:[Nurse]],0),MATCH($V$11,Regular_cases_may[[#Headers],[BOM Cases]:[EOM Cases]],0)),
$S$11=$W$35,INDEX($W$37:$AX$79,MATCH(AB18,Regular_cases_jan[[Nurse]:[Nurse]],0),MATCH($V$11,Regular_cases_jun[[#Headers],[BOM Cases]:[EOM Cases]],0)),
$S$11=$AA$35,INDEX($AA$37:$AX$79,MATCH(AB18,Regular_cases_jan[[Nurse]:[Nurse]],0),MATCH($V$11,Regular_cases_jul[[#Headers],[BOM Cases]:[EOM Cases]],0)),
$S$11=$AE$35,INDEX($AE$37:$AX$79,MATCH(AB18,Regular_cases_jan[[Nurse]:[Nurse]],0),MATCH($V$11,Regular_cases_Aug[[#Headers],[BOM Cases]:[EOM Cases]],0)),
$S$11=$AI$35,INDEX($AI$37:$AX$79,MATCH(AB18,Regular_cases_jan[[Nurse]:[Nurse]],0),MATCH($V$11,Regular_cases_Sep[[#Headers],[BOM Cases]:[EOM Cases]],0)),
$S$11=$AM$35,INDEX($AM$37:$AX$79,MATCH(AB18,Regular_cases_jan[[Nurse]:[Nurse]],0),MATCH($V$11,Regular_cases_Oct[[#Headers],[BOM Cases]:[EOM Cases]],0)),
$S$11=$AQ$35,INDEX($AQ$37:$AX$79,MATCH(AB18,Regular_cases_jan[[Nurse]:[Nurse]],0),MATCH($V$11,Regular_cases_Nov[[#Headers],[BOM Cases]:[EOM Cases]],0)),
$S$11=$AU$35,INDEX($AU$37:$AX$85,MATCH(AB18,Regular_cases_jan[[Nurse]:[Nurse]],0),MATCH($V$11,Regular_cases_Dec[[#Headers],[BOM Cases]:[EOM Cases]],0))
),
_xlfn.IFS(
$S$11=$AZ$35,INDEX($AZ$37:$CU$79,MATCH(AB18,Regular_cases_jan[[Nurse]:[Nurse]],0),MATCH($V$11,Eip_cases_jan[#Headers],0)),
$S$11=$BD$35,INDEX($BD$37:$CU$79,MATCH(AB18,Regular_cases_jan[[Nurse]:[Nurse]],0),MATCH($V$11,Eip_cases_feb[#Headers],0)),
$S$11=$BH$35,INDEX($BH$37:$CU$79,MATCH(AB18,Regular_cases_jan[[Nurse]:[Nurse]],0),MATCH($V$11,Eip_cases_mar[#Headers],0)),
$S$11=$BL$35,INDEX($BL$37:$CU$79,MATCH(AB18,Regular_cases_jan[[Nurse]:[Nurse]],0),MATCH($V$11,Eip_cases_Apr[#Headers],0)),
$S$11=$BP$35,INDEX($BP$37:$CU$79,MATCH(AB18,Regular_cases_jan[[Nurse]:[Nurse]],0),MATCH($V$11,Eip_cases_May[#Headers],0)),
$S$11=$BT$35,INDEX($BT$37:$CU$79,MATCH(AB18,Regular_cases_jan[[Nurse]:[Nurse]],0),MATCH($V$11,Eip_cases_Jun[#Headers],0)),
$S$11=$BX$35,INDEX($BX$37:$CU$79,MATCH(AB18,Regular_cases_jan[[Nurse]:[Nurse]],0),MATCH($V$11,Eip_cases_Jul[#Headers],0)),
$S$11=$CB$35,INDEX($CB$37:$CU$79,MATCH(AB18,Regular_cases_jan[[Nurse]:[Nurse]],0),MATCH($V$11,Eip_cases_Aug[#Headers],0)),
$S$11=$CF$35,INDEX($CF$37:$CU$79,MATCH(AB18,Regular_cases_jan[[Nurse]:[Nurse]],0),MATCH($V$11,Eip_cases_Sep[#Headers],0)),
$S$11=$CJ$35,INDEX($CJ$37:$CU$79,MATCH(AB18,Regular_cases_jan[[Nurse]:[Nurse]],0),MATCH($V$11,Eip_cases_Oct[#Headers],0)),
$S$11=$CN$35,INDEX($CN$37:$CU$79,MATCH(AB18,Regular_cases_jan[[Nurse]:[Nurse]],0),MATCH($V$11,Eip_cases_Nov[#Headers],0)),
$S$11=$CR$35,INDEX($CR$37:$CU$85,MATCH(AB18,Regular_cases_jan[[Nurse]:[Nurse]],0),MATCH($V$11,Eip_cases_Dec[#Headers],0))
))</f>
        <v>2</v>
      </c>
      <c r="AC19" s="397" cm="1">
        <f t="array" ref="AC19">IF($P$11=$P$9,
_xlfn.IFS(
$S$11=$C$35,INDEX($C$37:$AX$79,MATCH(AC18,Regular_cases_jan[[Nurse]:[Nurse]],0),MATCH($V$11,Regular_cases_jan[[#Headers],[BOM Cases]:[EOM Cases]],0)),
$S$11=$G$35,INDEX($G$37:$AX$79,MATCH(AC18,Regular_cases_jan[[Nurse]:[Nurse]],0),MATCH($V$11,Regular_cases_feb[[#Headers],[BOM Cases]:[EOM Cases]],0)),
$S$11=$K$35,INDEX($K$37:$AX$79,MATCH(AC18,Regular_cases_jan[[Nurse]:[Nurse]],0),MATCH($V$11,Regular_cases_mar[[#Headers],[BOM Cases]:[EOM Cases]],0)),
$S$11=$O$35,INDEX($O$37:$AX$79,MATCH(AC18,Regular_cases_jan[[Nurse]:[Nurse]],0),MATCH($V$11,Regular_cases_apr[[#Headers],[BOM Cases]:[EOM Cases]],0)),
$S$11=$S$35,INDEX($S$37:$AX$79,MATCH(AC18,Regular_cases_jan[[Nurse]:[Nurse]],0),MATCH($V$11,Regular_cases_may[[#Headers],[BOM Cases]:[EOM Cases]],0)),
$S$11=$W$35,INDEX($W$37:$AX$79,MATCH(AC18,Regular_cases_jan[[Nurse]:[Nurse]],0),MATCH($V$11,Regular_cases_jun[[#Headers],[BOM Cases]:[EOM Cases]],0)),
$S$11=$AA$35,INDEX($AA$37:$AX$79,MATCH(AC18,Regular_cases_jan[[Nurse]:[Nurse]],0),MATCH($V$11,Regular_cases_jul[[#Headers],[BOM Cases]:[EOM Cases]],0)),
$S$11=$AE$35,INDEX($AE$37:$AX$79,MATCH(AC18,Regular_cases_jan[[Nurse]:[Nurse]],0),MATCH($V$11,Regular_cases_Aug[[#Headers],[BOM Cases]:[EOM Cases]],0)),
$S$11=$AI$35,INDEX($AI$37:$AX$79,MATCH(AC18,Regular_cases_jan[[Nurse]:[Nurse]],0),MATCH($V$11,Regular_cases_Sep[[#Headers],[BOM Cases]:[EOM Cases]],0)),
$S$11=$AM$35,INDEX($AM$37:$AX$79,MATCH(AC18,Regular_cases_jan[[Nurse]:[Nurse]],0),MATCH($V$11,Regular_cases_Oct[[#Headers],[BOM Cases]:[EOM Cases]],0)),
$S$11=$AQ$35,INDEX($AQ$37:$AX$79,MATCH(AC18,Regular_cases_jan[[Nurse]:[Nurse]],0),MATCH($V$11,Regular_cases_Nov[[#Headers],[BOM Cases]:[EOM Cases]],0)),
$S$11=$AU$35,INDEX($AU$37:$AX$85,MATCH(AC18,Regular_cases_jan[[Nurse]:[Nurse]],0),MATCH($V$11,Regular_cases_Dec[[#Headers],[BOM Cases]:[EOM Cases]],0))
),
_xlfn.IFS(
$S$11=$AZ$35,INDEX($AZ$37:$CU$79,MATCH(AC18,Regular_cases_jan[[Nurse]:[Nurse]],0),MATCH($V$11,Eip_cases_jan[#Headers],0)),
$S$11=$BD$35,INDEX($BD$37:$CU$79,MATCH(AC18,Regular_cases_jan[[Nurse]:[Nurse]],0),MATCH($V$11,Eip_cases_feb[#Headers],0)),
$S$11=$BH$35,INDEX($BH$37:$CU$79,MATCH(AC18,Regular_cases_jan[[Nurse]:[Nurse]],0),MATCH($V$11,Eip_cases_mar[#Headers],0)),
$S$11=$BL$35,INDEX($BL$37:$CU$79,MATCH(AC18,Regular_cases_jan[[Nurse]:[Nurse]],0),MATCH($V$11,Eip_cases_Apr[#Headers],0)),
$S$11=$BP$35,INDEX($BP$37:$CU$79,MATCH(AC18,Regular_cases_jan[[Nurse]:[Nurse]],0),MATCH($V$11,Eip_cases_May[#Headers],0)),
$S$11=$BT$35,INDEX($BT$37:$CU$79,MATCH(AC18,Regular_cases_jan[[Nurse]:[Nurse]],0),MATCH($V$11,Eip_cases_Jun[#Headers],0)),
$S$11=$BX$35,INDEX($BX$37:$CU$79,MATCH(AC18,Regular_cases_jan[[Nurse]:[Nurse]],0),MATCH($V$11,Eip_cases_Jul[#Headers],0)),
$S$11=$CB$35,INDEX($CB$37:$CU$79,MATCH(AC18,Regular_cases_jan[[Nurse]:[Nurse]],0),MATCH($V$11,Eip_cases_Aug[#Headers],0)),
$S$11=$CF$35,INDEX($CF$37:$CU$79,MATCH(AC18,Regular_cases_jan[[Nurse]:[Nurse]],0),MATCH($V$11,Eip_cases_Sep[#Headers],0)),
$S$11=$CJ$35,INDEX($CJ$37:$CU$79,MATCH(AC18,Regular_cases_jan[[Nurse]:[Nurse]],0),MATCH($V$11,Eip_cases_Oct[#Headers],0)),
$S$11=$CN$35,INDEX($CN$37:$CU$79,MATCH(AC18,Regular_cases_jan[[Nurse]:[Nurse]],0),MATCH($V$11,Eip_cases_Nov[#Headers],0)),
$S$11=$CR$35,INDEX($CR$37:$CU$85,MATCH(AC18,Regular_cases_jan[[Nurse]:[Nurse]],0),MATCH($V$11,Eip_cases_Dec[#Headers],0))
))</f>
        <v>4</v>
      </c>
      <c r="AD19" s="397" cm="1">
        <f t="array" ref="AD19">IF($P$11=$P$9,
_xlfn.IFS(
$S$11=$C$35,INDEX($C$37:$AX$79,MATCH(AD18,Regular_cases_jan[[Nurse]:[Nurse]],0),MATCH($V$11,Regular_cases_jan[[#Headers],[BOM Cases]:[EOM Cases]],0)),
$S$11=$G$35,INDEX($G$37:$AX$79,MATCH(AD18,Regular_cases_jan[[Nurse]:[Nurse]],0),MATCH($V$11,Regular_cases_feb[[#Headers],[BOM Cases]:[EOM Cases]],0)),
$S$11=$K$35,INDEX($K$37:$AX$79,MATCH(AD18,Regular_cases_jan[[Nurse]:[Nurse]],0),MATCH($V$11,Regular_cases_mar[[#Headers],[BOM Cases]:[EOM Cases]],0)),
$S$11=$O$35,INDEX($O$37:$AX$79,MATCH(AD18,Regular_cases_jan[[Nurse]:[Nurse]],0),MATCH($V$11,Regular_cases_apr[[#Headers],[BOM Cases]:[EOM Cases]],0)),
$S$11=$S$35,INDEX($S$37:$AX$79,MATCH(AD18,Regular_cases_jan[[Nurse]:[Nurse]],0),MATCH($V$11,Regular_cases_may[[#Headers],[BOM Cases]:[EOM Cases]],0)),
$S$11=$W$35,INDEX($W$37:$AX$79,MATCH(AD18,Regular_cases_jan[[Nurse]:[Nurse]],0),MATCH($V$11,Regular_cases_jun[[#Headers],[BOM Cases]:[EOM Cases]],0)),
$S$11=$AA$35,INDEX($AA$37:$AX$79,MATCH(AD18,Regular_cases_jan[[Nurse]:[Nurse]],0),MATCH($V$11,Regular_cases_jul[[#Headers],[BOM Cases]:[EOM Cases]],0)),
$S$11=$AE$35,INDEX($AE$37:$AX$79,MATCH(AD18,Regular_cases_jan[[Nurse]:[Nurse]],0),MATCH($V$11,Regular_cases_Aug[[#Headers],[BOM Cases]:[EOM Cases]],0)),
$S$11=$AI$35,INDEX($AI$37:$AX$79,MATCH(AD18,Regular_cases_jan[[Nurse]:[Nurse]],0),MATCH($V$11,Regular_cases_Sep[[#Headers],[BOM Cases]:[EOM Cases]],0)),
$S$11=$AM$35,INDEX($AM$37:$AX$79,MATCH(AD18,Regular_cases_jan[[Nurse]:[Nurse]],0),MATCH($V$11,Regular_cases_Oct[[#Headers],[BOM Cases]:[EOM Cases]],0)),
$S$11=$AQ$35,INDEX($AQ$37:$AX$79,MATCH(AD18,Regular_cases_jan[[Nurse]:[Nurse]],0),MATCH($V$11,Regular_cases_Nov[[#Headers],[BOM Cases]:[EOM Cases]],0)),
$S$11=$AU$35,INDEX($AU$37:$AX$85,MATCH(AD18,Regular_cases_jan[[Nurse]:[Nurse]],0),MATCH($V$11,Regular_cases_Dec[[#Headers],[BOM Cases]:[EOM Cases]],0))
),
_xlfn.IFS(
$S$11=$AZ$35,INDEX($AZ$37:$CU$79,MATCH(AD18,Regular_cases_jan[[Nurse]:[Nurse]],0),MATCH($V$11,Eip_cases_jan[#Headers],0)),
$S$11=$BD$35,INDEX($BD$37:$CU$79,MATCH(AD18,Regular_cases_jan[[Nurse]:[Nurse]],0),MATCH($V$11,Eip_cases_feb[#Headers],0)),
$S$11=$BH$35,INDEX($BH$37:$CU$79,MATCH(AD18,Regular_cases_jan[[Nurse]:[Nurse]],0),MATCH($V$11,Eip_cases_mar[#Headers],0)),
$S$11=$BL$35,INDEX($BL$37:$CU$79,MATCH(AD18,Regular_cases_jan[[Nurse]:[Nurse]],0),MATCH($V$11,Eip_cases_Apr[#Headers],0)),
$S$11=$BP$35,INDEX($BP$37:$CU$79,MATCH(AD18,Regular_cases_jan[[Nurse]:[Nurse]],0),MATCH($V$11,Eip_cases_May[#Headers],0)),
$S$11=$BT$35,INDEX($BT$37:$CU$79,MATCH(AD18,Regular_cases_jan[[Nurse]:[Nurse]],0),MATCH($V$11,Eip_cases_Jun[#Headers],0)),
$S$11=$BX$35,INDEX($BX$37:$CU$79,MATCH(AD18,Regular_cases_jan[[Nurse]:[Nurse]],0),MATCH($V$11,Eip_cases_Jul[#Headers],0)),
$S$11=$CB$35,INDEX($CB$37:$CU$79,MATCH(AD18,Regular_cases_jan[[Nurse]:[Nurse]],0),MATCH($V$11,Eip_cases_Aug[#Headers],0)),
$S$11=$CF$35,INDEX($CF$37:$CU$79,MATCH(AD18,Regular_cases_jan[[Nurse]:[Nurse]],0),MATCH($V$11,Eip_cases_Sep[#Headers],0)),
$S$11=$CJ$35,INDEX($CJ$37:$CU$79,MATCH(AD18,Regular_cases_jan[[Nurse]:[Nurse]],0),MATCH($V$11,Eip_cases_Oct[#Headers],0)),
$S$11=$CN$35,INDEX($CN$37:$CU$79,MATCH(AD18,Regular_cases_jan[[Nurse]:[Nurse]],0),MATCH($V$11,Eip_cases_Nov[#Headers],0)),
$S$11=$CR$35,INDEX($CR$37:$CU$85,MATCH(AD18,Regular_cases_jan[[Nurse]:[Nurse]],0),MATCH($V$11,Eip_cases_Dec[#Headers],0))
))</f>
        <v>0</v>
      </c>
      <c r="AE19" s="397" cm="1">
        <f t="array" ref="AE19">IF($P$11=$P$9,
_xlfn.IFS(
$S$11=$C$35,INDEX($C$37:$AX$79,MATCH(AE18,Regular_cases_jan[[Nurse]:[Nurse]],0),MATCH($V$11,Regular_cases_jan[[#Headers],[BOM Cases]:[EOM Cases]],0)),
$S$11=$G$35,INDEX($G$37:$AX$79,MATCH(AE18,Regular_cases_jan[[Nurse]:[Nurse]],0),MATCH($V$11,Regular_cases_feb[[#Headers],[BOM Cases]:[EOM Cases]],0)),
$S$11=$K$35,INDEX($K$37:$AX$79,MATCH(AE18,Regular_cases_jan[[Nurse]:[Nurse]],0),MATCH($V$11,Regular_cases_mar[[#Headers],[BOM Cases]:[EOM Cases]],0)),
$S$11=$O$35,INDEX($O$37:$AX$79,MATCH(AE18,Regular_cases_jan[[Nurse]:[Nurse]],0),MATCH($V$11,Regular_cases_apr[[#Headers],[BOM Cases]:[EOM Cases]],0)),
$S$11=$S$35,INDEX($S$37:$AX$79,MATCH(AE18,Regular_cases_jan[[Nurse]:[Nurse]],0),MATCH($V$11,Regular_cases_may[[#Headers],[BOM Cases]:[EOM Cases]],0)),
$S$11=$W$35,INDEX($W$37:$AX$79,MATCH(AE18,Regular_cases_jan[[Nurse]:[Nurse]],0),MATCH($V$11,Regular_cases_jun[[#Headers],[BOM Cases]:[EOM Cases]],0)),
$S$11=$AA$35,INDEX($AA$37:$AX$79,MATCH(AE18,Regular_cases_jan[[Nurse]:[Nurse]],0),MATCH($V$11,Regular_cases_jul[[#Headers],[BOM Cases]:[EOM Cases]],0)),
$S$11=$AE$35,INDEX($AE$37:$AX$79,MATCH(AE18,Regular_cases_jan[[Nurse]:[Nurse]],0),MATCH($V$11,Regular_cases_Aug[[#Headers],[BOM Cases]:[EOM Cases]],0)),
$S$11=$AI$35,INDEX($AI$37:$AX$79,MATCH(AE18,Regular_cases_jan[[Nurse]:[Nurse]],0),MATCH($V$11,Regular_cases_Sep[[#Headers],[BOM Cases]:[EOM Cases]],0)),
$S$11=$AM$35,INDEX($AM$37:$AX$79,MATCH(AE18,Regular_cases_jan[[Nurse]:[Nurse]],0),MATCH($V$11,Regular_cases_Oct[[#Headers],[BOM Cases]:[EOM Cases]],0)),
$S$11=$AQ$35,INDEX($AQ$37:$AX$79,MATCH(AE18,Regular_cases_jan[[Nurse]:[Nurse]],0),MATCH($V$11,Regular_cases_Nov[[#Headers],[BOM Cases]:[EOM Cases]],0)),
$S$11=$AU$35,INDEX($AU$37:$AX$85,MATCH(AE18,Regular_cases_jan[[Nurse]:[Nurse]],0),MATCH($V$11,Regular_cases_Dec[[#Headers],[BOM Cases]:[EOM Cases]],0))
),
_xlfn.IFS(
$S$11=$AZ$35,INDEX($AZ$37:$CU$79,MATCH(AE18,Regular_cases_jan[[Nurse]:[Nurse]],0),MATCH($V$11,Eip_cases_jan[#Headers],0)),
$S$11=$BD$35,INDEX($BD$37:$CU$79,MATCH(AE18,Regular_cases_jan[[Nurse]:[Nurse]],0),MATCH($V$11,Eip_cases_feb[#Headers],0)),
$S$11=$BH$35,INDEX($BH$37:$CU$79,MATCH(AE18,Regular_cases_jan[[Nurse]:[Nurse]],0),MATCH($V$11,Eip_cases_mar[#Headers],0)),
$S$11=$BL$35,INDEX($BL$37:$CU$79,MATCH(AE18,Regular_cases_jan[[Nurse]:[Nurse]],0),MATCH($V$11,Eip_cases_Apr[#Headers],0)),
$S$11=$BP$35,INDEX($BP$37:$CU$79,MATCH(AE18,Regular_cases_jan[[Nurse]:[Nurse]],0),MATCH($V$11,Eip_cases_May[#Headers],0)),
$S$11=$BT$35,INDEX($BT$37:$CU$79,MATCH(AE18,Regular_cases_jan[[Nurse]:[Nurse]],0),MATCH($V$11,Eip_cases_Jun[#Headers],0)),
$S$11=$BX$35,INDEX($BX$37:$CU$79,MATCH(AE18,Regular_cases_jan[[Nurse]:[Nurse]],0),MATCH($V$11,Eip_cases_Jul[#Headers],0)),
$S$11=$CB$35,INDEX($CB$37:$CU$79,MATCH(AE18,Regular_cases_jan[[Nurse]:[Nurse]],0),MATCH($V$11,Eip_cases_Aug[#Headers],0)),
$S$11=$CF$35,INDEX($CF$37:$CU$79,MATCH(AE18,Regular_cases_jan[[Nurse]:[Nurse]],0),MATCH($V$11,Eip_cases_Sep[#Headers],0)),
$S$11=$CJ$35,INDEX($CJ$37:$CU$79,MATCH(AE18,Regular_cases_jan[[Nurse]:[Nurse]],0),MATCH($V$11,Eip_cases_Oct[#Headers],0)),
$S$11=$CN$35,INDEX($CN$37:$CU$79,MATCH(AE18,Regular_cases_jan[[Nurse]:[Nurse]],0),MATCH($V$11,Eip_cases_Nov[#Headers],0)),
$S$11=$CR$35,INDEX($CR$37:$CU$85,MATCH(AE18,Regular_cases_jan[[Nurse]:[Nurse]],0),MATCH($V$11,Eip_cases_Dec[#Headers],0))
))</f>
        <v>2</v>
      </c>
      <c r="AF19" s="397" cm="1">
        <f t="array" ref="AF19">IF($P$11=$P$9,
_xlfn.IFS(
$S$11=$C$35,INDEX($C$37:$AX$79,MATCH(AF18,Regular_cases_jan[[Nurse]:[Nurse]],0),MATCH($V$11,Regular_cases_jan[[#Headers],[BOM Cases]:[EOM Cases]],0)),
$S$11=$G$35,INDEX($G$37:$AX$79,MATCH(AF18,Regular_cases_jan[[Nurse]:[Nurse]],0),MATCH($V$11,Regular_cases_feb[[#Headers],[BOM Cases]:[EOM Cases]],0)),
$S$11=$K$35,INDEX($K$37:$AX$79,MATCH(AF18,Regular_cases_jan[[Nurse]:[Nurse]],0),MATCH($V$11,Regular_cases_mar[[#Headers],[BOM Cases]:[EOM Cases]],0)),
$S$11=$O$35,INDEX($O$37:$AX$79,MATCH(AF18,Regular_cases_jan[[Nurse]:[Nurse]],0),MATCH($V$11,Regular_cases_apr[[#Headers],[BOM Cases]:[EOM Cases]],0)),
$S$11=$S$35,INDEX($S$37:$AX$79,MATCH(AF18,Regular_cases_jan[[Nurse]:[Nurse]],0),MATCH($V$11,Regular_cases_may[[#Headers],[BOM Cases]:[EOM Cases]],0)),
$S$11=$W$35,INDEX($W$37:$AX$79,MATCH(AF18,Regular_cases_jan[[Nurse]:[Nurse]],0),MATCH($V$11,Regular_cases_jun[[#Headers],[BOM Cases]:[EOM Cases]],0)),
$S$11=$AA$35,INDEX($AA$37:$AX$79,MATCH(AF18,Regular_cases_jan[[Nurse]:[Nurse]],0),MATCH($V$11,Regular_cases_jul[[#Headers],[BOM Cases]:[EOM Cases]],0)),
$S$11=$AE$35,INDEX($AE$37:$AX$79,MATCH(AF18,Regular_cases_jan[[Nurse]:[Nurse]],0),MATCH($V$11,Regular_cases_Aug[[#Headers],[BOM Cases]:[EOM Cases]],0)),
$S$11=$AI$35,INDEX($AI$37:$AX$79,MATCH(AF18,Regular_cases_jan[[Nurse]:[Nurse]],0),MATCH($V$11,Regular_cases_Sep[[#Headers],[BOM Cases]:[EOM Cases]],0)),
$S$11=$AM$35,INDEX($AM$37:$AX$79,MATCH(AF18,Regular_cases_jan[[Nurse]:[Nurse]],0),MATCH($V$11,Regular_cases_Oct[[#Headers],[BOM Cases]:[EOM Cases]],0)),
$S$11=$AQ$35,INDEX($AQ$37:$AX$79,MATCH(AF18,Regular_cases_jan[[Nurse]:[Nurse]],0),MATCH($V$11,Regular_cases_Nov[[#Headers],[BOM Cases]:[EOM Cases]],0)),
$S$11=$AU$35,INDEX($AU$37:$AX$85,MATCH(AF18,Regular_cases_jan[[Nurse]:[Nurse]],0),MATCH($V$11,Regular_cases_Dec[[#Headers],[BOM Cases]:[EOM Cases]],0))
),
_xlfn.IFS(
$S$11=$AZ$35,INDEX($AZ$37:$CU$79,MATCH(AF18,Regular_cases_jan[[Nurse]:[Nurse]],0),MATCH($V$11,Eip_cases_jan[#Headers],0)),
$S$11=$BD$35,INDEX($BD$37:$CU$79,MATCH(AF18,Regular_cases_jan[[Nurse]:[Nurse]],0),MATCH($V$11,Eip_cases_feb[#Headers],0)),
$S$11=$BH$35,INDEX($BH$37:$CU$79,MATCH(AF18,Regular_cases_jan[[Nurse]:[Nurse]],0),MATCH($V$11,Eip_cases_mar[#Headers],0)),
$S$11=$BL$35,INDEX($BL$37:$CU$79,MATCH(AF18,Regular_cases_jan[[Nurse]:[Nurse]],0),MATCH($V$11,Eip_cases_Apr[#Headers],0)),
$S$11=$BP$35,INDEX($BP$37:$CU$79,MATCH(AF18,Regular_cases_jan[[Nurse]:[Nurse]],0),MATCH($V$11,Eip_cases_May[#Headers],0)),
$S$11=$BT$35,INDEX($BT$37:$CU$79,MATCH(AF18,Regular_cases_jan[[Nurse]:[Nurse]],0),MATCH($V$11,Eip_cases_Jun[#Headers],0)),
$S$11=$BX$35,INDEX($BX$37:$CU$79,MATCH(AF18,Regular_cases_jan[[Nurse]:[Nurse]],0),MATCH($V$11,Eip_cases_Jul[#Headers],0)),
$S$11=$CB$35,INDEX($CB$37:$CU$79,MATCH(AF18,Regular_cases_jan[[Nurse]:[Nurse]],0),MATCH($V$11,Eip_cases_Aug[#Headers],0)),
$S$11=$CF$35,INDEX($CF$37:$CU$79,MATCH(AF18,Regular_cases_jan[[Nurse]:[Nurse]],0),MATCH($V$11,Eip_cases_Sep[#Headers],0)),
$S$11=$CJ$35,INDEX($CJ$37:$CU$79,MATCH(AF18,Regular_cases_jan[[Nurse]:[Nurse]],0),MATCH($V$11,Eip_cases_Oct[#Headers],0)),
$S$11=$CN$35,INDEX($CN$37:$CU$79,MATCH(AF18,Regular_cases_jan[[Nurse]:[Nurse]],0),MATCH($V$11,Eip_cases_Nov[#Headers],0)),
$S$11=$CR$35,INDEX($CR$37:$CU$85,MATCH(AF18,Regular_cases_jan[[Nurse]:[Nurse]],0),MATCH($V$11,Eip_cases_Dec[#Headers],0))
))</f>
        <v>3</v>
      </c>
      <c r="AG19" s="397" cm="1">
        <f t="array" ref="AG19">IF($P$11=$P$9,
_xlfn.IFS(
$S$11=$C$35,INDEX($C$37:$AX$79,MATCH(AG18,Regular_cases_jan[[Nurse]:[Nurse]],0),MATCH($V$11,Regular_cases_jan[[#Headers],[BOM Cases]:[EOM Cases]],0)),
$S$11=$G$35,INDEX($G$37:$AX$79,MATCH(AG18,Regular_cases_jan[[Nurse]:[Nurse]],0),MATCH($V$11,Regular_cases_feb[[#Headers],[BOM Cases]:[EOM Cases]],0)),
$S$11=$K$35,INDEX($K$37:$AX$79,MATCH(AG18,Regular_cases_jan[[Nurse]:[Nurse]],0),MATCH($V$11,Regular_cases_mar[[#Headers],[BOM Cases]:[EOM Cases]],0)),
$S$11=$O$35,INDEX($O$37:$AX$79,MATCH(AG18,Regular_cases_jan[[Nurse]:[Nurse]],0),MATCH($V$11,Regular_cases_apr[[#Headers],[BOM Cases]:[EOM Cases]],0)),
$S$11=$S$35,INDEX($S$37:$AX$79,MATCH(AG18,Regular_cases_jan[[Nurse]:[Nurse]],0),MATCH($V$11,Regular_cases_may[[#Headers],[BOM Cases]:[EOM Cases]],0)),
$S$11=$W$35,INDEX($W$37:$AX$79,MATCH(AG18,Regular_cases_jan[[Nurse]:[Nurse]],0),MATCH($V$11,Regular_cases_jun[[#Headers],[BOM Cases]:[EOM Cases]],0)),
$S$11=$AA$35,INDEX($AA$37:$AX$79,MATCH(AG18,Regular_cases_jan[[Nurse]:[Nurse]],0),MATCH($V$11,Regular_cases_jul[[#Headers],[BOM Cases]:[EOM Cases]],0)),
$S$11=$AE$35,INDEX($AE$37:$AX$79,MATCH(AG18,Regular_cases_jan[[Nurse]:[Nurse]],0),MATCH($V$11,Regular_cases_Aug[[#Headers],[BOM Cases]:[EOM Cases]],0)),
$S$11=$AI$35,INDEX($AI$37:$AX$79,MATCH(AG18,Regular_cases_jan[[Nurse]:[Nurse]],0),MATCH($V$11,Regular_cases_Sep[[#Headers],[BOM Cases]:[EOM Cases]],0)),
$S$11=$AM$35,INDEX($AM$37:$AX$79,MATCH(AG18,Regular_cases_jan[[Nurse]:[Nurse]],0),MATCH($V$11,Regular_cases_Oct[[#Headers],[BOM Cases]:[EOM Cases]],0)),
$S$11=$AQ$35,INDEX($AQ$37:$AX$79,MATCH(AG18,Regular_cases_jan[[Nurse]:[Nurse]],0),MATCH($V$11,Regular_cases_Nov[[#Headers],[BOM Cases]:[EOM Cases]],0)),
$S$11=$AU$35,INDEX($AU$37:$AX$85,MATCH(AG18,Regular_cases_jan[[Nurse]:[Nurse]],0),MATCH($V$11,Regular_cases_Dec[[#Headers],[BOM Cases]:[EOM Cases]],0))
),
_xlfn.IFS(
$S$11=$AZ$35,INDEX($AZ$37:$CU$79,MATCH(AG18,Regular_cases_jan[[Nurse]:[Nurse]],0),MATCH($V$11,Eip_cases_jan[#Headers],0)),
$S$11=$BD$35,INDEX($BD$37:$CU$79,MATCH(AG18,Regular_cases_jan[[Nurse]:[Nurse]],0),MATCH($V$11,Eip_cases_feb[#Headers],0)),
$S$11=$BH$35,INDEX($BH$37:$CU$79,MATCH(AG18,Regular_cases_jan[[Nurse]:[Nurse]],0),MATCH($V$11,Eip_cases_mar[#Headers],0)),
$S$11=$BL$35,INDEX($BL$37:$CU$79,MATCH(AG18,Regular_cases_jan[[Nurse]:[Nurse]],0),MATCH($V$11,Eip_cases_Apr[#Headers],0)),
$S$11=$BP$35,INDEX($BP$37:$CU$79,MATCH(AG18,Regular_cases_jan[[Nurse]:[Nurse]],0),MATCH($V$11,Eip_cases_May[#Headers],0)),
$S$11=$BT$35,INDEX($BT$37:$CU$79,MATCH(AG18,Regular_cases_jan[[Nurse]:[Nurse]],0),MATCH($V$11,Eip_cases_Jun[#Headers],0)),
$S$11=$BX$35,INDEX($BX$37:$CU$79,MATCH(AG18,Regular_cases_jan[[Nurse]:[Nurse]],0),MATCH($V$11,Eip_cases_Jul[#Headers],0)),
$S$11=$CB$35,INDEX($CB$37:$CU$79,MATCH(AG18,Regular_cases_jan[[Nurse]:[Nurse]],0),MATCH($V$11,Eip_cases_Aug[#Headers],0)),
$S$11=$CF$35,INDEX($CF$37:$CU$79,MATCH(AG18,Regular_cases_jan[[Nurse]:[Nurse]],0),MATCH($V$11,Eip_cases_Sep[#Headers],0)),
$S$11=$CJ$35,INDEX($CJ$37:$CU$79,MATCH(AG18,Regular_cases_jan[[Nurse]:[Nurse]],0),MATCH($V$11,Eip_cases_Oct[#Headers],0)),
$S$11=$CN$35,INDEX($CN$37:$CU$79,MATCH(AG18,Regular_cases_jan[[Nurse]:[Nurse]],0),MATCH($V$11,Eip_cases_Nov[#Headers],0)),
$S$11=$CR$35,INDEX($CR$37:$CU$85,MATCH(AG18,Regular_cases_jan[[Nurse]:[Nurse]],0),MATCH($V$11,Eip_cases_Dec[#Headers],0))
))</f>
        <v>5</v>
      </c>
      <c r="AH19" s="397" cm="1">
        <f t="array" ref="AH19">IF($P$11=$P$9,
_xlfn.IFS(
$S$11=$C$35,INDEX($C$37:$AX$79,MATCH(AH18,Regular_cases_jan[[Nurse]:[Nurse]],0),MATCH($V$11,Regular_cases_jan[[#Headers],[BOM Cases]:[EOM Cases]],0)),
$S$11=$G$35,INDEX($G$37:$AX$79,MATCH(AH18,Regular_cases_jan[[Nurse]:[Nurse]],0),MATCH($V$11,Regular_cases_feb[[#Headers],[BOM Cases]:[EOM Cases]],0)),
$S$11=$K$35,INDEX($K$37:$AX$79,MATCH(AH18,Regular_cases_jan[[Nurse]:[Nurse]],0),MATCH($V$11,Regular_cases_mar[[#Headers],[BOM Cases]:[EOM Cases]],0)),
$S$11=$O$35,INDEX($O$37:$AX$79,MATCH(AH18,Regular_cases_jan[[Nurse]:[Nurse]],0),MATCH($V$11,Regular_cases_apr[[#Headers],[BOM Cases]:[EOM Cases]],0)),
$S$11=$S$35,INDEX($S$37:$AX$79,MATCH(AH18,Regular_cases_jan[[Nurse]:[Nurse]],0),MATCH($V$11,Regular_cases_may[[#Headers],[BOM Cases]:[EOM Cases]],0)),
$S$11=$W$35,INDEX($W$37:$AX$79,MATCH(AH18,Regular_cases_jan[[Nurse]:[Nurse]],0),MATCH($V$11,Regular_cases_jun[[#Headers],[BOM Cases]:[EOM Cases]],0)),
$S$11=$AA$35,INDEX($AA$37:$AX$79,MATCH(AH18,Regular_cases_jan[[Nurse]:[Nurse]],0),MATCH($V$11,Regular_cases_jul[[#Headers],[BOM Cases]:[EOM Cases]],0)),
$S$11=$AE$35,INDEX($AE$37:$AX$79,MATCH(AH18,Regular_cases_jan[[Nurse]:[Nurse]],0),MATCH($V$11,Regular_cases_Aug[[#Headers],[BOM Cases]:[EOM Cases]],0)),
$S$11=$AI$35,INDEX($AI$37:$AX$79,MATCH(AH18,Regular_cases_jan[[Nurse]:[Nurse]],0),MATCH($V$11,Regular_cases_Sep[[#Headers],[BOM Cases]:[EOM Cases]],0)),
$S$11=$AM$35,INDEX($AM$37:$AX$79,MATCH(AH18,Regular_cases_jan[[Nurse]:[Nurse]],0),MATCH($V$11,Regular_cases_Oct[[#Headers],[BOM Cases]:[EOM Cases]],0)),
$S$11=$AQ$35,INDEX($AQ$37:$AX$79,MATCH(AH18,Regular_cases_jan[[Nurse]:[Nurse]],0),MATCH($V$11,Regular_cases_Nov[[#Headers],[BOM Cases]:[EOM Cases]],0)),
$S$11=$AU$35,INDEX($AU$37:$AX$85,MATCH(AH18,Regular_cases_jan[[Nurse]:[Nurse]],0),MATCH($V$11,Regular_cases_Dec[[#Headers],[BOM Cases]:[EOM Cases]],0))
),
_xlfn.IFS(
$S$11=$AZ$35,INDEX($AZ$37:$CU$79,MATCH(AH18,Regular_cases_jan[[Nurse]:[Nurse]],0),MATCH($V$11,Eip_cases_jan[#Headers],0)),
$S$11=$BD$35,INDEX($BD$37:$CU$79,MATCH(AH18,Regular_cases_jan[[Nurse]:[Nurse]],0),MATCH($V$11,Eip_cases_feb[#Headers],0)),
$S$11=$BH$35,INDEX($BH$37:$CU$79,MATCH(AH18,Regular_cases_jan[[Nurse]:[Nurse]],0),MATCH($V$11,Eip_cases_mar[#Headers],0)),
$S$11=$BL$35,INDEX($BL$37:$CU$79,MATCH(AH18,Regular_cases_jan[[Nurse]:[Nurse]],0),MATCH($V$11,Eip_cases_Apr[#Headers],0)),
$S$11=$BP$35,INDEX($BP$37:$CU$79,MATCH(AH18,Regular_cases_jan[[Nurse]:[Nurse]],0),MATCH($V$11,Eip_cases_May[#Headers],0)),
$S$11=$BT$35,INDEX($BT$37:$CU$79,MATCH(AH18,Regular_cases_jan[[Nurse]:[Nurse]],0),MATCH($V$11,Eip_cases_Jun[#Headers],0)),
$S$11=$BX$35,INDEX($BX$37:$CU$79,MATCH(AH18,Regular_cases_jan[[Nurse]:[Nurse]],0),MATCH($V$11,Eip_cases_Jul[#Headers],0)),
$S$11=$CB$35,INDEX($CB$37:$CU$79,MATCH(AH18,Regular_cases_jan[[Nurse]:[Nurse]],0),MATCH($V$11,Eip_cases_Aug[#Headers],0)),
$S$11=$CF$35,INDEX($CF$37:$CU$79,MATCH(AH18,Regular_cases_jan[[Nurse]:[Nurse]],0),MATCH($V$11,Eip_cases_Sep[#Headers],0)),
$S$11=$CJ$35,INDEX($CJ$37:$CU$79,MATCH(AH18,Regular_cases_jan[[Nurse]:[Nurse]],0),MATCH($V$11,Eip_cases_Oct[#Headers],0)),
$S$11=$CN$35,INDEX($CN$37:$CU$79,MATCH(AH18,Regular_cases_jan[[Nurse]:[Nurse]],0),MATCH($V$11,Eip_cases_Nov[#Headers],0)),
$S$11=$CR$35,INDEX($CR$37:$CU$85,MATCH(AH18,Regular_cases_jan[[Nurse]:[Nurse]],0),MATCH($V$11,Eip_cases_Dec[#Headers],0))
))</f>
        <v>1</v>
      </c>
      <c r="AI19" s="397" cm="1">
        <f t="array" ref="AI19">IF($P$11=$P$9,
_xlfn.IFS(
$S$11=$C$35,INDEX($C$37:$AX$79,MATCH(AI18,Regular_cases_jan[[Nurse]:[Nurse]],0),MATCH($V$11,Regular_cases_jan[[#Headers],[BOM Cases]:[EOM Cases]],0)),
$S$11=$G$35,INDEX($G$37:$AX$79,MATCH(AI18,Regular_cases_jan[[Nurse]:[Nurse]],0),MATCH($V$11,Regular_cases_feb[[#Headers],[BOM Cases]:[EOM Cases]],0)),
$S$11=$K$35,INDEX($K$37:$AX$79,MATCH(AI18,Regular_cases_jan[[Nurse]:[Nurse]],0),MATCH($V$11,Regular_cases_mar[[#Headers],[BOM Cases]:[EOM Cases]],0)),
$S$11=$O$35,INDEX($O$37:$AX$79,MATCH(AI18,Regular_cases_jan[[Nurse]:[Nurse]],0),MATCH($V$11,Regular_cases_apr[[#Headers],[BOM Cases]:[EOM Cases]],0)),
$S$11=$S$35,INDEX($S$37:$AX$79,MATCH(AI18,Regular_cases_jan[[Nurse]:[Nurse]],0),MATCH($V$11,Regular_cases_may[[#Headers],[BOM Cases]:[EOM Cases]],0)),
$S$11=$W$35,INDEX($W$37:$AX$79,MATCH(AI18,Regular_cases_jan[[Nurse]:[Nurse]],0),MATCH($V$11,Regular_cases_jun[[#Headers],[BOM Cases]:[EOM Cases]],0)),
$S$11=$AA$35,INDEX($AA$37:$AX$79,MATCH(AI18,Regular_cases_jan[[Nurse]:[Nurse]],0),MATCH($V$11,Regular_cases_jul[[#Headers],[BOM Cases]:[EOM Cases]],0)),
$S$11=$AE$35,INDEX($AE$37:$AX$79,MATCH(AI18,Regular_cases_jan[[Nurse]:[Nurse]],0),MATCH($V$11,Regular_cases_Aug[[#Headers],[BOM Cases]:[EOM Cases]],0)),
$S$11=$AI$35,INDEX($AI$37:$AX$79,MATCH(AI18,Regular_cases_jan[[Nurse]:[Nurse]],0),MATCH($V$11,Regular_cases_Sep[[#Headers],[BOM Cases]:[EOM Cases]],0)),
$S$11=$AM$35,INDEX($AM$37:$AX$79,MATCH(AI18,Regular_cases_jan[[Nurse]:[Nurse]],0),MATCH($V$11,Regular_cases_Oct[[#Headers],[BOM Cases]:[EOM Cases]],0)),
$S$11=$AQ$35,INDEX($AQ$37:$AX$79,MATCH(AI18,Regular_cases_jan[[Nurse]:[Nurse]],0),MATCH($V$11,Regular_cases_Nov[[#Headers],[BOM Cases]:[EOM Cases]],0)),
$S$11=$AU$35,INDEX($AU$37:$AX$85,MATCH(AI18,Regular_cases_jan[[Nurse]:[Nurse]],0),MATCH($V$11,Regular_cases_Dec[[#Headers],[BOM Cases]:[EOM Cases]],0))
),
_xlfn.IFS(
$S$11=$AZ$35,INDEX($AZ$37:$CU$79,MATCH(AI18,Regular_cases_jan[[Nurse]:[Nurse]],0),MATCH($V$11,Eip_cases_jan[#Headers],0)),
$S$11=$BD$35,INDEX($BD$37:$CU$79,MATCH(AI18,Regular_cases_jan[[Nurse]:[Nurse]],0),MATCH($V$11,Eip_cases_feb[#Headers],0)),
$S$11=$BH$35,INDEX($BH$37:$CU$79,MATCH(AI18,Regular_cases_jan[[Nurse]:[Nurse]],0),MATCH($V$11,Eip_cases_mar[#Headers],0)),
$S$11=$BL$35,INDEX($BL$37:$CU$79,MATCH(AI18,Regular_cases_jan[[Nurse]:[Nurse]],0),MATCH($V$11,Eip_cases_Apr[#Headers],0)),
$S$11=$BP$35,INDEX($BP$37:$CU$79,MATCH(AI18,Regular_cases_jan[[Nurse]:[Nurse]],0),MATCH($V$11,Eip_cases_May[#Headers],0)),
$S$11=$BT$35,INDEX($BT$37:$CU$79,MATCH(AI18,Regular_cases_jan[[Nurse]:[Nurse]],0),MATCH($V$11,Eip_cases_Jun[#Headers],0)),
$S$11=$BX$35,INDEX($BX$37:$CU$79,MATCH(AI18,Regular_cases_jan[[Nurse]:[Nurse]],0),MATCH($V$11,Eip_cases_Jul[#Headers],0)),
$S$11=$CB$35,INDEX($CB$37:$CU$79,MATCH(AI18,Regular_cases_jan[[Nurse]:[Nurse]],0),MATCH($V$11,Eip_cases_Aug[#Headers],0)),
$S$11=$CF$35,INDEX($CF$37:$CU$79,MATCH(AI18,Regular_cases_jan[[Nurse]:[Nurse]],0),MATCH($V$11,Eip_cases_Sep[#Headers],0)),
$S$11=$CJ$35,INDEX($CJ$37:$CU$79,MATCH(AI18,Regular_cases_jan[[Nurse]:[Nurse]],0),MATCH($V$11,Eip_cases_Oct[#Headers],0)),
$S$11=$CN$35,INDEX($CN$37:$CU$79,MATCH(AI18,Regular_cases_jan[[Nurse]:[Nurse]],0),MATCH($V$11,Eip_cases_Nov[#Headers],0)),
$S$11=$CR$35,INDEX($CR$37:$CU$85,MATCH(AI18,Regular_cases_jan[[Nurse]:[Nurse]],0),MATCH($V$11,Eip_cases_Dec[#Headers],0))
))</f>
        <v>0</v>
      </c>
      <c r="AJ19" s="397" cm="1">
        <f t="array" ref="AJ19">IF($P$11=$P$9,
_xlfn.IFS(
$S$11=$C$35,INDEX($C$37:$AX$79,MATCH(AJ18,Regular_cases_jan[[Nurse]:[Nurse]],0),MATCH($V$11,Regular_cases_jan[[#Headers],[BOM Cases]:[EOM Cases]],0)),
$S$11=$G$35,INDEX($G$37:$AX$79,MATCH(AJ18,Regular_cases_jan[[Nurse]:[Nurse]],0),MATCH($V$11,Regular_cases_feb[[#Headers],[BOM Cases]:[EOM Cases]],0)),
$S$11=$K$35,INDEX($K$37:$AX$79,MATCH(AJ18,Regular_cases_jan[[Nurse]:[Nurse]],0),MATCH($V$11,Regular_cases_mar[[#Headers],[BOM Cases]:[EOM Cases]],0)),
$S$11=$O$35,INDEX($O$37:$AX$79,MATCH(AJ18,Regular_cases_jan[[Nurse]:[Nurse]],0),MATCH($V$11,Regular_cases_apr[[#Headers],[BOM Cases]:[EOM Cases]],0)),
$S$11=$S$35,INDEX($S$37:$AX$79,MATCH(AJ18,Regular_cases_jan[[Nurse]:[Nurse]],0),MATCH($V$11,Regular_cases_may[[#Headers],[BOM Cases]:[EOM Cases]],0)),
$S$11=$W$35,INDEX($W$37:$AX$79,MATCH(AJ18,Regular_cases_jan[[Nurse]:[Nurse]],0),MATCH($V$11,Regular_cases_jun[[#Headers],[BOM Cases]:[EOM Cases]],0)),
$S$11=$AA$35,INDEX($AA$37:$AX$79,MATCH(AJ18,Regular_cases_jan[[Nurse]:[Nurse]],0),MATCH($V$11,Regular_cases_jul[[#Headers],[BOM Cases]:[EOM Cases]],0)),
$S$11=$AE$35,INDEX($AE$37:$AX$79,MATCH(AJ18,Regular_cases_jan[[Nurse]:[Nurse]],0),MATCH($V$11,Regular_cases_Aug[[#Headers],[BOM Cases]:[EOM Cases]],0)),
$S$11=$AI$35,INDEX($AI$37:$AX$79,MATCH(AJ18,Regular_cases_jan[[Nurse]:[Nurse]],0),MATCH($V$11,Regular_cases_Sep[[#Headers],[BOM Cases]:[EOM Cases]],0)),
$S$11=$AM$35,INDEX($AM$37:$AX$79,MATCH(AJ18,Regular_cases_jan[[Nurse]:[Nurse]],0),MATCH($V$11,Regular_cases_Oct[[#Headers],[BOM Cases]:[EOM Cases]],0)),
$S$11=$AQ$35,INDEX($AQ$37:$AX$79,MATCH(AJ18,Regular_cases_jan[[Nurse]:[Nurse]],0),MATCH($V$11,Regular_cases_Nov[[#Headers],[BOM Cases]:[EOM Cases]],0)),
$S$11=$AU$35,INDEX($AU$37:$AX$85,MATCH(AJ18,Regular_cases_jan[[Nurse]:[Nurse]],0),MATCH($V$11,Regular_cases_Dec[[#Headers],[BOM Cases]:[EOM Cases]],0))
),
_xlfn.IFS(
$S$11=$AZ$35,INDEX($AZ$37:$CU$79,MATCH(AJ18,Regular_cases_jan[[Nurse]:[Nurse]],0),MATCH($V$11,Eip_cases_jan[#Headers],0)),
$S$11=$BD$35,INDEX($BD$37:$CU$79,MATCH(AJ18,Regular_cases_jan[[Nurse]:[Nurse]],0),MATCH($V$11,Eip_cases_feb[#Headers],0)),
$S$11=$BH$35,INDEX($BH$37:$CU$79,MATCH(AJ18,Regular_cases_jan[[Nurse]:[Nurse]],0),MATCH($V$11,Eip_cases_mar[#Headers],0)),
$S$11=$BL$35,INDEX($BL$37:$CU$79,MATCH(AJ18,Regular_cases_jan[[Nurse]:[Nurse]],0),MATCH($V$11,Eip_cases_Apr[#Headers],0)),
$S$11=$BP$35,INDEX($BP$37:$CU$79,MATCH(AJ18,Regular_cases_jan[[Nurse]:[Nurse]],0),MATCH($V$11,Eip_cases_May[#Headers],0)),
$S$11=$BT$35,INDEX($BT$37:$CU$79,MATCH(AJ18,Regular_cases_jan[[Nurse]:[Nurse]],0),MATCH($V$11,Eip_cases_Jun[#Headers],0)),
$S$11=$BX$35,INDEX($BX$37:$CU$79,MATCH(AJ18,Regular_cases_jan[[Nurse]:[Nurse]],0),MATCH($V$11,Eip_cases_Jul[#Headers],0)),
$S$11=$CB$35,INDEX($CB$37:$CU$79,MATCH(AJ18,Regular_cases_jan[[Nurse]:[Nurse]],0),MATCH($V$11,Eip_cases_Aug[#Headers],0)),
$S$11=$CF$35,INDEX($CF$37:$CU$79,MATCH(AJ18,Regular_cases_jan[[Nurse]:[Nurse]],0),MATCH($V$11,Eip_cases_Sep[#Headers],0)),
$S$11=$CJ$35,INDEX($CJ$37:$CU$79,MATCH(AJ18,Regular_cases_jan[[Nurse]:[Nurse]],0),MATCH($V$11,Eip_cases_Oct[#Headers],0)),
$S$11=$CN$35,INDEX($CN$37:$CU$79,MATCH(AJ18,Regular_cases_jan[[Nurse]:[Nurse]],0),MATCH($V$11,Eip_cases_Nov[#Headers],0)),
$S$11=$CR$35,INDEX($CR$37:$CU$85,MATCH(AJ18,Regular_cases_jan[[Nurse]:[Nurse]],0),MATCH($V$11,Eip_cases_Dec[#Headers],0))
))</f>
        <v>0</v>
      </c>
      <c r="AK19" s="397" cm="1">
        <f t="array" ref="AK19">IF($P$11=$P$9,
_xlfn.IFS(
$S$11=$C$35,INDEX($C$37:$AX$79,MATCH(AK18,Regular_cases_jan[[Nurse]:[Nurse]],0),MATCH($V$11,Regular_cases_jan[[#Headers],[BOM Cases]:[EOM Cases]],0)),
$S$11=$G$35,INDEX($G$37:$AX$79,MATCH(AK18,Regular_cases_jan[[Nurse]:[Nurse]],0),MATCH($V$11,Regular_cases_feb[[#Headers],[BOM Cases]:[EOM Cases]],0)),
$S$11=$K$35,INDEX($K$37:$AX$79,MATCH(AK18,Regular_cases_jan[[Nurse]:[Nurse]],0),MATCH($V$11,Regular_cases_mar[[#Headers],[BOM Cases]:[EOM Cases]],0)),
$S$11=$O$35,INDEX($O$37:$AX$79,MATCH(AK18,Regular_cases_jan[[Nurse]:[Nurse]],0),MATCH($V$11,Regular_cases_apr[[#Headers],[BOM Cases]:[EOM Cases]],0)),
$S$11=$S$35,INDEX($S$37:$AX$79,MATCH(AK18,Regular_cases_jan[[Nurse]:[Nurse]],0),MATCH($V$11,Regular_cases_may[[#Headers],[BOM Cases]:[EOM Cases]],0)),
$S$11=$W$35,INDEX($W$37:$AX$79,MATCH(AK18,Regular_cases_jan[[Nurse]:[Nurse]],0),MATCH($V$11,Regular_cases_jun[[#Headers],[BOM Cases]:[EOM Cases]],0)),
$S$11=$AA$35,INDEX($AA$37:$AX$79,MATCH(AK18,Regular_cases_jan[[Nurse]:[Nurse]],0),MATCH($V$11,Regular_cases_jul[[#Headers],[BOM Cases]:[EOM Cases]],0)),
$S$11=$AE$35,INDEX($AE$37:$AX$79,MATCH(AK18,Regular_cases_jan[[Nurse]:[Nurse]],0),MATCH($V$11,Regular_cases_Aug[[#Headers],[BOM Cases]:[EOM Cases]],0)),
$S$11=$AI$35,INDEX($AI$37:$AX$79,MATCH(AK18,Regular_cases_jan[[Nurse]:[Nurse]],0),MATCH($V$11,Regular_cases_Sep[[#Headers],[BOM Cases]:[EOM Cases]],0)),
$S$11=$AM$35,INDEX($AM$37:$AX$79,MATCH(AK18,Regular_cases_jan[[Nurse]:[Nurse]],0),MATCH($V$11,Regular_cases_Oct[[#Headers],[BOM Cases]:[EOM Cases]],0)),
$S$11=$AQ$35,INDEX($AQ$37:$AX$79,MATCH(AK18,Regular_cases_jan[[Nurse]:[Nurse]],0),MATCH($V$11,Regular_cases_Nov[[#Headers],[BOM Cases]:[EOM Cases]],0)),
$S$11=$AU$35,INDEX($AU$37:$AX$85,MATCH(AK18,Regular_cases_jan[[Nurse]:[Nurse]],0),MATCH($V$11,Regular_cases_Dec[[#Headers],[BOM Cases]:[EOM Cases]],0))
),
_xlfn.IFS(
$S$11=$AZ$35,INDEX($AZ$37:$CU$79,MATCH(AK18,Regular_cases_jan[[Nurse]:[Nurse]],0),MATCH($V$11,Eip_cases_jan[#Headers],0)),
$S$11=$BD$35,INDEX($BD$37:$CU$79,MATCH(AK18,Regular_cases_jan[[Nurse]:[Nurse]],0),MATCH($V$11,Eip_cases_feb[#Headers],0)),
$S$11=$BH$35,INDEX($BH$37:$CU$79,MATCH(AK18,Regular_cases_jan[[Nurse]:[Nurse]],0),MATCH($V$11,Eip_cases_mar[#Headers],0)),
$S$11=$BL$35,INDEX($BL$37:$CU$79,MATCH(AK18,Regular_cases_jan[[Nurse]:[Nurse]],0),MATCH($V$11,Eip_cases_Apr[#Headers],0)),
$S$11=$BP$35,INDEX($BP$37:$CU$79,MATCH(AK18,Regular_cases_jan[[Nurse]:[Nurse]],0),MATCH($V$11,Eip_cases_May[#Headers],0)),
$S$11=$BT$35,INDEX($BT$37:$CU$79,MATCH(AK18,Regular_cases_jan[[Nurse]:[Nurse]],0),MATCH($V$11,Eip_cases_Jun[#Headers],0)),
$S$11=$BX$35,INDEX($BX$37:$CU$79,MATCH(AK18,Regular_cases_jan[[Nurse]:[Nurse]],0),MATCH($V$11,Eip_cases_Jul[#Headers],0)),
$S$11=$CB$35,INDEX($CB$37:$CU$79,MATCH(AK18,Regular_cases_jan[[Nurse]:[Nurse]],0),MATCH($V$11,Eip_cases_Aug[#Headers],0)),
$S$11=$CF$35,INDEX($CF$37:$CU$79,MATCH(AK18,Regular_cases_jan[[Nurse]:[Nurse]],0),MATCH($V$11,Eip_cases_Sep[#Headers],0)),
$S$11=$CJ$35,INDEX($CJ$37:$CU$79,MATCH(AK18,Regular_cases_jan[[Nurse]:[Nurse]],0),MATCH($V$11,Eip_cases_Oct[#Headers],0)),
$S$11=$CN$35,INDEX($CN$37:$CU$79,MATCH(AK18,Regular_cases_jan[[Nurse]:[Nurse]],0),MATCH($V$11,Eip_cases_Nov[#Headers],0)),
$S$11=$CR$35,INDEX($CR$37:$CU$85,MATCH(AK18,Regular_cases_jan[[Nurse]:[Nurse]],0),MATCH($V$11,Eip_cases_Dec[#Headers],0))
))</f>
        <v>0</v>
      </c>
      <c r="AL19" s="397" cm="1">
        <f t="array" ref="AL19">IF($P$11=$P$9,
_xlfn.IFS(
$S$11=$C$35,INDEX($C$37:$AX$79,MATCH(AL18,Regular_cases_jan[[Nurse]:[Nurse]],0),MATCH($V$11,Regular_cases_jan[[#Headers],[BOM Cases]:[EOM Cases]],0)),
$S$11=$G$35,INDEX($G$37:$AX$79,MATCH(AL18,Regular_cases_jan[[Nurse]:[Nurse]],0),MATCH($V$11,Regular_cases_feb[[#Headers],[BOM Cases]:[EOM Cases]],0)),
$S$11=$K$35,INDEX($K$37:$AX$79,MATCH(AL18,Regular_cases_jan[[Nurse]:[Nurse]],0),MATCH($V$11,Regular_cases_mar[[#Headers],[BOM Cases]:[EOM Cases]],0)),
$S$11=$O$35,INDEX($O$37:$AX$79,MATCH(AL18,Regular_cases_jan[[Nurse]:[Nurse]],0),MATCH($V$11,Regular_cases_apr[[#Headers],[BOM Cases]:[EOM Cases]],0)),
$S$11=$S$35,INDEX($S$37:$AX$79,MATCH(AL18,Regular_cases_jan[[Nurse]:[Nurse]],0),MATCH($V$11,Regular_cases_may[[#Headers],[BOM Cases]:[EOM Cases]],0)),
$S$11=$W$35,INDEX($W$37:$AX$79,MATCH(AL18,Regular_cases_jan[[Nurse]:[Nurse]],0),MATCH($V$11,Regular_cases_jun[[#Headers],[BOM Cases]:[EOM Cases]],0)),
$S$11=$AA$35,INDEX($AA$37:$AX$79,MATCH(AL18,Regular_cases_jan[[Nurse]:[Nurse]],0),MATCH($V$11,Regular_cases_jul[[#Headers],[BOM Cases]:[EOM Cases]],0)),
$S$11=$AE$35,INDEX($AE$37:$AX$79,MATCH(AL18,Regular_cases_jan[[Nurse]:[Nurse]],0),MATCH($V$11,Regular_cases_Aug[[#Headers],[BOM Cases]:[EOM Cases]],0)),
$S$11=$AI$35,INDEX($AI$37:$AX$79,MATCH(AL18,Regular_cases_jan[[Nurse]:[Nurse]],0),MATCH($V$11,Regular_cases_Sep[[#Headers],[BOM Cases]:[EOM Cases]],0)),
$S$11=$AM$35,INDEX($AM$37:$AX$79,MATCH(AL18,Regular_cases_jan[[Nurse]:[Nurse]],0),MATCH($V$11,Regular_cases_Oct[[#Headers],[BOM Cases]:[EOM Cases]],0)),
$S$11=$AQ$35,INDEX($AQ$37:$AX$79,MATCH(AL18,Regular_cases_jan[[Nurse]:[Nurse]],0),MATCH($V$11,Regular_cases_Nov[[#Headers],[BOM Cases]:[EOM Cases]],0)),
$S$11=$AU$35,INDEX($AU$37:$AX$85,MATCH(AL18,Regular_cases_jan[[Nurse]:[Nurse]],0),MATCH($V$11,Regular_cases_Dec[[#Headers],[BOM Cases]:[EOM Cases]],0))
),
_xlfn.IFS(
$S$11=$AZ$35,INDEX($AZ$37:$CU$79,MATCH(AL18,Regular_cases_jan[[Nurse]:[Nurse]],0),MATCH($V$11,Eip_cases_jan[#Headers],0)),
$S$11=$BD$35,INDEX($BD$37:$CU$79,MATCH(AL18,Regular_cases_jan[[Nurse]:[Nurse]],0),MATCH($V$11,Eip_cases_feb[#Headers],0)),
$S$11=$BH$35,INDEX($BH$37:$CU$79,MATCH(AL18,Regular_cases_jan[[Nurse]:[Nurse]],0),MATCH($V$11,Eip_cases_mar[#Headers],0)),
$S$11=$BL$35,INDEX($BL$37:$CU$79,MATCH(AL18,Regular_cases_jan[[Nurse]:[Nurse]],0),MATCH($V$11,Eip_cases_Apr[#Headers],0)),
$S$11=$BP$35,INDEX($BP$37:$CU$79,MATCH(AL18,Regular_cases_jan[[Nurse]:[Nurse]],0),MATCH($V$11,Eip_cases_May[#Headers],0)),
$S$11=$BT$35,INDEX($BT$37:$CU$79,MATCH(AL18,Regular_cases_jan[[Nurse]:[Nurse]],0),MATCH($V$11,Eip_cases_Jun[#Headers],0)),
$S$11=$BX$35,INDEX($BX$37:$CU$79,MATCH(AL18,Regular_cases_jan[[Nurse]:[Nurse]],0),MATCH($V$11,Eip_cases_Jul[#Headers],0)),
$S$11=$CB$35,INDEX($CB$37:$CU$79,MATCH(AL18,Regular_cases_jan[[Nurse]:[Nurse]],0),MATCH($V$11,Eip_cases_Aug[#Headers],0)),
$S$11=$CF$35,INDEX($CF$37:$CU$79,MATCH(AL18,Regular_cases_jan[[Nurse]:[Nurse]],0),MATCH($V$11,Eip_cases_Sep[#Headers],0)),
$S$11=$CJ$35,INDEX($CJ$37:$CU$79,MATCH(AL18,Regular_cases_jan[[Nurse]:[Nurse]],0),MATCH($V$11,Eip_cases_Oct[#Headers],0)),
$S$11=$CN$35,INDEX($CN$37:$CU$79,MATCH(AL18,Regular_cases_jan[[Nurse]:[Nurse]],0),MATCH($V$11,Eip_cases_Nov[#Headers],0)),
$S$11=$CR$35,INDEX($CR$37:$CU$85,MATCH(AL18,Regular_cases_jan[[Nurse]:[Nurse]],0),MATCH($V$11,Eip_cases_Dec[#Headers],0))
))</f>
        <v>0</v>
      </c>
      <c r="AM19" s="397" cm="1">
        <f t="array" ref="AM19">IF($P$11=$P$9,
_xlfn.IFS(
$S$11=$C$35,INDEX($C$37:$AX$79,MATCH(AM18,Regular_cases_jan[[Nurse]:[Nurse]],0),MATCH($V$11,Regular_cases_jan[[#Headers],[BOM Cases]:[EOM Cases]],0)),
$S$11=$G$35,INDEX($G$37:$AX$79,MATCH(AM18,Regular_cases_jan[[Nurse]:[Nurse]],0),MATCH($V$11,Regular_cases_feb[[#Headers],[BOM Cases]:[EOM Cases]],0)),
$S$11=$K$35,INDEX($K$37:$AX$79,MATCH(AM18,Regular_cases_jan[[Nurse]:[Nurse]],0),MATCH($V$11,Regular_cases_mar[[#Headers],[BOM Cases]:[EOM Cases]],0)),
$S$11=$O$35,INDEX($O$37:$AX$79,MATCH(AM18,Regular_cases_jan[[Nurse]:[Nurse]],0),MATCH($V$11,Regular_cases_apr[[#Headers],[BOM Cases]:[EOM Cases]],0)),
$S$11=$S$35,INDEX($S$37:$AX$79,MATCH(AM18,Regular_cases_jan[[Nurse]:[Nurse]],0),MATCH($V$11,Regular_cases_may[[#Headers],[BOM Cases]:[EOM Cases]],0)),
$S$11=$W$35,INDEX($W$37:$AX$79,MATCH(AM18,Regular_cases_jan[[Nurse]:[Nurse]],0),MATCH($V$11,Regular_cases_jun[[#Headers],[BOM Cases]:[EOM Cases]],0)),
$S$11=$AA$35,INDEX($AA$37:$AX$79,MATCH(AM18,Regular_cases_jan[[Nurse]:[Nurse]],0),MATCH($V$11,Regular_cases_jul[[#Headers],[BOM Cases]:[EOM Cases]],0)),
$S$11=$AE$35,INDEX($AE$37:$AX$79,MATCH(AM18,Regular_cases_jan[[Nurse]:[Nurse]],0),MATCH($V$11,Regular_cases_Aug[[#Headers],[BOM Cases]:[EOM Cases]],0)),
$S$11=$AI$35,INDEX($AI$37:$AX$79,MATCH(AM18,Regular_cases_jan[[Nurse]:[Nurse]],0),MATCH($V$11,Regular_cases_Sep[[#Headers],[BOM Cases]:[EOM Cases]],0)),
$S$11=$AM$35,INDEX($AM$37:$AX$79,MATCH(AM18,Regular_cases_jan[[Nurse]:[Nurse]],0),MATCH($V$11,Regular_cases_Oct[[#Headers],[BOM Cases]:[EOM Cases]],0)),
$S$11=$AQ$35,INDEX($AQ$37:$AX$79,MATCH(AM18,Regular_cases_jan[[Nurse]:[Nurse]],0),MATCH($V$11,Regular_cases_Nov[[#Headers],[BOM Cases]:[EOM Cases]],0)),
$S$11=$AU$35,INDEX($AU$37:$AX$85,MATCH(AM18,Regular_cases_jan[[Nurse]:[Nurse]],0),MATCH($V$11,Regular_cases_Dec[[#Headers],[BOM Cases]:[EOM Cases]],0))
),
_xlfn.IFS(
$S$11=$AZ$35,INDEX($AZ$37:$CU$79,MATCH(AM18,Regular_cases_jan[[Nurse]:[Nurse]],0),MATCH($V$11,Eip_cases_jan[#Headers],0)),
$S$11=$BD$35,INDEX($BD$37:$CU$79,MATCH(AM18,Regular_cases_jan[[Nurse]:[Nurse]],0),MATCH($V$11,Eip_cases_feb[#Headers],0)),
$S$11=$BH$35,INDEX($BH$37:$CU$79,MATCH(AM18,Regular_cases_jan[[Nurse]:[Nurse]],0),MATCH($V$11,Eip_cases_mar[#Headers],0)),
$S$11=$BL$35,INDEX($BL$37:$CU$79,MATCH(AM18,Regular_cases_jan[[Nurse]:[Nurse]],0),MATCH($V$11,Eip_cases_Apr[#Headers],0)),
$S$11=$BP$35,INDEX($BP$37:$CU$79,MATCH(AM18,Regular_cases_jan[[Nurse]:[Nurse]],0),MATCH($V$11,Eip_cases_May[#Headers],0)),
$S$11=$BT$35,INDEX($BT$37:$CU$79,MATCH(AM18,Regular_cases_jan[[Nurse]:[Nurse]],0),MATCH($V$11,Eip_cases_Jun[#Headers],0)),
$S$11=$BX$35,INDEX($BX$37:$CU$79,MATCH(AM18,Regular_cases_jan[[Nurse]:[Nurse]],0),MATCH($V$11,Eip_cases_Jul[#Headers],0)),
$S$11=$CB$35,INDEX($CB$37:$CU$79,MATCH(AM18,Regular_cases_jan[[Nurse]:[Nurse]],0),MATCH($V$11,Eip_cases_Aug[#Headers],0)),
$S$11=$CF$35,INDEX($CF$37:$CU$79,MATCH(AM18,Regular_cases_jan[[Nurse]:[Nurse]],0),MATCH($V$11,Eip_cases_Sep[#Headers],0)),
$S$11=$CJ$35,INDEX($CJ$37:$CU$79,MATCH(AM18,Regular_cases_jan[[Nurse]:[Nurse]],0),MATCH($V$11,Eip_cases_Oct[#Headers],0)),
$S$11=$CN$35,INDEX($CN$37:$CU$79,MATCH(AM18,Regular_cases_jan[[Nurse]:[Nurse]],0),MATCH($V$11,Eip_cases_Nov[#Headers],0)),
$S$11=$CR$35,INDEX($CR$37:$CU$85,MATCH(AM18,Regular_cases_jan[[Nurse]:[Nurse]],0),MATCH($V$11,Eip_cases_Dec[#Headers],0))
))</f>
        <v>2</v>
      </c>
      <c r="AN19" s="397" cm="1">
        <f t="array" ref="AN19">IF($P$11=$P$9,
_xlfn.IFS(
$S$11=$C$35,INDEX($C$37:$AX$79,MATCH(AN18,Regular_cases_jan[[Nurse]:[Nurse]],0),MATCH($V$11,Regular_cases_jan[[#Headers],[BOM Cases]:[EOM Cases]],0)),
$S$11=$G$35,INDEX($G$37:$AX$79,MATCH(AN18,Regular_cases_jan[[Nurse]:[Nurse]],0),MATCH($V$11,Regular_cases_feb[[#Headers],[BOM Cases]:[EOM Cases]],0)),
$S$11=$K$35,INDEX($K$37:$AX$79,MATCH(AN18,Regular_cases_jan[[Nurse]:[Nurse]],0),MATCH($V$11,Regular_cases_mar[[#Headers],[BOM Cases]:[EOM Cases]],0)),
$S$11=$O$35,INDEX($O$37:$AX$79,MATCH(AN18,Regular_cases_jan[[Nurse]:[Nurse]],0),MATCH($V$11,Regular_cases_apr[[#Headers],[BOM Cases]:[EOM Cases]],0)),
$S$11=$S$35,INDEX($S$37:$AX$79,MATCH(AN18,Regular_cases_jan[[Nurse]:[Nurse]],0),MATCH($V$11,Regular_cases_may[[#Headers],[BOM Cases]:[EOM Cases]],0)),
$S$11=$W$35,INDEX($W$37:$AX$79,MATCH(AN18,Regular_cases_jan[[Nurse]:[Nurse]],0),MATCH($V$11,Regular_cases_jun[[#Headers],[BOM Cases]:[EOM Cases]],0)),
$S$11=$AA$35,INDEX($AA$37:$AX$79,MATCH(AN18,Regular_cases_jan[[Nurse]:[Nurse]],0),MATCH($V$11,Regular_cases_jul[[#Headers],[BOM Cases]:[EOM Cases]],0)),
$S$11=$AE$35,INDEX($AE$37:$AX$79,MATCH(AN18,Regular_cases_jan[[Nurse]:[Nurse]],0),MATCH($V$11,Regular_cases_Aug[[#Headers],[BOM Cases]:[EOM Cases]],0)),
$S$11=$AI$35,INDEX($AI$37:$AX$79,MATCH(AN18,Regular_cases_jan[[Nurse]:[Nurse]],0),MATCH($V$11,Regular_cases_Sep[[#Headers],[BOM Cases]:[EOM Cases]],0)),
$S$11=$AM$35,INDEX($AM$37:$AX$79,MATCH(AN18,Regular_cases_jan[[Nurse]:[Nurse]],0),MATCH($V$11,Regular_cases_Oct[[#Headers],[BOM Cases]:[EOM Cases]],0)),
$S$11=$AQ$35,INDEX($AQ$37:$AX$79,MATCH(AN18,Regular_cases_jan[[Nurse]:[Nurse]],0),MATCH($V$11,Regular_cases_Nov[[#Headers],[BOM Cases]:[EOM Cases]],0)),
$S$11=$AU$35,INDEX($AU$37:$AX$85,MATCH(AN18,Regular_cases_jan[[Nurse]:[Nurse]],0),MATCH($V$11,Regular_cases_Dec[[#Headers],[BOM Cases]:[EOM Cases]],0))
),
_xlfn.IFS(
$S$11=$AZ$35,INDEX($AZ$37:$CU$79,MATCH(AN18,Regular_cases_jan[[Nurse]:[Nurse]],0),MATCH($V$11,Eip_cases_jan[#Headers],0)),
$S$11=$BD$35,INDEX($BD$37:$CU$79,MATCH(AN18,Regular_cases_jan[[Nurse]:[Nurse]],0),MATCH($V$11,Eip_cases_feb[#Headers],0)),
$S$11=$BH$35,INDEX($BH$37:$CU$79,MATCH(AN18,Regular_cases_jan[[Nurse]:[Nurse]],0),MATCH($V$11,Eip_cases_mar[#Headers],0)),
$S$11=$BL$35,INDEX($BL$37:$CU$79,MATCH(AN18,Regular_cases_jan[[Nurse]:[Nurse]],0),MATCH($V$11,Eip_cases_Apr[#Headers],0)),
$S$11=$BP$35,INDEX($BP$37:$CU$79,MATCH(AN18,Regular_cases_jan[[Nurse]:[Nurse]],0),MATCH($V$11,Eip_cases_May[#Headers],0)),
$S$11=$BT$35,INDEX($BT$37:$CU$79,MATCH(AN18,Regular_cases_jan[[Nurse]:[Nurse]],0),MATCH($V$11,Eip_cases_Jun[#Headers],0)),
$S$11=$BX$35,INDEX($BX$37:$CU$79,MATCH(AN18,Regular_cases_jan[[Nurse]:[Nurse]],0),MATCH($V$11,Eip_cases_Jul[#Headers],0)),
$S$11=$CB$35,INDEX($CB$37:$CU$79,MATCH(AN18,Regular_cases_jan[[Nurse]:[Nurse]],0),MATCH($V$11,Eip_cases_Aug[#Headers],0)),
$S$11=$CF$35,INDEX($CF$37:$CU$79,MATCH(AN18,Regular_cases_jan[[Nurse]:[Nurse]],0),MATCH($V$11,Eip_cases_Sep[#Headers],0)),
$S$11=$CJ$35,INDEX($CJ$37:$CU$79,MATCH(AN18,Regular_cases_jan[[Nurse]:[Nurse]],0),MATCH($V$11,Eip_cases_Oct[#Headers],0)),
$S$11=$CN$35,INDEX($CN$37:$CU$79,MATCH(AN18,Regular_cases_jan[[Nurse]:[Nurse]],0),MATCH($V$11,Eip_cases_Nov[#Headers],0)),
$S$11=$CR$35,INDEX($CR$37:$CU$85,MATCH(AN18,Regular_cases_jan[[Nurse]:[Nurse]],0),MATCH($V$11,Eip_cases_Dec[#Headers],0))
))</f>
        <v>3</v>
      </c>
      <c r="AO19" s="397" cm="1">
        <f t="array" ref="AO19">IF($P$11=$P$9,
_xlfn.IFS(
$S$11=$C$35,INDEX($C$37:$AX$79,MATCH(AO18,Regular_cases_jan[[Nurse]:[Nurse]],0),MATCH($V$11,Regular_cases_jan[[#Headers],[BOM Cases]:[EOM Cases]],0)),
$S$11=$G$35,INDEX($G$37:$AX$79,MATCH(AO18,Regular_cases_jan[[Nurse]:[Nurse]],0),MATCH($V$11,Regular_cases_feb[[#Headers],[BOM Cases]:[EOM Cases]],0)),
$S$11=$K$35,INDEX($K$37:$AX$79,MATCH(AO18,Regular_cases_jan[[Nurse]:[Nurse]],0),MATCH($V$11,Regular_cases_mar[[#Headers],[BOM Cases]:[EOM Cases]],0)),
$S$11=$O$35,INDEX($O$37:$AX$79,MATCH(AO18,Regular_cases_jan[[Nurse]:[Nurse]],0),MATCH($V$11,Regular_cases_apr[[#Headers],[BOM Cases]:[EOM Cases]],0)),
$S$11=$S$35,INDEX($S$37:$AX$79,MATCH(AO18,Regular_cases_jan[[Nurse]:[Nurse]],0),MATCH($V$11,Regular_cases_may[[#Headers],[BOM Cases]:[EOM Cases]],0)),
$S$11=$W$35,INDEX($W$37:$AX$79,MATCH(AO18,Regular_cases_jan[[Nurse]:[Nurse]],0),MATCH($V$11,Regular_cases_jun[[#Headers],[BOM Cases]:[EOM Cases]],0)),
$S$11=$AA$35,INDEX($AA$37:$AX$79,MATCH(AO18,Regular_cases_jan[[Nurse]:[Nurse]],0),MATCH($V$11,Regular_cases_jul[[#Headers],[BOM Cases]:[EOM Cases]],0)),
$S$11=$AE$35,INDEX($AE$37:$AX$79,MATCH(AO18,Regular_cases_jan[[Nurse]:[Nurse]],0),MATCH($V$11,Regular_cases_Aug[[#Headers],[BOM Cases]:[EOM Cases]],0)),
$S$11=$AI$35,INDEX($AI$37:$AX$79,MATCH(AO18,Regular_cases_jan[[Nurse]:[Nurse]],0),MATCH($V$11,Regular_cases_Sep[[#Headers],[BOM Cases]:[EOM Cases]],0)),
$S$11=$AM$35,INDEX($AM$37:$AX$79,MATCH(AO18,Regular_cases_jan[[Nurse]:[Nurse]],0),MATCH($V$11,Regular_cases_Oct[[#Headers],[BOM Cases]:[EOM Cases]],0)),
$S$11=$AQ$35,INDEX($AQ$37:$AX$79,MATCH(AO18,Regular_cases_jan[[Nurse]:[Nurse]],0),MATCH($V$11,Regular_cases_Nov[[#Headers],[BOM Cases]:[EOM Cases]],0)),
$S$11=$AU$35,INDEX($AU$37:$AX$85,MATCH(AO18,Regular_cases_jan[[Nurse]:[Nurse]],0),MATCH($V$11,Regular_cases_Dec[[#Headers],[BOM Cases]:[EOM Cases]],0))
),
_xlfn.IFS(
$S$11=$AZ$35,INDEX($AZ$37:$CU$79,MATCH(AO18,Regular_cases_jan[[Nurse]:[Nurse]],0),MATCH($V$11,Eip_cases_jan[#Headers],0)),
$S$11=$BD$35,INDEX($BD$37:$CU$79,MATCH(AO18,Regular_cases_jan[[Nurse]:[Nurse]],0),MATCH($V$11,Eip_cases_feb[#Headers],0)),
$S$11=$BH$35,INDEX($BH$37:$CU$79,MATCH(AO18,Regular_cases_jan[[Nurse]:[Nurse]],0),MATCH($V$11,Eip_cases_mar[#Headers],0)),
$S$11=$BL$35,INDEX($BL$37:$CU$79,MATCH(AO18,Regular_cases_jan[[Nurse]:[Nurse]],0),MATCH($V$11,Eip_cases_Apr[#Headers],0)),
$S$11=$BP$35,INDEX($BP$37:$CU$79,MATCH(AO18,Regular_cases_jan[[Nurse]:[Nurse]],0),MATCH($V$11,Eip_cases_May[#Headers],0)),
$S$11=$BT$35,INDEX($BT$37:$CU$79,MATCH(AO18,Regular_cases_jan[[Nurse]:[Nurse]],0),MATCH($V$11,Eip_cases_Jun[#Headers],0)),
$S$11=$BX$35,INDEX($BX$37:$CU$79,MATCH(AO18,Regular_cases_jan[[Nurse]:[Nurse]],0),MATCH($V$11,Eip_cases_Jul[#Headers],0)),
$S$11=$CB$35,INDEX($CB$37:$CU$79,MATCH(AO18,Regular_cases_jan[[Nurse]:[Nurse]],0),MATCH($V$11,Eip_cases_Aug[#Headers],0)),
$S$11=$CF$35,INDEX($CF$37:$CU$79,MATCH(AO18,Regular_cases_jan[[Nurse]:[Nurse]],0),MATCH($V$11,Eip_cases_Sep[#Headers],0)),
$S$11=$CJ$35,INDEX($CJ$37:$CU$79,MATCH(AO18,Regular_cases_jan[[Nurse]:[Nurse]],0),MATCH($V$11,Eip_cases_Oct[#Headers],0)),
$S$11=$CN$35,INDEX($CN$37:$CU$79,MATCH(AO18,Regular_cases_jan[[Nurse]:[Nurse]],0),MATCH($V$11,Eip_cases_Nov[#Headers],0)),
$S$11=$CR$35,INDEX($CR$37:$CU$85,MATCH(AO18,Regular_cases_jan[[Nurse]:[Nurse]],0),MATCH($V$11,Eip_cases_Dec[#Headers],0))
))</f>
        <v>1</v>
      </c>
      <c r="AP19" s="397" cm="1">
        <f t="array" ref="AP19">IF($P$11=$P$9,
_xlfn.IFS(
$S$11=$C$35,INDEX($C$37:$AX$79,MATCH(AP18,Regular_cases_jan[[Nurse]:[Nurse]],0),MATCH($V$11,Regular_cases_jan[[#Headers],[BOM Cases]:[EOM Cases]],0)),
$S$11=$G$35,INDEX($G$37:$AX$79,MATCH(AP18,Regular_cases_jan[[Nurse]:[Nurse]],0),MATCH($V$11,Regular_cases_feb[[#Headers],[BOM Cases]:[EOM Cases]],0)),
$S$11=$K$35,INDEX($K$37:$AX$79,MATCH(AP18,Regular_cases_jan[[Nurse]:[Nurse]],0),MATCH($V$11,Regular_cases_mar[[#Headers],[BOM Cases]:[EOM Cases]],0)),
$S$11=$O$35,INDEX($O$37:$AX$79,MATCH(AP18,Regular_cases_jan[[Nurse]:[Nurse]],0),MATCH($V$11,Regular_cases_apr[[#Headers],[BOM Cases]:[EOM Cases]],0)),
$S$11=$S$35,INDEX($S$37:$AX$79,MATCH(AP18,Regular_cases_jan[[Nurse]:[Nurse]],0),MATCH($V$11,Regular_cases_may[[#Headers],[BOM Cases]:[EOM Cases]],0)),
$S$11=$W$35,INDEX($W$37:$AX$79,MATCH(AP18,Regular_cases_jan[[Nurse]:[Nurse]],0),MATCH($V$11,Regular_cases_jun[[#Headers],[BOM Cases]:[EOM Cases]],0)),
$S$11=$AA$35,INDEX($AA$37:$AX$79,MATCH(AP18,Regular_cases_jan[[Nurse]:[Nurse]],0),MATCH($V$11,Regular_cases_jul[[#Headers],[BOM Cases]:[EOM Cases]],0)),
$S$11=$AE$35,INDEX($AE$37:$AX$79,MATCH(AP18,Regular_cases_jan[[Nurse]:[Nurse]],0),MATCH($V$11,Regular_cases_Aug[[#Headers],[BOM Cases]:[EOM Cases]],0)),
$S$11=$AI$35,INDEX($AI$37:$AX$79,MATCH(AP18,Regular_cases_jan[[Nurse]:[Nurse]],0),MATCH($V$11,Regular_cases_Sep[[#Headers],[BOM Cases]:[EOM Cases]],0)),
$S$11=$AM$35,INDEX($AM$37:$AX$79,MATCH(AP18,Regular_cases_jan[[Nurse]:[Nurse]],0),MATCH($V$11,Regular_cases_Oct[[#Headers],[BOM Cases]:[EOM Cases]],0)),
$S$11=$AQ$35,INDEX($AQ$37:$AX$79,MATCH(AP18,Regular_cases_jan[[Nurse]:[Nurse]],0),MATCH($V$11,Regular_cases_Nov[[#Headers],[BOM Cases]:[EOM Cases]],0)),
$S$11=$AU$35,INDEX($AU$37:$AX$85,MATCH(AP18,Regular_cases_jan[[Nurse]:[Nurse]],0),MATCH($V$11,Regular_cases_Dec[[#Headers],[BOM Cases]:[EOM Cases]],0))
),
_xlfn.IFS(
$S$11=$AZ$35,INDEX($AZ$37:$CU$79,MATCH(AP18,Regular_cases_jan[[Nurse]:[Nurse]],0),MATCH($V$11,Eip_cases_jan[#Headers],0)),
$S$11=$BD$35,INDEX($BD$37:$CU$79,MATCH(AP18,Regular_cases_jan[[Nurse]:[Nurse]],0),MATCH($V$11,Eip_cases_feb[#Headers],0)),
$S$11=$BH$35,INDEX($BH$37:$CU$79,MATCH(AP18,Regular_cases_jan[[Nurse]:[Nurse]],0),MATCH($V$11,Eip_cases_mar[#Headers],0)),
$S$11=$BL$35,INDEX($BL$37:$CU$79,MATCH(AP18,Regular_cases_jan[[Nurse]:[Nurse]],0),MATCH($V$11,Eip_cases_Apr[#Headers],0)),
$S$11=$BP$35,INDEX($BP$37:$CU$79,MATCH(AP18,Regular_cases_jan[[Nurse]:[Nurse]],0),MATCH($V$11,Eip_cases_May[#Headers],0)),
$S$11=$BT$35,INDEX($BT$37:$CU$79,MATCH(AP18,Regular_cases_jan[[Nurse]:[Nurse]],0),MATCH($V$11,Eip_cases_Jun[#Headers],0)),
$S$11=$BX$35,INDEX($BX$37:$CU$79,MATCH(AP18,Regular_cases_jan[[Nurse]:[Nurse]],0),MATCH($V$11,Eip_cases_Jul[#Headers],0)),
$S$11=$CB$35,INDEX($CB$37:$CU$79,MATCH(AP18,Regular_cases_jan[[Nurse]:[Nurse]],0),MATCH($V$11,Eip_cases_Aug[#Headers],0)),
$S$11=$CF$35,INDEX($CF$37:$CU$79,MATCH(AP18,Regular_cases_jan[[Nurse]:[Nurse]],0),MATCH($V$11,Eip_cases_Sep[#Headers],0)),
$S$11=$CJ$35,INDEX($CJ$37:$CU$79,MATCH(AP18,Regular_cases_jan[[Nurse]:[Nurse]],0),MATCH($V$11,Eip_cases_Oct[#Headers],0)),
$S$11=$CN$35,INDEX($CN$37:$CU$79,MATCH(AP18,Regular_cases_jan[[Nurse]:[Nurse]],0),MATCH($V$11,Eip_cases_Nov[#Headers],0)),
$S$11=$CR$35,INDEX($CR$37:$CU$85,MATCH(AP18,Regular_cases_jan[[Nurse]:[Nurse]],0),MATCH($V$11,Eip_cases_Dec[#Headers],0))
))</f>
        <v>2</v>
      </c>
      <c r="AQ19" s="397" cm="1">
        <f t="array" ref="AQ19">IF($P$11=$P$9,
_xlfn.IFS(
$S$11=$C$35,INDEX($C$37:$AX$79,MATCH(AQ18,Regular_cases_jan[[Nurse]:[Nurse]],0),MATCH($V$11,Regular_cases_jan[[#Headers],[BOM Cases]:[EOM Cases]],0)),
$S$11=$G$35,INDEX($G$37:$AX$79,MATCH(AQ18,Regular_cases_jan[[Nurse]:[Nurse]],0),MATCH($V$11,Regular_cases_feb[[#Headers],[BOM Cases]:[EOM Cases]],0)),
$S$11=$K$35,INDEX($K$37:$AX$79,MATCH(AQ18,Regular_cases_jan[[Nurse]:[Nurse]],0),MATCH($V$11,Regular_cases_mar[[#Headers],[BOM Cases]:[EOM Cases]],0)),
$S$11=$O$35,INDEX($O$37:$AX$79,MATCH(AQ18,Regular_cases_jan[[Nurse]:[Nurse]],0),MATCH($V$11,Regular_cases_apr[[#Headers],[BOM Cases]:[EOM Cases]],0)),
$S$11=$S$35,INDEX($S$37:$AX$79,MATCH(AQ18,Regular_cases_jan[[Nurse]:[Nurse]],0),MATCH($V$11,Regular_cases_may[[#Headers],[BOM Cases]:[EOM Cases]],0)),
$S$11=$W$35,INDEX($W$37:$AX$79,MATCH(AQ18,Regular_cases_jan[[Nurse]:[Nurse]],0),MATCH($V$11,Regular_cases_jun[[#Headers],[BOM Cases]:[EOM Cases]],0)),
$S$11=$AA$35,INDEX($AA$37:$AX$79,MATCH(AQ18,Regular_cases_jan[[Nurse]:[Nurse]],0),MATCH($V$11,Regular_cases_jul[[#Headers],[BOM Cases]:[EOM Cases]],0)),
$S$11=$AE$35,INDEX($AE$37:$AX$79,MATCH(AQ18,Regular_cases_jan[[Nurse]:[Nurse]],0),MATCH($V$11,Regular_cases_Aug[[#Headers],[BOM Cases]:[EOM Cases]],0)),
$S$11=$AI$35,INDEX($AI$37:$AX$79,MATCH(AQ18,Regular_cases_jan[[Nurse]:[Nurse]],0),MATCH($V$11,Regular_cases_Sep[[#Headers],[BOM Cases]:[EOM Cases]],0)),
$S$11=$AM$35,INDEX($AM$37:$AX$79,MATCH(AQ18,Regular_cases_jan[[Nurse]:[Nurse]],0),MATCH($V$11,Regular_cases_Oct[[#Headers],[BOM Cases]:[EOM Cases]],0)),
$S$11=$AQ$35,INDEX($AQ$37:$AX$79,MATCH(AQ18,Regular_cases_jan[[Nurse]:[Nurse]],0),MATCH($V$11,Regular_cases_Nov[[#Headers],[BOM Cases]:[EOM Cases]],0)),
$S$11=$AU$35,INDEX($AU$37:$AX$85,MATCH(AQ18,Regular_cases_jan[[Nurse]:[Nurse]],0),MATCH($V$11,Regular_cases_Dec[[#Headers],[BOM Cases]:[EOM Cases]],0))
),
_xlfn.IFS(
$S$11=$AZ$35,INDEX($AZ$37:$CU$79,MATCH(AQ18,Regular_cases_jan[[Nurse]:[Nurse]],0),MATCH($V$11,Eip_cases_jan[#Headers],0)),
$S$11=$BD$35,INDEX($BD$37:$CU$79,MATCH(AQ18,Regular_cases_jan[[Nurse]:[Nurse]],0),MATCH($V$11,Eip_cases_feb[#Headers],0)),
$S$11=$BH$35,INDEX($BH$37:$CU$79,MATCH(AQ18,Regular_cases_jan[[Nurse]:[Nurse]],0),MATCH($V$11,Eip_cases_mar[#Headers],0)),
$S$11=$BL$35,INDEX($BL$37:$CU$79,MATCH(AQ18,Regular_cases_jan[[Nurse]:[Nurse]],0),MATCH($V$11,Eip_cases_Apr[#Headers],0)),
$S$11=$BP$35,INDEX($BP$37:$CU$79,MATCH(AQ18,Regular_cases_jan[[Nurse]:[Nurse]],0),MATCH($V$11,Eip_cases_May[#Headers],0)),
$S$11=$BT$35,INDEX($BT$37:$CU$79,MATCH(AQ18,Regular_cases_jan[[Nurse]:[Nurse]],0),MATCH($V$11,Eip_cases_Jun[#Headers],0)),
$S$11=$BX$35,INDEX($BX$37:$CU$79,MATCH(AQ18,Regular_cases_jan[[Nurse]:[Nurse]],0),MATCH($V$11,Eip_cases_Jul[#Headers],0)),
$S$11=$CB$35,INDEX($CB$37:$CU$79,MATCH(AQ18,Regular_cases_jan[[Nurse]:[Nurse]],0),MATCH($V$11,Eip_cases_Aug[#Headers],0)),
$S$11=$CF$35,INDEX($CF$37:$CU$79,MATCH(AQ18,Regular_cases_jan[[Nurse]:[Nurse]],0),MATCH($V$11,Eip_cases_Sep[#Headers],0)),
$S$11=$CJ$35,INDEX($CJ$37:$CU$79,MATCH(AQ18,Regular_cases_jan[[Nurse]:[Nurse]],0),MATCH($V$11,Eip_cases_Oct[#Headers],0)),
$S$11=$CN$35,INDEX($CN$37:$CU$79,MATCH(AQ18,Regular_cases_jan[[Nurse]:[Nurse]],0),MATCH($V$11,Eip_cases_Nov[#Headers],0)),
$S$11=$CR$35,INDEX($CR$37:$CU$85,MATCH(AQ18,Regular_cases_jan[[Nurse]:[Nurse]],0),MATCH($V$11,Eip_cases_Dec[#Headers],0))
))</f>
        <v>3</v>
      </c>
      <c r="AR19" s="397" cm="1">
        <f t="array" ref="AR19">IF($P$11=$P$9,
_xlfn.IFS(
$S$11=$C$35,INDEX($C$37:$AX$79,MATCH(AR18,Regular_cases_jan[[Nurse]:[Nurse]],0),MATCH($V$11,Regular_cases_jan[[#Headers],[BOM Cases]:[EOM Cases]],0)),
$S$11=$G$35,INDEX($G$37:$AX$79,MATCH(AR18,Regular_cases_jan[[Nurse]:[Nurse]],0),MATCH($V$11,Regular_cases_feb[[#Headers],[BOM Cases]:[EOM Cases]],0)),
$S$11=$K$35,INDEX($K$37:$AX$79,MATCH(AR18,Regular_cases_jan[[Nurse]:[Nurse]],0),MATCH($V$11,Regular_cases_mar[[#Headers],[BOM Cases]:[EOM Cases]],0)),
$S$11=$O$35,INDEX($O$37:$AX$79,MATCH(AR18,Regular_cases_jan[[Nurse]:[Nurse]],0),MATCH($V$11,Regular_cases_apr[[#Headers],[BOM Cases]:[EOM Cases]],0)),
$S$11=$S$35,INDEX($S$37:$AX$79,MATCH(AR18,Regular_cases_jan[[Nurse]:[Nurse]],0),MATCH($V$11,Regular_cases_may[[#Headers],[BOM Cases]:[EOM Cases]],0)),
$S$11=$W$35,INDEX($W$37:$AX$79,MATCH(AR18,Regular_cases_jan[[Nurse]:[Nurse]],0),MATCH($V$11,Regular_cases_jun[[#Headers],[BOM Cases]:[EOM Cases]],0)),
$S$11=$AA$35,INDEX($AA$37:$AX$79,MATCH(AR18,Regular_cases_jan[[Nurse]:[Nurse]],0),MATCH($V$11,Regular_cases_jul[[#Headers],[BOM Cases]:[EOM Cases]],0)),
$S$11=$AE$35,INDEX($AE$37:$AX$79,MATCH(AR18,Regular_cases_jan[[Nurse]:[Nurse]],0),MATCH($V$11,Regular_cases_Aug[[#Headers],[BOM Cases]:[EOM Cases]],0)),
$S$11=$AI$35,INDEX($AI$37:$AX$79,MATCH(AR18,Regular_cases_jan[[Nurse]:[Nurse]],0),MATCH($V$11,Regular_cases_Sep[[#Headers],[BOM Cases]:[EOM Cases]],0)),
$S$11=$AM$35,INDEX($AM$37:$AX$79,MATCH(AR18,Regular_cases_jan[[Nurse]:[Nurse]],0),MATCH($V$11,Regular_cases_Oct[[#Headers],[BOM Cases]:[EOM Cases]],0)),
$S$11=$AQ$35,INDEX($AQ$37:$AX$79,MATCH(AR18,Regular_cases_jan[[Nurse]:[Nurse]],0),MATCH($V$11,Regular_cases_Nov[[#Headers],[BOM Cases]:[EOM Cases]],0)),
$S$11=$AU$35,INDEX($AU$37:$AX$85,MATCH(AR18,Regular_cases_jan[[Nurse]:[Nurse]],0),MATCH($V$11,Regular_cases_Dec[[#Headers],[BOM Cases]:[EOM Cases]],0))
),
_xlfn.IFS(
$S$11=$AZ$35,INDEX($AZ$37:$CU$79,MATCH(AR18,Regular_cases_jan[[Nurse]:[Nurse]],0),MATCH($V$11,Eip_cases_jan[#Headers],0)),
$S$11=$BD$35,INDEX($BD$37:$CU$79,MATCH(AR18,Regular_cases_jan[[Nurse]:[Nurse]],0),MATCH($V$11,Eip_cases_feb[#Headers],0)),
$S$11=$BH$35,INDEX($BH$37:$CU$79,MATCH(AR18,Regular_cases_jan[[Nurse]:[Nurse]],0),MATCH($V$11,Eip_cases_mar[#Headers],0)),
$S$11=$BL$35,INDEX($BL$37:$CU$79,MATCH(AR18,Regular_cases_jan[[Nurse]:[Nurse]],0),MATCH($V$11,Eip_cases_Apr[#Headers],0)),
$S$11=$BP$35,INDEX($BP$37:$CU$79,MATCH(AR18,Regular_cases_jan[[Nurse]:[Nurse]],0),MATCH($V$11,Eip_cases_May[#Headers],0)),
$S$11=$BT$35,INDEX($BT$37:$CU$79,MATCH(AR18,Regular_cases_jan[[Nurse]:[Nurse]],0),MATCH($V$11,Eip_cases_Jun[#Headers],0)),
$S$11=$BX$35,INDEX($BX$37:$CU$79,MATCH(AR18,Regular_cases_jan[[Nurse]:[Nurse]],0),MATCH($V$11,Eip_cases_Jul[#Headers],0)),
$S$11=$CB$35,INDEX($CB$37:$CU$79,MATCH(AR18,Regular_cases_jan[[Nurse]:[Nurse]],0),MATCH($V$11,Eip_cases_Aug[#Headers],0)),
$S$11=$CF$35,INDEX($CF$37:$CU$79,MATCH(AR18,Regular_cases_jan[[Nurse]:[Nurse]],0),MATCH($V$11,Eip_cases_Sep[#Headers],0)),
$S$11=$CJ$35,INDEX($CJ$37:$CU$79,MATCH(AR18,Regular_cases_jan[[Nurse]:[Nurse]],0),MATCH($V$11,Eip_cases_Oct[#Headers],0)),
$S$11=$CN$35,INDEX($CN$37:$CU$79,MATCH(AR18,Regular_cases_jan[[Nurse]:[Nurse]],0),MATCH($V$11,Eip_cases_Nov[#Headers],0)),
$S$11=$CR$35,INDEX($CR$37:$CU$85,MATCH(AR18,Regular_cases_jan[[Nurse]:[Nurse]],0),MATCH($V$11,Eip_cases_Dec[#Headers],0))
))</f>
        <v>0</v>
      </c>
      <c r="AS19" s="397" cm="1">
        <f t="array" ref="AS19">IF($P$11=$P$9,
_xlfn.IFS(
$S$11=$C$35,INDEX($C$37:$AX$79,MATCH(AS18,Regular_cases_jan[[Nurse]:[Nurse]],0),MATCH($V$11,Regular_cases_jan[[#Headers],[BOM Cases]:[EOM Cases]],0)),
$S$11=$G$35,INDEX($G$37:$AX$79,MATCH(AS18,Regular_cases_jan[[Nurse]:[Nurse]],0),MATCH($V$11,Regular_cases_feb[[#Headers],[BOM Cases]:[EOM Cases]],0)),
$S$11=$K$35,INDEX($K$37:$AX$79,MATCH(AS18,Regular_cases_jan[[Nurse]:[Nurse]],0),MATCH($V$11,Regular_cases_mar[[#Headers],[BOM Cases]:[EOM Cases]],0)),
$S$11=$O$35,INDEX($O$37:$AX$79,MATCH(AS18,Regular_cases_jan[[Nurse]:[Nurse]],0),MATCH($V$11,Regular_cases_apr[[#Headers],[BOM Cases]:[EOM Cases]],0)),
$S$11=$S$35,INDEX($S$37:$AX$79,MATCH(AS18,Regular_cases_jan[[Nurse]:[Nurse]],0),MATCH($V$11,Regular_cases_may[[#Headers],[BOM Cases]:[EOM Cases]],0)),
$S$11=$W$35,INDEX($W$37:$AX$79,MATCH(AS18,Regular_cases_jan[[Nurse]:[Nurse]],0),MATCH($V$11,Regular_cases_jun[[#Headers],[BOM Cases]:[EOM Cases]],0)),
$S$11=$AA$35,INDEX($AA$37:$AX$79,MATCH(AS18,Regular_cases_jan[[Nurse]:[Nurse]],0),MATCH($V$11,Regular_cases_jul[[#Headers],[BOM Cases]:[EOM Cases]],0)),
$S$11=$AE$35,INDEX($AE$37:$AX$79,MATCH(AS18,Regular_cases_jan[[Nurse]:[Nurse]],0),MATCH($V$11,Regular_cases_Aug[[#Headers],[BOM Cases]:[EOM Cases]],0)),
$S$11=$AI$35,INDEX($AI$37:$AX$79,MATCH(AS18,Regular_cases_jan[[Nurse]:[Nurse]],0),MATCH($V$11,Regular_cases_Sep[[#Headers],[BOM Cases]:[EOM Cases]],0)),
$S$11=$AM$35,INDEX($AM$37:$AX$79,MATCH(AS18,Regular_cases_jan[[Nurse]:[Nurse]],0),MATCH($V$11,Regular_cases_Oct[[#Headers],[BOM Cases]:[EOM Cases]],0)),
$S$11=$AQ$35,INDEX($AQ$37:$AX$79,MATCH(AS18,Regular_cases_jan[[Nurse]:[Nurse]],0),MATCH($V$11,Regular_cases_Nov[[#Headers],[BOM Cases]:[EOM Cases]],0)),
$S$11=$AU$35,INDEX($AU$37:$AX$85,MATCH(AS18,Regular_cases_jan[[Nurse]:[Nurse]],0),MATCH($V$11,Regular_cases_Dec[[#Headers],[BOM Cases]:[EOM Cases]],0))
),
_xlfn.IFS(
$S$11=$AZ$35,INDEX($AZ$37:$CU$79,MATCH(AS18,Regular_cases_jan[[Nurse]:[Nurse]],0),MATCH($V$11,Eip_cases_jan[#Headers],0)),
$S$11=$BD$35,INDEX($BD$37:$CU$79,MATCH(AS18,Regular_cases_jan[[Nurse]:[Nurse]],0),MATCH($V$11,Eip_cases_feb[#Headers],0)),
$S$11=$BH$35,INDEX($BH$37:$CU$79,MATCH(AS18,Regular_cases_jan[[Nurse]:[Nurse]],0),MATCH($V$11,Eip_cases_mar[#Headers],0)),
$S$11=$BL$35,INDEX($BL$37:$CU$79,MATCH(AS18,Regular_cases_jan[[Nurse]:[Nurse]],0),MATCH($V$11,Eip_cases_Apr[#Headers],0)),
$S$11=$BP$35,INDEX($BP$37:$CU$79,MATCH(AS18,Regular_cases_jan[[Nurse]:[Nurse]],0),MATCH($V$11,Eip_cases_May[#Headers],0)),
$S$11=$BT$35,INDEX($BT$37:$CU$79,MATCH(AS18,Regular_cases_jan[[Nurse]:[Nurse]],0),MATCH($V$11,Eip_cases_Jun[#Headers],0)),
$S$11=$BX$35,INDEX($BX$37:$CU$79,MATCH(AS18,Regular_cases_jan[[Nurse]:[Nurse]],0),MATCH($V$11,Eip_cases_Jul[#Headers],0)),
$S$11=$CB$35,INDEX($CB$37:$CU$79,MATCH(AS18,Regular_cases_jan[[Nurse]:[Nurse]],0),MATCH($V$11,Eip_cases_Aug[#Headers],0)),
$S$11=$CF$35,INDEX($CF$37:$CU$79,MATCH(AS18,Regular_cases_jan[[Nurse]:[Nurse]],0),MATCH($V$11,Eip_cases_Sep[#Headers],0)),
$S$11=$CJ$35,INDEX($CJ$37:$CU$79,MATCH(AS18,Regular_cases_jan[[Nurse]:[Nurse]],0),MATCH($V$11,Eip_cases_Oct[#Headers],0)),
$S$11=$CN$35,INDEX($CN$37:$CU$79,MATCH(AS18,Regular_cases_jan[[Nurse]:[Nurse]],0),MATCH($V$11,Eip_cases_Nov[#Headers],0)),
$S$11=$CR$35,INDEX($CR$37:$CU$85,MATCH(AS18,Regular_cases_jan[[Nurse]:[Nurse]],0),MATCH($V$11,Eip_cases_Dec[#Headers],0))
))</f>
        <v>0</v>
      </c>
      <c r="AT19" s="397" cm="1">
        <f t="array" ref="AT19">IF($P$11=$P$9,
_xlfn.IFS(
$S$11=$C$35,INDEX($C$37:$AX$79,MATCH(AT18,Regular_cases_jan[[Nurse]:[Nurse]],0),MATCH($V$11,Regular_cases_jan[[#Headers],[BOM Cases]:[EOM Cases]],0)),
$S$11=$G$35,INDEX($G$37:$AX$79,MATCH(AT18,Regular_cases_jan[[Nurse]:[Nurse]],0),MATCH($V$11,Regular_cases_feb[[#Headers],[BOM Cases]:[EOM Cases]],0)),
$S$11=$K$35,INDEX($K$37:$AX$79,MATCH(AT18,Regular_cases_jan[[Nurse]:[Nurse]],0),MATCH($V$11,Regular_cases_mar[[#Headers],[BOM Cases]:[EOM Cases]],0)),
$S$11=$O$35,INDEX($O$37:$AX$79,MATCH(AT18,Regular_cases_jan[[Nurse]:[Nurse]],0),MATCH($V$11,Regular_cases_apr[[#Headers],[BOM Cases]:[EOM Cases]],0)),
$S$11=$S$35,INDEX($S$37:$AX$79,MATCH(AT18,Regular_cases_jan[[Nurse]:[Nurse]],0),MATCH($V$11,Regular_cases_may[[#Headers],[BOM Cases]:[EOM Cases]],0)),
$S$11=$W$35,INDEX($W$37:$AX$79,MATCH(AT18,Regular_cases_jan[[Nurse]:[Nurse]],0),MATCH($V$11,Regular_cases_jun[[#Headers],[BOM Cases]:[EOM Cases]],0)),
$S$11=$AA$35,INDEX($AA$37:$AX$79,MATCH(AT18,Regular_cases_jan[[Nurse]:[Nurse]],0),MATCH($V$11,Regular_cases_jul[[#Headers],[BOM Cases]:[EOM Cases]],0)),
$S$11=$AE$35,INDEX($AE$37:$AX$79,MATCH(AT18,Regular_cases_jan[[Nurse]:[Nurse]],0),MATCH($V$11,Regular_cases_Aug[[#Headers],[BOM Cases]:[EOM Cases]],0)),
$S$11=$AI$35,INDEX($AI$37:$AX$79,MATCH(AT18,Regular_cases_jan[[Nurse]:[Nurse]],0),MATCH($V$11,Regular_cases_Sep[[#Headers],[BOM Cases]:[EOM Cases]],0)),
$S$11=$AM$35,INDEX($AM$37:$AX$79,MATCH(AT18,Regular_cases_jan[[Nurse]:[Nurse]],0),MATCH($V$11,Regular_cases_Oct[[#Headers],[BOM Cases]:[EOM Cases]],0)),
$S$11=$AQ$35,INDEX($AQ$37:$AX$79,MATCH(AT18,Regular_cases_jan[[Nurse]:[Nurse]],0),MATCH($V$11,Regular_cases_Nov[[#Headers],[BOM Cases]:[EOM Cases]],0)),
$S$11=$AU$35,INDEX($AU$37:$AX$85,MATCH(AT18,Regular_cases_jan[[Nurse]:[Nurse]],0),MATCH($V$11,Regular_cases_Dec[[#Headers],[BOM Cases]:[EOM Cases]],0))
),
_xlfn.IFS(
$S$11=$AZ$35,INDEX($AZ$37:$CU$79,MATCH(AT18,Regular_cases_jan[[Nurse]:[Nurse]],0),MATCH($V$11,Eip_cases_jan[#Headers],0)),
$S$11=$BD$35,INDEX($BD$37:$CU$79,MATCH(AT18,Regular_cases_jan[[Nurse]:[Nurse]],0),MATCH($V$11,Eip_cases_feb[#Headers],0)),
$S$11=$BH$35,INDEX($BH$37:$CU$79,MATCH(AT18,Regular_cases_jan[[Nurse]:[Nurse]],0),MATCH($V$11,Eip_cases_mar[#Headers],0)),
$S$11=$BL$35,INDEX($BL$37:$CU$79,MATCH(AT18,Regular_cases_jan[[Nurse]:[Nurse]],0),MATCH($V$11,Eip_cases_Apr[#Headers],0)),
$S$11=$BP$35,INDEX($BP$37:$CU$79,MATCH(AT18,Regular_cases_jan[[Nurse]:[Nurse]],0),MATCH($V$11,Eip_cases_May[#Headers],0)),
$S$11=$BT$35,INDEX($BT$37:$CU$79,MATCH(AT18,Regular_cases_jan[[Nurse]:[Nurse]],0),MATCH($V$11,Eip_cases_Jun[#Headers],0)),
$S$11=$BX$35,INDEX($BX$37:$CU$79,MATCH(AT18,Regular_cases_jan[[Nurse]:[Nurse]],0),MATCH($V$11,Eip_cases_Jul[#Headers],0)),
$S$11=$CB$35,INDEX($CB$37:$CU$79,MATCH(AT18,Regular_cases_jan[[Nurse]:[Nurse]],0),MATCH($V$11,Eip_cases_Aug[#Headers],0)),
$S$11=$CF$35,INDEX($CF$37:$CU$79,MATCH(AT18,Regular_cases_jan[[Nurse]:[Nurse]],0),MATCH($V$11,Eip_cases_Sep[#Headers],0)),
$S$11=$CJ$35,INDEX($CJ$37:$CU$79,MATCH(AT18,Regular_cases_jan[[Nurse]:[Nurse]],0),MATCH($V$11,Eip_cases_Oct[#Headers],0)),
$S$11=$CN$35,INDEX($CN$37:$CU$79,MATCH(AT18,Regular_cases_jan[[Nurse]:[Nurse]],0),MATCH($V$11,Eip_cases_Nov[#Headers],0)),
$S$11=$CR$35,INDEX($CR$37:$CU$85,MATCH(AT18,Regular_cases_jan[[Nurse]:[Nurse]],0),MATCH($V$11,Eip_cases_Dec[#Headers],0))
))</f>
        <v>0</v>
      </c>
      <c r="AU19" s="397" cm="1">
        <f t="array" ref="AU19">IF($P$11=$P$9,
_xlfn.IFS(
$S$11=$C$35,INDEX($C$37:$AX$79,MATCH(AU18,Regular_cases_jan[[Nurse]:[Nurse]],0),MATCH($V$11,Regular_cases_jan[[#Headers],[BOM Cases]:[EOM Cases]],0)),
$S$11=$G$35,INDEX($G$37:$AX$79,MATCH(AU18,Regular_cases_jan[[Nurse]:[Nurse]],0),MATCH($V$11,Regular_cases_feb[[#Headers],[BOM Cases]:[EOM Cases]],0)),
$S$11=$K$35,INDEX($K$37:$AX$79,MATCH(AU18,Regular_cases_jan[[Nurse]:[Nurse]],0),MATCH($V$11,Regular_cases_mar[[#Headers],[BOM Cases]:[EOM Cases]],0)),
$S$11=$O$35,INDEX($O$37:$AX$79,MATCH(AU18,Regular_cases_jan[[Nurse]:[Nurse]],0),MATCH($V$11,Regular_cases_apr[[#Headers],[BOM Cases]:[EOM Cases]],0)),
$S$11=$S$35,INDEX($S$37:$AX$79,MATCH(AU18,Regular_cases_jan[[Nurse]:[Nurse]],0),MATCH($V$11,Regular_cases_may[[#Headers],[BOM Cases]:[EOM Cases]],0)),
$S$11=$W$35,INDEX($W$37:$AX$79,MATCH(AU18,Regular_cases_jan[[Nurse]:[Nurse]],0),MATCH($V$11,Regular_cases_jun[[#Headers],[BOM Cases]:[EOM Cases]],0)),
$S$11=$AA$35,INDEX($AA$37:$AX$79,MATCH(AU18,Regular_cases_jan[[Nurse]:[Nurse]],0),MATCH($V$11,Regular_cases_jul[[#Headers],[BOM Cases]:[EOM Cases]],0)),
$S$11=$AE$35,INDEX($AE$37:$AX$79,MATCH(AU18,Regular_cases_jan[[Nurse]:[Nurse]],0),MATCH($V$11,Regular_cases_Aug[[#Headers],[BOM Cases]:[EOM Cases]],0)),
$S$11=$AI$35,INDEX($AI$37:$AX$79,MATCH(AU18,Regular_cases_jan[[Nurse]:[Nurse]],0),MATCH($V$11,Regular_cases_Sep[[#Headers],[BOM Cases]:[EOM Cases]],0)),
$S$11=$AM$35,INDEX($AM$37:$AX$79,MATCH(AU18,Regular_cases_jan[[Nurse]:[Nurse]],0),MATCH($V$11,Regular_cases_Oct[[#Headers],[BOM Cases]:[EOM Cases]],0)),
$S$11=$AQ$35,INDEX($AQ$37:$AX$79,MATCH(AU18,Regular_cases_jan[[Nurse]:[Nurse]],0),MATCH($V$11,Regular_cases_Nov[[#Headers],[BOM Cases]:[EOM Cases]],0)),
$S$11=$AU$35,INDEX($AU$37:$AX$85,MATCH(AU18,Regular_cases_jan[[Nurse]:[Nurse]],0),MATCH($V$11,Regular_cases_Dec[[#Headers],[BOM Cases]:[EOM Cases]],0))
),
_xlfn.IFS(
$S$11=$AZ$35,INDEX($AZ$37:$CU$79,MATCH(AU18,Regular_cases_jan[[Nurse]:[Nurse]],0),MATCH($V$11,Eip_cases_jan[#Headers],0)),
$S$11=$BD$35,INDEX($BD$37:$CU$79,MATCH(AU18,Regular_cases_jan[[Nurse]:[Nurse]],0),MATCH($V$11,Eip_cases_feb[#Headers],0)),
$S$11=$BH$35,INDEX($BH$37:$CU$79,MATCH(AU18,Regular_cases_jan[[Nurse]:[Nurse]],0),MATCH($V$11,Eip_cases_mar[#Headers],0)),
$S$11=$BL$35,INDEX($BL$37:$CU$79,MATCH(AU18,Regular_cases_jan[[Nurse]:[Nurse]],0),MATCH($V$11,Eip_cases_Apr[#Headers],0)),
$S$11=$BP$35,INDEX($BP$37:$CU$79,MATCH(AU18,Regular_cases_jan[[Nurse]:[Nurse]],0),MATCH($V$11,Eip_cases_May[#Headers],0)),
$S$11=$BT$35,INDEX($BT$37:$CU$79,MATCH(AU18,Regular_cases_jan[[Nurse]:[Nurse]],0),MATCH($V$11,Eip_cases_Jun[#Headers],0)),
$S$11=$BX$35,INDEX($BX$37:$CU$79,MATCH(AU18,Regular_cases_jan[[Nurse]:[Nurse]],0),MATCH($V$11,Eip_cases_Jul[#Headers],0)),
$S$11=$CB$35,INDEX($CB$37:$CU$79,MATCH(AU18,Regular_cases_jan[[Nurse]:[Nurse]],0),MATCH($V$11,Eip_cases_Aug[#Headers],0)),
$S$11=$CF$35,INDEX($CF$37:$CU$79,MATCH(AU18,Regular_cases_jan[[Nurse]:[Nurse]],0),MATCH($V$11,Eip_cases_Sep[#Headers],0)),
$S$11=$CJ$35,INDEX($CJ$37:$CU$79,MATCH(AU18,Regular_cases_jan[[Nurse]:[Nurse]],0),MATCH($V$11,Eip_cases_Oct[#Headers],0)),
$S$11=$CN$35,INDEX($CN$37:$CU$79,MATCH(AU18,Regular_cases_jan[[Nurse]:[Nurse]],0),MATCH($V$11,Eip_cases_Nov[#Headers],0)),
$S$11=$CR$35,INDEX($CR$37:$CU$85,MATCH(AU18,Regular_cases_jan[[Nurse]:[Nurse]],0),MATCH($V$11,Eip_cases_Dec[#Headers],0))
))</f>
        <v>4</v>
      </c>
      <c r="AV19" s="397" cm="1">
        <f t="array" ref="AV19">IF($P$11=$P$9,
_xlfn.IFS(
$S$11=$C$35,INDEX($C$37:$AX$79,MATCH(AV18,Regular_cases_jan[[Nurse]:[Nurse]],0),MATCH($V$11,Regular_cases_jan[[#Headers],[BOM Cases]:[EOM Cases]],0)),
$S$11=$G$35,INDEX($G$37:$AX$79,MATCH(AV18,Regular_cases_jan[[Nurse]:[Nurse]],0),MATCH($V$11,Regular_cases_feb[[#Headers],[BOM Cases]:[EOM Cases]],0)),
$S$11=$K$35,INDEX($K$37:$AX$79,MATCH(AV18,Regular_cases_jan[[Nurse]:[Nurse]],0),MATCH($V$11,Regular_cases_mar[[#Headers],[BOM Cases]:[EOM Cases]],0)),
$S$11=$O$35,INDEX($O$37:$AX$79,MATCH(AV18,Regular_cases_jan[[Nurse]:[Nurse]],0),MATCH($V$11,Regular_cases_apr[[#Headers],[BOM Cases]:[EOM Cases]],0)),
$S$11=$S$35,INDEX($S$37:$AX$79,MATCH(AV18,Regular_cases_jan[[Nurse]:[Nurse]],0),MATCH($V$11,Regular_cases_may[[#Headers],[BOM Cases]:[EOM Cases]],0)),
$S$11=$W$35,INDEX($W$37:$AX$79,MATCH(AV18,Regular_cases_jan[[Nurse]:[Nurse]],0),MATCH($V$11,Regular_cases_jun[[#Headers],[BOM Cases]:[EOM Cases]],0)),
$S$11=$AA$35,INDEX($AA$37:$AX$79,MATCH(AV18,Regular_cases_jan[[Nurse]:[Nurse]],0),MATCH($V$11,Regular_cases_jul[[#Headers],[BOM Cases]:[EOM Cases]],0)),
$S$11=$AE$35,INDEX($AE$37:$AX$79,MATCH(AV18,Regular_cases_jan[[Nurse]:[Nurse]],0),MATCH($V$11,Regular_cases_Aug[[#Headers],[BOM Cases]:[EOM Cases]],0)),
$S$11=$AI$35,INDEX($AI$37:$AX$79,MATCH(AV18,Regular_cases_jan[[Nurse]:[Nurse]],0),MATCH($V$11,Regular_cases_Sep[[#Headers],[BOM Cases]:[EOM Cases]],0)),
$S$11=$AM$35,INDEX($AM$37:$AX$79,MATCH(AV18,Regular_cases_jan[[Nurse]:[Nurse]],0),MATCH($V$11,Regular_cases_Oct[[#Headers],[BOM Cases]:[EOM Cases]],0)),
$S$11=$AQ$35,INDEX($AQ$37:$AX$79,MATCH(AV18,Regular_cases_jan[[Nurse]:[Nurse]],0),MATCH($V$11,Regular_cases_Nov[[#Headers],[BOM Cases]:[EOM Cases]],0)),
$S$11=$AU$35,INDEX($AU$37:$AX$85,MATCH(AV18,Regular_cases_jan[[Nurse]:[Nurse]],0),MATCH($V$11,Regular_cases_Dec[[#Headers],[BOM Cases]:[EOM Cases]],0))
),
_xlfn.IFS(
$S$11=$AZ$35,INDEX($AZ$37:$CU$79,MATCH(AV18,Regular_cases_jan[[Nurse]:[Nurse]],0),MATCH($V$11,Eip_cases_jan[#Headers],0)),
$S$11=$BD$35,INDEX($BD$37:$CU$79,MATCH(AV18,Regular_cases_jan[[Nurse]:[Nurse]],0),MATCH($V$11,Eip_cases_feb[#Headers],0)),
$S$11=$BH$35,INDEX($BH$37:$CU$79,MATCH(AV18,Regular_cases_jan[[Nurse]:[Nurse]],0),MATCH($V$11,Eip_cases_mar[#Headers],0)),
$S$11=$BL$35,INDEX($BL$37:$CU$79,MATCH(AV18,Regular_cases_jan[[Nurse]:[Nurse]],0),MATCH($V$11,Eip_cases_Apr[#Headers],0)),
$S$11=$BP$35,INDEX($BP$37:$CU$79,MATCH(AV18,Regular_cases_jan[[Nurse]:[Nurse]],0),MATCH($V$11,Eip_cases_May[#Headers],0)),
$S$11=$BT$35,INDEX($BT$37:$CU$79,MATCH(AV18,Regular_cases_jan[[Nurse]:[Nurse]],0),MATCH($V$11,Eip_cases_Jun[#Headers],0)),
$S$11=$BX$35,INDEX($BX$37:$CU$79,MATCH(AV18,Regular_cases_jan[[Nurse]:[Nurse]],0),MATCH($V$11,Eip_cases_Jul[#Headers],0)),
$S$11=$CB$35,INDEX($CB$37:$CU$79,MATCH(AV18,Regular_cases_jan[[Nurse]:[Nurse]],0),MATCH($V$11,Eip_cases_Aug[#Headers],0)),
$S$11=$CF$35,INDEX($CF$37:$CU$79,MATCH(AV18,Regular_cases_jan[[Nurse]:[Nurse]],0),MATCH($V$11,Eip_cases_Sep[#Headers],0)),
$S$11=$CJ$35,INDEX($CJ$37:$CU$79,MATCH(AV18,Regular_cases_jan[[Nurse]:[Nurse]],0),MATCH($V$11,Eip_cases_Oct[#Headers],0)),
$S$11=$CN$35,INDEX($CN$37:$CU$79,MATCH(AV18,Regular_cases_jan[[Nurse]:[Nurse]],0),MATCH($V$11,Eip_cases_Nov[#Headers],0)),
$S$11=$CR$35,INDEX($CR$37:$CU$85,MATCH(AV18,Regular_cases_jan[[Nurse]:[Nurse]],0),MATCH($V$11,Eip_cases_Dec[#Headers],0))
))</f>
        <v>3</v>
      </c>
      <c r="AW19" s="397" cm="1">
        <f t="array" ref="AW19">IF($P$11=$P$9,
_xlfn.IFS(
$S$11=$C$35,INDEX($C$37:$AX$79,MATCH(AW18,Regular_cases_jan[[Nurse]:[Nurse]],0),MATCH($V$11,Regular_cases_jan[[#Headers],[BOM Cases]:[EOM Cases]],0)),
$S$11=$G$35,INDEX($G$37:$AX$79,MATCH(AW18,Regular_cases_jan[[Nurse]:[Nurse]],0),MATCH($V$11,Regular_cases_feb[[#Headers],[BOM Cases]:[EOM Cases]],0)),
$S$11=$K$35,INDEX($K$37:$AX$79,MATCH(AW18,Regular_cases_jan[[Nurse]:[Nurse]],0),MATCH($V$11,Regular_cases_mar[[#Headers],[BOM Cases]:[EOM Cases]],0)),
$S$11=$O$35,INDEX($O$37:$AX$79,MATCH(AW18,Regular_cases_jan[[Nurse]:[Nurse]],0),MATCH($V$11,Regular_cases_apr[[#Headers],[BOM Cases]:[EOM Cases]],0)),
$S$11=$S$35,INDEX($S$37:$AX$79,MATCH(AW18,Regular_cases_jan[[Nurse]:[Nurse]],0),MATCH($V$11,Regular_cases_may[[#Headers],[BOM Cases]:[EOM Cases]],0)),
$S$11=$W$35,INDEX($W$37:$AX$79,MATCH(AW18,Regular_cases_jan[[Nurse]:[Nurse]],0),MATCH($V$11,Regular_cases_jun[[#Headers],[BOM Cases]:[EOM Cases]],0)),
$S$11=$AA$35,INDEX($AA$37:$AX$79,MATCH(AW18,Regular_cases_jan[[Nurse]:[Nurse]],0),MATCH($V$11,Regular_cases_jul[[#Headers],[BOM Cases]:[EOM Cases]],0)),
$S$11=$AE$35,INDEX($AE$37:$AX$79,MATCH(AW18,Regular_cases_jan[[Nurse]:[Nurse]],0),MATCH($V$11,Regular_cases_Aug[[#Headers],[BOM Cases]:[EOM Cases]],0)),
$S$11=$AI$35,INDEX($AI$37:$AX$79,MATCH(AW18,Regular_cases_jan[[Nurse]:[Nurse]],0),MATCH($V$11,Regular_cases_Sep[[#Headers],[BOM Cases]:[EOM Cases]],0)),
$S$11=$AM$35,INDEX($AM$37:$AX$79,MATCH(AW18,Regular_cases_jan[[Nurse]:[Nurse]],0),MATCH($V$11,Regular_cases_Oct[[#Headers],[BOM Cases]:[EOM Cases]],0)),
$S$11=$AQ$35,INDEX($AQ$37:$AX$79,MATCH(AW18,Regular_cases_jan[[Nurse]:[Nurse]],0),MATCH($V$11,Regular_cases_Nov[[#Headers],[BOM Cases]:[EOM Cases]],0)),
$S$11=$AU$35,INDEX($AU$37:$AX$85,MATCH(AW18,Regular_cases_jan[[Nurse]:[Nurse]],0),MATCH($V$11,Regular_cases_Dec[[#Headers],[BOM Cases]:[EOM Cases]],0))
),
_xlfn.IFS(
$S$11=$AZ$35,INDEX($AZ$37:$CU$79,MATCH(AW18,Regular_cases_jan[[Nurse]:[Nurse]],0),MATCH($V$11,Eip_cases_jan[#Headers],0)),
$S$11=$BD$35,INDEX($BD$37:$CU$79,MATCH(AW18,Regular_cases_jan[[Nurse]:[Nurse]],0),MATCH($V$11,Eip_cases_feb[#Headers],0)),
$S$11=$BH$35,INDEX($BH$37:$CU$79,MATCH(AW18,Regular_cases_jan[[Nurse]:[Nurse]],0),MATCH($V$11,Eip_cases_mar[#Headers],0)),
$S$11=$BL$35,INDEX($BL$37:$CU$79,MATCH(AW18,Regular_cases_jan[[Nurse]:[Nurse]],0),MATCH($V$11,Eip_cases_Apr[#Headers],0)),
$S$11=$BP$35,INDEX($BP$37:$CU$79,MATCH(AW18,Regular_cases_jan[[Nurse]:[Nurse]],0),MATCH($V$11,Eip_cases_May[#Headers],0)),
$S$11=$BT$35,INDEX($BT$37:$CU$79,MATCH(AW18,Regular_cases_jan[[Nurse]:[Nurse]],0),MATCH($V$11,Eip_cases_Jun[#Headers],0)),
$S$11=$BX$35,INDEX($BX$37:$CU$79,MATCH(AW18,Regular_cases_jan[[Nurse]:[Nurse]],0),MATCH($V$11,Eip_cases_Jul[#Headers],0)),
$S$11=$CB$35,INDEX($CB$37:$CU$79,MATCH(AW18,Regular_cases_jan[[Nurse]:[Nurse]],0),MATCH($V$11,Eip_cases_Aug[#Headers],0)),
$S$11=$CF$35,INDEX($CF$37:$CU$79,MATCH(AW18,Regular_cases_jan[[Nurse]:[Nurse]],0),MATCH($V$11,Eip_cases_Sep[#Headers],0)),
$S$11=$CJ$35,INDEX($CJ$37:$CU$79,MATCH(AW18,Regular_cases_jan[[Nurse]:[Nurse]],0),MATCH($V$11,Eip_cases_Oct[#Headers],0)),
$S$11=$CN$35,INDEX($CN$37:$CU$79,MATCH(AW18,Regular_cases_jan[[Nurse]:[Nurse]],0),MATCH($V$11,Eip_cases_Nov[#Headers],0)),
$S$11=$CR$35,INDEX($CR$37:$CU$85,MATCH(AW18,Regular_cases_jan[[Nurse]:[Nurse]],0),MATCH($V$11,Eip_cases_Dec[#Headers],0))
))</f>
        <v>0</v>
      </c>
      <c r="AX19" s="397" cm="1">
        <f t="array" ref="AX19">IF($P$11=$P$9,
_xlfn.IFS(
$S$11=$C$35,INDEX($C$37:$AX$79,MATCH(AX18,Regular_cases_jan[[Nurse]:[Nurse]],0),MATCH($V$11,Regular_cases_jan[[#Headers],[BOM Cases]:[EOM Cases]],0)),
$S$11=$G$35,INDEX($G$37:$AX$79,MATCH(AX18,Regular_cases_jan[[Nurse]:[Nurse]],0),MATCH($V$11,Regular_cases_feb[[#Headers],[BOM Cases]:[EOM Cases]],0)),
$S$11=$K$35,INDEX($K$37:$AX$79,MATCH(AX18,Regular_cases_jan[[Nurse]:[Nurse]],0),MATCH($V$11,Regular_cases_mar[[#Headers],[BOM Cases]:[EOM Cases]],0)),
$S$11=$O$35,INDEX($O$37:$AX$79,MATCH(AX18,Regular_cases_jan[[Nurse]:[Nurse]],0),MATCH($V$11,Regular_cases_apr[[#Headers],[BOM Cases]:[EOM Cases]],0)),
$S$11=$S$35,INDEX($S$37:$AX$79,MATCH(AX18,Regular_cases_jan[[Nurse]:[Nurse]],0),MATCH($V$11,Regular_cases_may[[#Headers],[BOM Cases]:[EOM Cases]],0)),
$S$11=$W$35,INDEX($W$37:$AX$79,MATCH(AX18,Regular_cases_jan[[Nurse]:[Nurse]],0),MATCH($V$11,Regular_cases_jun[[#Headers],[BOM Cases]:[EOM Cases]],0)),
$S$11=$AA$35,INDEX($AA$37:$AX$79,MATCH(AX18,Regular_cases_jan[[Nurse]:[Nurse]],0),MATCH($V$11,Regular_cases_jul[[#Headers],[BOM Cases]:[EOM Cases]],0)),
$S$11=$AE$35,INDEX($AE$37:$AX$79,MATCH(AX18,Regular_cases_jan[[Nurse]:[Nurse]],0),MATCH($V$11,Regular_cases_Aug[[#Headers],[BOM Cases]:[EOM Cases]],0)),
$S$11=$AI$35,INDEX($AI$37:$AX$79,MATCH(AX18,Regular_cases_jan[[Nurse]:[Nurse]],0),MATCH($V$11,Regular_cases_Sep[[#Headers],[BOM Cases]:[EOM Cases]],0)),
$S$11=$AM$35,INDEX($AM$37:$AX$79,MATCH(AX18,Regular_cases_jan[[Nurse]:[Nurse]],0),MATCH($V$11,Regular_cases_Oct[[#Headers],[BOM Cases]:[EOM Cases]],0)),
$S$11=$AQ$35,INDEX($AQ$37:$AX$79,MATCH(AX18,Regular_cases_jan[[Nurse]:[Nurse]],0),MATCH($V$11,Regular_cases_Nov[[#Headers],[BOM Cases]:[EOM Cases]],0)),
$S$11=$AU$35,INDEX($AU$37:$AX$85,MATCH(AX18,Regular_cases_jan[[Nurse]:[Nurse]],0),MATCH($V$11,Regular_cases_Dec[[#Headers],[BOM Cases]:[EOM Cases]],0))
),
_xlfn.IFS(
$S$11=$AZ$35,INDEX($AZ$37:$CU$79,MATCH(AX18,Regular_cases_jan[[Nurse]:[Nurse]],0),MATCH($V$11,Eip_cases_jan[#Headers],0)),
$S$11=$BD$35,INDEX($BD$37:$CU$79,MATCH(AX18,Regular_cases_jan[[Nurse]:[Nurse]],0),MATCH($V$11,Eip_cases_feb[#Headers],0)),
$S$11=$BH$35,INDEX($BH$37:$CU$79,MATCH(AX18,Regular_cases_jan[[Nurse]:[Nurse]],0),MATCH($V$11,Eip_cases_mar[#Headers],0)),
$S$11=$BL$35,INDEX($BL$37:$CU$79,MATCH(AX18,Regular_cases_jan[[Nurse]:[Nurse]],0),MATCH($V$11,Eip_cases_Apr[#Headers],0)),
$S$11=$BP$35,INDEX($BP$37:$CU$79,MATCH(AX18,Regular_cases_jan[[Nurse]:[Nurse]],0),MATCH($V$11,Eip_cases_May[#Headers],0)),
$S$11=$BT$35,INDEX($BT$37:$CU$79,MATCH(AX18,Regular_cases_jan[[Nurse]:[Nurse]],0),MATCH($V$11,Eip_cases_Jun[#Headers],0)),
$S$11=$BX$35,INDEX($BX$37:$CU$79,MATCH(AX18,Regular_cases_jan[[Nurse]:[Nurse]],0),MATCH($V$11,Eip_cases_Jul[#Headers],0)),
$S$11=$CB$35,INDEX($CB$37:$CU$79,MATCH(AX18,Regular_cases_jan[[Nurse]:[Nurse]],0),MATCH($V$11,Eip_cases_Aug[#Headers],0)),
$S$11=$CF$35,INDEX($CF$37:$CU$79,MATCH(AX18,Regular_cases_jan[[Nurse]:[Nurse]],0),MATCH($V$11,Eip_cases_Sep[#Headers],0)),
$S$11=$CJ$35,INDEX($CJ$37:$CU$79,MATCH(AX18,Regular_cases_jan[[Nurse]:[Nurse]],0),MATCH($V$11,Eip_cases_Oct[#Headers],0)),
$S$11=$CN$35,INDEX($CN$37:$CU$79,MATCH(AX18,Regular_cases_jan[[Nurse]:[Nurse]],0),MATCH($V$11,Eip_cases_Nov[#Headers],0)),
$S$11=$CR$35,INDEX($CR$37:$CU$85,MATCH(AX18,Regular_cases_jan[[Nurse]:[Nurse]],0),MATCH($V$11,Eip_cases_Dec[#Headers],0))
))</f>
        <v>0</v>
      </c>
      <c r="AY19" s="397" cm="1">
        <f t="array" ref="AY19">IF($P$11=$P$9,
_xlfn.IFS(
$S$11=$C$35,INDEX($C$37:$AX$79,MATCH(AY18,Regular_cases_jan[[Nurse]:[Nurse]],0),MATCH($V$11,Regular_cases_jan[[#Headers],[BOM Cases]:[EOM Cases]],0)),
$S$11=$G$35,INDEX($G$37:$AX$79,MATCH(AY18,Regular_cases_jan[[Nurse]:[Nurse]],0),MATCH($V$11,Regular_cases_feb[[#Headers],[BOM Cases]:[EOM Cases]],0)),
$S$11=$K$35,INDEX($K$37:$AX$79,MATCH(AY18,Regular_cases_jan[[Nurse]:[Nurse]],0),MATCH($V$11,Regular_cases_mar[[#Headers],[BOM Cases]:[EOM Cases]],0)),
$S$11=$O$35,INDEX($O$37:$AX$79,MATCH(AY18,Regular_cases_jan[[Nurse]:[Nurse]],0),MATCH($V$11,Regular_cases_apr[[#Headers],[BOM Cases]:[EOM Cases]],0)),
$S$11=$S$35,INDEX($S$37:$AX$79,MATCH(AY18,Regular_cases_jan[[Nurse]:[Nurse]],0),MATCH($V$11,Regular_cases_may[[#Headers],[BOM Cases]:[EOM Cases]],0)),
$S$11=$W$35,INDEX($W$37:$AX$79,MATCH(AY18,Regular_cases_jan[[Nurse]:[Nurse]],0),MATCH($V$11,Regular_cases_jun[[#Headers],[BOM Cases]:[EOM Cases]],0)),
$S$11=$AA$35,INDEX($AA$37:$AX$79,MATCH(AY18,Regular_cases_jan[[Nurse]:[Nurse]],0),MATCH($V$11,Regular_cases_jul[[#Headers],[BOM Cases]:[EOM Cases]],0)),
$S$11=$AE$35,INDEX($AE$37:$AX$79,MATCH(AY18,Regular_cases_jan[[Nurse]:[Nurse]],0),MATCH($V$11,Regular_cases_Aug[[#Headers],[BOM Cases]:[EOM Cases]],0)),
$S$11=$AI$35,INDEX($AI$37:$AX$79,MATCH(AY18,Regular_cases_jan[[Nurse]:[Nurse]],0),MATCH($V$11,Regular_cases_Sep[[#Headers],[BOM Cases]:[EOM Cases]],0)),
$S$11=$AM$35,INDEX($AM$37:$AX$79,MATCH(AY18,Regular_cases_jan[[Nurse]:[Nurse]],0),MATCH($V$11,Regular_cases_Oct[[#Headers],[BOM Cases]:[EOM Cases]],0)),
$S$11=$AQ$35,INDEX($AQ$37:$AX$79,MATCH(AY18,Regular_cases_jan[[Nurse]:[Nurse]],0),MATCH($V$11,Regular_cases_Nov[[#Headers],[BOM Cases]:[EOM Cases]],0)),
$S$11=$AU$35,INDEX($AU$37:$AX$85,MATCH(AY18,Regular_cases_jan[[Nurse]:[Nurse]],0),MATCH($V$11,Regular_cases_Dec[[#Headers],[BOM Cases]:[EOM Cases]],0))
),
_xlfn.IFS(
$S$11=$AZ$35,INDEX($AZ$37:$CU$79,MATCH(AY18,Regular_cases_jan[[Nurse]:[Nurse]],0),MATCH($V$11,Eip_cases_jan[#Headers],0)),
$S$11=$BD$35,INDEX($BD$37:$CU$79,MATCH(AY18,Regular_cases_jan[[Nurse]:[Nurse]],0),MATCH($V$11,Eip_cases_feb[#Headers],0)),
$S$11=$BH$35,INDEX($BH$37:$CU$79,MATCH(AY18,Regular_cases_jan[[Nurse]:[Nurse]],0),MATCH($V$11,Eip_cases_mar[#Headers],0)),
$S$11=$BL$35,INDEX($BL$37:$CU$79,MATCH(AY18,Regular_cases_jan[[Nurse]:[Nurse]],0),MATCH($V$11,Eip_cases_Apr[#Headers],0)),
$S$11=$BP$35,INDEX($BP$37:$CU$79,MATCH(AY18,Regular_cases_jan[[Nurse]:[Nurse]],0),MATCH($V$11,Eip_cases_May[#Headers],0)),
$S$11=$BT$35,INDEX($BT$37:$CU$79,MATCH(AY18,Regular_cases_jan[[Nurse]:[Nurse]],0),MATCH($V$11,Eip_cases_Jun[#Headers],0)),
$S$11=$BX$35,INDEX($BX$37:$CU$79,MATCH(AY18,Regular_cases_jan[[Nurse]:[Nurse]],0),MATCH($V$11,Eip_cases_Jul[#Headers],0)),
$S$11=$CB$35,INDEX($CB$37:$CU$79,MATCH(AY18,Regular_cases_jan[[Nurse]:[Nurse]],0),MATCH($V$11,Eip_cases_Aug[#Headers],0)),
$S$11=$CF$35,INDEX($CF$37:$CU$79,MATCH(AY18,Regular_cases_jan[[Nurse]:[Nurse]],0),MATCH($V$11,Eip_cases_Sep[#Headers],0)),
$S$11=$CJ$35,INDEX($CJ$37:$CU$79,MATCH(AY18,Regular_cases_jan[[Nurse]:[Nurse]],0),MATCH($V$11,Eip_cases_Oct[#Headers],0)),
$S$11=$CN$35,INDEX($CN$37:$CU$79,MATCH(AY18,Regular_cases_jan[[Nurse]:[Nurse]],0),MATCH($V$11,Eip_cases_Nov[#Headers],0)),
$S$11=$CR$35,INDEX($CR$37:$CU$85,MATCH(AY18,Regular_cases_jan[[Nurse]:[Nurse]],0),MATCH($V$11,Eip_cases_Dec[#Headers],0))
))</f>
        <v>2</v>
      </c>
      <c r="AZ19" s="397" cm="1">
        <f t="array" ref="AZ19">IF($P$11=$P$9,
_xlfn.IFS(
$S$11=$C$35,INDEX($C$37:$AX$79,MATCH(AZ18,Regular_cases_jan[[Nurse]:[Nurse]],0),MATCH($V$11,Regular_cases_jan[[#Headers],[BOM Cases]:[EOM Cases]],0)),
$S$11=$G$35,INDEX($G$37:$AX$79,MATCH(AZ18,Regular_cases_jan[[Nurse]:[Nurse]],0),MATCH($V$11,Regular_cases_feb[[#Headers],[BOM Cases]:[EOM Cases]],0)),
$S$11=$K$35,INDEX($K$37:$AX$79,MATCH(AZ18,Regular_cases_jan[[Nurse]:[Nurse]],0),MATCH($V$11,Regular_cases_mar[[#Headers],[BOM Cases]:[EOM Cases]],0)),
$S$11=$O$35,INDEX($O$37:$AX$79,MATCH(AZ18,Regular_cases_jan[[Nurse]:[Nurse]],0),MATCH($V$11,Regular_cases_apr[[#Headers],[BOM Cases]:[EOM Cases]],0)),
$S$11=$S$35,INDEX($S$37:$AX$79,MATCH(AZ18,Regular_cases_jan[[Nurse]:[Nurse]],0),MATCH($V$11,Regular_cases_may[[#Headers],[BOM Cases]:[EOM Cases]],0)),
$S$11=$W$35,INDEX($W$37:$AX$79,MATCH(AZ18,Regular_cases_jan[[Nurse]:[Nurse]],0),MATCH($V$11,Regular_cases_jun[[#Headers],[BOM Cases]:[EOM Cases]],0)),
$S$11=$AA$35,INDEX($AA$37:$AX$79,MATCH(AZ18,Regular_cases_jan[[Nurse]:[Nurse]],0),MATCH($V$11,Regular_cases_jul[[#Headers],[BOM Cases]:[EOM Cases]],0)),
$S$11=$AE$35,INDEX($AE$37:$AX$79,MATCH(AZ18,Regular_cases_jan[[Nurse]:[Nurse]],0),MATCH($V$11,Regular_cases_Aug[[#Headers],[BOM Cases]:[EOM Cases]],0)),
$S$11=$AI$35,INDEX($AI$37:$AX$79,MATCH(AZ18,Regular_cases_jan[[Nurse]:[Nurse]],0),MATCH($V$11,Regular_cases_Sep[[#Headers],[BOM Cases]:[EOM Cases]],0)),
$S$11=$AM$35,INDEX($AM$37:$AX$79,MATCH(AZ18,Regular_cases_jan[[Nurse]:[Nurse]],0),MATCH($V$11,Regular_cases_Oct[[#Headers],[BOM Cases]:[EOM Cases]],0)),
$S$11=$AQ$35,INDEX($AQ$37:$AX$79,MATCH(AZ18,Regular_cases_jan[[Nurse]:[Nurse]],0),MATCH($V$11,Regular_cases_Nov[[#Headers],[BOM Cases]:[EOM Cases]],0)),
$S$11=$AU$35,INDEX($AU$37:$AX$85,MATCH(AZ18,Regular_cases_jan[[Nurse]:[Nurse]],0),MATCH($V$11,Regular_cases_Dec[[#Headers],[BOM Cases]:[EOM Cases]],0))
),
_xlfn.IFS(
$S$11=$AZ$35,INDEX($AZ$37:$CU$79,MATCH(AZ18,Regular_cases_jan[[Nurse]:[Nurse]],0),MATCH($V$11,Eip_cases_jan[#Headers],0)),
$S$11=$BD$35,INDEX($BD$37:$CU$79,MATCH(AZ18,Regular_cases_jan[[Nurse]:[Nurse]],0),MATCH($V$11,Eip_cases_feb[#Headers],0)),
$S$11=$BH$35,INDEX($BH$37:$CU$79,MATCH(AZ18,Regular_cases_jan[[Nurse]:[Nurse]],0),MATCH($V$11,Eip_cases_mar[#Headers],0)),
$S$11=$BL$35,INDEX($BL$37:$CU$79,MATCH(AZ18,Regular_cases_jan[[Nurse]:[Nurse]],0),MATCH($V$11,Eip_cases_Apr[#Headers],0)),
$S$11=$BP$35,INDEX($BP$37:$CU$79,MATCH(AZ18,Regular_cases_jan[[Nurse]:[Nurse]],0),MATCH($V$11,Eip_cases_May[#Headers],0)),
$S$11=$BT$35,INDEX($BT$37:$CU$79,MATCH(AZ18,Regular_cases_jan[[Nurse]:[Nurse]],0),MATCH($V$11,Eip_cases_Jun[#Headers],0)),
$S$11=$BX$35,INDEX($BX$37:$CU$79,MATCH(AZ18,Regular_cases_jan[[Nurse]:[Nurse]],0),MATCH($V$11,Eip_cases_Jul[#Headers],0)),
$S$11=$CB$35,INDEX($CB$37:$CU$79,MATCH(AZ18,Regular_cases_jan[[Nurse]:[Nurse]],0),MATCH($V$11,Eip_cases_Aug[#Headers],0)),
$S$11=$CF$35,INDEX($CF$37:$CU$79,MATCH(AZ18,Regular_cases_jan[[Nurse]:[Nurse]],0),MATCH($V$11,Eip_cases_Sep[#Headers],0)),
$S$11=$CJ$35,INDEX($CJ$37:$CU$79,MATCH(AZ18,Regular_cases_jan[[Nurse]:[Nurse]],0),MATCH($V$11,Eip_cases_Oct[#Headers],0)),
$S$11=$CN$35,INDEX($CN$37:$CU$79,MATCH(AZ18,Regular_cases_jan[[Nurse]:[Nurse]],0),MATCH($V$11,Eip_cases_Nov[#Headers],0)),
$S$11=$CR$35,INDEX($CR$37:$CU$85,MATCH(AZ18,Regular_cases_jan[[Nurse]:[Nurse]],0),MATCH($V$11,Eip_cases_Dec[#Headers],0))
))</f>
        <v>0</v>
      </c>
      <c r="BA19" s="397" t="e" cm="1">
        <f t="array" ref="BA19">IF($P$11=$P$9,
_xlfn.IFS(
$S$11=$C$35,INDEX($C$37:$AX$79,MATCH(BA18,Regular_cases_jan[[Nurse]:[Nurse]],0),MATCH($V$11,Regular_cases_jan[[#Headers],[BOM Cases]:[EOM Cases]],0)),
$S$11=$G$35,INDEX($G$37:$AX$79,MATCH(BA18,Regular_cases_jan[[Nurse]:[Nurse]],0),MATCH($V$11,Regular_cases_feb[[#Headers],[BOM Cases]:[EOM Cases]],0)),
$S$11=$K$35,INDEX($K$37:$AX$79,MATCH(BA18,Regular_cases_jan[[Nurse]:[Nurse]],0),MATCH($V$11,Regular_cases_mar[[#Headers],[BOM Cases]:[EOM Cases]],0)),
$S$11=$O$35,INDEX($O$37:$AX$79,MATCH(BA18,Regular_cases_jan[[Nurse]:[Nurse]],0),MATCH($V$11,Regular_cases_apr[[#Headers],[BOM Cases]:[EOM Cases]],0)),
$S$11=$S$35,INDEX($S$37:$AX$79,MATCH(BA18,Regular_cases_jan[[Nurse]:[Nurse]],0),MATCH($V$11,Regular_cases_may[[#Headers],[BOM Cases]:[EOM Cases]],0)),
$S$11=$W$35,INDEX($W$37:$AX$79,MATCH(BA18,Regular_cases_jan[[Nurse]:[Nurse]],0),MATCH($V$11,Regular_cases_jun[[#Headers],[BOM Cases]:[EOM Cases]],0)),
$S$11=$AA$35,INDEX($AA$37:$AX$79,MATCH(BA18,Regular_cases_jan[[Nurse]:[Nurse]],0),MATCH($V$11,Regular_cases_jul[[#Headers],[BOM Cases]:[EOM Cases]],0)),
$S$11=$AE$35,INDEX($AE$37:$AX$79,MATCH(BA18,Regular_cases_jan[[Nurse]:[Nurse]],0),MATCH($V$11,Regular_cases_Aug[[#Headers],[BOM Cases]:[EOM Cases]],0)),
$S$11=$AI$35,INDEX($AI$37:$AX$79,MATCH(BA18,Regular_cases_jan[[Nurse]:[Nurse]],0),MATCH($V$11,Regular_cases_Sep[[#Headers],[BOM Cases]:[EOM Cases]],0)),
$S$11=$AM$35,INDEX($AM$37:$AX$79,MATCH(BA18,Regular_cases_jan[[Nurse]:[Nurse]],0),MATCH($V$11,Regular_cases_Oct[[#Headers],[BOM Cases]:[EOM Cases]],0)),
$S$11=$AQ$35,INDEX($AQ$37:$AX$79,MATCH(BA18,Regular_cases_jan[[Nurse]:[Nurse]],0),MATCH($V$11,Regular_cases_Nov[[#Headers],[BOM Cases]:[EOM Cases]],0)),
$S$11=$AU$35,INDEX($AU$37:$AX$85,MATCH(BA18,Regular_cases_jan[[Nurse]:[Nurse]],0),MATCH($V$11,Regular_cases_Dec[[#Headers],[BOM Cases]:[EOM Cases]],0))
),
_xlfn.IFS(
$S$11=$AZ$35,INDEX($AZ$37:$CU$79,MATCH(BA18,Regular_cases_jan[[Nurse]:[Nurse]],0),MATCH($V$11,Eip_cases_jan[#Headers],0)),
$S$11=$BD$35,INDEX($BD$37:$CU$79,MATCH(BA18,Regular_cases_jan[[Nurse]:[Nurse]],0),MATCH($V$11,Eip_cases_feb[#Headers],0)),
$S$11=$BH$35,INDEX($BH$37:$CU$79,MATCH(BA18,Regular_cases_jan[[Nurse]:[Nurse]],0),MATCH($V$11,Eip_cases_mar[#Headers],0)),
$S$11=$BL$35,INDEX($BL$37:$CU$79,MATCH(BA18,Regular_cases_jan[[Nurse]:[Nurse]],0),MATCH($V$11,Eip_cases_Apr[#Headers],0)),
$S$11=$BP$35,INDEX($BP$37:$CU$79,MATCH(BA18,Regular_cases_jan[[Nurse]:[Nurse]],0),MATCH($V$11,Eip_cases_May[#Headers],0)),
$S$11=$BT$35,INDEX($BT$37:$CU$79,MATCH(BA18,Regular_cases_jan[[Nurse]:[Nurse]],0),MATCH($V$11,Eip_cases_Jun[#Headers],0)),
$S$11=$BX$35,INDEX($BX$37:$CU$79,MATCH(BA18,Regular_cases_jan[[Nurse]:[Nurse]],0),MATCH($V$11,Eip_cases_Jul[#Headers],0)),
$S$11=$CB$35,INDEX($CB$37:$CU$79,MATCH(BA18,Regular_cases_jan[[Nurse]:[Nurse]],0),MATCH($V$11,Eip_cases_Aug[#Headers],0)),
$S$11=$CF$35,INDEX($CF$37:$CU$79,MATCH(BA18,Regular_cases_jan[[Nurse]:[Nurse]],0),MATCH($V$11,Eip_cases_Sep[#Headers],0)),
$S$11=$CJ$35,INDEX($CJ$37:$CU$79,MATCH(BA18,Regular_cases_jan[[Nurse]:[Nurse]],0),MATCH($V$11,Eip_cases_Oct[#Headers],0)),
$S$11=$CN$35,INDEX($CN$37:$CU$79,MATCH(BA18,Regular_cases_jan[[Nurse]:[Nurse]],0),MATCH($V$11,Eip_cases_Nov[#Headers],0)),
$S$11=$CR$35,INDEX($CR$37:$CU$85,MATCH(BA18,Regular_cases_jan[[Nurse]:[Nurse]],0),MATCH($V$11,Eip_cases_Dec[#Headers],0))
))</f>
        <v>#REF!</v>
      </c>
      <c r="BB19" s="397" t="e" cm="1">
        <f t="array" ref="BB19">IF($P$11=$P$9,
_xlfn.IFS(
$S$11=$C$35,INDEX($C$37:$AX$79,MATCH(BB18,Regular_cases_jan[[Nurse]:[Nurse]],0),MATCH($V$11,Regular_cases_jan[[#Headers],[BOM Cases]:[EOM Cases]],0)),
$S$11=$G$35,INDEX($G$37:$AX$79,MATCH(BB18,Regular_cases_jan[[Nurse]:[Nurse]],0),MATCH($V$11,Regular_cases_feb[[#Headers],[BOM Cases]:[EOM Cases]],0)),
$S$11=$K$35,INDEX($K$37:$AX$79,MATCH(BB18,Regular_cases_jan[[Nurse]:[Nurse]],0),MATCH($V$11,Regular_cases_mar[[#Headers],[BOM Cases]:[EOM Cases]],0)),
$S$11=$O$35,INDEX($O$37:$AX$79,MATCH(BB18,Regular_cases_jan[[Nurse]:[Nurse]],0),MATCH($V$11,Regular_cases_apr[[#Headers],[BOM Cases]:[EOM Cases]],0)),
$S$11=$S$35,INDEX($S$37:$AX$79,MATCH(BB18,Regular_cases_jan[[Nurse]:[Nurse]],0),MATCH($V$11,Regular_cases_may[[#Headers],[BOM Cases]:[EOM Cases]],0)),
$S$11=$W$35,INDEX($W$37:$AX$79,MATCH(BB18,Regular_cases_jan[[Nurse]:[Nurse]],0),MATCH($V$11,Regular_cases_jun[[#Headers],[BOM Cases]:[EOM Cases]],0)),
$S$11=$AA$35,INDEX($AA$37:$AX$79,MATCH(BB18,Regular_cases_jan[[Nurse]:[Nurse]],0),MATCH($V$11,Regular_cases_jul[[#Headers],[BOM Cases]:[EOM Cases]],0)),
$S$11=$AE$35,INDEX($AE$37:$AX$79,MATCH(BB18,Regular_cases_jan[[Nurse]:[Nurse]],0),MATCH($V$11,Regular_cases_Aug[[#Headers],[BOM Cases]:[EOM Cases]],0)),
$S$11=$AI$35,INDEX($AI$37:$AX$79,MATCH(BB18,Regular_cases_jan[[Nurse]:[Nurse]],0),MATCH($V$11,Regular_cases_Sep[[#Headers],[BOM Cases]:[EOM Cases]],0)),
$S$11=$AM$35,INDEX($AM$37:$AX$79,MATCH(BB18,Regular_cases_jan[[Nurse]:[Nurse]],0),MATCH($V$11,Regular_cases_Oct[[#Headers],[BOM Cases]:[EOM Cases]],0)),
$S$11=$AQ$35,INDEX($AQ$37:$AX$79,MATCH(BB18,Regular_cases_jan[[Nurse]:[Nurse]],0),MATCH($V$11,Regular_cases_Nov[[#Headers],[BOM Cases]:[EOM Cases]],0)),
$S$11=$AU$35,INDEX($AU$37:$AX$85,MATCH(BB18,Regular_cases_jan[[Nurse]:[Nurse]],0),MATCH($V$11,Regular_cases_Dec[[#Headers],[BOM Cases]:[EOM Cases]],0))
),
_xlfn.IFS(
$S$11=$AZ$35,INDEX($AZ$37:$CU$79,MATCH(BB18,Regular_cases_jan[[Nurse]:[Nurse]],0),MATCH($V$11,Eip_cases_jan[#Headers],0)),
$S$11=$BD$35,INDEX($BD$37:$CU$79,MATCH(BB18,Regular_cases_jan[[Nurse]:[Nurse]],0),MATCH($V$11,Eip_cases_feb[#Headers],0)),
$S$11=$BH$35,INDEX($BH$37:$CU$79,MATCH(BB18,Regular_cases_jan[[Nurse]:[Nurse]],0),MATCH($V$11,Eip_cases_mar[#Headers],0)),
$S$11=$BL$35,INDEX($BL$37:$CU$79,MATCH(BB18,Regular_cases_jan[[Nurse]:[Nurse]],0),MATCH($V$11,Eip_cases_Apr[#Headers],0)),
$S$11=$BP$35,INDEX($BP$37:$CU$79,MATCH(BB18,Regular_cases_jan[[Nurse]:[Nurse]],0),MATCH($V$11,Eip_cases_May[#Headers],0)),
$S$11=$BT$35,INDEX($BT$37:$CU$79,MATCH(BB18,Regular_cases_jan[[Nurse]:[Nurse]],0),MATCH($V$11,Eip_cases_Jun[#Headers],0)),
$S$11=$BX$35,INDEX($BX$37:$CU$79,MATCH(BB18,Regular_cases_jan[[Nurse]:[Nurse]],0),MATCH($V$11,Eip_cases_Jul[#Headers],0)),
$S$11=$CB$35,INDEX($CB$37:$CU$79,MATCH(BB18,Regular_cases_jan[[Nurse]:[Nurse]],0),MATCH($V$11,Eip_cases_Aug[#Headers],0)),
$S$11=$CF$35,INDEX($CF$37:$CU$79,MATCH(BB18,Regular_cases_jan[[Nurse]:[Nurse]],0),MATCH($V$11,Eip_cases_Sep[#Headers],0)),
$S$11=$CJ$35,INDEX($CJ$37:$CU$79,MATCH(BB18,Regular_cases_jan[[Nurse]:[Nurse]],0),MATCH($V$11,Eip_cases_Oct[#Headers],0)),
$S$11=$CN$35,INDEX($CN$37:$CU$79,MATCH(BB18,Regular_cases_jan[[Nurse]:[Nurse]],0),MATCH($V$11,Eip_cases_Nov[#Headers],0)),
$S$11=$CR$35,INDEX($CR$37:$CU$85,MATCH(BB18,Regular_cases_jan[[Nurse]:[Nurse]],0),MATCH($V$11,Eip_cases_Dec[#Headers],0))
))</f>
        <v>#REF!</v>
      </c>
      <c r="BC19" s="397" t="e" cm="1">
        <f t="array" ref="BC19">IF($P$11=$P$9,
_xlfn.IFS(
$S$11=$C$35,INDEX($C$37:$AX$79,MATCH(BC18,Regular_cases_jan[[Nurse]:[Nurse]],0),MATCH($V$11,Regular_cases_jan[[#Headers],[BOM Cases]:[EOM Cases]],0)),
$S$11=$G$35,INDEX($G$37:$AX$79,MATCH(BC18,Regular_cases_jan[[Nurse]:[Nurse]],0),MATCH($V$11,Regular_cases_feb[[#Headers],[BOM Cases]:[EOM Cases]],0)),
$S$11=$K$35,INDEX($K$37:$AX$79,MATCH(BC18,Regular_cases_jan[[Nurse]:[Nurse]],0),MATCH($V$11,Regular_cases_mar[[#Headers],[BOM Cases]:[EOM Cases]],0)),
$S$11=$O$35,INDEX($O$37:$AX$79,MATCH(BC18,Regular_cases_jan[[Nurse]:[Nurse]],0),MATCH($V$11,Regular_cases_apr[[#Headers],[BOM Cases]:[EOM Cases]],0)),
$S$11=$S$35,INDEX($S$37:$AX$79,MATCH(BC18,Regular_cases_jan[[Nurse]:[Nurse]],0),MATCH($V$11,Regular_cases_may[[#Headers],[BOM Cases]:[EOM Cases]],0)),
$S$11=$W$35,INDEX($W$37:$AX$79,MATCH(BC18,Regular_cases_jan[[Nurse]:[Nurse]],0),MATCH($V$11,Regular_cases_jun[[#Headers],[BOM Cases]:[EOM Cases]],0)),
$S$11=$AA$35,INDEX($AA$37:$AX$79,MATCH(BC18,Regular_cases_jan[[Nurse]:[Nurse]],0),MATCH($V$11,Regular_cases_jul[[#Headers],[BOM Cases]:[EOM Cases]],0)),
$S$11=$AE$35,INDEX($AE$37:$AX$79,MATCH(BC18,Regular_cases_jan[[Nurse]:[Nurse]],0),MATCH($V$11,Regular_cases_Aug[[#Headers],[BOM Cases]:[EOM Cases]],0)),
$S$11=$AI$35,INDEX($AI$37:$AX$79,MATCH(BC18,Regular_cases_jan[[Nurse]:[Nurse]],0),MATCH($V$11,Regular_cases_Sep[[#Headers],[BOM Cases]:[EOM Cases]],0)),
$S$11=$AM$35,INDEX($AM$37:$AX$79,MATCH(BC18,Regular_cases_jan[[Nurse]:[Nurse]],0),MATCH($V$11,Regular_cases_Oct[[#Headers],[BOM Cases]:[EOM Cases]],0)),
$S$11=$AQ$35,INDEX($AQ$37:$AX$79,MATCH(BC18,Regular_cases_jan[[Nurse]:[Nurse]],0),MATCH($V$11,Regular_cases_Nov[[#Headers],[BOM Cases]:[EOM Cases]],0)),
$S$11=$AU$35,INDEX($AU$37:$AX$85,MATCH(BC18,Regular_cases_jan[[Nurse]:[Nurse]],0),MATCH($V$11,Regular_cases_Dec[[#Headers],[BOM Cases]:[EOM Cases]],0))
),
_xlfn.IFS(
$S$11=$AZ$35,INDEX($AZ$37:$CU$79,MATCH(BC18,Regular_cases_jan[[Nurse]:[Nurse]],0),MATCH($V$11,Eip_cases_jan[#Headers],0)),
$S$11=$BD$35,INDEX($BD$37:$CU$79,MATCH(BC18,Regular_cases_jan[[Nurse]:[Nurse]],0),MATCH($V$11,Eip_cases_feb[#Headers],0)),
$S$11=$BH$35,INDEX($BH$37:$CU$79,MATCH(BC18,Regular_cases_jan[[Nurse]:[Nurse]],0),MATCH($V$11,Eip_cases_mar[#Headers],0)),
$S$11=$BL$35,INDEX($BL$37:$CU$79,MATCH(BC18,Regular_cases_jan[[Nurse]:[Nurse]],0),MATCH($V$11,Eip_cases_Apr[#Headers],0)),
$S$11=$BP$35,INDEX($BP$37:$CU$79,MATCH(BC18,Regular_cases_jan[[Nurse]:[Nurse]],0),MATCH($V$11,Eip_cases_May[#Headers],0)),
$S$11=$BT$35,INDEX($BT$37:$CU$79,MATCH(BC18,Regular_cases_jan[[Nurse]:[Nurse]],0),MATCH($V$11,Eip_cases_Jun[#Headers],0)),
$S$11=$BX$35,INDEX($BX$37:$CU$79,MATCH(BC18,Regular_cases_jan[[Nurse]:[Nurse]],0),MATCH($V$11,Eip_cases_Jul[#Headers],0)),
$S$11=$CB$35,INDEX($CB$37:$CU$79,MATCH(BC18,Regular_cases_jan[[Nurse]:[Nurse]],0),MATCH($V$11,Eip_cases_Aug[#Headers],0)),
$S$11=$CF$35,INDEX($CF$37:$CU$79,MATCH(BC18,Regular_cases_jan[[Nurse]:[Nurse]],0),MATCH($V$11,Eip_cases_Sep[#Headers],0)),
$S$11=$CJ$35,INDEX($CJ$37:$CU$79,MATCH(BC18,Regular_cases_jan[[Nurse]:[Nurse]],0),MATCH($V$11,Eip_cases_Oct[#Headers],0)),
$S$11=$CN$35,INDEX($CN$37:$CU$79,MATCH(BC18,Regular_cases_jan[[Nurse]:[Nurse]],0),MATCH($V$11,Eip_cases_Nov[#Headers],0)),
$S$11=$CR$35,INDEX($CR$37:$CU$85,MATCH(BC18,Regular_cases_jan[[Nurse]:[Nurse]],0),MATCH($V$11,Eip_cases_Dec[#Headers],0))
))</f>
        <v>#REF!</v>
      </c>
      <c r="BD19" s="397" t="e" cm="1">
        <f t="array" ref="BD19">IF($P$11=$P$9,
_xlfn.IFS(
$S$11=$C$35,INDEX($C$37:$AX$79,MATCH(BD18,Regular_cases_jan[[Nurse]:[Nurse]],0),MATCH($V$11,Regular_cases_jan[[#Headers],[BOM Cases]:[EOM Cases]],0)),
$S$11=$G$35,INDEX($G$37:$AX$79,MATCH(BD18,Regular_cases_jan[[Nurse]:[Nurse]],0),MATCH($V$11,Regular_cases_feb[[#Headers],[BOM Cases]:[EOM Cases]],0)),
$S$11=$K$35,INDEX($K$37:$AX$79,MATCH(BD18,Regular_cases_jan[[Nurse]:[Nurse]],0),MATCH($V$11,Regular_cases_mar[[#Headers],[BOM Cases]:[EOM Cases]],0)),
$S$11=$O$35,INDEX($O$37:$AX$79,MATCH(BD18,Regular_cases_jan[[Nurse]:[Nurse]],0),MATCH($V$11,Regular_cases_apr[[#Headers],[BOM Cases]:[EOM Cases]],0)),
$S$11=$S$35,INDEX($S$37:$AX$79,MATCH(BD18,Regular_cases_jan[[Nurse]:[Nurse]],0),MATCH($V$11,Regular_cases_may[[#Headers],[BOM Cases]:[EOM Cases]],0)),
$S$11=$W$35,INDEX($W$37:$AX$79,MATCH(BD18,Regular_cases_jan[[Nurse]:[Nurse]],0),MATCH($V$11,Regular_cases_jun[[#Headers],[BOM Cases]:[EOM Cases]],0)),
$S$11=$AA$35,INDEX($AA$37:$AX$79,MATCH(BD18,Regular_cases_jan[[Nurse]:[Nurse]],0),MATCH($V$11,Regular_cases_jul[[#Headers],[BOM Cases]:[EOM Cases]],0)),
$S$11=$AE$35,INDEX($AE$37:$AX$79,MATCH(BD18,Regular_cases_jan[[Nurse]:[Nurse]],0),MATCH($V$11,Regular_cases_Aug[[#Headers],[BOM Cases]:[EOM Cases]],0)),
$S$11=$AI$35,INDEX($AI$37:$AX$79,MATCH(BD18,Regular_cases_jan[[Nurse]:[Nurse]],0),MATCH($V$11,Regular_cases_Sep[[#Headers],[BOM Cases]:[EOM Cases]],0)),
$S$11=$AM$35,INDEX($AM$37:$AX$79,MATCH(BD18,Regular_cases_jan[[Nurse]:[Nurse]],0),MATCH($V$11,Regular_cases_Oct[[#Headers],[BOM Cases]:[EOM Cases]],0)),
$S$11=$AQ$35,INDEX($AQ$37:$AX$79,MATCH(BD18,Regular_cases_jan[[Nurse]:[Nurse]],0),MATCH($V$11,Regular_cases_Nov[[#Headers],[BOM Cases]:[EOM Cases]],0)),
$S$11=$AU$35,INDEX($AU$37:$AX$85,MATCH(BD18,Regular_cases_jan[[Nurse]:[Nurse]],0),MATCH($V$11,Regular_cases_Dec[[#Headers],[BOM Cases]:[EOM Cases]],0))
),
_xlfn.IFS(
$S$11=$AZ$35,INDEX($AZ$37:$CU$79,MATCH(BD18,Regular_cases_jan[[Nurse]:[Nurse]],0),MATCH($V$11,Eip_cases_jan[#Headers],0)),
$S$11=$BD$35,INDEX($BD$37:$CU$79,MATCH(BD18,Regular_cases_jan[[Nurse]:[Nurse]],0),MATCH($V$11,Eip_cases_feb[#Headers],0)),
$S$11=$BH$35,INDEX($BH$37:$CU$79,MATCH(BD18,Regular_cases_jan[[Nurse]:[Nurse]],0),MATCH($V$11,Eip_cases_mar[#Headers],0)),
$S$11=$BL$35,INDEX($BL$37:$CU$79,MATCH(BD18,Regular_cases_jan[[Nurse]:[Nurse]],0),MATCH($V$11,Eip_cases_Apr[#Headers],0)),
$S$11=$BP$35,INDEX($BP$37:$CU$79,MATCH(BD18,Regular_cases_jan[[Nurse]:[Nurse]],0),MATCH($V$11,Eip_cases_May[#Headers],0)),
$S$11=$BT$35,INDEX($BT$37:$CU$79,MATCH(BD18,Regular_cases_jan[[Nurse]:[Nurse]],0),MATCH($V$11,Eip_cases_Jun[#Headers],0)),
$S$11=$BX$35,INDEX($BX$37:$CU$79,MATCH(BD18,Regular_cases_jan[[Nurse]:[Nurse]],0),MATCH($V$11,Eip_cases_Jul[#Headers],0)),
$S$11=$CB$35,INDEX($CB$37:$CU$79,MATCH(BD18,Regular_cases_jan[[Nurse]:[Nurse]],0),MATCH($V$11,Eip_cases_Aug[#Headers],0)),
$S$11=$CF$35,INDEX($CF$37:$CU$79,MATCH(BD18,Regular_cases_jan[[Nurse]:[Nurse]],0),MATCH($V$11,Eip_cases_Sep[#Headers],0)),
$S$11=$CJ$35,INDEX($CJ$37:$CU$79,MATCH(BD18,Regular_cases_jan[[Nurse]:[Nurse]],0),MATCH($V$11,Eip_cases_Oct[#Headers],0)),
$S$11=$CN$35,INDEX($CN$37:$CU$79,MATCH(BD18,Regular_cases_jan[[Nurse]:[Nurse]],0),MATCH($V$11,Eip_cases_Nov[#Headers],0)),
$S$11=$CR$35,INDEX($CR$37:$CU$85,MATCH(BD18,Regular_cases_jan[[Nurse]:[Nurse]],0),MATCH($V$11,Eip_cases_Dec[#Headers],0))
))</f>
        <v>#REF!</v>
      </c>
      <c r="BE19" s="397" t="e" cm="1">
        <f t="array" ref="BE19">IF($P$11=$P$9,
_xlfn.IFS(
$S$11=$C$35,INDEX($C$37:$AX$79,MATCH(BE18,Regular_cases_jan[[Nurse]:[Nurse]],0),MATCH($V$11,Regular_cases_jan[[#Headers],[BOM Cases]:[EOM Cases]],0)),
$S$11=$G$35,INDEX($G$37:$AX$79,MATCH(BE18,Regular_cases_jan[[Nurse]:[Nurse]],0),MATCH($V$11,Regular_cases_feb[[#Headers],[BOM Cases]:[EOM Cases]],0)),
$S$11=$K$35,INDEX($K$37:$AX$79,MATCH(BE18,Regular_cases_jan[[Nurse]:[Nurse]],0),MATCH($V$11,Regular_cases_mar[[#Headers],[BOM Cases]:[EOM Cases]],0)),
$S$11=$O$35,INDEX($O$37:$AX$79,MATCH(BE18,Regular_cases_jan[[Nurse]:[Nurse]],0),MATCH($V$11,Regular_cases_apr[[#Headers],[BOM Cases]:[EOM Cases]],0)),
$S$11=$S$35,INDEX($S$37:$AX$79,MATCH(BE18,Regular_cases_jan[[Nurse]:[Nurse]],0),MATCH($V$11,Regular_cases_may[[#Headers],[BOM Cases]:[EOM Cases]],0)),
$S$11=$W$35,INDEX($W$37:$AX$79,MATCH(BE18,Regular_cases_jan[[Nurse]:[Nurse]],0),MATCH($V$11,Regular_cases_jun[[#Headers],[BOM Cases]:[EOM Cases]],0)),
$S$11=$AA$35,INDEX($AA$37:$AX$79,MATCH(BE18,Regular_cases_jan[[Nurse]:[Nurse]],0),MATCH($V$11,Regular_cases_jul[[#Headers],[BOM Cases]:[EOM Cases]],0)),
$S$11=$AE$35,INDEX($AE$37:$AX$79,MATCH(BE18,Regular_cases_jan[[Nurse]:[Nurse]],0),MATCH($V$11,Regular_cases_Aug[[#Headers],[BOM Cases]:[EOM Cases]],0)),
$S$11=$AI$35,INDEX($AI$37:$AX$79,MATCH(BE18,Regular_cases_jan[[Nurse]:[Nurse]],0),MATCH($V$11,Regular_cases_Sep[[#Headers],[BOM Cases]:[EOM Cases]],0)),
$S$11=$AM$35,INDEX($AM$37:$AX$79,MATCH(BE18,Regular_cases_jan[[Nurse]:[Nurse]],0),MATCH($V$11,Regular_cases_Oct[[#Headers],[BOM Cases]:[EOM Cases]],0)),
$S$11=$AQ$35,INDEX($AQ$37:$AX$79,MATCH(BE18,Regular_cases_jan[[Nurse]:[Nurse]],0),MATCH($V$11,Regular_cases_Nov[[#Headers],[BOM Cases]:[EOM Cases]],0)),
$S$11=$AU$35,INDEX($AU$37:$AX$85,MATCH(BE18,Regular_cases_jan[[Nurse]:[Nurse]],0),MATCH($V$11,Regular_cases_Dec[[#Headers],[BOM Cases]:[EOM Cases]],0))
),
_xlfn.IFS(
$S$11=$AZ$35,INDEX($AZ$37:$CU$79,MATCH(BE18,Regular_cases_jan[[Nurse]:[Nurse]],0),MATCH($V$11,Eip_cases_jan[#Headers],0)),
$S$11=$BD$35,INDEX($BD$37:$CU$79,MATCH(BE18,Regular_cases_jan[[Nurse]:[Nurse]],0),MATCH($V$11,Eip_cases_feb[#Headers],0)),
$S$11=$BH$35,INDEX($BH$37:$CU$79,MATCH(BE18,Regular_cases_jan[[Nurse]:[Nurse]],0),MATCH($V$11,Eip_cases_mar[#Headers],0)),
$S$11=$BL$35,INDEX($BL$37:$CU$79,MATCH(BE18,Regular_cases_jan[[Nurse]:[Nurse]],0),MATCH($V$11,Eip_cases_Apr[#Headers],0)),
$S$11=$BP$35,INDEX($BP$37:$CU$79,MATCH(BE18,Regular_cases_jan[[Nurse]:[Nurse]],0),MATCH($V$11,Eip_cases_May[#Headers],0)),
$S$11=$BT$35,INDEX($BT$37:$CU$79,MATCH(BE18,Regular_cases_jan[[Nurse]:[Nurse]],0),MATCH($V$11,Eip_cases_Jun[#Headers],0)),
$S$11=$BX$35,INDEX($BX$37:$CU$79,MATCH(BE18,Regular_cases_jan[[Nurse]:[Nurse]],0),MATCH($V$11,Eip_cases_Jul[#Headers],0)),
$S$11=$CB$35,INDEX($CB$37:$CU$79,MATCH(BE18,Regular_cases_jan[[Nurse]:[Nurse]],0),MATCH($V$11,Eip_cases_Aug[#Headers],0)),
$S$11=$CF$35,INDEX($CF$37:$CU$79,MATCH(BE18,Regular_cases_jan[[Nurse]:[Nurse]],0),MATCH($V$11,Eip_cases_Sep[#Headers],0)),
$S$11=$CJ$35,INDEX($CJ$37:$CU$79,MATCH(BE18,Regular_cases_jan[[Nurse]:[Nurse]],0),MATCH($V$11,Eip_cases_Oct[#Headers],0)),
$S$11=$CN$35,INDEX($CN$37:$CU$79,MATCH(BE18,Regular_cases_jan[[Nurse]:[Nurse]],0),MATCH($V$11,Eip_cases_Nov[#Headers],0)),
$S$11=$CR$35,INDEX($CR$37:$CU$85,MATCH(BE18,Regular_cases_jan[[Nurse]:[Nurse]],0),MATCH($V$11,Eip_cases_Dec[#Headers],0))
))</f>
        <v>#REF!</v>
      </c>
    </row>
    <row r="20" spans="2:57" x14ac:dyDescent="0.3">
      <c r="B20" s="204"/>
      <c r="C20" s="204"/>
      <c r="D20" s="346"/>
      <c r="E20" s="346"/>
      <c r="F20" s="347"/>
      <c r="H20" s="204"/>
      <c r="I20" s="28"/>
      <c r="J20" s="28"/>
    </row>
    <row r="33" spans="2:99" ht="18.5" x14ac:dyDescent="0.45">
      <c r="C33" s="987" t="s">
        <v>862</v>
      </c>
      <c r="D33" s="987"/>
      <c r="E33" s="397"/>
      <c r="F33" s="398"/>
      <c r="AZ33" s="987" t="s">
        <v>863</v>
      </c>
      <c r="BA33" s="987"/>
      <c r="BB33" s="397"/>
      <c r="BC33" s="398"/>
    </row>
    <row r="34" spans="2:99" ht="13.5" thickBot="1" x14ac:dyDescent="0.35">
      <c r="C34" s="990"/>
      <c r="D34" s="990"/>
      <c r="E34" s="990"/>
      <c r="F34" s="990"/>
      <c r="G34" s="990"/>
      <c r="H34" s="990"/>
      <c r="I34" s="990"/>
      <c r="J34" s="990"/>
      <c r="K34" s="990"/>
      <c r="L34" s="990"/>
      <c r="M34" s="990"/>
      <c r="N34" s="990"/>
    </row>
    <row r="35" spans="2:99" ht="14.5" x14ac:dyDescent="0.35">
      <c r="B35" s="547"/>
      <c r="C35" s="988" t="s">
        <v>655</v>
      </c>
      <c r="D35" s="988"/>
      <c r="E35" s="988"/>
      <c r="F35" s="989"/>
      <c r="G35" s="988" t="s">
        <v>656</v>
      </c>
      <c r="H35" s="988"/>
      <c r="I35" s="988"/>
      <c r="J35" s="989"/>
      <c r="K35" s="950" t="s">
        <v>657</v>
      </c>
      <c r="L35" s="988"/>
      <c r="M35" s="988"/>
      <c r="N35" s="989"/>
      <c r="O35" s="988" t="s">
        <v>658</v>
      </c>
      <c r="P35" s="988"/>
      <c r="Q35" s="988"/>
      <c r="R35" s="989"/>
      <c r="S35" s="988" t="s">
        <v>659</v>
      </c>
      <c r="T35" s="988"/>
      <c r="U35" s="988"/>
      <c r="V35" s="989"/>
      <c r="W35" s="988" t="s">
        <v>660</v>
      </c>
      <c r="X35" s="988"/>
      <c r="Y35" s="988"/>
      <c r="Z35" s="989"/>
      <c r="AA35" s="988" t="s">
        <v>661</v>
      </c>
      <c r="AB35" s="988"/>
      <c r="AC35" s="988"/>
      <c r="AD35" s="989"/>
      <c r="AE35" s="988" t="s">
        <v>662</v>
      </c>
      <c r="AF35" s="988"/>
      <c r="AG35" s="988"/>
      <c r="AH35" s="989"/>
      <c r="AI35" s="988" t="s">
        <v>663</v>
      </c>
      <c r="AJ35" s="988"/>
      <c r="AK35" s="988"/>
      <c r="AL35" s="989"/>
      <c r="AM35" s="988" t="s">
        <v>664</v>
      </c>
      <c r="AN35" s="988"/>
      <c r="AO35" s="988"/>
      <c r="AP35" s="989"/>
      <c r="AQ35" s="988" t="s">
        <v>665</v>
      </c>
      <c r="AR35" s="988"/>
      <c r="AS35" s="988"/>
      <c r="AT35" s="989"/>
      <c r="AU35" s="988" t="s">
        <v>666</v>
      </c>
      <c r="AV35" s="988"/>
      <c r="AW35" s="988"/>
      <c r="AX35" s="989"/>
      <c r="AZ35" s="950" t="s">
        <v>655</v>
      </c>
      <c r="BA35" s="988"/>
      <c r="BB35" s="988"/>
      <c r="BC35" s="989"/>
      <c r="BD35" s="950" t="s">
        <v>656</v>
      </c>
      <c r="BE35" s="988"/>
      <c r="BF35" s="988"/>
      <c r="BG35" s="989"/>
      <c r="BH35" s="950" t="s">
        <v>657</v>
      </c>
      <c r="BI35" s="988"/>
      <c r="BJ35" s="988"/>
      <c r="BK35" s="989"/>
      <c r="BL35" s="950" t="s">
        <v>658</v>
      </c>
      <c r="BM35" s="988"/>
      <c r="BN35" s="988"/>
      <c r="BO35" s="989"/>
      <c r="BP35" s="950" t="s">
        <v>659</v>
      </c>
      <c r="BQ35" s="988"/>
      <c r="BR35" s="988"/>
      <c r="BS35" s="989"/>
      <c r="BT35" s="950" t="s">
        <v>660</v>
      </c>
      <c r="BU35" s="988"/>
      <c r="BV35" s="988"/>
      <c r="BW35" s="989"/>
      <c r="BX35" s="950" t="s">
        <v>661</v>
      </c>
      <c r="BY35" s="988"/>
      <c r="BZ35" s="988"/>
      <c r="CA35" s="989"/>
      <c r="CB35" s="950" t="s">
        <v>662</v>
      </c>
      <c r="CC35" s="988"/>
      <c r="CD35" s="988"/>
      <c r="CE35" s="989"/>
      <c r="CF35" s="950" t="s">
        <v>663</v>
      </c>
      <c r="CG35" s="988"/>
      <c r="CH35" s="988"/>
      <c r="CI35" s="989"/>
      <c r="CJ35" s="950" t="s">
        <v>664</v>
      </c>
      <c r="CK35" s="988"/>
      <c r="CL35" s="988"/>
      <c r="CM35" s="989"/>
      <c r="CN35" s="950" t="s">
        <v>665</v>
      </c>
      <c r="CO35" s="988"/>
      <c r="CP35" s="988"/>
      <c r="CQ35" s="989"/>
      <c r="CR35" s="950" t="s">
        <v>666</v>
      </c>
      <c r="CS35" s="988"/>
      <c r="CT35" s="988"/>
      <c r="CU35" s="989"/>
    </row>
    <row r="36" spans="2:99" ht="14.5" x14ac:dyDescent="0.35">
      <c r="B36" s="365" t="s">
        <v>725</v>
      </c>
      <c r="C36" s="366" t="s">
        <v>864</v>
      </c>
      <c r="D36" s="366" t="s">
        <v>859</v>
      </c>
      <c r="E36" s="366" t="s">
        <v>865</v>
      </c>
      <c r="F36" s="366" t="s">
        <v>866</v>
      </c>
      <c r="G36" s="366" t="s">
        <v>864</v>
      </c>
      <c r="H36" s="366" t="s">
        <v>859</v>
      </c>
      <c r="I36" s="366" t="s">
        <v>865</v>
      </c>
      <c r="J36" s="366" t="s">
        <v>866</v>
      </c>
      <c r="K36" s="366" t="s">
        <v>864</v>
      </c>
      <c r="L36" s="366" t="s">
        <v>859</v>
      </c>
      <c r="M36" s="366" t="s">
        <v>865</v>
      </c>
      <c r="N36" s="366" t="s">
        <v>866</v>
      </c>
      <c r="O36" s="366" t="s">
        <v>864</v>
      </c>
      <c r="P36" s="366" t="s">
        <v>859</v>
      </c>
      <c r="Q36" s="366" t="s">
        <v>865</v>
      </c>
      <c r="R36" s="366" t="s">
        <v>866</v>
      </c>
      <c r="S36" s="366" t="s">
        <v>864</v>
      </c>
      <c r="T36" s="366" t="s">
        <v>859</v>
      </c>
      <c r="U36" s="366" t="s">
        <v>865</v>
      </c>
      <c r="V36" s="366" t="s">
        <v>866</v>
      </c>
      <c r="W36" s="366" t="s">
        <v>864</v>
      </c>
      <c r="X36" s="366" t="s">
        <v>859</v>
      </c>
      <c r="Y36" s="366" t="s">
        <v>865</v>
      </c>
      <c r="Z36" s="366" t="s">
        <v>866</v>
      </c>
      <c r="AA36" s="366" t="s">
        <v>864</v>
      </c>
      <c r="AB36" s="366" t="s">
        <v>859</v>
      </c>
      <c r="AC36" s="366" t="s">
        <v>865</v>
      </c>
      <c r="AD36" s="366" t="s">
        <v>866</v>
      </c>
      <c r="AE36" s="366" t="s">
        <v>864</v>
      </c>
      <c r="AF36" s="366" t="s">
        <v>859</v>
      </c>
      <c r="AG36" s="366" t="s">
        <v>865</v>
      </c>
      <c r="AH36" s="366" t="s">
        <v>866</v>
      </c>
      <c r="AI36" s="366" t="s">
        <v>864</v>
      </c>
      <c r="AJ36" s="366" t="s">
        <v>859</v>
      </c>
      <c r="AK36" s="366" t="s">
        <v>865</v>
      </c>
      <c r="AL36" s="366" t="s">
        <v>866</v>
      </c>
      <c r="AM36" s="366" t="s">
        <v>864</v>
      </c>
      <c r="AN36" s="366" t="s">
        <v>859</v>
      </c>
      <c r="AO36" s="366" t="s">
        <v>865</v>
      </c>
      <c r="AP36" s="366" t="s">
        <v>866</v>
      </c>
      <c r="AQ36" s="366" t="s">
        <v>864</v>
      </c>
      <c r="AR36" s="366" t="s">
        <v>859</v>
      </c>
      <c r="AS36" s="366" t="s">
        <v>865</v>
      </c>
      <c r="AT36" s="366" t="s">
        <v>866</v>
      </c>
      <c r="AU36" s="366" t="s">
        <v>864</v>
      </c>
      <c r="AV36" s="366" t="s">
        <v>859</v>
      </c>
      <c r="AW36" s="366" t="s">
        <v>865</v>
      </c>
      <c r="AX36" s="366" t="s">
        <v>866</v>
      </c>
      <c r="AZ36" s="366" t="s">
        <v>864</v>
      </c>
      <c r="BA36" s="366" t="s">
        <v>859</v>
      </c>
      <c r="BB36" s="366" t="s">
        <v>865</v>
      </c>
      <c r="BC36" s="366" t="s">
        <v>866</v>
      </c>
      <c r="BD36" s="366" t="s">
        <v>864</v>
      </c>
      <c r="BE36" s="366" t="s">
        <v>859</v>
      </c>
      <c r="BF36" s="366" t="s">
        <v>865</v>
      </c>
      <c r="BG36" s="366" t="s">
        <v>866</v>
      </c>
      <c r="BH36" s="366" t="s">
        <v>864</v>
      </c>
      <c r="BI36" s="366" t="s">
        <v>859</v>
      </c>
      <c r="BJ36" s="366" t="s">
        <v>865</v>
      </c>
      <c r="BK36" s="366" t="s">
        <v>866</v>
      </c>
      <c r="BL36" s="366" t="s">
        <v>864</v>
      </c>
      <c r="BM36" s="366" t="s">
        <v>859</v>
      </c>
      <c r="BN36" s="366" t="s">
        <v>865</v>
      </c>
      <c r="BO36" s="366" t="s">
        <v>866</v>
      </c>
      <c r="BP36" s="366" t="s">
        <v>864</v>
      </c>
      <c r="BQ36" s="366" t="s">
        <v>859</v>
      </c>
      <c r="BR36" s="366" t="s">
        <v>865</v>
      </c>
      <c r="BS36" s="366" t="s">
        <v>866</v>
      </c>
      <c r="BT36" s="366" t="s">
        <v>864</v>
      </c>
      <c r="BU36" s="366" t="s">
        <v>859</v>
      </c>
      <c r="BV36" s="366" t="s">
        <v>865</v>
      </c>
      <c r="BW36" s="366" t="s">
        <v>866</v>
      </c>
      <c r="BX36" s="366" t="s">
        <v>864</v>
      </c>
      <c r="BY36" s="366" t="s">
        <v>859</v>
      </c>
      <c r="BZ36" s="366" t="s">
        <v>865</v>
      </c>
      <c r="CA36" s="366" t="s">
        <v>866</v>
      </c>
      <c r="CB36" s="366" t="s">
        <v>864</v>
      </c>
      <c r="CC36" s="366" t="s">
        <v>859</v>
      </c>
      <c r="CD36" s="366" t="s">
        <v>865</v>
      </c>
      <c r="CE36" s="366" t="s">
        <v>866</v>
      </c>
      <c r="CF36" s="366" t="s">
        <v>864</v>
      </c>
      <c r="CG36" s="366" t="s">
        <v>859</v>
      </c>
      <c r="CH36" s="366" t="s">
        <v>865</v>
      </c>
      <c r="CI36" s="366" t="s">
        <v>866</v>
      </c>
      <c r="CJ36" s="366" t="s">
        <v>864</v>
      </c>
      <c r="CK36" s="366" t="s">
        <v>859</v>
      </c>
      <c r="CL36" s="366" t="s">
        <v>865</v>
      </c>
      <c r="CM36" s="366" t="s">
        <v>866</v>
      </c>
      <c r="CN36" s="366" t="s">
        <v>864</v>
      </c>
      <c r="CO36" s="366" t="s">
        <v>859</v>
      </c>
      <c r="CP36" s="366" t="s">
        <v>865</v>
      </c>
      <c r="CQ36" s="366" t="s">
        <v>866</v>
      </c>
      <c r="CR36" s="366" t="s">
        <v>864</v>
      </c>
      <c r="CS36" s="366" t="s">
        <v>859</v>
      </c>
      <c r="CT36" s="366" t="s">
        <v>865</v>
      </c>
      <c r="CU36" s="366" t="s">
        <v>866</v>
      </c>
    </row>
    <row r="37" spans="2:99" ht="14.5" x14ac:dyDescent="0.35">
      <c r="B37" s="874" t="str">
        <f>'Nurse Hours'!B38</f>
        <v>Adkins, Molly</v>
      </c>
      <c r="C37" s="700">
        <v>12</v>
      </c>
      <c r="D37" s="728">
        <v>1</v>
      </c>
      <c r="E37" s="711">
        <f t="shared" ref="E37:E79" si="0">SUM(C37:D37)-F37</f>
        <v>1</v>
      </c>
      <c r="F37" s="731">
        <v>12</v>
      </c>
      <c r="G37" s="703">
        <f>Regular_cases_jan[[#This Row],[EOM Cases]]</f>
        <v>12</v>
      </c>
      <c r="H37" s="728">
        <v>2</v>
      </c>
      <c r="I37" s="711">
        <f t="shared" ref="I37:I79" si="1">SUM(G37:H37)-J37</f>
        <v>0</v>
      </c>
      <c r="J37" s="731">
        <v>14</v>
      </c>
      <c r="K37" s="703">
        <f>Regular_cases_feb[[#This Row],[EOM Cases]]</f>
        <v>14</v>
      </c>
      <c r="L37" s="728">
        <v>2</v>
      </c>
      <c r="M37" s="711">
        <f t="shared" ref="M37:M79" si="2">SUM(K37:L37)-N37</f>
        <v>5</v>
      </c>
      <c r="N37" s="733">
        <v>11</v>
      </c>
      <c r="O37" s="703">
        <f>Regular_cases_mar[[#This Row],[EOM Cases]]</f>
        <v>11</v>
      </c>
      <c r="P37" s="728">
        <v>0</v>
      </c>
      <c r="Q37" s="711">
        <f t="shared" ref="Q37:Q79" si="3">SUM(O37:P37)-R37</f>
        <v>5</v>
      </c>
      <c r="R37" s="731">
        <v>6</v>
      </c>
      <c r="S37" s="702">
        <f>Regular_cases_apr[[#This Row],[EOM Cases]]</f>
        <v>6</v>
      </c>
      <c r="T37" s="728">
        <v>0</v>
      </c>
      <c r="U37" s="711">
        <f t="shared" ref="U37:U79" si="4">SUM(S37:T37)-V37</f>
        <v>2</v>
      </c>
      <c r="V37" s="731">
        <v>4</v>
      </c>
      <c r="W37" s="631">
        <f>Regular_cases_may[[#This Row],[EOM Cases]]</f>
        <v>4</v>
      </c>
      <c r="X37" s="728">
        <v>0</v>
      </c>
      <c r="Y37" s="711">
        <f t="shared" ref="Y37:Y79" si="5">SUM(W37:X37)-Z37</f>
        <v>4</v>
      </c>
      <c r="Z37" s="704">
        <v>0</v>
      </c>
      <c r="AA37" s="711">
        <f>Regular_cases_jun[[#This Row],[EOM Cases]]</f>
        <v>0</v>
      </c>
      <c r="AB37" s="704">
        <v>0</v>
      </c>
      <c r="AC37" s="711">
        <f t="shared" ref="AC37:AC79" si="6">SUM(AA37:AB37)-AD37</f>
        <v>0</v>
      </c>
      <c r="AD37" s="704">
        <v>0</v>
      </c>
      <c r="AE37" s="711">
        <f>Regular_cases_jul[[#This Row],[EOM Cases]]</f>
        <v>0</v>
      </c>
      <c r="AF37" s="704">
        <v>0</v>
      </c>
      <c r="AG37" s="711">
        <f t="shared" ref="AG37:AG79" si="7">SUM(AE37:AF37)-AH37</f>
        <v>0</v>
      </c>
      <c r="AH37" s="704">
        <v>0</v>
      </c>
      <c r="AI37" s="711">
        <f>Regular_cases_Aug[[#This Row],[EOM Cases]]</f>
        <v>0</v>
      </c>
      <c r="AJ37" s="704">
        <v>0</v>
      </c>
      <c r="AK37" s="711">
        <f t="shared" ref="AK37:AK79" si="8">SUM(AI37:AJ37)-AL37</f>
        <v>0</v>
      </c>
      <c r="AL37" s="704">
        <v>0</v>
      </c>
      <c r="AM37" s="711">
        <f>Regular_cases_Sep[[#This Row],[EOM Cases]]</f>
        <v>0</v>
      </c>
      <c r="AN37" s="704">
        <v>0</v>
      </c>
      <c r="AO37" s="711">
        <f t="shared" ref="AO37:AO79" si="9">SUM(AM37:AN37)-AP37</f>
        <v>0</v>
      </c>
      <c r="AP37" s="704">
        <v>0</v>
      </c>
      <c r="AQ37" s="711">
        <f>Regular_cases_Oct[[#This Row],[EOM Cases]]</f>
        <v>0</v>
      </c>
      <c r="AR37" s="704">
        <v>0</v>
      </c>
      <c r="AS37" s="711">
        <f t="shared" ref="AS37:AS79" si="10">SUM(AQ37:AR37)-AT37</f>
        <v>0</v>
      </c>
      <c r="AT37" s="704">
        <v>0</v>
      </c>
      <c r="AU37" s="711">
        <f>Regular_cases_Nov[[#This Row],[EOM Cases]]</f>
        <v>0</v>
      </c>
      <c r="AV37" s="704">
        <v>0</v>
      </c>
      <c r="AW37" s="711">
        <f t="shared" ref="AW37:AW79" si="11">SUM(AU37:AV37)-AX37</f>
        <v>0</v>
      </c>
      <c r="AX37" s="704">
        <v>0</v>
      </c>
      <c r="AZ37" s="713">
        <v>0</v>
      </c>
      <c r="BA37" s="705">
        <v>0</v>
      </c>
      <c r="BB37" s="711">
        <f t="shared" ref="BB37:BB79" si="12">SUM(AZ37:BA37)-BC37</f>
        <v>0</v>
      </c>
      <c r="BC37" s="706">
        <v>0</v>
      </c>
      <c r="BD37" s="715">
        <f>Eip_cases_jan[[#This Row],[EOM Cases]]</f>
        <v>0</v>
      </c>
      <c r="BE37" s="705">
        <v>0</v>
      </c>
      <c r="BF37" s="711">
        <f t="shared" ref="BF37:BF79" si="13">SUM(BD37:BE37)-BG37</f>
        <v>0</v>
      </c>
      <c r="BG37" s="706">
        <v>0</v>
      </c>
      <c r="BH37" s="715">
        <f>Eip_cases_feb[[#This Row],[EOM Cases]]</f>
        <v>0</v>
      </c>
      <c r="BI37" s="705">
        <v>0</v>
      </c>
      <c r="BJ37" s="711">
        <f t="shared" ref="BJ37:BJ79" si="14">SUM(BH37:BI37)-BK37</f>
        <v>0</v>
      </c>
      <c r="BK37" s="706">
        <v>0</v>
      </c>
      <c r="BL37" s="715">
        <f>Eip_cases_mar[[#This Row],[EOM Cases]]</f>
        <v>0</v>
      </c>
      <c r="BM37" s="705">
        <v>0</v>
      </c>
      <c r="BN37" s="711">
        <f t="shared" ref="BN37:BN79" si="15">SUM(BL37:BM37)-BO37</f>
        <v>0</v>
      </c>
      <c r="BO37" s="706">
        <v>0</v>
      </c>
      <c r="BP37" s="715">
        <f>Eip_cases_Apr[[#This Row],[EOM Cases]]</f>
        <v>0</v>
      </c>
      <c r="BQ37" s="705">
        <v>0</v>
      </c>
      <c r="BR37" s="711">
        <f t="shared" ref="BR37:BR79" si="16">SUM(BP37:BQ37)-BS37</f>
        <v>0</v>
      </c>
      <c r="BS37" s="706">
        <v>0</v>
      </c>
      <c r="BT37" s="715">
        <f>Eip_cases_May[[#This Row],[EOM Cases]]</f>
        <v>0</v>
      </c>
      <c r="BU37" s="705">
        <v>0</v>
      </c>
      <c r="BV37" s="711">
        <f t="shared" ref="BV37:BV79" si="17">SUM(BT37:BU37)-BW37</f>
        <v>0</v>
      </c>
      <c r="BW37" s="706">
        <v>0</v>
      </c>
      <c r="BX37" s="715">
        <f>Eip_cases_Jun[[#This Row],[EOM Cases]]</f>
        <v>0</v>
      </c>
      <c r="BY37" s="705">
        <v>0</v>
      </c>
      <c r="BZ37" s="711">
        <f t="shared" ref="BZ37:BZ79" si="18">SUM(BX37:BY37)-CA37</f>
        <v>0</v>
      </c>
      <c r="CA37" s="706">
        <v>0</v>
      </c>
      <c r="CB37" s="715">
        <f>Eip_cases_Jul[[#This Row],[EOM Cases]]</f>
        <v>0</v>
      </c>
      <c r="CC37" s="705">
        <v>0</v>
      </c>
      <c r="CD37" s="711">
        <f t="shared" ref="CD37:CD79" si="19">SUM(CB37:CC37)-CE37</f>
        <v>0</v>
      </c>
      <c r="CE37" s="706">
        <v>0</v>
      </c>
      <c r="CF37" s="715">
        <f>Eip_cases_Aug[[#This Row],[EOM Cases]]</f>
        <v>0</v>
      </c>
      <c r="CG37" s="705">
        <v>0</v>
      </c>
      <c r="CH37" s="711">
        <f t="shared" ref="CH37:CH79" si="20">SUM(CF37:CG37)-CI37</f>
        <v>0</v>
      </c>
      <c r="CI37" s="706">
        <v>0</v>
      </c>
      <c r="CJ37" s="715">
        <f>Eip_cases_Sep[[#This Row],[EOM Cases]]</f>
        <v>0</v>
      </c>
      <c r="CK37" s="705">
        <v>0</v>
      </c>
      <c r="CL37" s="711">
        <f t="shared" ref="CL37:CL79" si="21">SUM(CJ37:CK37)-CM37</f>
        <v>0</v>
      </c>
      <c r="CM37" s="706">
        <v>0</v>
      </c>
      <c r="CN37" s="715">
        <f>Eip_cases_Oct[[#This Row],[EOM Cases]]</f>
        <v>0</v>
      </c>
      <c r="CO37" s="705">
        <v>0</v>
      </c>
      <c r="CP37" s="711">
        <f t="shared" ref="CP37:CP79" si="22">SUM(CN37:CO37)-CQ37</f>
        <v>0</v>
      </c>
      <c r="CQ37" s="706">
        <v>0</v>
      </c>
      <c r="CR37" s="715">
        <f>Eip_cases_Nov[[#This Row],[EOM Cases]]</f>
        <v>0</v>
      </c>
      <c r="CS37" s="705">
        <v>0</v>
      </c>
      <c r="CT37" s="711">
        <f t="shared" ref="CT37:CT79" si="23">SUM(CR37:CS37)-CU37</f>
        <v>0</v>
      </c>
      <c r="CU37" s="706">
        <v>0</v>
      </c>
    </row>
    <row r="38" spans="2:99" ht="14.5" x14ac:dyDescent="0.35">
      <c r="B38" s="874" t="str">
        <f>'Nurse Hours'!B39</f>
        <v>Aguayo, Madeline</v>
      </c>
      <c r="C38" s="701">
        <v>12</v>
      </c>
      <c r="D38" s="729">
        <v>15</v>
      </c>
      <c r="E38" s="711">
        <f t="shared" si="0"/>
        <v>2</v>
      </c>
      <c r="F38" s="732">
        <v>25</v>
      </c>
      <c r="G38" s="703">
        <f>Regular_cases_jan[[#This Row],[EOM Cases]]</f>
        <v>25</v>
      </c>
      <c r="H38" s="729">
        <v>10</v>
      </c>
      <c r="I38" s="711">
        <f t="shared" si="1"/>
        <v>6</v>
      </c>
      <c r="J38" s="732">
        <v>29</v>
      </c>
      <c r="K38" s="703">
        <f>Regular_cases_feb[[#This Row],[EOM Cases]]</f>
        <v>29</v>
      </c>
      <c r="L38" s="729">
        <v>4</v>
      </c>
      <c r="M38" s="711">
        <f t="shared" si="2"/>
        <v>2</v>
      </c>
      <c r="N38" s="734">
        <v>31</v>
      </c>
      <c r="O38" s="703">
        <f>Regular_cases_mar[[#This Row],[EOM Cases]]</f>
        <v>31</v>
      </c>
      <c r="P38" s="729">
        <v>7</v>
      </c>
      <c r="Q38" s="711">
        <f t="shared" si="3"/>
        <v>7</v>
      </c>
      <c r="R38" s="732">
        <v>31</v>
      </c>
      <c r="S38" s="703">
        <f>Regular_cases_apr[[#This Row],[EOM Cases]]</f>
        <v>31</v>
      </c>
      <c r="T38" s="729">
        <v>3</v>
      </c>
      <c r="U38" s="711">
        <f t="shared" si="4"/>
        <v>0</v>
      </c>
      <c r="V38" s="732">
        <v>34</v>
      </c>
      <c r="W38" s="632">
        <f>Regular_cases_may[[#This Row],[EOM Cases]]</f>
        <v>34</v>
      </c>
      <c r="X38" s="729">
        <v>0</v>
      </c>
      <c r="Y38" s="711">
        <f t="shared" si="5"/>
        <v>5</v>
      </c>
      <c r="Z38" s="704">
        <v>29</v>
      </c>
      <c r="AA38" s="711">
        <f>Regular_cases_jun[[#This Row],[EOM Cases]]</f>
        <v>29</v>
      </c>
      <c r="AB38" s="704">
        <v>6</v>
      </c>
      <c r="AC38" s="711">
        <f t="shared" si="6"/>
        <v>8</v>
      </c>
      <c r="AD38" s="704">
        <v>27</v>
      </c>
      <c r="AE38" s="711">
        <f>Regular_cases_jul[[#This Row],[EOM Cases]]</f>
        <v>27</v>
      </c>
      <c r="AF38" s="704">
        <v>7</v>
      </c>
      <c r="AG38" s="711">
        <f t="shared" si="7"/>
        <v>2</v>
      </c>
      <c r="AH38" s="704">
        <v>32</v>
      </c>
      <c r="AI38" s="711">
        <f>Regular_cases_Aug[[#This Row],[EOM Cases]]</f>
        <v>32</v>
      </c>
      <c r="AJ38" s="704">
        <v>0</v>
      </c>
      <c r="AK38" s="711">
        <f t="shared" si="8"/>
        <v>5</v>
      </c>
      <c r="AL38" s="704">
        <v>27</v>
      </c>
      <c r="AM38" s="711">
        <f>Regular_cases_Sep[[#This Row],[EOM Cases]]</f>
        <v>27</v>
      </c>
      <c r="AN38" s="704">
        <v>5</v>
      </c>
      <c r="AO38" s="711">
        <f t="shared" si="9"/>
        <v>4</v>
      </c>
      <c r="AP38" s="704">
        <v>28</v>
      </c>
      <c r="AQ38" s="711">
        <f>Regular_cases_Oct[[#This Row],[EOM Cases]]</f>
        <v>28</v>
      </c>
      <c r="AR38" s="704">
        <v>0</v>
      </c>
      <c r="AS38" s="711">
        <f t="shared" si="10"/>
        <v>28</v>
      </c>
      <c r="AT38" s="704">
        <v>0</v>
      </c>
      <c r="AU38" s="711">
        <f>Regular_cases_Nov[[#This Row],[EOM Cases]]</f>
        <v>0</v>
      </c>
      <c r="AV38" s="704">
        <v>0</v>
      </c>
      <c r="AW38" s="711">
        <f t="shared" si="11"/>
        <v>0</v>
      </c>
      <c r="AX38" s="704">
        <v>0</v>
      </c>
      <c r="AZ38" s="714">
        <v>0</v>
      </c>
      <c r="BA38" s="707">
        <v>0</v>
      </c>
      <c r="BB38" s="711">
        <f t="shared" si="12"/>
        <v>0</v>
      </c>
      <c r="BC38" s="708">
        <v>0</v>
      </c>
      <c r="BD38" s="714">
        <f>Eip_cases_jan[[#This Row],[EOM Cases]]</f>
        <v>0</v>
      </c>
      <c r="BE38" s="707">
        <v>0</v>
      </c>
      <c r="BF38" s="711">
        <f t="shared" si="13"/>
        <v>0</v>
      </c>
      <c r="BG38" s="708">
        <v>0</v>
      </c>
      <c r="BH38" s="714">
        <f>Eip_cases_feb[[#This Row],[EOM Cases]]</f>
        <v>0</v>
      </c>
      <c r="BI38" s="707">
        <v>0</v>
      </c>
      <c r="BJ38" s="711">
        <f t="shared" si="14"/>
        <v>0</v>
      </c>
      <c r="BK38" s="708">
        <v>0</v>
      </c>
      <c r="BL38" s="714">
        <f>Eip_cases_mar[[#This Row],[EOM Cases]]</f>
        <v>0</v>
      </c>
      <c r="BM38" s="707">
        <v>0</v>
      </c>
      <c r="BN38" s="711">
        <f t="shared" si="15"/>
        <v>0</v>
      </c>
      <c r="BO38" s="708">
        <v>0</v>
      </c>
      <c r="BP38" s="714">
        <f>Eip_cases_Apr[[#This Row],[EOM Cases]]</f>
        <v>0</v>
      </c>
      <c r="BQ38" s="707">
        <v>0</v>
      </c>
      <c r="BR38" s="711">
        <f t="shared" si="16"/>
        <v>0</v>
      </c>
      <c r="BS38" s="708">
        <v>0</v>
      </c>
      <c r="BT38" s="714">
        <f>Eip_cases_May[[#This Row],[EOM Cases]]</f>
        <v>0</v>
      </c>
      <c r="BU38" s="707">
        <v>0</v>
      </c>
      <c r="BV38" s="711">
        <f t="shared" si="17"/>
        <v>0</v>
      </c>
      <c r="BW38" s="708">
        <v>0</v>
      </c>
      <c r="BX38" s="714">
        <f>Eip_cases_Jun[[#This Row],[EOM Cases]]</f>
        <v>0</v>
      </c>
      <c r="BY38" s="707">
        <v>0</v>
      </c>
      <c r="BZ38" s="711">
        <f t="shared" si="18"/>
        <v>0</v>
      </c>
      <c r="CA38" s="708">
        <v>0</v>
      </c>
      <c r="CB38" s="714">
        <f>Eip_cases_Jul[[#This Row],[EOM Cases]]</f>
        <v>0</v>
      </c>
      <c r="CC38" s="707">
        <v>0</v>
      </c>
      <c r="CD38" s="711">
        <f t="shared" si="19"/>
        <v>0</v>
      </c>
      <c r="CE38" s="708">
        <v>0</v>
      </c>
      <c r="CF38" s="714">
        <f>Eip_cases_Aug[[#This Row],[EOM Cases]]</f>
        <v>0</v>
      </c>
      <c r="CG38" s="707">
        <v>0</v>
      </c>
      <c r="CH38" s="711">
        <f t="shared" si="20"/>
        <v>0</v>
      </c>
      <c r="CI38" s="708">
        <v>0</v>
      </c>
      <c r="CJ38" s="714">
        <f>Eip_cases_Sep[[#This Row],[EOM Cases]]</f>
        <v>0</v>
      </c>
      <c r="CK38" s="707">
        <v>0</v>
      </c>
      <c r="CL38" s="711">
        <f t="shared" si="21"/>
        <v>0</v>
      </c>
      <c r="CM38" s="708">
        <v>0</v>
      </c>
      <c r="CN38" s="714">
        <f>Eip_cases_Oct[[#This Row],[EOM Cases]]</f>
        <v>0</v>
      </c>
      <c r="CO38" s="707">
        <v>0</v>
      </c>
      <c r="CP38" s="711">
        <f t="shared" si="22"/>
        <v>0</v>
      </c>
      <c r="CQ38" s="708">
        <v>0</v>
      </c>
      <c r="CR38" s="714">
        <f>Eip_cases_Nov[[#This Row],[EOM Cases]]</f>
        <v>0</v>
      </c>
      <c r="CS38" s="707">
        <v>0</v>
      </c>
      <c r="CT38" s="711">
        <f t="shared" si="23"/>
        <v>0</v>
      </c>
      <c r="CU38" s="708">
        <v>0</v>
      </c>
    </row>
    <row r="39" spans="2:99" ht="14.5" x14ac:dyDescent="0.35">
      <c r="B39" s="874" t="str">
        <f>'Nurse Hours'!B40</f>
        <v>Alejo, Marahi</v>
      </c>
      <c r="C39" s="701"/>
      <c r="D39" s="729"/>
      <c r="E39" s="711">
        <f>SUM(C39:D39)-F39</f>
        <v>0</v>
      </c>
      <c r="F39" s="732"/>
      <c r="G39" s="703">
        <f>Regular_cases_jan[[#This Row],[EOM Cases]]</f>
        <v>0</v>
      </c>
      <c r="H39" s="729"/>
      <c r="I39" s="711">
        <f>SUM(G39:H39)-J39</f>
        <v>0</v>
      </c>
      <c r="J39" s="732"/>
      <c r="K39" s="703">
        <f>Regular_cases_feb[[#This Row],[EOM Cases]]</f>
        <v>0</v>
      </c>
      <c r="L39" s="729"/>
      <c r="M39" s="711">
        <f>SUM(K39:L39)-N39</f>
        <v>0</v>
      </c>
      <c r="N39" s="734"/>
      <c r="O39" s="703">
        <f>Regular_cases_mar[[#This Row],[EOM Cases]]</f>
        <v>0</v>
      </c>
      <c r="P39" s="729"/>
      <c r="Q39" s="711">
        <f>SUM(O39:P39)-R39</f>
        <v>0</v>
      </c>
      <c r="R39" s="732"/>
      <c r="S39" s="703">
        <f>Regular_cases_apr[[#This Row],[EOM Cases]]</f>
        <v>0</v>
      </c>
      <c r="T39" s="729"/>
      <c r="U39" s="711">
        <f>SUM(S39:T39)-V39</f>
        <v>0</v>
      </c>
      <c r="V39" s="732"/>
      <c r="W39" s="632">
        <f>Regular_cases_may[[#This Row],[EOM Cases]]</f>
        <v>0</v>
      </c>
      <c r="X39" s="729"/>
      <c r="Y39" s="711">
        <f>SUM(W39:X39)-Z39</f>
        <v>0</v>
      </c>
      <c r="Z39" s="704"/>
      <c r="AA39" s="711">
        <f>Regular_cases_jun[[#This Row],[EOM Cases]]</f>
        <v>0</v>
      </c>
      <c r="AB39" s="704"/>
      <c r="AC39" s="711">
        <f>SUM(AA39:AB39)-AD39</f>
        <v>0</v>
      </c>
      <c r="AD39" s="704"/>
      <c r="AE39" s="711">
        <f>Regular_cases_jul[[#This Row],[EOM Cases]]</f>
        <v>0</v>
      </c>
      <c r="AF39" s="704"/>
      <c r="AG39" s="711">
        <f>SUM(AE39:AF39)-AH39</f>
        <v>0</v>
      </c>
      <c r="AH39" s="704"/>
      <c r="AI39" s="711">
        <f>Regular_cases_Aug[[#This Row],[EOM Cases]]</f>
        <v>0</v>
      </c>
      <c r="AJ39" s="704">
        <v>4</v>
      </c>
      <c r="AK39" s="711">
        <f>SUM(AI39:AJ39)-AL39</f>
        <v>-1</v>
      </c>
      <c r="AL39" s="704">
        <v>5</v>
      </c>
      <c r="AM39" s="711">
        <f>Regular_cases_Sep[[#This Row],[EOM Cases]]</f>
        <v>5</v>
      </c>
      <c r="AN39" s="704">
        <v>5</v>
      </c>
      <c r="AO39" s="711">
        <f>SUM(AM39:AN39)-AP39</f>
        <v>0</v>
      </c>
      <c r="AP39" s="704">
        <v>10</v>
      </c>
      <c r="AQ39" s="711">
        <f>Regular_cases_Oct[[#This Row],[EOM Cases]]</f>
        <v>10</v>
      </c>
      <c r="AR39" s="704"/>
      <c r="AS39" s="711">
        <f>SUM(AQ39:AR39)-AT39</f>
        <v>10</v>
      </c>
      <c r="AT39" s="704"/>
      <c r="AU39" s="711">
        <f>Regular_cases_Nov[[#This Row],[EOM Cases]]</f>
        <v>0</v>
      </c>
      <c r="AV39" s="704"/>
      <c r="AW39" s="711">
        <f>SUM(AU39:AV39)-AX39</f>
        <v>0</v>
      </c>
      <c r="AX39" s="704"/>
      <c r="AZ39" s="714"/>
      <c r="BA39" s="707"/>
      <c r="BB39" s="711">
        <f>SUM(AZ39:BA39)-BC39</f>
        <v>0</v>
      </c>
      <c r="BC39" s="708"/>
      <c r="BD39" s="714">
        <f>Eip_cases_jan[[#This Row],[EOM Cases]]</f>
        <v>0</v>
      </c>
      <c r="BE39" s="707"/>
      <c r="BF39" s="711">
        <f>SUM(BD39:BE39)-BG39</f>
        <v>0</v>
      </c>
      <c r="BG39" s="708"/>
      <c r="BH39" s="714">
        <f>Eip_cases_feb[[#This Row],[EOM Cases]]</f>
        <v>0</v>
      </c>
      <c r="BI39" s="707"/>
      <c r="BJ39" s="711">
        <f>SUM(BH39:BI39)-BK39</f>
        <v>0</v>
      </c>
      <c r="BK39" s="708"/>
      <c r="BL39" s="714">
        <f>Eip_cases_mar[[#This Row],[EOM Cases]]</f>
        <v>0</v>
      </c>
      <c r="BM39" s="707"/>
      <c r="BN39" s="711">
        <f>SUM(BL39:BM39)-BO39</f>
        <v>0</v>
      </c>
      <c r="BO39" s="708"/>
      <c r="BP39" s="714">
        <f>Eip_cases_Apr[[#This Row],[EOM Cases]]</f>
        <v>0</v>
      </c>
      <c r="BQ39" s="707"/>
      <c r="BR39" s="711">
        <f>SUM(BP39:BQ39)-BS39</f>
        <v>0</v>
      </c>
      <c r="BS39" s="708"/>
      <c r="BT39" s="714">
        <f>Eip_cases_May[[#This Row],[EOM Cases]]</f>
        <v>0</v>
      </c>
      <c r="BU39" s="707"/>
      <c r="BV39" s="711">
        <f>SUM(BT39:BU39)-BW39</f>
        <v>0</v>
      </c>
      <c r="BW39" s="708"/>
      <c r="BX39" s="714">
        <f>Eip_cases_Jun[[#This Row],[EOM Cases]]</f>
        <v>0</v>
      </c>
      <c r="BY39" s="707"/>
      <c r="BZ39" s="711">
        <f>SUM(BX39:BY39)-CA39</f>
        <v>0</v>
      </c>
      <c r="CA39" s="708"/>
      <c r="CB39" s="714">
        <f>Eip_cases_Jul[[#This Row],[EOM Cases]]</f>
        <v>0</v>
      </c>
      <c r="CC39" s="707"/>
      <c r="CD39" s="711">
        <f>SUM(CB39:CC39)-CE39</f>
        <v>0</v>
      </c>
      <c r="CE39" s="708"/>
      <c r="CF39" s="714">
        <f>Eip_cases_Aug[[#This Row],[EOM Cases]]</f>
        <v>0</v>
      </c>
      <c r="CG39" s="707">
        <v>0</v>
      </c>
      <c r="CH39" s="711">
        <f>SUM(CF39:CG39)-CI39</f>
        <v>0</v>
      </c>
      <c r="CI39" s="708">
        <v>0</v>
      </c>
      <c r="CJ39" s="714">
        <f>Eip_cases_Sep[[#This Row],[EOM Cases]]</f>
        <v>0</v>
      </c>
      <c r="CK39" s="707"/>
      <c r="CL39" s="711">
        <f>SUM(CJ39:CK39)-CM39</f>
        <v>0</v>
      </c>
      <c r="CM39" s="708"/>
      <c r="CN39" s="714">
        <f>Eip_cases_Oct[[#This Row],[EOM Cases]]</f>
        <v>0</v>
      </c>
      <c r="CO39" s="707"/>
      <c r="CP39" s="711">
        <f>SUM(CN39:CO39)-CQ39</f>
        <v>0</v>
      </c>
      <c r="CQ39" s="708"/>
      <c r="CR39" s="714">
        <f>Eip_cases_Nov[[#This Row],[EOM Cases]]</f>
        <v>0</v>
      </c>
      <c r="CS39" s="707"/>
      <c r="CT39" s="711">
        <f>SUM(CR39:CS39)-CU39</f>
        <v>0</v>
      </c>
      <c r="CU39" s="708"/>
    </row>
    <row r="40" spans="2:99" ht="14.5" x14ac:dyDescent="0.35">
      <c r="B40" s="874" t="str">
        <f>'Nurse Hours'!B41</f>
        <v>Aquino, Vanessa</v>
      </c>
      <c r="C40" s="701">
        <v>16</v>
      </c>
      <c r="D40" s="729">
        <v>1</v>
      </c>
      <c r="E40" s="711">
        <f t="shared" si="0"/>
        <v>1</v>
      </c>
      <c r="F40" s="732">
        <v>16</v>
      </c>
      <c r="G40" s="703">
        <f>Regular_cases_jan[[#This Row],[EOM Cases]]</f>
        <v>16</v>
      </c>
      <c r="H40" s="729">
        <v>2</v>
      </c>
      <c r="I40" s="711">
        <f t="shared" si="1"/>
        <v>4</v>
      </c>
      <c r="J40" s="732">
        <v>14</v>
      </c>
      <c r="K40" s="703">
        <f>Regular_cases_feb[[#This Row],[EOM Cases]]</f>
        <v>14</v>
      </c>
      <c r="L40" s="729">
        <v>3</v>
      </c>
      <c r="M40" s="711">
        <f t="shared" si="2"/>
        <v>1</v>
      </c>
      <c r="N40" s="734">
        <v>16</v>
      </c>
      <c r="O40" s="703">
        <f>Regular_cases_mar[[#This Row],[EOM Cases]]</f>
        <v>16</v>
      </c>
      <c r="P40" s="729">
        <v>1</v>
      </c>
      <c r="Q40" s="711">
        <f t="shared" si="3"/>
        <v>2</v>
      </c>
      <c r="R40" s="732">
        <v>15</v>
      </c>
      <c r="S40" s="703">
        <f>Regular_cases_apr[[#This Row],[EOM Cases]]</f>
        <v>15</v>
      </c>
      <c r="T40" s="729">
        <v>4</v>
      </c>
      <c r="U40" s="711">
        <f t="shared" si="4"/>
        <v>2</v>
      </c>
      <c r="V40" s="732">
        <v>17</v>
      </c>
      <c r="W40" s="632">
        <f>Regular_cases_may[[#This Row],[EOM Cases]]</f>
        <v>17</v>
      </c>
      <c r="X40" s="729">
        <v>1</v>
      </c>
      <c r="Y40" s="711">
        <f t="shared" si="5"/>
        <v>4</v>
      </c>
      <c r="Z40" s="704">
        <v>14</v>
      </c>
      <c r="AA40" s="711">
        <f>Regular_cases_jun[[#This Row],[EOM Cases]]</f>
        <v>14</v>
      </c>
      <c r="AB40" s="704">
        <v>1</v>
      </c>
      <c r="AC40" s="711">
        <f t="shared" si="6"/>
        <v>1</v>
      </c>
      <c r="AD40" s="704">
        <v>14</v>
      </c>
      <c r="AE40" s="711">
        <f>Regular_cases_jul[[#This Row],[EOM Cases]]</f>
        <v>14</v>
      </c>
      <c r="AF40" s="704">
        <v>3</v>
      </c>
      <c r="AG40" s="711">
        <f t="shared" si="7"/>
        <v>0</v>
      </c>
      <c r="AH40" s="704">
        <v>17</v>
      </c>
      <c r="AI40" s="711">
        <f>Regular_cases_Aug[[#This Row],[EOM Cases]]</f>
        <v>17</v>
      </c>
      <c r="AJ40" s="704">
        <v>1</v>
      </c>
      <c r="AK40" s="711">
        <f t="shared" si="8"/>
        <v>2</v>
      </c>
      <c r="AL40" s="704">
        <v>16</v>
      </c>
      <c r="AM40" s="711">
        <f>Regular_cases_Sep[[#This Row],[EOM Cases]]</f>
        <v>16</v>
      </c>
      <c r="AN40" s="704">
        <v>0</v>
      </c>
      <c r="AO40" s="711">
        <f t="shared" si="9"/>
        <v>0</v>
      </c>
      <c r="AP40" s="704">
        <v>16</v>
      </c>
      <c r="AQ40" s="711">
        <f>Regular_cases_Oct[[#This Row],[EOM Cases]]</f>
        <v>16</v>
      </c>
      <c r="AR40" s="704">
        <v>0</v>
      </c>
      <c r="AS40" s="711">
        <f t="shared" si="10"/>
        <v>16</v>
      </c>
      <c r="AT40" s="704">
        <v>0</v>
      </c>
      <c r="AU40" s="711">
        <f>Regular_cases_Nov[[#This Row],[EOM Cases]]</f>
        <v>0</v>
      </c>
      <c r="AV40" s="704">
        <v>0</v>
      </c>
      <c r="AW40" s="711">
        <f t="shared" si="11"/>
        <v>0</v>
      </c>
      <c r="AX40" s="704">
        <v>0</v>
      </c>
      <c r="AZ40" s="714">
        <v>0</v>
      </c>
      <c r="BA40" s="707">
        <v>0</v>
      </c>
      <c r="BB40" s="711">
        <f t="shared" si="12"/>
        <v>0</v>
      </c>
      <c r="BC40" s="708">
        <v>0</v>
      </c>
      <c r="BD40" s="714">
        <f>Eip_cases_jan[[#This Row],[EOM Cases]]</f>
        <v>0</v>
      </c>
      <c r="BE40" s="707">
        <v>0</v>
      </c>
      <c r="BF40" s="711">
        <f t="shared" si="13"/>
        <v>0</v>
      </c>
      <c r="BG40" s="708">
        <v>0</v>
      </c>
      <c r="BH40" s="714">
        <f>Eip_cases_feb[[#This Row],[EOM Cases]]</f>
        <v>0</v>
      </c>
      <c r="BI40" s="707">
        <v>0</v>
      </c>
      <c r="BJ40" s="711">
        <f t="shared" si="14"/>
        <v>0</v>
      </c>
      <c r="BK40" s="708">
        <v>0</v>
      </c>
      <c r="BL40" s="714">
        <f>Eip_cases_mar[[#This Row],[EOM Cases]]</f>
        <v>0</v>
      </c>
      <c r="BM40" s="707">
        <v>0</v>
      </c>
      <c r="BN40" s="711">
        <f t="shared" si="15"/>
        <v>0</v>
      </c>
      <c r="BO40" s="708">
        <v>0</v>
      </c>
      <c r="BP40" s="714">
        <f>Eip_cases_Apr[[#This Row],[EOM Cases]]</f>
        <v>0</v>
      </c>
      <c r="BQ40" s="707">
        <v>0</v>
      </c>
      <c r="BR40" s="711">
        <f t="shared" si="16"/>
        <v>0</v>
      </c>
      <c r="BS40" s="708">
        <v>0</v>
      </c>
      <c r="BT40" s="714">
        <f>Eip_cases_May[[#This Row],[EOM Cases]]</f>
        <v>0</v>
      </c>
      <c r="BU40" s="707">
        <v>0</v>
      </c>
      <c r="BV40" s="711">
        <f t="shared" si="17"/>
        <v>0</v>
      </c>
      <c r="BW40" s="708">
        <v>0</v>
      </c>
      <c r="BX40" s="714">
        <f>Eip_cases_Jun[[#This Row],[EOM Cases]]</f>
        <v>0</v>
      </c>
      <c r="BY40" s="707">
        <v>0</v>
      </c>
      <c r="BZ40" s="711">
        <f t="shared" si="18"/>
        <v>0</v>
      </c>
      <c r="CA40" s="708">
        <v>0</v>
      </c>
      <c r="CB40" s="714">
        <f>Eip_cases_Jul[[#This Row],[EOM Cases]]</f>
        <v>0</v>
      </c>
      <c r="CC40" s="707">
        <v>0</v>
      </c>
      <c r="CD40" s="711">
        <f t="shared" si="19"/>
        <v>0</v>
      </c>
      <c r="CE40" s="708">
        <v>0</v>
      </c>
      <c r="CF40" s="714">
        <f>Eip_cases_Aug[[#This Row],[EOM Cases]]</f>
        <v>0</v>
      </c>
      <c r="CG40" s="707">
        <v>0</v>
      </c>
      <c r="CH40" s="711">
        <f t="shared" si="20"/>
        <v>0</v>
      </c>
      <c r="CI40" s="708">
        <v>0</v>
      </c>
      <c r="CJ40" s="714">
        <f>Eip_cases_Sep[[#This Row],[EOM Cases]]</f>
        <v>0</v>
      </c>
      <c r="CK40" s="707">
        <v>0</v>
      </c>
      <c r="CL40" s="711">
        <f t="shared" si="21"/>
        <v>0</v>
      </c>
      <c r="CM40" s="708">
        <v>0</v>
      </c>
      <c r="CN40" s="714">
        <f>Eip_cases_Oct[[#This Row],[EOM Cases]]</f>
        <v>0</v>
      </c>
      <c r="CO40" s="707">
        <v>0</v>
      </c>
      <c r="CP40" s="711">
        <f t="shared" si="22"/>
        <v>0</v>
      </c>
      <c r="CQ40" s="708">
        <v>0</v>
      </c>
      <c r="CR40" s="714">
        <f>Eip_cases_Nov[[#This Row],[EOM Cases]]</f>
        <v>0</v>
      </c>
      <c r="CS40" s="707">
        <v>0</v>
      </c>
      <c r="CT40" s="711">
        <f t="shared" si="23"/>
        <v>0</v>
      </c>
      <c r="CU40" s="708">
        <v>0</v>
      </c>
    </row>
    <row r="41" spans="2:99" ht="14.5" x14ac:dyDescent="0.35">
      <c r="B41" s="874" t="str">
        <f>'Nurse Hours'!B42</f>
        <v xml:space="preserve">Benson, Tammy </v>
      </c>
      <c r="C41" s="701">
        <v>30</v>
      </c>
      <c r="D41" s="729">
        <v>1</v>
      </c>
      <c r="E41" s="711">
        <f t="shared" si="0"/>
        <v>2</v>
      </c>
      <c r="F41" s="732">
        <v>29</v>
      </c>
      <c r="G41" s="703">
        <f>Regular_cases_jan[[#This Row],[EOM Cases]]</f>
        <v>29</v>
      </c>
      <c r="H41" s="729">
        <v>1</v>
      </c>
      <c r="I41" s="711">
        <f t="shared" si="1"/>
        <v>3</v>
      </c>
      <c r="J41" s="732">
        <v>27</v>
      </c>
      <c r="K41" s="703">
        <f>Regular_cases_feb[[#This Row],[EOM Cases]]</f>
        <v>27</v>
      </c>
      <c r="L41" s="729">
        <v>3</v>
      </c>
      <c r="M41" s="711">
        <f t="shared" si="2"/>
        <v>0</v>
      </c>
      <c r="N41" s="734">
        <v>30</v>
      </c>
      <c r="O41" s="703">
        <f>Regular_cases_mar[[#This Row],[EOM Cases]]</f>
        <v>30</v>
      </c>
      <c r="P41" s="729">
        <v>1</v>
      </c>
      <c r="Q41" s="711">
        <f t="shared" si="3"/>
        <v>4</v>
      </c>
      <c r="R41" s="732">
        <v>27</v>
      </c>
      <c r="S41" s="703">
        <f>Regular_cases_apr[[#This Row],[EOM Cases]]</f>
        <v>27</v>
      </c>
      <c r="T41" s="729">
        <v>0</v>
      </c>
      <c r="U41" s="711">
        <f t="shared" si="4"/>
        <v>0</v>
      </c>
      <c r="V41" s="732">
        <v>27</v>
      </c>
      <c r="W41" s="632">
        <f>Regular_cases_may[[#This Row],[EOM Cases]]</f>
        <v>27</v>
      </c>
      <c r="X41" s="729">
        <v>2</v>
      </c>
      <c r="Y41" s="711">
        <f t="shared" si="5"/>
        <v>3</v>
      </c>
      <c r="Z41" s="704">
        <v>26</v>
      </c>
      <c r="AA41" s="711">
        <f>Regular_cases_jun[[#This Row],[EOM Cases]]</f>
        <v>26</v>
      </c>
      <c r="AB41" s="704">
        <v>3</v>
      </c>
      <c r="AC41" s="711">
        <f t="shared" si="6"/>
        <v>4</v>
      </c>
      <c r="AD41" s="704">
        <v>25</v>
      </c>
      <c r="AE41" s="711">
        <f>Regular_cases_jul[[#This Row],[EOM Cases]]</f>
        <v>25</v>
      </c>
      <c r="AF41" s="704">
        <v>2</v>
      </c>
      <c r="AG41" s="711">
        <f t="shared" si="7"/>
        <v>2</v>
      </c>
      <c r="AH41" s="704">
        <v>25</v>
      </c>
      <c r="AI41" s="711">
        <f>Regular_cases_Aug[[#This Row],[EOM Cases]]</f>
        <v>25</v>
      </c>
      <c r="AJ41" s="704">
        <v>4</v>
      </c>
      <c r="AK41" s="711">
        <f t="shared" si="8"/>
        <v>1</v>
      </c>
      <c r="AL41" s="704">
        <v>28</v>
      </c>
      <c r="AM41" s="711">
        <f>Regular_cases_Sep[[#This Row],[EOM Cases]]</f>
        <v>28</v>
      </c>
      <c r="AN41" s="704">
        <v>3</v>
      </c>
      <c r="AO41" s="711">
        <f t="shared" si="9"/>
        <v>2</v>
      </c>
      <c r="AP41" s="704">
        <v>29</v>
      </c>
      <c r="AQ41" s="711">
        <f>Regular_cases_Oct[[#This Row],[EOM Cases]]</f>
        <v>29</v>
      </c>
      <c r="AR41" s="704">
        <v>0</v>
      </c>
      <c r="AS41" s="711">
        <f t="shared" si="10"/>
        <v>29</v>
      </c>
      <c r="AT41" s="704">
        <v>0</v>
      </c>
      <c r="AU41" s="711">
        <f>Regular_cases_Nov[[#This Row],[EOM Cases]]</f>
        <v>0</v>
      </c>
      <c r="AV41" s="704">
        <v>0</v>
      </c>
      <c r="AW41" s="711">
        <f t="shared" si="11"/>
        <v>0</v>
      </c>
      <c r="AX41" s="704">
        <v>0</v>
      </c>
      <c r="AY41" s="375"/>
      <c r="AZ41" s="714">
        <v>0</v>
      </c>
      <c r="BA41" s="707">
        <v>0</v>
      </c>
      <c r="BB41" s="711">
        <f t="shared" si="12"/>
        <v>0</v>
      </c>
      <c r="BC41" s="708">
        <v>0</v>
      </c>
      <c r="BD41" s="714">
        <f>Eip_cases_jan[[#This Row],[EOM Cases]]</f>
        <v>0</v>
      </c>
      <c r="BE41" s="707">
        <v>0</v>
      </c>
      <c r="BF41" s="711">
        <f t="shared" si="13"/>
        <v>0</v>
      </c>
      <c r="BG41" s="708">
        <v>0</v>
      </c>
      <c r="BH41" s="714">
        <f>Eip_cases_feb[[#This Row],[EOM Cases]]</f>
        <v>0</v>
      </c>
      <c r="BI41" s="707">
        <v>0</v>
      </c>
      <c r="BJ41" s="711">
        <f t="shared" si="14"/>
        <v>0</v>
      </c>
      <c r="BK41" s="708">
        <v>0</v>
      </c>
      <c r="BL41" s="714">
        <f>Eip_cases_mar[[#This Row],[EOM Cases]]</f>
        <v>0</v>
      </c>
      <c r="BM41" s="707">
        <v>0</v>
      </c>
      <c r="BN41" s="711">
        <f t="shared" si="15"/>
        <v>0</v>
      </c>
      <c r="BO41" s="708">
        <v>0</v>
      </c>
      <c r="BP41" s="714">
        <f>Eip_cases_Apr[[#This Row],[EOM Cases]]</f>
        <v>0</v>
      </c>
      <c r="BQ41" s="707">
        <v>0</v>
      </c>
      <c r="BR41" s="711">
        <f t="shared" si="16"/>
        <v>0</v>
      </c>
      <c r="BS41" s="708">
        <v>0</v>
      </c>
      <c r="BT41" s="714">
        <f>Eip_cases_May[[#This Row],[EOM Cases]]</f>
        <v>0</v>
      </c>
      <c r="BU41" s="707">
        <v>0</v>
      </c>
      <c r="BV41" s="711">
        <f t="shared" si="17"/>
        <v>0</v>
      </c>
      <c r="BW41" s="708">
        <v>0</v>
      </c>
      <c r="BX41" s="714">
        <f>Eip_cases_Jun[[#This Row],[EOM Cases]]</f>
        <v>0</v>
      </c>
      <c r="BY41" s="707">
        <v>0</v>
      </c>
      <c r="BZ41" s="711">
        <f t="shared" si="18"/>
        <v>0</v>
      </c>
      <c r="CA41" s="708">
        <v>0</v>
      </c>
      <c r="CB41" s="714">
        <f>Eip_cases_Jul[[#This Row],[EOM Cases]]</f>
        <v>0</v>
      </c>
      <c r="CC41" s="707">
        <v>0</v>
      </c>
      <c r="CD41" s="711">
        <f t="shared" si="19"/>
        <v>0</v>
      </c>
      <c r="CE41" s="708">
        <v>0</v>
      </c>
      <c r="CF41" s="714">
        <f>Eip_cases_Aug[[#This Row],[EOM Cases]]</f>
        <v>0</v>
      </c>
      <c r="CG41" s="707">
        <v>0</v>
      </c>
      <c r="CH41" s="711">
        <f t="shared" si="20"/>
        <v>0</v>
      </c>
      <c r="CI41" s="708">
        <v>0</v>
      </c>
      <c r="CJ41" s="714">
        <f>Eip_cases_Sep[[#This Row],[EOM Cases]]</f>
        <v>0</v>
      </c>
      <c r="CK41" s="707">
        <v>0</v>
      </c>
      <c r="CL41" s="711">
        <f t="shared" si="21"/>
        <v>0</v>
      </c>
      <c r="CM41" s="708">
        <v>0</v>
      </c>
      <c r="CN41" s="714">
        <f>Eip_cases_Oct[[#This Row],[EOM Cases]]</f>
        <v>0</v>
      </c>
      <c r="CO41" s="707">
        <v>0</v>
      </c>
      <c r="CP41" s="711">
        <f t="shared" si="22"/>
        <v>0</v>
      </c>
      <c r="CQ41" s="708">
        <v>0</v>
      </c>
      <c r="CR41" s="714">
        <f>Eip_cases_Nov[[#This Row],[EOM Cases]]</f>
        <v>0</v>
      </c>
      <c r="CS41" s="707">
        <v>0</v>
      </c>
      <c r="CT41" s="711">
        <f t="shared" si="23"/>
        <v>0</v>
      </c>
      <c r="CU41" s="708">
        <v>0</v>
      </c>
    </row>
    <row r="42" spans="2:99" ht="14.5" x14ac:dyDescent="0.35">
      <c r="B42" s="874" t="str">
        <f>'Nurse Hours'!B43</f>
        <v>Boulger, Becky</v>
      </c>
      <c r="C42" s="701">
        <v>11</v>
      </c>
      <c r="D42" s="729">
        <v>0</v>
      </c>
      <c r="E42" s="711">
        <f t="shared" si="0"/>
        <v>2</v>
      </c>
      <c r="F42" s="732">
        <v>9</v>
      </c>
      <c r="G42" s="703">
        <f>Regular_cases_jan[[#This Row],[EOM Cases]]</f>
        <v>9</v>
      </c>
      <c r="H42" s="729">
        <v>0</v>
      </c>
      <c r="I42" s="711">
        <f t="shared" si="1"/>
        <v>1</v>
      </c>
      <c r="J42" s="732">
        <v>8</v>
      </c>
      <c r="K42" s="703">
        <f>Regular_cases_feb[[#This Row],[EOM Cases]]</f>
        <v>8</v>
      </c>
      <c r="L42" s="729">
        <v>0</v>
      </c>
      <c r="M42" s="711">
        <f t="shared" si="2"/>
        <v>5</v>
      </c>
      <c r="N42" s="734">
        <v>3</v>
      </c>
      <c r="O42" s="703">
        <f>Regular_cases_mar[[#This Row],[EOM Cases]]</f>
        <v>3</v>
      </c>
      <c r="P42" s="729">
        <v>0</v>
      </c>
      <c r="Q42" s="711">
        <f t="shared" si="3"/>
        <v>0</v>
      </c>
      <c r="R42" s="732">
        <v>3</v>
      </c>
      <c r="S42" s="703">
        <f>Regular_cases_apr[[#This Row],[EOM Cases]]</f>
        <v>3</v>
      </c>
      <c r="T42" s="729">
        <v>4</v>
      </c>
      <c r="U42" s="711">
        <f t="shared" si="4"/>
        <v>-1</v>
      </c>
      <c r="V42" s="732">
        <v>8</v>
      </c>
      <c r="W42" s="632">
        <f>Regular_cases_may[[#This Row],[EOM Cases]]</f>
        <v>8</v>
      </c>
      <c r="X42" s="729">
        <v>1</v>
      </c>
      <c r="Y42" s="711">
        <f t="shared" si="5"/>
        <v>0</v>
      </c>
      <c r="Z42" s="704">
        <v>9</v>
      </c>
      <c r="AA42" s="711">
        <f>Regular_cases_jun[[#This Row],[EOM Cases]]</f>
        <v>9</v>
      </c>
      <c r="AB42" s="704">
        <v>3</v>
      </c>
      <c r="AC42" s="711">
        <f t="shared" si="6"/>
        <v>4</v>
      </c>
      <c r="AD42" s="704">
        <v>8</v>
      </c>
      <c r="AE42" s="711">
        <f>Regular_cases_jul[[#This Row],[EOM Cases]]</f>
        <v>8</v>
      </c>
      <c r="AF42" s="704">
        <v>4</v>
      </c>
      <c r="AG42" s="711">
        <f t="shared" si="7"/>
        <v>0</v>
      </c>
      <c r="AH42" s="704">
        <v>12</v>
      </c>
      <c r="AI42" s="711">
        <f>Regular_cases_Aug[[#This Row],[EOM Cases]]</f>
        <v>12</v>
      </c>
      <c r="AJ42" s="704">
        <v>1</v>
      </c>
      <c r="AK42" s="711">
        <f t="shared" si="8"/>
        <v>2</v>
      </c>
      <c r="AL42" s="704">
        <v>11</v>
      </c>
      <c r="AM42" s="711">
        <f>Regular_cases_Sep[[#This Row],[EOM Cases]]</f>
        <v>11</v>
      </c>
      <c r="AN42" s="704">
        <v>1</v>
      </c>
      <c r="AO42" s="711">
        <f t="shared" si="9"/>
        <v>-2</v>
      </c>
      <c r="AP42" s="704">
        <v>14</v>
      </c>
      <c r="AQ42" s="711">
        <f>Regular_cases_Oct[[#This Row],[EOM Cases]]</f>
        <v>14</v>
      </c>
      <c r="AR42" s="704">
        <v>0</v>
      </c>
      <c r="AS42" s="711">
        <f t="shared" si="10"/>
        <v>14</v>
      </c>
      <c r="AT42" s="704">
        <v>0</v>
      </c>
      <c r="AU42" s="711">
        <f>Regular_cases_Nov[[#This Row],[EOM Cases]]</f>
        <v>0</v>
      </c>
      <c r="AV42" s="704">
        <v>0</v>
      </c>
      <c r="AW42" s="711">
        <f t="shared" si="11"/>
        <v>0</v>
      </c>
      <c r="AX42" s="704">
        <v>0</v>
      </c>
      <c r="AZ42" s="714">
        <v>0</v>
      </c>
      <c r="BA42" s="707">
        <v>0</v>
      </c>
      <c r="BB42" s="711">
        <f t="shared" si="12"/>
        <v>0</v>
      </c>
      <c r="BC42" s="708">
        <v>0</v>
      </c>
      <c r="BD42" s="714">
        <f>Eip_cases_jan[[#This Row],[EOM Cases]]</f>
        <v>0</v>
      </c>
      <c r="BE42" s="707">
        <v>0</v>
      </c>
      <c r="BF42" s="711">
        <f t="shared" si="13"/>
        <v>0</v>
      </c>
      <c r="BG42" s="708">
        <v>0</v>
      </c>
      <c r="BH42" s="714">
        <f>Eip_cases_feb[[#This Row],[EOM Cases]]</f>
        <v>0</v>
      </c>
      <c r="BI42" s="707">
        <v>0</v>
      </c>
      <c r="BJ42" s="711">
        <f t="shared" si="14"/>
        <v>0</v>
      </c>
      <c r="BK42" s="708">
        <v>0</v>
      </c>
      <c r="BL42" s="714">
        <f>Eip_cases_mar[[#This Row],[EOM Cases]]</f>
        <v>0</v>
      </c>
      <c r="BM42" s="707">
        <v>0</v>
      </c>
      <c r="BN42" s="711">
        <f t="shared" si="15"/>
        <v>0</v>
      </c>
      <c r="BO42" s="708">
        <v>0</v>
      </c>
      <c r="BP42" s="714">
        <f>Eip_cases_Apr[[#This Row],[EOM Cases]]</f>
        <v>0</v>
      </c>
      <c r="BQ42" s="707">
        <v>0</v>
      </c>
      <c r="BR42" s="711">
        <f t="shared" si="16"/>
        <v>0</v>
      </c>
      <c r="BS42" s="708">
        <v>0</v>
      </c>
      <c r="BT42" s="714">
        <f>Eip_cases_May[[#This Row],[EOM Cases]]</f>
        <v>0</v>
      </c>
      <c r="BU42" s="707">
        <v>0</v>
      </c>
      <c r="BV42" s="711">
        <f t="shared" si="17"/>
        <v>0</v>
      </c>
      <c r="BW42" s="708">
        <v>0</v>
      </c>
      <c r="BX42" s="714">
        <f>Eip_cases_Jun[[#This Row],[EOM Cases]]</f>
        <v>0</v>
      </c>
      <c r="BY42" s="707">
        <v>0</v>
      </c>
      <c r="BZ42" s="711">
        <f t="shared" si="18"/>
        <v>0</v>
      </c>
      <c r="CA42" s="708">
        <v>0</v>
      </c>
      <c r="CB42" s="714">
        <f>Eip_cases_Jul[[#This Row],[EOM Cases]]</f>
        <v>0</v>
      </c>
      <c r="CC42" s="707">
        <v>0</v>
      </c>
      <c r="CD42" s="711">
        <f t="shared" si="19"/>
        <v>0</v>
      </c>
      <c r="CE42" s="708">
        <v>0</v>
      </c>
      <c r="CF42" s="714">
        <f>Eip_cases_Aug[[#This Row],[EOM Cases]]</f>
        <v>0</v>
      </c>
      <c r="CG42" s="707">
        <v>0</v>
      </c>
      <c r="CH42" s="711">
        <f t="shared" si="20"/>
        <v>0</v>
      </c>
      <c r="CI42" s="708">
        <v>0</v>
      </c>
      <c r="CJ42" s="714">
        <f>Eip_cases_Sep[[#This Row],[EOM Cases]]</f>
        <v>0</v>
      </c>
      <c r="CK42" s="707">
        <v>0</v>
      </c>
      <c r="CL42" s="711">
        <f t="shared" si="21"/>
        <v>0</v>
      </c>
      <c r="CM42" s="708">
        <v>0</v>
      </c>
      <c r="CN42" s="714">
        <f>Eip_cases_Oct[[#This Row],[EOM Cases]]</f>
        <v>0</v>
      </c>
      <c r="CO42" s="707">
        <v>0</v>
      </c>
      <c r="CP42" s="711">
        <f t="shared" si="22"/>
        <v>0</v>
      </c>
      <c r="CQ42" s="708">
        <v>0</v>
      </c>
      <c r="CR42" s="714">
        <f>Eip_cases_Nov[[#This Row],[EOM Cases]]</f>
        <v>0</v>
      </c>
      <c r="CS42" s="707">
        <v>0</v>
      </c>
      <c r="CT42" s="711">
        <f t="shared" si="23"/>
        <v>0</v>
      </c>
      <c r="CU42" s="708">
        <v>0</v>
      </c>
    </row>
    <row r="43" spans="2:99" ht="14.5" x14ac:dyDescent="0.35">
      <c r="B43" s="874" t="str">
        <f>'Nurse Hours'!B44</f>
        <v>Bowers, Sue</v>
      </c>
      <c r="C43" s="701">
        <v>0</v>
      </c>
      <c r="D43" s="729">
        <v>0</v>
      </c>
      <c r="E43" s="711">
        <f t="shared" si="0"/>
        <v>0</v>
      </c>
      <c r="F43" s="732">
        <v>0</v>
      </c>
      <c r="G43" s="703">
        <f>Regular_cases_jan[[#This Row],[EOM Cases]]</f>
        <v>0</v>
      </c>
      <c r="H43" s="729">
        <v>0</v>
      </c>
      <c r="I43" s="711">
        <f t="shared" si="1"/>
        <v>0</v>
      </c>
      <c r="J43" s="732">
        <v>0</v>
      </c>
      <c r="K43" s="703">
        <f>Regular_cases_feb[[#This Row],[EOM Cases]]</f>
        <v>0</v>
      </c>
      <c r="L43" s="729">
        <v>0</v>
      </c>
      <c r="M43" s="711">
        <f t="shared" si="2"/>
        <v>-2</v>
      </c>
      <c r="N43" s="734">
        <v>2</v>
      </c>
      <c r="O43" s="703">
        <f>Regular_cases_mar[[#This Row],[EOM Cases]]</f>
        <v>2</v>
      </c>
      <c r="P43" s="729">
        <v>0</v>
      </c>
      <c r="Q43" s="711">
        <f t="shared" si="3"/>
        <v>0</v>
      </c>
      <c r="R43" s="732">
        <v>2</v>
      </c>
      <c r="S43" s="703">
        <f>Regular_cases_apr[[#This Row],[EOM Cases]]</f>
        <v>2</v>
      </c>
      <c r="T43" s="729">
        <v>0</v>
      </c>
      <c r="U43" s="711">
        <f t="shared" si="4"/>
        <v>0</v>
      </c>
      <c r="V43" s="732">
        <v>2</v>
      </c>
      <c r="W43" s="632">
        <f>Regular_cases_may[[#This Row],[EOM Cases]]</f>
        <v>2</v>
      </c>
      <c r="X43" s="729">
        <v>0</v>
      </c>
      <c r="Y43" s="711">
        <f t="shared" si="5"/>
        <v>0</v>
      </c>
      <c r="Z43" s="704">
        <v>2</v>
      </c>
      <c r="AA43" s="711">
        <f>Regular_cases_jun[[#This Row],[EOM Cases]]</f>
        <v>2</v>
      </c>
      <c r="AB43" s="704">
        <v>0</v>
      </c>
      <c r="AC43" s="711">
        <f t="shared" si="6"/>
        <v>0</v>
      </c>
      <c r="AD43" s="704">
        <v>2</v>
      </c>
      <c r="AE43" s="711">
        <f>Regular_cases_jul[[#This Row],[EOM Cases]]</f>
        <v>2</v>
      </c>
      <c r="AF43" s="704">
        <v>0</v>
      </c>
      <c r="AG43" s="711">
        <f t="shared" si="7"/>
        <v>2</v>
      </c>
      <c r="AH43" s="704">
        <v>0</v>
      </c>
      <c r="AI43" s="711">
        <f>Regular_cases_Aug[[#This Row],[EOM Cases]]</f>
        <v>0</v>
      </c>
      <c r="AJ43" s="704">
        <v>0</v>
      </c>
      <c r="AK43" s="711">
        <f t="shared" si="8"/>
        <v>0</v>
      </c>
      <c r="AL43" s="704">
        <v>0</v>
      </c>
      <c r="AM43" s="711">
        <f>Regular_cases_Sep[[#This Row],[EOM Cases]]</f>
        <v>0</v>
      </c>
      <c r="AN43" s="704">
        <v>0</v>
      </c>
      <c r="AO43" s="711">
        <f t="shared" si="9"/>
        <v>0</v>
      </c>
      <c r="AP43" s="704">
        <v>0</v>
      </c>
      <c r="AQ43" s="711">
        <f>Regular_cases_Oct[[#This Row],[EOM Cases]]</f>
        <v>0</v>
      </c>
      <c r="AR43" s="704">
        <v>0</v>
      </c>
      <c r="AS43" s="711">
        <f t="shared" si="10"/>
        <v>0</v>
      </c>
      <c r="AT43" s="704">
        <v>0</v>
      </c>
      <c r="AU43" s="711">
        <f>Regular_cases_Nov[[#This Row],[EOM Cases]]</f>
        <v>0</v>
      </c>
      <c r="AV43" s="704">
        <v>0</v>
      </c>
      <c r="AW43" s="711">
        <f t="shared" si="11"/>
        <v>0</v>
      </c>
      <c r="AX43" s="704">
        <v>0</v>
      </c>
      <c r="AZ43" s="714">
        <v>0</v>
      </c>
      <c r="BA43" s="707">
        <v>0</v>
      </c>
      <c r="BB43" s="711">
        <f t="shared" si="12"/>
        <v>0</v>
      </c>
      <c r="BC43" s="708">
        <v>0</v>
      </c>
      <c r="BD43" s="714">
        <f>Eip_cases_jan[[#This Row],[EOM Cases]]</f>
        <v>0</v>
      </c>
      <c r="BE43" s="707">
        <v>0</v>
      </c>
      <c r="BF43" s="711">
        <f t="shared" si="13"/>
        <v>0</v>
      </c>
      <c r="BG43" s="708">
        <v>0</v>
      </c>
      <c r="BH43" s="714">
        <f>Eip_cases_feb[[#This Row],[EOM Cases]]</f>
        <v>0</v>
      </c>
      <c r="BI43" s="707">
        <v>0</v>
      </c>
      <c r="BJ43" s="711">
        <f t="shared" si="14"/>
        <v>0</v>
      </c>
      <c r="BK43" s="708">
        <v>0</v>
      </c>
      <c r="BL43" s="714">
        <f>Eip_cases_mar[[#This Row],[EOM Cases]]</f>
        <v>0</v>
      </c>
      <c r="BM43" s="707">
        <v>0</v>
      </c>
      <c r="BN43" s="711">
        <f t="shared" si="15"/>
        <v>0</v>
      </c>
      <c r="BO43" s="708">
        <v>0</v>
      </c>
      <c r="BP43" s="714">
        <f>Eip_cases_Apr[[#This Row],[EOM Cases]]</f>
        <v>0</v>
      </c>
      <c r="BQ43" s="707">
        <v>0</v>
      </c>
      <c r="BR43" s="711">
        <f t="shared" si="16"/>
        <v>0</v>
      </c>
      <c r="BS43" s="708">
        <v>0</v>
      </c>
      <c r="BT43" s="714">
        <f>Eip_cases_May[[#This Row],[EOM Cases]]</f>
        <v>0</v>
      </c>
      <c r="BU43" s="707">
        <v>0</v>
      </c>
      <c r="BV43" s="711">
        <f t="shared" si="17"/>
        <v>0</v>
      </c>
      <c r="BW43" s="708">
        <v>0</v>
      </c>
      <c r="BX43" s="714">
        <f>Eip_cases_Jun[[#This Row],[EOM Cases]]</f>
        <v>0</v>
      </c>
      <c r="BY43" s="707">
        <v>0</v>
      </c>
      <c r="BZ43" s="711">
        <f t="shared" si="18"/>
        <v>0</v>
      </c>
      <c r="CA43" s="708">
        <v>0</v>
      </c>
      <c r="CB43" s="714">
        <f>Eip_cases_Jul[[#This Row],[EOM Cases]]</f>
        <v>0</v>
      </c>
      <c r="CC43" s="707">
        <v>0</v>
      </c>
      <c r="CD43" s="711">
        <f t="shared" si="19"/>
        <v>0</v>
      </c>
      <c r="CE43" s="708">
        <v>0</v>
      </c>
      <c r="CF43" s="714">
        <f>Eip_cases_Aug[[#This Row],[EOM Cases]]</f>
        <v>0</v>
      </c>
      <c r="CG43" s="707">
        <v>0</v>
      </c>
      <c r="CH43" s="711">
        <f t="shared" si="20"/>
        <v>0</v>
      </c>
      <c r="CI43" s="708">
        <v>0</v>
      </c>
      <c r="CJ43" s="714">
        <f>Eip_cases_Sep[[#This Row],[EOM Cases]]</f>
        <v>0</v>
      </c>
      <c r="CK43" s="707">
        <v>0</v>
      </c>
      <c r="CL43" s="711">
        <f t="shared" si="21"/>
        <v>0</v>
      </c>
      <c r="CM43" s="708">
        <v>0</v>
      </c>
      <c r="CN43" s="714">
        <f>Eip_cases_Oct[[#This Row],[EOM Cases]]</f>
        <v>0</v>
      </c>
      <c r="CO43" s="707">
        <v>0</v>
      </c>
      <c r="CP43" s="711">
        <f t="shared" si="22"/>
        <v>0</v>
      </c>
      <c r="CQ43" s="708">
        <v>0</v>
      </c>
      <c r="CR43" s="714">
        <f>Eip_cases_Nov[[#This Row],[EOM Cases]]</f>
        <v>0</v>
      </c>
      <c r="CS43" s="707">
        <v>0</v>
      </c>
      <c r="CT43" s="711">
        <f t="shared" si="23"/>
        <v>0</v>
      </c>
      <c r="CU43" s="708">
        <v>0</v>
      </c>
    </row>
    <row r="44" spans="2:99" ht="14.5" x14ac:dyDescent="0.35">
      <c r="B44" s="874" t="str">
        <f>'Nurse Hours'!B45</f>
        <v>Brassfield, Amber</v>
      </c>
      <c r="C44" s="701">
        <v>29</v>
      </c>
      <c r="D44" s="729">
        <v>6</v>
      </c>
      <c r="E44" s="711">
        <f t="shared" si="0"/>
        <v>5</v>
      </c>
      <c r="F44" s="732">
        <v>30</v>
      </c>
      <c r="G44" s="703">
        <f>Regular_cases_jan[[#This Row],[EOM Cases]]</f>
        <v>30</v>
      </c>
      <c r="H44" s="729">
        <v>3</v>
      </c>
      <c r="I44" s="711">
        <f t="shared" si="1"/>
        <v>2</v>
      </c>
      <c r="J44" s="732">
        <v>31</v>
      </c>
      <c r="K44" s="703">
        <f>Regular_cases_feb[[#This Row],[EOM Cases]]</f>
        <v>31</v>
      </c>
      <c r="L44" s="729">
        <v>4</v>
      </c>
      <c r="M44" s="711">
        <f t="shared" si="2"/>
        <v>3</v>
      </c>
      <c r="N44" s="734">
        <v>32</v>
      </c>
      <c r="O44" s="703">
        <f>Regular_cases_mar[[#This Row],[EOM Cases]]</f>
        <v>32</v>
      </c>
      <c r="P44" s="729">
        <v>2</v>
      </c>
      <c r="Q44" s="711">
        <f t="shared" si="3"/>
        <v>4</v>
      </c>
      <c r="R44" s="732">
        <v>30</v>
      </c>
      <c r="S44" s="703">
        <f>Regular_cases_apr[[#This Row],[EOM Cases]]</f>
        <v>30</v>
      </c>
      <c r="T44" s="729">
        <v>4</v>
      </c>
      <c r="U44" s="711">
        <f t="shared" si="4"/>
        <v>5</v>
      </c>
      <c r="V44" s="732">
        <v>29</v>
      </c>
      <c r="W44" s="632">
        <f>Regular_cases_may[[#This Row],[EOM Cases]]</f>
        <v>29</v>
      </c>
      <c r="X44" s="729">
        <v>6</v>
      </c>
      <c r="Y44" s="711">
        <f t="shared" si="5"/>
        <v>2</v>
      </c>
      <c r="Z44" s="704">
        <v>33</v>
      </c>
      <c r="AA44" s="711">
        <f>Regular_cases_jun[[#This Row],[EOM Cases]]</f>
        <v>33</v>
      </c>
      <c r="AB44" s="704">
        <v>6</v>
      </c>
      <c r="AC44" s="711">
        <f t="shared" si="6"/>
        <v>2</v>
      </c>
      <c r="AD44" s="704">
        <v>37</v>
      </c>
      <c r="AE44" s="711">
        <f>Regular_cases_jul[[#This Row],[EOM Cases]]</f>
        <v>37</v>
      </c>
      <c r="AF44" s="704">
        <v>2</v>
      </c>
      <c r="AG44" s="711">
        <f t="shared" si="7"/>
        <v>7</v>
      </c>
      <c r="AH44" s="704">
        <v>32</v>
      </c>
      <c r="AI44" s="711">
        <f>Regular_cases_Aug[[#This Row],[EOM Cases]]</f>
        <v>32</v>
      </c>
      <c r="AJ44" s="704">
        <v>6</v>
      </c>
      <c r="AK44" s="711">
        <f t="shared" si="8"/>
        <v>1</v>
      </c>
      <c r="AL44" s="704">
        <v>37</v>
      </c>
      <c r="AM44" s="711">
        <f>Regular_cases_Sep[[#This Row],[EOM Cases]]</f>
        <v>37</v>
      </c>
      <c r="AN44" s="704">
        <v>4</v>
      </c>
      <c r="AO44" s="711">
        <f t="shared" si="9"/>
        <v>5</v>
      </c>
      <c r="AP44" s="704">
        <v>36</v>
      </c>
      <c r="AQ44" s="711">
        <f>Regular_cases_Oct[[#This Row],[EOM Cases]]</f>
        <v>36</v>
      </c>
      <c r="AR44" s="704">
        <v>0</v>
      </c>
      <c r="AS44" s="711">
        <f t="shared" si="10"/>
        <v>36</v>
      </c>
      <c r="AT44" s="704">
        <v>0</v>
      </c>
      <c r="AU44" s="711">
        <f>Regular_cases_Nov[[#This Row],[EOM Cases]]</f>
        <v>0</v>
      </c>
      <c r="AV44" s="704">
        <v>0</v>
      </c>
      <c r="AW44" s="711">
        <f t="shared" si="11"/>
        <v>0</v>
      </c>
      <c r="AX44" s="704">
        <v>0</v>
      </c>
      <c r="AZ44" s="714">
        <v>0</v>
      </c>
      <c r="BA44" s="707">
        <v>0</v>
      </c>
      <c r="BB44" s="711">
        <f t="shared" si="12"/>
        <v>0</v>
      </c>
      <c r="BC44" s="708">
        <v>0</v>
      </c>
      <c r="BD44" s="714">
        <f>Eip_cases_jan[[#This Row],[EOM Cases]]</f>
        <v>0</v>
      </c>
      <c r="BE44" s="707">
        <v>0</v>
      </c>
      <c r="BF44" s="711">
        <f t="shared" si="13"/>
        <v>0</v>
      </c>
      <c r="BG44" s="708">
        <v>0</v>
      </c>
      <c r="BH44" s="714">
        <f>Eip_cases_feb[[#This Row],[EOM Cases]]</f>
        <v>0</v>
      </c>
      <c r="BI44" s="707">
        <v>0</v>
      </c>
      <c r="BJ44" s="711">
        <f t="shared" si="14"/>
        <v>0</v>
      </c>
      <c r="BK44" s="708">
        <v>0</v>
      </c>
      <c r="BL44" s="714">
        <f>Eip_cases_mar[[#This Row],[EOM Cases]]</f>
        <v>0</v>
      </c>
      <c r="BM44" s="707">
        <v>0</v>
      </c>
      <c r="BN44" s="711">
        <f t="shared" si="15"/>
        <v>0</v>
      </c>
      <c r="BO44" s="708">
        <v>0</v>
      </c>
      <c r="BP44" s="714">
        <f>Eip_cases_Apr[[#This Row],[EOM Cases]]</f>
        <v>0</v>
      </c>
      <c r="BQ44" s="707">
        <v>0</v>
      </c>
      <c r="BR44" s="711">
        <f t="shared" si="16"/>
        <v>0</v>
      </c>
      <c r="BS44" s="708">
        <v>0</v>
      </c>
      <c r="BT44" s="714">
        <f>Eip_cases_May[[#This Row],[EOM Cases]]</f>
        <v>0</v>
      </c>
      <c r="BU44" s="707">
        <v>0</v>
      </c>
      <c r="BV44" s="711">
        <f t="shared" si="17"/>
        <v>0</v>
      </c>
      <c r="BW44" s="708">
        <v>0</v>
      </c>
      <c r="BX44" s="714">
        <f>Eip_cases_Jun[[#This Row],[EOM Cases]]</f>
        <v>0</v>
      </c>
      <c r="BY44" s="707">
        <v>0</v>
      </c>
      <c r="BZ44" s="711">
        <f t="shared" si="18"/>
        <v>0</v>
      </c>
      <c r="CA44" s="708">
        <v>0</v>
      </c>
      <c r="CB44" s="714">
        <f>Eip_cases_Jul[[#This Row],[EOM Cases]]</f>
        <v>0</v>
      </c>
      <c r="CC44" s="707">
        <v>0</v>
      </c>
      <c r="CD44" s="711">
        <f t="shared" si="19"/>
        <v>0</v>
      </c>
      <c r="CE44" s="708">
        <v>0</v>
      </c>
      <c r="CF44" s="714">
        <f>Eip_cases_Aug[[#This Row],[EOM Cases]]</f>
        <v>0</v>
      </c>
      <c r="CG44" s="707">
        <v>0</v>
      </c>
      <c r="CH44" s="711">
        <f t="shared" si="20"/>
        <v>0</v>
      </c>
      <c r="CI44" s="708">
        <v>0</v>
      </c>
      <c r="CJ44" s="714">
        <f>Eip_cases_Sep[[#This Row],[EOM Cases]]</f>
        <v>0</v>
      </c>
      <c r="CK44" s="707">
        <v>0</v>
      </c>
      <c r="CL44" s="711">
        <f t="shared" si="21"/>
        <v>0</v>
      </c>
      <c r="CM44" s="708">
        <v>0</v>
      </c>
      <c r="CN44" s="714">
        <f>Eip_cases_Oct[[#This Row],[EOM Cases]]</f>
        <v>0</v>
      </c>
      <c r="CO44" s="707">
        <v>0</v>
      </c>
      <c r="CP44" s="711">
        <f t="shared" si="22"/>
        <v>0</v>
      </c>
      <c r="CQ44" s="708">
        <v>0</v>
      </c>
      <c r="CR44" s="714">
        <f>Eip_cases_Nov[[#This Row],[EOM Cases]]</f>
        <v>0</v>
      </c>
      <c r="CS44" s="707">
        <v>0</v>
      </c>
      <c r="CT44" s="711">
        <f t="shared" si="23"/>
        <v>0</v>
      </c>
      <c r="CU44" s="708">
        <v>0</v>
      </c>
    </row>
    <row r="45" spans="2:99" ht="14.5" x14ac:dyDescent="0.35">
      <c r="B45" s="874" t="str">
        <f>'Nurse Hours'!B46</f>
        <v>Breitenbucher, Brett</v>
      </c>
      <c r="C45" s="701">
        <v>22</v>
      </c>
      <c r="D45" s="729">
        <v>1</v>
      </c>
      <c r="E45" s="711">
        <f t="shared" si="0"/>
        <v>2</v>
      </c>
      <c r="F45" s="732">
        <v>21</v>
      </c>
      <c r="G45" s="703">
        <f>Regular_cases_jan[[#This Row],[EOM Cases]]</f>
        <v>21</v>
      </c>
      <c r="H45" s="729">
        <v>0</v>
      </c>
      <c r="I45" s="711">
        <f t="shared" si="1"/>
        <v>13</v>
      </c>
      <c r="J45" s="732">
        <v>8</v>
      </c>
      <c r="K45" s="703">
        <f>Regular_cases_feb[[#This Row],[EOM Cases]]</f>
        <v>8</v>
      </c>
      <c r="L45" s="729">
        <v>0</v>
      </c>
      <c r="M45" s="711">
        <f t="shared" si="2"/>
        <v>8</v>
      </c>
      <c r="N45" s="734">
        <v>0</v>
      </c>
      <c r="O45" s="703">
        <f>Regular_cases_mar[[#This Row],[EOM Cases]]</f>
        <v>0</v>
      </c>
      <c r="P45" s="729">
        <v>0</v>
      </c>
      <c r="Q45" s="711">
        <f t="shared" si="3"/>
        <v>0</v>
      </c>
      <c r="R45" s="732">
        <v>0</v>
      </c>
      <c r="S45" s="703">
        <f>Regular_cases_apr[[#This Row],[EOM Cases]]</f>
        <v>0</v>
      </c>
      <c r="T45" s="729">
        <v>0</v>
      </c>
      <c r="U45" s="711">
        <f t="shared" si="4"/>
        <v>0</v>
      </c>
      <c r="V45" s="732">
        <v>0</v>
      </c>
      <c r="W45" s="632">
        <f>Regular_cases_may[[#This Row],[EOM Cases]]</f>
        <v>0</v>
      </c>
      <c r="X45" s="729">
        <v>0</v>
      </c>
      <c r="Y45" s="711">
        <f t="shared" si="5"/>
        <v>0</v>
      </c>
      <c r="Z45" s="704">
        <v>0</v>
      </c>
      <c r="AA45" s="711">
        <f>Regular_cases_jun[[#This Row],[EOM Cases]]</f>
        <v>0</v>
      </c>
      <c r="AB45" s="704">
        <v>0</v>
      </c>
      <c r="AC45" s="711">
        <f t="shared" si="6"/>
        <v>0</v>
      </c>
      <c r="AD45" s="704">
        <v>0</v>
      </c>
      <c r="AE45" s="711">
        <f>Regular_cases_jul[[#This Row],[EOM Cases]]</f>
        <v>0</v>
      </c>
      <c r="AF45" s="704">
        <v>0</v>
      </c>
      <c r="AG45" s="711">
        <f t="shared" si="7"/>
        <v>0</v>
      </c>
      <c r="AH45" s="704">
        <v>0</v>
      </c>
      <c r="AI45" s="711">
        <f>Regular_cases_Aug[[#This Row],[EOM Cases]]</f>
        <v>0</v>
      </c>
      <c r="AJ45" s="704">
        <v>0</v>
      </c>
      <c r="AK45" s="711">
        <f t="shared" si="8"/>
        <v>0</v>
      </c>
      <c r="AL45" s="704">
        <v>0</v>
      </c>
      <c r="AM45" s="711">
        <f>Regular_cases_Sep[[#This Row],[EOM Cases]]</f>
        <v>0</v>
      </c>
      <c r="AN45" s="704">
        <v>0</v>
      </c>
      <c r="AO45" s="711">
        <f t="shared" si="9"/>
        <v>0</v>
      </c>
      <c r="AP45" s="704">
        <v>0</v>
      </c>
      <c r="AQ45" s="711">
        <f>Regular_cases_Oct[[#This Row],[EOM Cases]]</f>
        <v>0</v>
      </c>
      <c r="AR45" s="704">
        <v>0</v>
      </c>
      <c r="AS45" s="711">
        <f t="shared" si="10"/>
        <v>0</v>
      </c>
      <c r="AT45" s="704">
        <v>0</v>
      </c>
      <c r="AU45" s="711">
        <f>Regular_cases_Nov[[#This Row],[EOM Cases]]</f>
        <v>0</v>
      </c>
      <c r="AV45" s="704">
        <v>0</v>
      </c>
      <c r="AW45" s="711">
        <f t="shared" si="11"/>
        <v>0</v>
      </c>
      <c r="AX45" s="704">
        <v>0</v>
      </c>
      <c r="AZ45" s="714">
        <v>0</v>
      </c>
      <c r="BA45" s="707">
        <v>0</v>
      </c>
      <c r="BB45" s="711">
        <f t="shared" si="12"/>
        <v>0</v>
      </c>
      <c r="BC45" s="708">
        <v>0</v>
      </c>
      <c r="BD45" s="714">
        <f>Eip_cases_jan[[#This Row],[EOM Cases]]</f>
        <v>0</v>
      </c>
      <c r="BE45" s="707">
        <v>0</v>
      </c>
      <c r="BF45" s="711">
        <f t="shared" si="13"/>
        <v>0</v>
      </c>
      <c r="BG45" s="708">
        <v>0</v>
      </c>
      <c r="BH45" s="714">
        <f>Eip_cases_feb[[#This Row],[EOM Cases]]</f>
        <v>0</v>
      </c>
      <c r="BI45" s="707">
        <v>0</v>
      </c>
      <c r="BJ45" s="711">
        <f t="shared" si="14"/>
        <v>0</v>
      </c>
      <c r="BK45" s="708">
        <v>0</v>
      </c>
      <c r="BL45" s="714">
        <f>Eip_cases_mar[[#This Row],[EOM Cases]]</f>
        <v>0</v>
      </c>
      <c r="BM45" s="707">
        <v>0</v>
      </c>
      <c r="BN45" s="711">
        <f t="shared" si="15"/>
        <v>0</v>
      </c>
      <c r="BO45" s="708">
        <v>0</v>
      </c>
      <c r="BP45" s="714">
        <f>Eip_cases_Apr[[#This Row],[EOM Cases]]</f>
        <v>0</v>
      </c>
      <c r="BQ45" s="707">
        <v>0</v>
      </c>
      <c r="BR45" s="711">
        <f t="shared" si="16"/>
        <v>0</v>
      </c>
      <c r="BS45" s="708">
        <v>0</v>
      </c>
      <c r="BT45" s="714">
        <f>Eip_cases_May[[#This Row],[EOM Cases]]</f>
        <v>0</v>
      </c>
      <c r="BU45" s="707">
        <v>0</v>
      </c>
      <c r="BV45" s="711">
        <f t="shared" si="17"/>
        <v>0</v>
      </c>
      <c r="BW45" s="708">
        <v>0</v>
      </c>
      <c r="BX45" s="714">
        <f>Eip_cases_Jun[[#This Row],[EOM Cases]]</f>
        <v>0</v>
      </c>
      <c r="BY45" s="707">
        <v>0</v>
      </c>
      <c r="BZ45" s="711">
        <f t="shared" si="18"/>
        <v>0</v>
      </c>
      <c r="CA45" s="708">
        <v>0</v>
      </c>
      <c r="CB45" s="714">
        <f>Eip_cases_Jul[[#This Row],[EOM Cases]]</f>
        <v>0</v>
      </c>
      <c r="CC45" s="707">
        <v>0</v>
      </c>
      <c r="CD45" s="711">
        <f t="shared" si="19"/>
        <v>0</v>
      </c>
      <c r="CE45" s="708">
        <v>0</v>
      </c>
      <c r="CF45" s="714">
        <f>Eip_cases_Aug[[#This Row],[EOM Cases]]</f>
        <v>0</v>
      </c>
      <c r="CG45" s="707">
        <v>0</v>
      </c>
      <c r="CH45" s="711">
        <f t="shared" si="20"/>
        <v>0</v>
      </c>
      <c r="CI45" s="708">
        <v>0</v>
      </c>
      <c r="CJ45" s="714">
        <f>Eip_cases_Sep[[#This Row],[EOM Cases]]</f>
        <v>0</v>
      </c>
      <c r="CK45" s="707">
        <v>0</v>
      </c>
      <c r="CL45" s="711">
        <f t="shared" si="21"/>
        <v>0</v>
      </c>
      <c r="CM45" s="708">
        <v>0</v>
      </c>
      <c r="CN45" s="714">
        <f>Eip_cases_Oct[[#This Row],[EOM Cases]]</f>
        <v>0</v>
      </c>
      <c r="CO45" s="707">
        <v>0</v>
      </c>
      <c r="CP45" s="711">
        <f t="shared" si="22"/>
        <v>0</v>
      </c>
      <c r="CQ45" s="708">
        <v>0</v>
      </c>
      <c r="CR45" s="714">
        <f>Eip_cases_Nov[[#This Row],[EOM Cases]]</f>
        <v>0</v>
      </c>
      <c r="CS45" s="707">
        <v>0</v>
      </c>
      <c r="CT45" s="711">
        <f t="shared" si="23"/>
        <v>0</v>
      </c>
      <c r="CU45" s="708">
        <v>0</v>
      </c>
    </row>
    <row r="46" spans="2:99" ht="14.5" x14ac:dyDescent="0.35">
      <c r="B46" s="874" t="str">
        <f>'Nurse Hours'!B47</f>
        <v>Brogdon, Stephanie</v>
      </c>
      <c r="C46" s="701">
        <v>28</v>
      </c>
      <c r="D46" s="729">
        <v>3</v>
      </c>
      <c r="E46" s="711">
        <f t="shared" si="0"/>
        <v>5</v>
      </c>
      <c r="F46" s="732">
        <v>26</v>
      </c>
      <c r="G46" s="703">
        <f>Regular_cases_jan[[#This Row],[EOM Cases]]</f>
        <v>26</v>
      </c>
      <c r="H46" s="729">
        <v>5</v>
      </c>
      <c r="I46" s="711">
        <f t="shared" si="1"/>
        <v>7</v>
      </c>
      <c r="J46" s="732">
        <v>24</v>
      </c>
      <c r="K46" s="703">
        <f>Regular_cases_feb[[#This Row],[EOM Cases]]</f>
        <v>24</v>
      </c>
      <c r="L46" s="729">
        <v>2</v>
      </c>
      <c r="M46" s="711">
        <f t="shared" si="2"/>
        <v>6</v>
      </c>
      <c r="N46" s="734">
        <v>20</v>
      </c>
      <c r="O46" s="703">
        <f>Regular_cases_mar[[#This Row],[EOM Cases]]</f>
        <v>20</v>
      </c>
      <c r="P46" s="729">
        <v>3</v>
      </c>
      <c r="Q46" s="711">
        <f t="shared" si="3"/>
        <v>1</v>
      </c>
      <c r="R46" s="732">
        <v>22</v>
      </c>
      <c r="S46" s="703">
        <f>Regular_cases_apr[[#This Row],[EOM Cases]]</f>
        <v>22</v>
      </c>
      <c r="T46" s="729">
        <v>3</v>
      </c>
      <c r="U46" s="711">
        <f t="shared" si="4"/>
        <v>0</v>
      </c>
      <c r="V46" s="732">
        <v>25</v>
      </c>
      <c r="W46" s="632">
        <f>Regular_cases_may[[#This Row],[EOM Cases]]</f>
        <v>25</v>
      </c>
      <c r="X46" s="729">
        <v>3</v>
      </c>
      <c r="Y46" s="711">
        <f t="shared" si="5"/>
        <v>4</v>
      </c>
      <c r="Z46" s="704">
        <v>24</v>
      </c>
      <c r="AA46" s="711">
        <f>Regular_cases_jun[[#This Row],[EOM Cases]]</f>
        <v>24</v>
      </c>
      <c r="AB46" s="704">
        <v>1</v>
      </c>
      <c r="AC46" s="711">
        <f t="shared" si="6"/>
        <v>3</v>
      </c>
      <c r="AD46" s="704">
        <v>22</v>
      </c>
      <c r="AE46" s="711">
        <f>Regular_cases_jul[[#This Row],[EOM Cases]]</f>
        <v>22</v>
      </c>
      <c r="AF46" s="704">
        <v>3</v>
      </c>
      <c r="AG46" s="711">
        <f t="shared" si="7"/>
        <v>4</v>
      </c>
      <c r="AH46" s="704">
        <v>21</v>
      </c>
      <c r="AI46" s="711">
        <f>Regular_cases_Aug[[#This Row],[EOM Cases]]</f>
        <v>21</v>
      </c>
      <c r="AJ46" s="704">
        <v>1</v>
      </c>
      <c r="AK46" s="711">
        <f t="shared" si="8"/>
        <v>4</v>
      </c>
      <c r="AL46" s="704">
        <v>18</v>
      </c>
      <c r="AM46" s="711">
        <f>Regular_cases_Sep[[#This Row],[EOM Cases]]</f>
        <v>18</v>
      </c>
      <c r="AN46" s="704">
        <v>4</v>
      </c>
      <c r="AO46" s="711">
        <f t="shared" si="9"/>
        <v>1</v>
      </c>
      <c r="AP46" s="704">
        <v>21</v>
      </c>
      <c r="AQ46" s="711">
        <f>Regular_cases_Oct[[#This Row],[EOM Cases]]</f>
        <v>21</v>
      </c>
      <c r="AR46" s="704">
        <v>0</v>
      </c>
      <c r="AS46" s="711">
        <f t="shared" si="10"/>
        <v>21</v>
      </c>
      <c r="AT46" s="704">
        <v>0</v>
      </c>
      <c r="AU46" s="711">
        <f>Regular_cases_Nov[[#This Row],[EOM Cases]]</f>
        <v>0</v>
      </c>
      <c r="AV46" s="704">
        <v>0</v>
      </c>
      <c r="AW46" s="711">
        <f t="shared" si="11"/>
        <v>0</v>
      </c>
      <c r="AX46" s="704">
        <v>0</v>
      </c>
      <c r="AZ46" s="714">
        <v>0</v>
      </c>
      <c r="BA46" s="707">
        <v>0</v>
      </c>
      <c r="BB46" s="711">
        <f t="shared" si="12"/>
        <v>0</v>
      </c>
      <c r="BC46" s="708">
        <v>0</v>
      </c>
      <c r="BD46" s="714">
        <f>Eip_cases_jan[[#This Row],[EOM Cases]]</f>
        <v>0</v>
      </c>
      <c r="BE46" s="707">
        <v>0</v>
      </c>
      <c r="BF46" s="711">
        <f t="shared" si="13"/>
        <v>0</v>
      </c>
      <c r="BG46" s="708">
        <v>0</v>
      </c>
      <c r="BH46" s="714">
        <f>Eip_cases_feb[[#This Row],[EOM Cases]]</f>
        <v>0</v>
      </c>
      <c r="BI46" s="707">
        <v>0</v>
      </c>
      <c r="BJ46" s="711">
        <f t="shared" si="14"/>
        <v>0</v>
      </c>
      <c r="BK46" s="708">
        <v>0</v>
      </c>
      <c r="BL46" s="714">
        <f>Eip_cases_mar[[#This Row],[EOM Cases]]</f>
        <v>0</v>
      </c>
      <c r="BM46" s="707">
        <v>0</v>
      </c>
      <c r="BN46" s="711">
        <f t="shared" si="15"/>
        <v>0</v>
      </c>
      <c r="BO46" s="708">
        <v>0</v>
      </c>
      <c r="BP46" s="714">
        <f>Eip_cases_Apr[[#This Row],[EOM Cases]]</f>
        <v>0</v>
      </c>
      <c r="BQ46" s="707">
        <v>0</v>
      </c>
      <c r="BR46" s="711">
        <f t="shared" si="16"/>
        <v>0</v>
      </c>
      <c r="BS46" s="708">
        <v>0</v>
      </c>
      <c r="BT46" s="714">
        <f>Eip_cases_May[[#This Row],[EOM Cases]]</f>
        <v>0</v>
      </c>
      <c r="BU46" s="707">
        <v>0</v>
      </c>
      <c r="BV46" s="711">
        <f t="shared" si="17"/>
        <v>0</v>
      </c>
      <c r="BW46" s="708">
        <v>0</v>
      </c>
      <c r="BX46" s="714">
        <f>Eip_cases_Jun[[#This Row],[EOM Cases]]</f>
        <v>0</v>
      </c>
      <c r="BY46" s="707">
        <v>0</v>
      </c>
      <c r="BZ46" s="711">
        <f t="shared" si="18"/>
        <v>0</v>
      </c>
      <c r="CA46" s="708">
        <v>0</v>
      </c>
      <c r="CB46" s="714">
        <f>Eip_cases_Jul[[#This Row],[EOM Cases]]</f>
        <v>0</v>
      </c>
      <c r="CC46" s="707">
        <v>0</v>
      </c>
      <c r="CD46" s="711">
        <f t="shared" si="19"/>
        <v>0</v>
      </c>
      <c r="CE46" s="708">
        <v>0</v>
      </c>
      <c r="CF46" s="714">
        <f>Eip_cases_Aug[[#This Row],[EOM Cases]]</f>
        <v>0</v>
      </c>
      <c r="CG46" s="707">
        <v>0</v>
      </c>
      <c r="CH46" s="711">
        <f t="shared" si="20"/>
        <v>0</v>
      </c>
      <c r="CI46" s="708">
        <v>0</v>
      </c>
      <c r="CJ46" s="714">
        <f>Eip_cases_Sep[[#This Row],[EOM Cases]]</f>
        <v>0</v>
      </c>
      <c r="CK46" s="707">
        <v>0</v>
      </c>
      <c r="CL46" s="711">
        <f t="shared" si="21"/>
        <v>0</v>
      </c>
      <c r="CM46" s="708">
        <v>0</v>
      </c>
      <c r="CN46" s="714">
        <f>Eip_cases_Oct[[#This Row],[EOM Cases]]</f>
        <v>0</v>
      </c>
      <c r="CO46" s="707">
        <v>0</v>
      </c>
      <c r="CP46" s="711">
        <f t="shared" si="22"/>
        <v>0</v>
      </c>
      <c r="CQ46" s="708">
        <v>0</v>
      </c>
      <c r="CR46" s="714">
        <f>Eip_cases_Nov[[#This Row],[EOM Cases]]</f>
        <v>0</v>
      </c>
      <c r="CS46" s="707">
        <v>0</v>
      </c>
      <c r="CT46" s="711">
        <f t="shared" si="23"/>
        <v>0</v>
      </c>
      <c r="CU46" s="708">
        <v>0</v>
      </c>
    </row>
    <row r="47" spans="2:99" ht="14.5" x14ac:dyDescent="0.35">
      <c r="B47" s="874" t="str">
        <f>'Nurse Hours'!B48</f>
        <v>Cabral, Wendy</v>
      </c>
      <c r="C47" s="701">
        <v>17</v>
      </c>
      <c r="D47" s="729">
        <v>4</v>
      </c>
      <c r="E47" s="711">
        <f t="shared" si="0"/>
        <v>4</v>
      </c>
      <c r="F47" s="732">
        <v>17</v>
      </c>
      <c r="G47" s="703">
        <f>Regular_cases_jan[[#This Row],[EOM Cases]]</f>
        <v>17</v>
      </c>
      <c r="H47" s="729">
        <v>6</v>
      </c>
      <c r="I47" s="711">
        <f t="shared" si="1"/>
        <v>4</v>
      </c>
      <c r="J47" s="732">
        <v>19</v>
      </c>
      <c r="K47" s="703">
        <f>Regular_cases_feb[[#This Row],[EOM Cases]]</f>
        <v>19</v>
      </c>
      <c r="L47" s="729">
        <v>2</v>
      </c>
      <c r="M47" s="711">
        <f t="shared" si="2"/>
        <v>0</v>
      </c>
      <c r="N47" s="734">
        <v>21</v>
      </c>
      <c r="O47" s="703">
        <f>Regular_cases_mar[[#This Row],[EOM Cases]]</f>
        <v>21</v>
      </c>
      <c r="P47" s="729">
        <v>3</v>
      </c>
      <c r="Q47" s="711">
        <f t="shared" si="3"/>
        <v>5</v>
      </c>
      <c r="R47" s="732">
        <v>19</v>
      </c>
      <c r="S47" s="703">
        <f>Regular_cases_apr[[#This Row],[EOM Cases]]</f>
        <v>19</v>
      </c>
      <c r="T47" s="729">
        <v>5</v>
      </c>
      <c r="U47" s="711">
        <f t="shared" si="4"/>
        <v>4</v>
      </c>
      <c r="V47" s="732">
        <v>20</v>
      </c>
      <c r="W47" s="632">
        <f>Regular_cases_may[[#This Row],[EOM Cases]]</f>
        <v>20</v>
      </c>
      <c r="X47" s="729">
        <v>3</v>
      </c>
      <c r="Y47" s="711">
        <f t="shared" si="5"/>
        <v>3</v>
      </c>
      <c r="Z47" s="704">
        <v>20</v>
      </c>
      <c r="AA47" s="711">
        <f>Regular_cases_jun[[#This Row],[EOM Cases]]</f>
        <v>20</v>
      </c>
      <c r="AB47" s="704">
        <v>6</v>
      </c>
      <c r="AC47" s="711">
        <f t="shared" si="6"/>
        <v>2</v>
      </c>
      <c r="AD47" s="704">
        <v>24</v>
      </c>
      <c r="AE47" s="711">
        <f>Regular_cases_jul[[#This Row],[EOM Cases]]</f>
        <v>24</v>
      </c>
      <c r="AF47" s="704">
        <v>3</v>
      </c>
      <c r="AG47" s="711">
        <f t="shared" si="7"/>
        <v>1</v>
      </c>
      <c r="AH47" s="704">
        <v>26</v>
      </c>
      <c r="AI47" s="711">
        <f>Regular_cases_Aug[[#This Row],[EOM Cases]]</f>
        <v>26</v>
      </c>
      <c r="AJ47" s="704">
        <v>6</v>
      </c>
      <c r="AK47" s="711">
        <f t="shared" si="8"/>
        <v>4</v>
      </c>
      <c r="AL47" s="704">
        <v>28</v>
      </c>
      <c r="AM47" s="711">
        <f>Regular_cases_Sep[[#This Row],[EOM Cases]]</f>
        <v>28</v>
      </c>
      <c r="AN47" s="704">
        <v>0</v>
      </c>
      <c r="AO47" s="711">
        <f t="shared" si="9"/>
        <v>5</v>
      </c>
      <c r="AP47" s="704">
        <v>23</v>
      </c>
      <c r="AQ47" s="711">
        <f>Regular_cases_Oct[[#This Row],[EOM Cases]]</f>
        <v>23</v>
      </c>
      <c r="AR47" s="704">
        <v>0</v>
      </c>
      <c r="AS47" s="711">
        <f t="shared" si="10"/>
        <v>23</v>
      </c>
      <c r="AT47" s="704">
        <v>0</v>
      </c>
      <c r="AU47" s="711">
        <f>Regular_cases_Nov[[#This Row],[EOM Cases]]</f>
        <v>0</v>
      </c>
      <c r="AV47" s="704">
        <v>0</v>
      </c>
      <c r="AW47" s="711">
        <f t="shared" si="11"/>
        <v>0</v>
      </c>
      <c r="AX47" s="704">
        <v>0</v>
      </c>
      <c r="AZ47" s="714">
        <v>0</v>
      </c>
      <c r="BA47" s="707">
        <v>0</v>
      </c>
      <c r="BB47" s="711">
        <f t="shared" si="12"/>
        <v>0</v>
      </c>
      <c r="BC47" s="708">
        <v>0</v>
      </c>
      <c r="BD47" s="714">
        <f>Eip_cases_jan[[#This Row],[EOM Cases]]</f>
        <v>0</v>
      </c>
      <c r="BE47" s="707">
        <v>0</v>
      </c>
      <c r="BF47" s="711">
        <f t="shared" si="13"/>
        <v>0</v>
      </c>
      <c r="BG47" s="708">
        <v>0</v>
      </c>
      <c r="BH47" s="714">
        <f>Eip_cases_feb[[#This Row],[EOM Cases]]</f>
        <v>0</v>
      </c>
      <c r="BI47" s="707">
        <v>0</v>
      </c>
      <c r="BJ47" s="711">
        <f t="shared" si="14"/>
        <v>0</v>
      </c>
      <c r="BK47" s="708">
        <v>0</v>
      </c>
      <c r="BL47" s="714">
        <f>Eip_cases_mar[[#This Row],[EOM Cases]]</f>
        <v>0</v>
      </c>
      <c r="BM47" s="707">
        <v>0</v>
      </c>
      <c r="BN47" s="711">
        <f t="shared" si="15"/>
        <v>0</v>
      </c>
      <c r="BO47" s="708">
        <v>0</v>
      </c>
      <c r="BP47" s="714">
        <f>Eip_cases_Apr[[#This Row],[EOM Cases]]</f>
        <v>0</v>
      </c>
      <c r="BQ47" s="707">
        <v>0</v>
      </c>
      <c r="BR47" s="711">
        <f t="shared" si="16"/>
        <v>0</v>
      </c>
      <c r="BS47" s="708">
        <v>0</v>
      </c>
      <c r="BT47" s="714">
        <f>Eip_cases_May[[#This Row],[EOM Cases]]</f>
        <v>0</v>
      </c>
      <c r="BU47" s="707">
        <v>0</v>
      </c>
      <c r="BV47" s="711">
        <f t="shared" si="17"/>
        <v>0</v>
      </c>
      <c r="BW47" s="708">
        <v>0</v>
      </c>
      <c r="BX47" s="714">
        <f>Eip_cases_Jun[[#This Row],[EOM Cases]]</f>
        <v>0</v>
      </c>
      <c r="BY47" s="707">
        <v>0</v>
      </c>
      <c r="BZ47" s="711">
        <f t="shared" si="18"/>
        <v>0</v>
      </c>
      <c r="CA47" s="708">
        <v>0</v>
      </c>
      <c r="CB47" s="714">
        <f>Eip_cases_Jul[[#This Row],[EOM Cases]]</f>
        <v>0</v>
      </c>
      <c r="CC47" s="707">
        <v>0</v>
      </c>
      <c r="CD47" s="711">
        <f t="shared" si="19"/>
        <v>0</v>
      </c>
      <c r="CE47" s="708">
        <v>0</v>
      </c>
      <c r="CF47" s="714">
        <f>Eip_cases_Aug[[#This Row],[EOM Cases]]</f>
        <v>0</v>
      </c>
      <c r="CG47" s="707">
        <v>0</v>
      </c>
      <c r="CH47" s="711">
        <f t="shared" si="20"/>
        <v>0</v>
      </c>
      <c r="CI47" s="708">
        <v>0</v>
      </c>
      <c r="CJ47" s="714">
        <f>Eip_cases_Sep[[#This Row],[EOM Cases]]</f>
        <v>0</v>
      </c>
      <c r="CK47" s="707">
        <v>0</v>
      </c>
      <c r="CL47" s="711">
        <f t="shared" si="21"/>
        <v>0</v>
      </c>
      <c r="CM47" s="708">
        <v>0</v>
      </c>
      <c r="CN47" s="714">
        <f>Eip_cases_Oct[[#This Row],[EOM Cases]]</f>
        <v>0</v>
      </c>
      <c r="CO47" s="707">
        <v>0</v>
      </c>
      <c r="CP47" s="711">
        <f t="shared" si="22"/>
        <v>0</v>
      </c>
      <c r="CQ47" s="708">
        <v>0</v>
      </c>
      <c r="CR47" s="714">
        <f>Eip_cases_Nov[[#This Row],[EOM Cases]]</f>
        <v>0</v>
      </c>
      <c r="CS47" s="707">
        <v>0</v>
      </c>
      <c r="CT47" s="711">
        <f t="shared" si="23"/>
        <v>0</v>
      </c>
      <c r="CU47" s="708">
        <v>0</v>
      </c>
    </row>
    <row r="48" spans="2:99" ht="14.5" x14ac:dyDescent="0.35">
      <c r="B48" s="874" t="str">
        <f>'Nurse Hours'!B49</f>
        <v>Caldera, Rosa</v>
      </c>
      <c r="C48" s="701">
        <v>0</v>
      </c>
      <c r="D48" s="729">
        <v>0</v>
      </c>
      <c r="E48" s="711">
        <f>SUM(C48:D48)-F48</f>
        <v>0</v>
      </c>
      <c r="F48" s="732">
        <v>0</v>
      </c>
      <c r="G48" s="703">
        <f>Regular_cases_jan[[#This Row],[EOM Cases]]</f>
        <v>0</v>
      </c>
      <c r="H48" s="729">
        <v>0</v>
      </c>
      <c r="I48" s="711">
        <f>SUM(G48:H48)-J48</f>
        <v>0</v>
      </c>
      <c r="J48" s="732">
        <v>0</v>
      </c>
      <c r="K48" s="703">
        <f>Regular_cases_feb[[#This Row],[EOM Cases]]</f>
        <v>0</v>
      </c>
      <c r="L48" s="729">
        <v>0</v>
      </c>
      <c r="M48" s="711">
        <f>SUM(K48:L48)-N48</f>
        <v>0</v>
      </c>
      <c r="N48" s="734">
        <v>0</v>
      </c>
      <c r="O48" s="703">
        <f>Regular_cases_mar[[#This Row],[EOM Cases]]</f>
        <v>0</v>
      </c>
      <c r="P48" s="729">
        <v>0</v>
      </c>
      <c r="Q48" s="711">
        <f>SUM(O48:P48)-R48</f>
        <v>0</v>
      </c>
      <c r="R48" s="732">
        <v>0</v>
      </c>
      <c r="S48" s="703">
        <f>Regular_cases_apr[[#This Row],[EOM Cases]]</f>
        <v>0</v>
      </c>
      <c r="T48" s="729">
        <v>0</v>
      </c>
      <c r="U48" s="711">
        <f>SUM(S48:T48)-V48</f>
        <v>0</v>
      </c>
      <c r="V48" s="732">
        <v>0</v>
      </c>
      <c r="W48" s="632">
        <f>Regular_cases_may[[#This Row],[EOM Cases]]</f>
        <v>0</v>
      </c>
      <c r="X48" s="729">
        <v>0</v>
      </c>
      <c r="Y48" s="711">
        <f>SUM(W48:X48)-Z48</f>
        <v>0</v>
      </c>
      <c r="Z48" s="704">
        <v>0</v>
      </c>
      <c r="AA48" s="711">
        <f>Regular_cases_jun[[#This Row],[EOM Cases]]</f>
        <v>0</v>
      </c>
      <c r="AB48" s="704">
        <v>2</v>
      </c>
      <c r="AC48" s="711">
        <f>SUM(AA48:AB48)-AD48</f>
        <v>0</v>
      </c>
      <c r="AD48" s="704">
        <v>2</v>
      </c>
      <c r="AE48" s="711">
        <f>Regular_cases_jul[[#This Row],[EOM Cases]]</f>
        <v>2</v>
      </c>
      <c r="AF48" s="704">
        <v>5</v>
      </c>
      <c r="AG48" s="711">
        <f>SUM(AE48:AF48)-AH48</f>
        <v>3</v>
      </c>
      <c r="AH48" s="704">
        <v>4</v>
      </c>
      <c r="AI48" s="711">
        <f>Regular_cases_Aug[[#This Row],[EOM Cases]]</f>
        <v>4</v>
      </c>
      <c r="AJ48" s="704">
        <v>4</v>
      </c>
      <c r="AK48" s="711">
        <f>SUM(AI48:AJ48)-AL48</f>
        <v>1</v>
      </c>
      <c r="AL48" s="704">
        <v>7</v>
      </c>
      <c r="AM48" s="711">
        <f>Regular_cases_Sep[[#This Row],[EOM Cases]]</f>
        <v>7</v>
      </c>
      <c r="AN48" s="704">
        <v>3</v>
      </c>
      <c r="AO48" s="711">
        <f>SUM(AM48:AN48)-AP48</f>
        <v>-2</v>
      </c>
      <c r="AP48" s="704">
        <v>12</v>
      </c>
      <c r="AQ48" s="711">
        <f>Regular_cases_Oct[[#This Row],[EOM Cases]]</f>
        <v>12</v>
      </c>
      <c r="AR48" s="704"/>
      <c r="AS48" s="711">
        <f>SUM(AQ48:AR48)-AT48</f>
        <v>12</v>
      </c>
      <c r="AT48" s="704"/>
      <c r="AU48" s="711">
        <f>Regular_cases_Nov[[#This Row],[EOM Cases]]</f>
        <v>0</v>
      </c>
      <c r="AV48" s="704"/>
      <c r="AW48" s="711">
        <f>SUM(AU48:AV48)-AX48</f>
        <v>0</v>
      </c>
      <c r="AX48" s="704"/>
      <c r="AZ48" s="714"/>
      <c r="BA48" s="707"/>
      <c r="BB48" s="711">
        <f>SUM(AZ48:BA48)-BC48</f>
        <v>0</v>
      </c>
      <c r="BC48" s="708"/>
      <c r="BD48" s="714">
        <f>Eip_cases_jan[[#This Row],[EOM Cases]]</f>
        <v>0</v>
      </c>
      <c r="BE48" s="707"/>
      <c r="BF48" s="711">
        <f>SUM(BD48:BE48)-BG48</f>
        <v>0</v>
      </c>
      <c r="BG48" s="708"/>
      <c r="BH48" s="714">
        <f>Eip_cases_feb[[#This Row],[EOM Cases]]</f>
        <v>0</v>
      </c>
      <c r="BI48" s="707"/>
      <c r="BJ48" s="711">
        <f>SUM(BH48:BI48)-BK48</f>
        <v>0</v>
      </c>
      <c r="BK48" s="708"/>
      <c r="BL48" s="714">
        <f>Eip_cases_mar[[#This Row],[EOM Cases]]</f>
        <v>0</v>
      </c>
      <c r="BM48" s="707"/>
      <c r="BN48" s="711">
        <f>SUM(BL48:BM48)-BO48</f>
        <v>0</v>
      </c>
      <c r="BO48" s="708"/>
      <c r="BP48" s="714">
        <f>Eip_cases_Apr[[#This Row],[EOM Cases]]</f>
        <v>0</v>
      </c>
      <c r="BQ48" s="707"/>
      <c r="BR48" s="711">
        <f>SUM(BP48:BQ48)-BS48</f>
        <v>0</v>
      </c>
      <c r="BS48" s="708"/>
      <c r="BT48" s="714">
        <f>Eip_cases_May[[#This Row],[EOM Cases]]</f>
        <v>0</v>
      </c>
      <c r="BU48" s="707"/>
      <c r="BV48" s="711">
        <f>SUM(BT48:BU48)-BW48</f>
        <v>0</v>
      </c>
      <c r="BW48" s="708"/>
      <c r="BX48" s="714">
        <f>Eip_cases_Jun[[#This Row],[EOM Cases]]</f>
        <v>0</v>
      </c>
      <c r="BY48" s="707"/>
      <c r="BZ48" s="711">
        <f>SUM(BX48:BY48)-CA48</f>
        <v>0</v>
      </c>
      <c r="CA48" s="708"/>
      <c r="CB48" s="714">
        <f>Eip_cases_Jul[[#This Row],[EOM Cases]]</f>
        <v>0</v>
      </c>
      <c r="CC48" s="707"/>
      <c r="CD48" s="711">
        <f>SUM(CB48:CC48)-CE48</f>
        <v>0</v>
      </c>
      <c r="CE48" s="708"/>
      <c r="CF48" s="714">
        <f>Eip_cases_Aug[[#This Row],[EOM Cases]]</f>
        <v>0</v>
      </c>
      <c r="CG48" s="707">
        <v>0</v>
      </c>
      <c r="CH48" s="711">
        <f>SUM(CF48:CG48)-CI48</f>
        <v>0</v>
      </c>
      <c r="CI48" s="708">
        <v>0</v>
      </c>
      <c r="CJ48" s="714">
        <f>Eip_cases_Sep[[#This Row],[EOM Cases]]</f>
        <v>0</v>
      </c>
      <c r="CK48" s="707"/>
      <c r="CL48" s="711">
        <f>SUM(CJ48:CK48)-CM48</f>
        <v>0</v>
      </c>
      <c r="CM48" s="708"/>
      <c r="CN48" s="714">
        <f>Eip_cases_Oct[[#This Row],[EOM Cases]]</f>
        <v>0</v>
      </c>
      <c r="CO48" s="707"/>
      <c r="CP48" s="711">
        <f>SUM(CN48:CO48)-CQ48</f>
        <v>0</v>
      </c>
      <c r="CQ48" s="708"/>
      <c r="CR48" s="714">
        <f>Eip_cases_Nov[[#This Row],[EOM Cases]]</f>
        <v>0</v>
      </c>
      <c r="CS48" s="707"/>
      <c r="CT48" s="711">
        <f>SUM(CR48:CS48)-CU48</f>
        <v>0</v>
      </c>
      <c r="CU48" s="708"/>
    </row>
    <row r="49" spans="2:99" ht="14.5" x14ac:dyDescent="0.35">
      <c r="B49" s="874" t="str">
        <f>'Nurse Hours'!B50</f>
        <v>Chau, Shawna</v>
      </c>
      <c r="C49" s="701">
        <v>14</v>
      </c>
      <c r="D49" s="729">
        <v>0</v>
      </c>
      <c r="E49" s="711">
        <f t="shared" si="0"/>
        <v>1</v>
      </c>
      <c r="F49" s="732">
        <v>13</v>
      </c>
      <c r="G49" s="703">
        <f>Regular_cases_jan[[#This Row],[EOM Cases]]</f>
        <v>13</v>
      </c>
      <c r="H49" s="729">
        <v>0</v>
      </c>
      <c r="I49" s="711">
        <f t="shared" si="1"/>
        <v>2</v>
      </c>
      <c r="J49" s="732">
        <v>11</v>
      </c>
      <c r="K49" s="703">
        <f>Regular_cases_feb[[#This Row],[EOM Cases]]</f>
        <v>11</v>
      </c>
      <c r="L49" s="729">
        <v>4</v>
      </c>
      <c r="M49" s="711">
        <f t="shared" si="2"/>
        <v>3</v>
      </c>
      <c r="N49" s="734">
        <v>12</v>
      </c>
      <c r="O49" s="703">
        <f>Regular_cases_mar[[#This Row],[EOM Cases]]</f>
        <v>12</v>
      </c>
      <c r="P49" s="729">
        <v>2</v>
      </c>
      <c r="Q49" s="711">
        <f t="shared" si="3"/>
        <v>1</v>
      </c>
      <c r="R49" s="732">
        <v>13</v>
      </c>
      <c r="S49" s="703">
        <f>Regular_cases_apr[[#This Row],[EOM Cases]]</f>
        <v>13</v>
      </c>
      <c r="T49" s="729">
        <v>0</v>
      </c>
      <c r="U49" s="711">
        <f t="shared" si="4"/>
        <v>2</v>
      </c>
      <c r="V49" s="732">
        <v>11</v>
      </c>
      <c r="W49" s="632">
        <f>Regular_cases_may[[#This Row],[EOM Cases]]</f>
        <v>11</v>
      </c>
      <c r="X49" s="729">
        <v>0</v>
      </c>
      <c r="Y49" s="711">
        <f t="shared" si="5"/>
        <v>1</v>
      </c>
      <c r="Z49" s="704">
        <v>10</v>
      </c>
      <c r="AA49" s="711">
        <f>Regular_cases_jun[[#This Row],[EOM Cases]]</f>
        <v>10</v>
      </c>
      <c r="AB49" s="704">
        <v>1</v>
      </c>
      <c r="AC49" s="711">
        <f t="shared" si="6"/>
        <v>0</v>
      </c>
      <c r="AD49" s="704">
        <v>11</v>
      </c>
      <c r="AE49" s="711">
        <f>Regular_cases_jul[[#This Row],[EOM Cases]]</f>
        <v>11</v>
      </c>
      <c r="AF49" s="704">
        <v>0</v>
      </c>
      <c r="AG49" s="711">
        <f t="shared" si="7"/>
        <v>0</v>
      </c>
      <c r="AH49" s="704">
        <v>11</v>
      </c>
      <c r="AI49" s="711">
        <f>Regular_cases_Aug[[#This Row],[EOM Cases]]</f>
        <v>11</v>
      </c>
      <c r="AJ49" s="704">
        <v>2</v>
      </c>
      <c r="AK49" s="711">
        <f t="shared" si="8"/>
        <v>1</v>
      </c>
      <c r="AL49" s="704">
        <v>12</v>
      </c>
      <c r="AM49" s="711">
        <f>Regular_cases_Sep[[#This Row],[EOM Cases]]</f>
        <v>12</v>
      </c>
      <c r="AN49" s="704">
        <v>1</v>
      </c>
      <c r="AO49" s="711">
        <f t="shared" si="9"/>
        <v>1</v>
      </c>
      <c r="AP49" s="704">
        <v>12</v>
      </c>
      <c r="AQ49" s="711">
        <f>Regular_cases_Oct[[#This Row],[EOM Cases]]</f>
        <v>12</v>
      </c>
      <c r="AR49" s="704">
        <v>0</v>
      </c>
      <c r="AS49" s="711">
        <f t="shared" si="10"/>
        <v>12</v>
      </c>
      <c r="AT49" s="704">
        <v>0</v>
      </c>
      <c r="AU49" s="711">
        <f>Regular_cases_Nov[[#This Row],[EOM Cases]]</f>
        <v>0</v>
      </c>
      <c r="AV49" s="704">
        <v>0</v>
      </c>
      <c r="AW49" s="711">
        <f t="shared" si="11"/>
        <v>0</v>
      </c>
      <c r="AX49" s="704">
        <v>0</v>
      </c>
      <c r="AZ49" s="714">
        <v>0</v>
      </c>
      <c r="BA49" s="707">
        <v>0</v>
      </c>
      <c r="BB49" s="711">
        <f t="shared" si="12"/>
        <v>0</v>
      </c>
      <c r="BC49" s="708">
        <v>0</v>
      </c>
      <c r="BD49" s="714">
        <f>Eip_cases_jan[[#This Row],[EOM Cases]]</f>
        <v>0</v>
      </c>
      <c r="BE49" s="707">
        <v>0</v>
      </c>
      <c r="BF49" s="711">
        <f t="shared" si="13"/>
        <v>0</v>
      </c>
      <c r="BG49" s="708">
        <v>0</v>
      </c>
      <c r="BH49" s="714">
        <f>Eip_cases_feb[[#This Row],[EOM Cases]]</f>
        <v>0</v>
      </c>
      <c r="BI49" s="707">
        <v>0</v>
      </c>
      <c r="BJ49" s="711">
        <f t="shared" si="14"/>
        <v>0</v>
      </c>
      <c r="BK49" s="708">
        <v>0</v>
      </c>
      <c r="BL49" s="714">
        <f>Eip_cases_mar[[#This Row],[EOM Cases]]</f>
        <v>0</v>
      </c>
      <c r="BM49" s="707">
        <v>0</v>
      </c>
      <c r="BN49" s="711">
        <f t="shared" si="15"/>
        <v>0</v>
      </c>
      <c r="BO49" s="708">
        <v>0</v>
      </c>
      <c r="BP49" s="714">
        <f>Eip_cases_Apr[[#This Row],[EOM Cases]]</f>
        <v>0</v>
      </c>
      <c r="BQ49" s="707">
        <v>0</v>
      </c>
      <c r="BR49" s="711">
        <f t="shared" si="16"/>
        <v>0</v>
      </c>
      <c r="BS49" s="708">
        <v>0</v>
      </c>
      <c r="BT49" s="714">
        <f>Eip_cases_May[[#This Row],[EOM Cases]]</f>
        <v>0</v>
      </c>
      <c r="BU49" s="707">
        <v>0</v>
      </c>
      <c r="BV49" s="711">
        <f t="shared" si="17"/>
        <v>0</v>
      </c>
      <c r="BW49" s="708">
        <v>0</v>
      </c>
      <c r="BX49" s="714">
        <f>Eip_cases_Jun[[#This Row],[EOM Cases]]</f>
        <v>0</v>
      </c>
      <c r="BY49" s="707">
        <v>0</v>
      </c>
      <c r="BZ49" s="711">
        <f t="shared" si="18"/>
        <v>0</v>
      </c>
      <c r="CA49" s="708">
        <v>0</v>
      </c>
      <c r="CB49" s="714">
        <f>Eip_cases_Jul[[#This Row],[EOM Cases]]</f>
        <v>0</v>
      </c>
      <c r="CC49" s="707">
        <v>0</v>
      </c>
      <c r="CD49" s="711">
        <f t="shared" si="19"/>
        <v>0</v>
      </c>
      <c r="CE49" s="708">
        <v>0</v>
      </c>
      <c r="CF49" s="714">
        <f>Eip_cases_Aug[[#This Row],[EOM Cases]]</f>
        <v>0</v>
      </c>
      <c r="CG49" s="707">
        <v>0</v>
      </c>
      <c r="CH49" s="711">
        <f t="shared" si="20"/>
        <v>0</v>
      </c>
      <c r="CI49" s="708">
        <v>0</v>
      </c>
      <c r="CJ49" s="714">
        <f>Eip_cases_Sep[[#This Row],[EOM Cases]]</f>
        <v>0</v>
      </c>
      <c r="CK49" s="707">
        <v>0</v>
      </c>
      <c r="CL49" s="711">
        <f t="shared" si="21"/>
        <v>0</v>
      </c>
      <c r="CM49" s="708">
        <v>0</v>
      </c>
      <c r="CN49" s="714">
        <f>Eip_cases_Oct[[#This Row],[EOM Cases]]</f>
        <v>0</v>
      </c>
      <c r="CO49" s="707">
        <v>0</v>
      </c>
      <c r="CP49" s="711">
        <f t="shared" si="22"/>
        <v>0</v>
      </c>
      <c r="CQ49" s="708">
        <v>0</v>
      </c>
      <c r="CR49" s="714">
        <f>Eip_cases_Nov[[#This Row],[EOM Cases]]</f>
        <v>0</v>
      </c>
      <c r="CS49" s="707">
        <v>0</v>
      </c>
      <c r="CT49" s="711">
        <f t="shared" si="23"/>
        <v>0</v>
      </c>
      <c r="CU49" s="708">
        <v>0</v>
      </c>
    </row>
    <row r="50" spans="2:99" ht="14.5" x14ac:dyDescent="0.35">
      <c r="B50" s="874" t="str">
        <f>'Nurse Hours'!B51</f>
        <v>Delgado, David</v>
      </c>
      <c r="C50" s="701">
        <v>20</v>
      </c>
      <c r="D50" s="729">
        <v>6</v>
      </c>
      <c r="E50" s="711">
        <f t="shared" si="0"/>
        <v>2</v>
      </c>
      <c r="F50" s="732">
        <v>24</v>
      </c>
      <c r="G50" s="703">
        <f>Regular_cases_jan[[#This Row],[EOM Cases]]</f>
        <v>24</v>
      </c>
      <c r="H50" s="729">
        <v>4</v>
      </c>
      <c r="I50" s="711">
        <f t="shared" si="1"/>
        <v>1</v>
      </c>
      <c r="J50" s="732">
        <v>27</v>
      </c>
      <c r="K50" s="703">
        <f>Regular_cases_feb[[#This Row],[EOM Cases]]</f>
        <v>27</v>
      </c>
      <c r="L50" s="729">
        <v>4</v>
      </c>
      <c r="M50" s="711">
        <f t="shared" si="2"/>
        <v>3</v>
      </c>
      <c r="N50" s="734">
        <v>28</v>
      </c>
      <c r="O50" s="703">
        <f>Regular_cases_mar[[#This Row],[EOM Cases]]</f>
        <v>28</v>
      </c>
      <c r="P50" s="729">
        <v>5</v>
      </c>
      <c r="Q50" s="711">
        <f t="shared" si="3"/>
        <v>5</v>
      </c>
      <c r="R50" s="732">
        <v>28</v>
      </c>
      <c r="S50" s="703">
        <f>Regular_cases_apr[[#This Row],[EOM Cases]]</f>
        <v>28</v>
      </c>
      <c r="T50" s="729">
        <v>1</v>
      </c>
      <c r="U50" s="711">
        <f t="shared" si="4"/>
        <v>3</v>
      </c>
      <c r="V50" s="732">
        <v>26</v>
      </c>
      <c r="W50" s="632">
        <f>Regular_cases_may[[#This Row],[EOM Cases]]</f>
        <v>26</v>
      </c>
      <c r="X50" s="729">
        <v>2</v>
      </c>
      <c r="Y50" s="711">
        <f t="shared" si="5"/>
        <v>1</v>
      </c>
      <c r="Z50" s="704">
        <v>27</v>
      </c>
      <c r="AA50" s="711">
        <f>Regular_cases_jun[[#This Row],[EOM Cases]]</f>
        <v>27</v>
      </c>
      <c r="AB50" s="704">
        <v>4</v>
      </c>
      <c r="AC50" s="711">
        <f t="shared" si="6"/>
        <v>6</v>
      </c>
      <c r="AD50" s="704">
        <v>25</v>
      </c>
      <c r="AE50" s="711">
        <f>Regular_cases_jul[[#This Row],[EOM Cases]]</f>
        <v>25</v>
      </c>
      <c r="AF50" s="704">
        <v>7</v>
      </c>
      <c r="AG50" s="711">
        <f t="shared" si="7"/>
        <v>4</v>
      </c>
      <c r="AH50" s="704">
        <v>28</v>
      </c>
      <c r="AI50" s="711">
        <f>Regular_cases_Aug[[#This Row],[EOM Cases]]</f>
        <v>28</v>
      </c>
      <c r="AJ50" s="704">
        <v>1</v>
      </c>
      <c r="AK50" s="711">
        <f t="shared" si="8"/>
        <v>4</v>
      </c>
      <c r="AL50" s="704">
        <v>25</v>
      </c>
      <c r="AM50" s="711">
        <f>Regular_cases_Sep[[#This Row],[EOM Cases]]</f>
        <v>25</v>
      </c>
      <c r="AN50" s="704">
        <v>3</v>
      </c>
      <c r="AO50" s="711">
        <f t="shared" si="9"/>
        <v>6</v>
      </c>
      <c r="AP50" s="704">
        <v>22</v>
      </c>
      <c r="AQ50" s="711">
        <f>Regular_cases_Oct[[#This Row],[EOM Cases]]</f>
        <v>22</v>
      </c>
      <c r="AR50" s="704">
        <v>0</v>
      </c>
      <c r="AS50" s="711">
        <f t="shared" si="10"/>
        <v>22</v>
      </c>
      <c r="AT50" s="704">
        <v>0</v>
      </c>
      <c r="AU50" s="711">
        <f>Regular_cases_Nov[[#This Row],[EOM Cases]]</f>
        <v>0</v>
      </c>
      <c r="AV50" s="704">
        <v>0</v>
      </c>
      <c r="AW50" s="711">
        <f t="shared" si="11"/>
        <v>0</v>
      </c>
      <c r="AX50" s="704">
        <v>0</v>
      </c>
      <c r="AZ50" s="714">
        <v>0</v>
      </c>
      <c r="BA50" s="707">
        <v>0</v>
      </c>
      <c r="BB50" s="711">
        <f t="shared" si="12"/>
        <v>0</v>
      </c>
      <c r="BC50" s="708">
        <v>0</v>
      </c>
      <c r="BD50" s="714">
        <f>Eip_cases_jan[[#This Row],[EOM Cases]]</f>
        <v>0</v>
      </c>
      <c r="BE50" s="707">
        <v>0</v>
      </c>
      <c r="BF50" s="711">
        <f t="shared" si="13"/>
        <v>0</v>
      </c>
      <c r="BG50" s="708">
        <v>0</v>
      </c>
      <c r="BH50" s="714">
        <f>Eip_cases_feb[[#This Row],[EOM Cases]]</f>
        <v>0</v>
      </c>
      <c r="BI50" s="707">
        <v>0</v>
      </c>
      <c r="BJ50" s="711">
        <f t="shared" si="14"/>
        <v>0</v>
      </c>
      <c r="BK50" s="708">
        <v>0</v>
      </c>
      <c r="BL50" s="714">
        <f>Eip_cases_mar[[#This Row],[EOM Cases]]</f>
        <v>0</v>
      </c>
      <c r="BM50" s="707">
        <v>0</v>
      </c>
      <c r="BN50" s="711">
        <f t="shared" si="15"/>
        <v>0</v>
      </c>
      <c r="BO50" s="708">
        <v>0</v>
      </c>
      <c r="BP50" s="714">
        <f>Eip_cases_Apr[[#This Row],[EOM Cases]]</f>
        <v>0</v>
      </c>
      <c r="BQ50" s="707">
        <v>0</v>
      </c>
      <c r="BR50" s="711">
        <f t="shared" si="16"/>
        <v>0</v>
      </c>
      <c r="BS50" s="708">
        <v>0</v>
      </c>
      <c r="BT50" s="714">
        <f>Eip_cases_May[[#This Row],[EOM Cases]]</f>
        <v>0</v>
      </c>
      <c r="BU50" s="707">
        <v>0</v>
      </c>
      <c r="BV50" s="711">
        <f t="shared" si="17"/>
        <v>0</v>
      </c>
      <c r="BW50" s="708">
        <v>0</v>
      </c>
      <c r="BX50" s="714">
        <f>Eip_cases_Jun[[#This Row],[EOM Cases]]</f>
        <v>0</v>
      </c>
      <c r="BY50" s="707">
        <v>0</v>
      </c>
      <c r="BZ50" s="711">
        <f t="shared" si="18"/>
        <v>0</v>
      </c>
      <c r="CA50" s="708">
        <v>0</v>
      </c>
      <c r="CB50" s="714">
        <f>Eip_cases_Jul[[#This Row],[EOM Cases]]</f>
        <v>0</v>
      </c>
      <c r="CC50" s="707">
        <v>0</v>
      </c>
      <c r="CD50" s="711">
        <f t="shared" si="19"/>
        <v>0</v>
      </c>
      <c r="CE50" s="708">
        <v>0</v>
      </c>
      <c r="CF50" s="714">
        <f>Eip_cases_Aug[[#This Row],[EOM Cases]]</f>
        <v>0</v>
      </c>
      <c r="CG50" s="707">
        <v>0</v>
      </c>
      <c r="CH50" s="711">
        <f t="shared" si="20"/>
        <v>0</v>
      </c>
      <c r="CI50" s="708">
        <v>0</v>
      </c>
      <c r="CJ50" s="714">
        <f>Eip_cases_Sep[[#This Row],[EOM Cases]]</f>
        <v>0</v>
      </c>
      <c r="CK50" s="707">
        <v>0</v>
      </c>
      <c r="CL50" s="711">
        <f t="shared" si="21"/>
        <v>0</v>
      </c>
      <c r="CM50" s="708">
        <v>0</v>
      </c>
      <c r="CN50" s="714">
        <f>Eip_cases_Oct[[#This Row],[EOM Cases]]</f>
        <v>0</v>
      </c>
      <c r="CO50" s="707">
        <v>0</v>
      </c>
      <c r="CP50" s="711">
        <f t="shared" si="22"/>
        <v>0</v>
      </c>
      <c r="CQ50" s="708">
        <v>0</v>
      </c>
      <c r="CR50" s="714">
        <f>Eip_cases_Nov[[#This Row],[EOM Cases]]</f>
        <v>0</v>
      </c>
      <c r="CS50" s="707">
        <v>0</v>
      </c>
      <c r="CT50" s="711">
        <f t="shared" si="23"/>
        <v>0</v>
      </c>
      <c r="CU50" s="708">
        <v>0</v>
      </c>
    </row>
    <row r="51" spans="2:99" ht="14.5" x14ac:dyDescent="0.35">
      <c r="B51" s="874" t="str">
        <f>'Nurse Hours'!B52</f>
        <v>Delgado, Virgie</v>
      </c>
      <c r="C51" s="701"/>
      <c r="D51" s="729"/>
      <c r="E51" s="711">
        <f>SUM(C51:D51)-F51</f>
        <v>0</v>
      </c>
      <c r="F51" s="732"/>
      <c r="G51" s="703">
        <f>Regular_cases_jan[[#This Row],[EOM Cases]]</f>
        <v>0</v>
      </c>
      <c r="H51" s="729"/>
      <c r="I51" s="711">
        <f>SUM(G51:H51)-J51</f>
        <v>0</v>
      </c>
      <c r="J51" s="732"/>
      <c r="K51" s="703">
        <f>Regular_cases_feb[[#This Row],[EOM Cases]]</f>
        <v>0</v>
      </c>
      <c r="L51" s="729"/>
      <c r="M51" s="711">
        <f>SUM(K51:L51)-N51</f>
        <v>0</v>
      </c>
      <c r="N51" s="734"/>
      <c r="O51" s="703">
        <f>Regular_cases_mar[[#This Row],[EOM Cases]]</f>
        <v>0</v>
      </c>
      <c r="P51" s="729"/>
      <c r="Q51" s="711">
        <f>SUM(O51:P51)-R51</f>
        <v>0</v>
      </c>
      <c r="R51" s="732"/>
      <c r="S51" s="703">
        <f>Regular_cases_apr[[#This Row],[EOM Cases]]</f>
        <v>0</v>
      </c>
      <c r="T51" s="729"/>
      <c r="U51" s="711">
        <f>SUM(S51:T51)-V51</f>
        <v>0</v>
      </c>
      <c r="V51" s="732"/>
      <c r="W51" s="632">
        <f>Regular_cases_may[[#This Row],[EOM Cases]]</f>
        <v>0</v>
      </c>
      <c r="X51" s="729"/>
      <c r="Y51" s="711">
        <f>SUM(W51:X51)-Z51</f>
        <v>0</v>
      </c>
      <c r="Z51" s="704"/>
      <c r="AA51" s="711">
        <f>Regular_cases_jun[[#This Row],[EOM Cases]]</f>
        <v>0</v>
      </c>
      <c r="AB51" s="704"/>
      <c r="AC51" s="711">
        <f>SUM(AA51:AB51)-AD51</f>
        <v>0</v>
      </c>
      <c r="AD51" s="704"/>
      <c r="AE51" s="711">
        <f>Regular_cases_jul[[#This Row],[EOM Cases]]</f>
        <v>0</v>
      </c>
      <c r="AF51" s="704"/>
      <c r="AG51" s="711">
        <f>SUM(AE51:AF51)-AH51</f>
        <v>0</v>
      </c>
      <c r="AH51" s="704"/>
      <c r="AI51" s="711">
        <f>Regular_cases_Aug[[#This Row],[EOM Cases]]</f>
        <v>0</v>
      </c>
      <c r="AJ51" s="704"/>
      <c r="AK51" s="711">
        <f>SUM(AI51:AJ51)-AL51</f>
        <v>0</v>
      </c>
      <c r="AL51" s="704"/>
      <c r="AM51" s="711">
        <f>Regular_cases_Sep[[#This Row],[EOM Cases]]</f>
        <v>0</v>
      </c>
      <c r="AN51" s="704">
        <v>5</v>
      </c>
      <c r="AO51" s="711">
        <f>SUM(AM51:AN51)-AP51</f>
        <v>-1</v>
      </c>
      <c r="AP51" s="704">
        <v>6</v>
      </c>
      <c r="AQ51" s="711">
        <f>Regular_cases_Oct[[#This Row],[EOM Cases]]</f>
        <v>6</v>
      </c>
      <c r="AR51" s="704"/>
      <c r="AS51" s="711">
        <f>SUM(AQ51:AR51)-AT51</f>
        <v>6</v>
      </c>
      <c r="AT51" s="704"/>
      <c r="AU51" s="711">
        <f>Regular_cases_Nov[[#This Row],[EOM Cases]]</f>
        <v>0</v>
      </c>
      <c r="AV51" s="704"/>
      <c r="AW51" s="711">
        <f>SUM(AU51:AV51)-AX51</f>
        <v>0</v>
      </c>
      <c r="AX51" s="704"/>
      <c r="AZ51" s="714"/>
      <c r="BA51" s="707"/>
      <c r="BB51" s="711">
        <f>SUM(AZ51:BA51)-BC51</f>
        <v>0</v>
      </c>
      <c r="BC51" s="708"/>
      <c r="BD51" s="714">
        <f>Eip_cases_jan[[#This Row],[EOM Cases]]</f>
        <v>0</v>
      </c>
      <c r="BE51" s="707"/>
      <c r="BF51" s="711">
        <f>SUM(BD51:BE51)-BG51</f>
        <v>0</v>
      </c>
      <c r="BG51" s="708"/>
      <c r="BH51" s="714">
        <f>Eip_cases_feb[[#This Row],[EOM Cases]]</f>
        <v>0</v>
      </c>
      <c r="BI51" s="707"/>
      <c r="BJ51" s="711">
        <f>SUM(BH51:BI51)-BK51</f>
        <v>0</v>
      </c>
      <c r="BK51" s="708"/>
      <c r="BL51" s="714">
        <f>Eip_cases_mar[[#This Row],[EOM Cases]]</f>
        <v>0</v>
      </c>
      <c r="BM51" s="707"/>
      <c r="BN51" s="711">
        <f>SUM(BL51:BM51)-BO51</f>
        <v>0</v>
      </c>
      <c r="BO51" s="708"/>
      <c r="BP51" s="714">
        <f>Eip_cases_Apr[[#This Row],[EOM Cases]]</f>
        <v>0</v>
      </c>
      <c r="BQ51" s="707"/>
      <c r="BR51" s="711">
        <f>SUM(BP51:BQ51)-BS51</f>
        <v>0</v>
      </c>
      <c r="BS51" s="708"/>
      <c r="BT51" s="714">
        <f>Eip_cases_May[[#This Row],[EOM Cases]]</f>
        <v>0</v>
      </c>
      <c r="BU51" s="707"/>
      <c r="BV51" s="711">
        <f>SUM(BT51:BU51)-BW51</f>
        <v>0</v>
      </c>
      <c r="BW51" s="708"/>
      <c r="BX51" s="714">
        <f>Eip_cases_Jun[[#This Row],[EOM Cases]]</f>
        <v>0</v>
      </c>
      <c r="BY51" s="707"/>
      <c r="BZ51" s="711">
        <f>SUM(BX51:BY51)-CA51</f>
        <v>0</v>
      </c>
      <c r="CA51" s="708"/>
      <c r="CB51" s="714">
        <f>Eip_cases_Jul[[#This Row],[EOM Cases]]</f>
        <v>0</v>
      </c>
      <c r="CC51" s="707"/>
      <c r="CD51" s="711">
        <f>SUM(CB51:CC51)-CE51</f>
        <v>0</v>
      </c>
      <c r="CE51" s="708"/>
      <c r="CF51" s="714">
        <f>Eip_cases_Aug[[#This Row],[EOM Cases]]</f>
        <v>0</v>
      </c>
      <c r="CG51" s="707"/>
      <c r="CH51" s="711">
        <f>SUM(CF51:CG51)-CI51</f>
        <v>0</v>
      </c>
      <c r="CI51" s="708"/>
      <c r="CJ51" s="714">
        <f>Eip_cases_Sep[[#This Row],[EOM Cases]]</f>
        <v>0</v>
      </c>
      <c r="CK51" s="707"/>
      <c r="CL51" s="711">
        <f>SUM(CJ51:CK51)-CM51</f>
        <v>0</v>
      </c>
      <c r="CM51" s="708"/>
      <c r="CN51" s="714">
        <f>Eip_cases_Oct[[#This Row],[EOM Cases]]</f>
        <v>0</v>
      </c>
      <c r="CO51" s="707"/>
      <c r="CP51" s="711">
        <f>SUM(CN51:CO51)-CQ51</f>
        <v>0</v>
      </c>
      <c r="CQ51" s="708"/>
      <c r="CR51" s="714">
        <f>Eip_cases_Nov[[#This Row],[EOM Cases]]</f>
        <v>0</v>
      </c>
      <c r="CS51" s="707"/>
      <c r="CT51" s="711">
        <f>SUM(CR51:CS51)-CU51</f>
        <v>0</v>
      </c>
      <c r="CU51" s="708"/>
    </row>
    <row r="52" spans="2:99" ht="14.5" x14ac:dyDescent="0.35">
      <c r="B52" s="874" t="str">
        <f>'Nurse Hours'!B53</f>
        <v>deLuna, Peggy</v>
      </c>
      <c r="C52" s="701">
        <v>22</v>
      </c>
      <c r="D52" s="729">
        <v>4</v>
      </c>
      <c r="E52" s="711">
        <f t="shared" si="0"/>
        <v>1</v>
      </c>
      <c r="F52" s="732">
        <v>25</v>
      </c>
      <c r="G52" s="703">
        <f>Regular_cases_jan[[#This Row],[EOM Cases]]</f>
        <v>25</v>
      </c>
      <c r="H52" s="729">
        <v>0</v>
      </c>
      <c r="I52" s="711">
        <f t="shared" si="1"/>
        <v>2</v>
      </c>
      <c r="J52" s="732">
        <v>23</v>
      </c>
      <c r="K52" s="703">
        <f>Regular_cases_feb[[#This Row],[EOM Cases]]</f>
        <v>23</v>
      </c>
      <c r="L52" s="729">
        <v>1</v>
      </c>
      <c r="M52" s="711">
        <f t="shared" si="2"/>
        <v>3</v>
      </c>
      <c r="N52" s="734">
        <v>21</v>
      </c>
      <c r="O52" s="703">
        <f>Regular_cases_mar[[#This Row],[EOM Cases]]</f>
        <v>21</v>
      </c>
      <c r="P52" s="729">
        <v>1</v>
      </c>
      <c r="Q52" s="711">
        <f t="shared" si="3"/>
        <v>0</v>
      </c>
      <c r="R52" s="732">
        <v>22</v>
      </c>
      <c r="S52" s="703">
        <f>Regular_cases_apr[[#This Row],[EOM Cases]]</f>
        <v>22</v>
      </c>
      <c r="T52" s="729">
        <v>0</v>
      </c>
      <c r="U52" s="711">
        <f t="shared" si="4"/>
        <v>2</v>
      </c>
      <c r="V52" s="732">
        <v>20</v>
      </c>
      <c r="W52" s="632">
        <f>Regular_cases_may[[#This Row],[EOM Cases]]</f>
        <v>20</v>
      </c>
      <c r="X52" s="729">
        <v>2</v>
      </c>
      <c r="Y52" s="711">
        <f t="shared" si="5"/>
        <v>0</v>
      </c>
      <c r="Z52" s="704">
        <v>22</v>
      </c>
      <c r="AA52" s="711">
        <f>Regular_cases_jun[[#This Row],[EOM Cases]]</f>
        <v>22</v>
      </c>
      <c r="AB52" s="704">
        <v>2</v>
      </c>
      <c r="AC52" s="711">
        <f t="shared" si="6"/>
        <v>3</v>
      </c>
      <c r="AD52" s="704">
        <v>21</v>
      </c>
      <c r="AE52" s="711">
        <f>Regular_cases_jul[[#This Row],[EOM Cases]]</f>
        <v>21</v>
      </c>
      <c r="AF52" s="704">
        <v>2</v>
      </c>
      <c r="AG52" s="711">
        <f t="shared" si="7"/>
        <v>0</v>
      </c>
      <c r="AH52" s="704">
        <v>23</v>
      </c>
      <c r="AI52" s="711">
        <f>Regular_cases_Aug[[#This Row],[EOM Cases]]</f>
        <v>23</v>
      </c>
      <c r="AJ52" s="704">
        <v>2</v>
      </c>
      <c r="AK52" s="711">
        <f t="shared" si="8"/>
        <v>1</v>
      </c>
      <c r="AL52" s="704">
        <v>24</v>
      </c>
      <c r="AM52" s="711">
        <f>Regular_cases_Sep[[#This Row],[EOM Cases]]</f>
        <v>24</v>
      </c>
      <c r="AN52" s="704">
        <v>2</v>
      </c>
      <c r="AO52" s="711">
        <f t="shared" si="9"/>
        <v>3</v>
      </c>
      <c r="AP52" s="704">
        <v>23</v>
      </c>
      <c r="AQ52" s="711">
        <f>Regular_cases_Oct[[#This Row],[EOM Cases]]</f>
        <v>23</v>
      </c>
      <c r="AR52" s="704">
        <v>0</v>
      </c>
      <c r="AS52" s="711">
        <f t="shared" si="10"/>
        <v>23</v>
      </c>
      <c r="AT52" s="704">
        <v>0</v>
      </c>
      <c r="AU52" s="711">
        <f>Regular_cases_Nov[[#This Row],[EOM Cases]]</f>
        <v>0</v>
      </c>
      <c r="AV52" s="704">
        <v>0</v>
      </c>
      <c r="AW52" s="711">
        <f t="shared" si="11"/>
        <v>0</v>
      </c>
      <c r="AX52" s="704">
        <v>0</v>
      </c>
      <c r="AZ52" s="714">
        <v>0</v>
      </c>
      <c r="BA52" s="707">
        <v>0</v>
      </c>
      <c r="BB52" s="711">
        <f t="shared" si="12"/>
        <v>0</v>
      </c>
      <c r="BC52" s="708">
        <v>0</v>
      </c>
      <c r="BD52" s="714">
        <f>Eip_cases_jan[[#This Row],[EOM Cases]]</f>
        <v>0</v>
      </c>
      <c r="BE52" s="707">
        <v>0</v>
      </c>
      <c r="BF52" s="711">
        <f t="shared" si="13"/>
        <v>0</v>
      </c>
      <c r="BG52" s="708">
        <v>0</v>
      </c>
      <c r="BH52" s="714">
        <f>Eip_cases_feb[[#This Row],[EOM Cases]]</f>
        <v>0</v>
      </c>
      <c r="BI52" s="707">
        <v>0</v>
      </c>
      <c r="BJ52" s="711">
        <f t="shared" si="14"/>
        <v>0</v>
      </c>
      <c r="BK52" s="708">
        <v>0</v>
      </c>
      <c r="BL52" s="714">
        <f>Eip_cases_mar[[#This Row],[EOM Cases]]</f>
        <v>0</v>
      </c>
      <c r="BM52" s="707">
        <v>0</v>
      </c>
      <c r="BN52" s="711">
        <f t="shared" si="15"/>
        <v>0</v>
      </c>
      <c r="BO52" s="708">
        <v>0</v>
      </c>
      <c r="BP52" s="714">
        <f>Eip_cases_Apr[[#This Row],[EOM Cases]]</f>
        <v>0</v>
      </c>
      <c r="BQ52" s="707">
        <v>0</v>
      </c>
      <c r="BR52" s="711">
        <f t="shared" si="16"/>
        <v>0</v>
      </c>
      <c r="BS52" s="708">
        <v>0</v>
      </c>
      <c r="BT52" s="714">
        <f>Eip_cases_May[[#This Row],[EOM Cases]]</f>
        <v>0</v>
      </c>
      <c r="BU52" s="707">
        <v>0</v>
      </c>
      <c r="BV52" s="711">
        <f t="shared" si="17"/>
        <v>0</v>
      </c>
      <c r="BW52" s="708">
        <v>0</v>
      </c>
      <c r="BX52" s="714">
        <f>Eip_cases_Jun[[#This Row],[EOM Cases]]</f>
        <v>0</v>
      </c>
      <c r="BY52" s="707">
        <v>0</v>
      </c>
      <c r="BZ52" s="711">
        <f t="shared" si="18"/>
        <v>0</v>
      </c>
      <c r="CA52" s="708">
        <v>0</v>
      </c>
      <c r="CB52" s="714">
        <f>Eip_cases_Jul[[#This Row],[EOM Cases]]</f>
        <v>0</v>
      </c>
      <c r="CC52" s="707">
        <v>0</v>
      </c>
      <c r="CD52" s="711">
        <f t="shared" si="19"/>
        <v>0</v>
      </c>
      <c r="CE52" s="708">
        <v>0</v>
      </c>
      <c r="CF52" s="714">
        <f>Eip_cases_Aug[[#This Row],[EOM Cases]]</f>
        <v>0</v>
      </c>
      <c r="CG52" s="707">
        <v>0</v>
      </c>
      <c r="CH52" s="711">
        <f t="shared" si="20"/>
        <v>0</v>
      </c>
      <c r="CI52" s="708">
        <v>0</v>
      </c>
      <c r="CJ52" s="714">
        <f>Eip_cases_Sep[[#This Row],[EOM Cases]]</f>
        <v>0</v>
      </c>
      <c r="CK52" s="707">
        <v>0</v>
      </c>
      <c r="CL52" s="711">
        <f t="shared" si="21"/>
        <v>0</v>
      </c>
      <c r="CM52" s="708">
        <v>0</v>
      </c>
      <c r="CN52" s="714">
        <f>Eip_cases_Oct[[#This Row],[EOM Cases]]</f>
        <v>0</v>
      </c>
      <c r="CO52" s="707">
        <v>0</v>
      </c>
      <c r="CP52" s="711">
        <f t="shared" si="22"/>
        <v>0</v>
      </c>
      <c r="CQ52" s="708">
        <v>0</v>
      </c>
      <c r="CR52" s="714">
        <f>Eip_cases_Nov[[#This Row],[EOM Cases]]</f>
        <v>0</v>
      </c>
      <c r="CS52" s="707">
        <v>0</v>
      </c>
      <c r="CT52" s="711">
        <f t="shared" si="23"/>
        <v>0</v>
      </c>
      <c r="CU52" s="708">
        <v>0</v>
      </c>
    </row>
    <row r="53" spans="2:99" ht="14.5" x14ac:dyDescent="0.35">
      <c r="B53" s="874" t="str">
        <f>'Nurse Hours'!B54</f>
        <v>Deogny, Linda</v>
      </c>
      <c r="C53" s="701">
        <v>11</v>
      </c>
      <c r="D53" s="729">
        <v>2</v>
      </c>
      <c r="E53" s="711">
        <f t="shared" si="0"/>
        <v>2</v>
      </c>
      <c r="F53" s="732">
        <v>11</v>
      </c>
      <c r="G53" s="703">
        <f>Regular_cases_jan[[#This Row],[EOM Cases]]</f>
        <v>11</v>
      </c>
      <c r="H53" s="729">
        <v>2</v>
      </c>
      <c r="I53" s="711">
        <f t="shared" si="1"/>
        <v>0</v>
      </c>
      <c r="J53" s="732">
        <v>13</v>
      </c>
      <c r="K53" s="703">
        <f>Regular_cases_feb[[#This Row],[EOM Cases]]</f>
        <v>13</v>
      </c>
      <c r="L53" s="729">
        <v>0</v>
      </c>
      <c r="M53" s="711">
        <f t="shared" si="2"/>
        <v>0</v>
      </c>
      <c r="N53" s="734">
        <v>13</v>
      </c>
      <c r="O53" s="703">
        <f>Regular_cases_mar[[#This Row],[EOM Cases]]</f>
        <v>13</v>
      </c>
      <c r="P53" s="729">
        <v>6</v>
      </c>
      <c r="Q53" s="711">
        <f t="shared" si="3"/>
        <v>6</v>
      </c>
      <c r="R53" s="732">
        <v>13</v>
      </c>
      <c r="S53" s="703">
        <f>Regular_cases_apr[[#This Row],[EOM Cases]]</f>
        <v>13</v>
      </c>
      <c r="T53" s="729">
        <v>1</v>
      </c>
      <c r="U53" s="711">
        <f t="shared" si="4"/>
        <v>2</v>
      </c>
      <c r="V53" s="732">
        <v>12</v>
      </c>
      <c r="W53" s="632">
        <f>Regular_cases_may[[#This Row],[EOM Cases]]</f>
        <v>12</v>
      </c>
      <c r="X53" s="729">
        <v>4</v>
      </c>
      <c r="Y53" s="711">
        <f t="shared" si="5"/>
        <v>0</v>
      </c>
      <c r="Z53" s="704">
        <v>16</v>
      </c>
      <c r="AA53" s="711">
        <f>Regular_cases_jun[[#This Row],[EOM Cases]]</f>
        <v>16</v>
      </c>
      <c r="AB53" s="704">
        <v>0</v>
      </c>
      <c r="AC53" s="711">
        <f t="shared" si="6"/>
        <v>1</v>
      </c>
      <c r="AD53" s="704">
        <v>15</v>
      </c>
      <c r="AE53" s="711">
        <f>Regular_cases_jul[[#This Row],[EOM Cases]]</f>
        <v>15</v>
      </c>
      <c r="AF53" s="704">
        <v>1</v>
      </c>
      <c r="AG53" s="711">
        <f t="shared" si="7"/>
        <v>1</v>
      </c>
      <c r="AH53" s="704">
        <v>15</v>
      </c>
      <c r="AI53" s="711">
        <f>Regular_cases_Aug[[#This Row],[EOM Cases]]</f>
        <v>15</v>
      </c>
      <c r="AJ53" s="704">
        <v>4</v>
      </c>
      <c r="AK53" s="711">
        <f t="shared" si="8"/>
        <v>1</v>
      </c>
      <c r="AL53" s="704">
        <v>18</v>
      </c>
      <c r="AM53" s="711">
        <f>Regular_cases_Sep[[#This Row],[EOM Cases]]</f>
        <v>18</v>
      </c>
      <c r="AN53" s="704">
        <v>3</v>
      </c>
      <c r="AO53" s="711">
        <f t="shared" si="9"/>
        <v>3</v>
      </c>
      <c r="AP53" s="704">
        <v>18</v>
      </c>
      <c r="AQ53" s="711">
        <f>Regular_cases_Oct[[#This Row],[EOM Cases]]</f>
        <v>18</v>
      </c>
      <c r="AR53" s="704">
        <v>0</v>
      </c>
      <c r="AS53" s="711">
        <f t="shared" si="10"/>
        <v>18</v>
      </c>
      <c r="AT53" s="704">
        <v>0</v>
      </c>
      <c r="AU53" s="711">
        <f>Regular_cases_Nov[[#This Row],[EOM Cases]]</f>
        <v>0</v>
      </c>
      <c r="AV53" s="704">
        <v>0</v>
      </c>
      <c r="AW53" s="711">
        <f t="shared" si="11"/>
        <v>0</v>
      </c>
      <c r="AX53" s="704">
        <v>0</v>
      </c>
      <c r="AZ53" s="714">
        <v>0</v>
      </c>
      <c r="BA53" s="707">
        <v>0</v>
      </c>
      <c r="BB53" s="711">
        <f t="shared" si="12"/>
        <v>0</v>
      </c>
      <c r="BC53" s="708">
        <v>0</v>
      </c>
      <c r="BD53" s="714">
        <f>Eip_cases_jan[[#This Row],[EOM Cases]]</f>
        <v>0</v>
      </c>
      <c r="BE53" s="707">
        <v>0</v>
      </c>
      <c r="BF53" s="711">
        <f t="shared" si="13"/>
        <v>0</v>
      </c>
      <c r="BG53" s="708">
        <v>0</v>
      </c>
      <c r="BH53" s="714">
        <f>Eip_cases_feb[[#This Row],[EOM Cases]]</f>
        <v>0</v>
      </c>
      <c r="BI53" s="707">
        <v>0</v>
      </c>
      <c r="BJ53" s="711">
        <f t="shared" si="14"/>
        <v>0</v>
      </c>
      <c r="BK53" s="708">
        <v>0</v>
      </c>
      <c r="BL53" s="714">
        <f>Eip_cases_mar[[#This Row],[EOM Cases]]</f>
        <v>0</v>
      </c>
      <c r="BM53" s="707">
        <v>0</v>
      </c>
      <c r="BN53" s="711">
        <f t="shared" si="15"/>
        <v>0</v>
      </c>
      <c r="BO53" s="708">
        <v>0</v>
      </c>
      <c r="BP53" s="714">
        <f>Eip_cases_Apr[[#This Row],[EOM Cases]]</f>
        <v>0</v>
      </c>
      <c r="BQ53" s="707">
        <v>0</v>
      </c>
      <c r="BR53" s="711">
        <f t="shared" si="16"/>
        <v>0</v>
      </c>
      <c r="BS53" s="708">
        <v>0</v>
      </c>
      <c r="BT53" s="714">
        <f>Eip_cases_May[[#This Row],[EOM Cases]]</f>
        <v>0</v>
      </c>
      <c r="BU53" s="707">
        <v>0</v>
      </c>
      <c r="BV53" s="711">
        <f t="shared" si="17"/>
        <v>0</v>
      </c>
      <c r="BW53" s="708">
        <v>0</v>
      </c>
      <c r="BX53" s="714">
        <f>Eip_cases_Jun[[#This Row],[EOM Cases]]</f>
        <v>0</v>
      </c>
      <c r="BY53" s="707">
        <v>0</v>
      </c>
      <c r="BZ53" s="711">
        <f t="shared" si="18"/>
        <v>0</v>
      </c>
      <c r="CA53" s="708">
        <v>0</v>
      </c>
      <c r="CB53" s="714">
        <f>Eip_cases_Jul[[#This Row],[EOM Cases]]</f>
        <v>0</v>
      </c>
      <c r="CC53" s="707">
        <v>0</v>
      </c>
      <c r="CD53" s="711">
        <f t="shared" si="19"/>
        <v>0</v>
      </c>
      <c r="CE53" s="708">
        <v>0</v>
      </c>
      <c r="CF53" s="714">
        <f>Eip_cases_Aug[[#This Row],[EOM Cases]]</f>
        <v>0</v>
      </c>
      <c r="CG53" s="707">
        <v>0</v>
      </c>
      <c r="CH53" s="711">
        <f t="shared" si="20"/>
        <v>0</v>
      </c>
      <c r="CI53" s="708">
        <v>0</v>
      </c>
      <c r="CJ53" s="714">
        <f>Eip_cases_Sep[[#This Row],[EOM Cases]]</f>
        <v>0</v>
      </c>
      <c r="CK53" s="707">
        <v>0</v>
      </c>
      <c r="CL53" s="711">
        <f t="shared" si="21"/>
        <v>0</v>
      </c>
      <c r="CM53" s="708">
        <v>0</v>
      </c>
      <c r="CN53" s="714">
        <f>Eip_cases_Oct[[#This Row],[EOM Cases]]</f>
        <v>0</v>
      </c>
      <c r="CO53" s="707">
        <v>0</v>
      </c>
      <c r="CP53" s="711">
        <f t="shared" si="22"/>
        <v>0</v>
      </c>
      <c r="CQ53" s="708">
        <v>0</v>
      </c>
      <c r="CR53" s="714">
        <f>Eip_cases_Nov[[#This Row],[EOM Cases]]</f>
        <v>0</v>
      </c>
      <c r="CS53" s="707">
        <v>0</v>
      </c>
      <c r="CT53" s="711">
        <f t="shared" si="23"/>
        <v>0</v>
      </c>
      <c r="CU53" s="708">
        <v>0</v>
      </c>
    </row>
    <row r="54" spans="2:99" ht="14.5" x14ac:dyDescent="0.35">
      <c r="B54" s="874" t="str">
        <f>'Nurse Hours'!B55</f>
        <v>Erno, Susan</v>
      </c>
      <c r="C54" s="701">
        <v>2</v>
      </c>
      <c r="D54" s="729">
        <v>0</v>
      </c>
      <c r="E54" s="711">
        <f t="shared" si="0"/>
        <v>0</v>
      </c>
      <c r="F54" s="732">
        <v>2</v>
      </c>
      <c r="G54" s="703">
        <f>Regular_cases_jan[[#This Row],[EOM Cases]]</f>
        <v>2</v>
      </c>
      <c r="H54" s="729">
        <v>0</v>
      </c>
      <c r="I54" s="711">
        <f t="shared" si="1"/>
        <v>0</v>
      </c>
      <c r="J54" s="732">
        <v>2</v>
      </c>
      <c r="K54" s="703">
        <f>Regular_cases_feb[[#This Row],[EOM Cases]]</f>
        <v>2</v>
      </c>
      <c r="L54" s="729">
        <v>0</v>
      </c>
      <c r="M54" s="711">
        <f t="shared" si="2"/>
        <v>1</v>
      </c>
      <c r="N54" s="734">
        <v>1</v>
      </c>
      <c r="O54" s="703">
        <f>Regular_cases_mar[[#This Row],[EOM Cases]]</f>
        <v>1</v>
      </c>
      <c r="P54" s="729">
        <v>1</v>
      </c>
      <c r="Q54" s="711">
        <f t="shared" si="3"/>
        <v>0</v>
      </c>
      <c r="R54" s="732">
        <v>2</v>
      </c>
      <c r="S54" s="703">
        <f>Regular_cases_apr[[#This Row],[EOM Cases]]</f>
        <v>2</v>
      </c>
      <c r="T54" s="729">
        <v>0</v>
      </c>
      <c r="U54" s="711">
        <f t="shared" si="4"/>
        <v>1</v>
      </c>
      <c r="V54" s="732">
        <v>1</v>
      </c>
      <c r="W54" s="632">
        <f>Regular_cases_may[[#This Row],[EOM Cases]]</f>
        <v>1</v>
      </c>
      <c r="X54" s="729">
        <v>0</v>
      </c>
      <c r="Y54" s="711">
        <f t="shared" si="5"/>
        <v>0</v>
      </c>
      <c r="Z54" s="704">
        <v>1</v>
      </c>
      <c r="AA54" s="711">
        <f>Regular_cases_jun[[#This Row],[EOM Cases]]</f>
        <v>1</v>
      </c>
      <c r="AB54" s="704">
        <v>0</v>
      </c>
      <c r="AC54" s="711">
        <f t="shared" si="6"/>
        <v>0</v>
      </c>
      <c r="AD54" s="704">
        <v>1</v>
      </c>
      <c r="AE54" s="711">
        <f>Regular_cases_jul[[#This Row],[EOM Cases]]</f>
        <v>1</v>
      </c>
      <c r="AF54" s="704">
        <v>0</v>
      </c>
      <c r="AG54" s="711">
        <f t="shared" si="7"/>
        <v>1</v>
      </c>
      <c r="AH54" s="704">
        <v>0</v>
      </c>
      <c r="AI54" s="711">
        <f>Regular_cases_Aug[[#This Row],[EOM Cases]]</f>
        <v>0</v>
      </c>
      <c r="AJ54" s="704">
        <v>0</v>
      </c>
      <c r="AK54" s="711">
        <f t="shared" si="8"/>
        <v>0</v>
      </c>
      <c r="AL54" s="704">
        <v>0</v>
      </c>
      <c r="AM54" s="711">
        <f>Regular_cases_Sep[[#This Row],[EOM Cases]]</f>
        <v>0</v>
      </c>
      <c r="AN54" s="704">
        <v>0</v>
      </c>
      <c r="AO54" s="711">
        <f t="shared" si="9"/>
        <v>0</v>
      </c>
      <c r="AP54" s="704">
        <v>0</v>
      </c>
      <c r="AQ54" s="711">
        <f>Regular_cases_Oct[[#This Row],[EOM Cases]]</f>
        <v>0</v>
      </c>
      <c r="AR54" s="704">
        <v>0</v>
      </c>
      <c r="AS54" s="711">
        <f t="shared" si="10"/>
        <v>0</v>
      </c>
      <c r="AT54" s="704">
        <v>0</v>
      </c>
      <c r="AU54" s="711">
        <f>Regular_cases_Nov[[#This Row],[EOM Cases]]</f>
        <v>0</v>
      </c>
      <c r="AV54" s="704">
        <v>0</v>
      </c>
      <c r="AW54" s="711">
        <f t="shared" si="11"/>
        <v>0</v>
      </c>
      <c r="AX54" s="704">
        <v>0</v>
      </c>
      <c r="AZ54" s="714">
        <v>45</v>
      </c>
      <c r="BA54" s="707">
        <v>9</v>
      </c>
      <c r="BB54" s="711">
        <f t="shared" si="12"/>
        <v>11</v>
      </c>
      <c r="BC54" s="708">
        <v>43</v>
      </c>
      <c r="BD54" s="714">
        <f>Eip_cases_jan[[#This Row],[EOM Cases]]</f>
        <v>43</v>
      </c>
      <c r="BE54" s="707">
        <v>9</v>
      </c>
      <c r="BF54" s="711">
        <f t="shared" si="13"/>
        <v>6</v>
      </c>
      <c r="BG54" s="708">
        <v>46</v>
      </c>
      <c r="BH54" s="714">
        <f>Eip_cases_feb[[#This Row],[EOM Cases]]</f>
        <v>46</v>
      </c>
      <c r="BI54" s="707">
        <v>18</v>
      </c>
      <c r="BJ54" s="711">
        <f t="shared" si="14"/>
        <v>5</v>
      </c>
      <c r="BK54" s="708">
        <v>59</v>
      </c>
      <c r="BL54" s="714">
        <f>Eip_cases_mar[[#This Row],[EOM Cases]]</f>
        <v>59</v>
      </c>
      <c r="BM54" s="707">
        <v>12</v>
      </c>
      <c r="BN54" s="711">
        <f t="shared" si="15"/>
        <v>11</v>
      </c>
      <c r="BO54" s="708">
        <v>60</v>
      </c>
      <c r="BP54" s="714">
        <f>Eip_cases_Apr[[#This Row],[EOM Cases]]</f>
        <v>60</v>
      </c>
      <c r="BQ54" s="707">
        <v>7</v>
      </c>
      <c r="BR54" s="711">
        <f t="shared" si="16"/>
        <v>16</v>
      </c>
      <c r="BS54" s="708">
        <v>51</v>
      </c>
      <c r="BT54" s="714">
        <f>Eip_cases_May[[#This Row],[EOM Cases]]</f>
        <v>51</v>
      </c>
      <c r="BU54" s="707">
        <v>3</v>
      </c>
      <c r="BV54" s="711">
        <f t="shared" si="17"/>
        <v>11</v>
      </c>
      <c r="BW54" s="708">
        <v>43</v>
      </c>
      <c r="BX54" s="714">
        <f>Eip_cases_Jun[[#This Row],[EOM Cases]]</f>
        <v>43</v>
      </c>
      <c r="BY54" s="707">
        <v>8</v>
      </c>
      <c r="BZ54" s="711">
        <f t="shared" si="18"/>
        <v>16</v>
      </c>
      <c r="CA54" s="708">
        <v>35</v>
      </c>
      <c r="CB54" s="714">
        <f>Eip_cases_Jul[[#This Row],[EOM Cases]]</f>
        <v>35</v>
      </c>
      <c r="CC54" s="707">
        <v>0</v>
      </c>
      <c r="CD54" s="711">
        <f t="shared" si="19"/>
        <v>35</v>
      </c>
      <c r="CE54" s="708">
        <v>0</v>
      </c>
      <c r="CF54" s="714">
        <f>Eip_cases_Aug[[#This Row],[EOM Cases]]</f>
        <v>0</v>
      </c>
      <c r="CG54" s="707">
        <v>0</v>
      </c>
      <c r="CH54" s="711">
        <f t="shared" si="20"/>
        <v>0</v>
      </c>
      <c r="CI54" s="708">
        <v>0</v>
      </c>
      <c r="CJ54" s="714">
        <f>Eip_cases_Sep[[#This Row],[EOM Cases]]</f>
        <v>0</v>
      </c>
      <c r="CK54" s="707">
        <v>0</v>
      </c>
      <c r="CL54" s="711">
        <f t="shared" si="21"/>
        <v>0</v>
      </c>
      <c r="CM54" s="708">
        <v>0</v>
      </c>
      <c r="CN54" s="714">
        <f>Eip_cases_Oct[[#This Row],[EOM Cases]]</f>
        <v>0</v>
      </c>
      <c r="CO54" s="707">
        <v>0</v>
      </c>
      <c r="CP54" s="711">
        <f t="shared" si="22"/>
        <v>0</v>
      </c>
      <c r="CQ54" s="708">
        <v>0</v>
      </c>
      <c r="CR54" s="714">
        <f>Eip_cases_Nov[[#This Row],[EOM Cases]]</f>
        <v>0</v>
      </c>
      <c r="CS54" s="707">
        <v>0</v>
      </c>
      <c r="CT54" s="711">
        <f t="shared" si="23"/>
        <v>0</v>
      </c>
      <c r="CU54" s="708">
        <v>0</v>
      </c>
    </row>
    <row r="55" spans="2:99" ht="14.5" x14ac:dyDescent="0.35">
      <c r="B55" s="874" t="str">
        <f>'Nurse Hours'!B56</f>
        <v xml:space="preserve">Fortner, Jared </v>
      </c>
      <c r="C55" s="792">
        <v>0</v>
      </c>
      <c r="D55" s="793">
        <v>0</v>
      </c>
      <c r="E55" s="711">
        <f t="shared" si="0"/>
        <v>0</v>
      </c>
      <c r="F55" s="794">
        <v>0</v>
      </c>
      <c r="G55" s="703">
        <f>Regular_cases_jan[[#This Row],[EOM Cases]]</f>
        <v>0</v>
      </c>
      <c r="H55" s="793">
        <v>0</v>
      </c>
      <c r="I55" s="711">
        <f t="shared" si="1"/>
        <v>0</v>
      </c>
      <c r="J55" s="794">
        <v>0</v>
      </c>
      <c r="K55" s="703">
        <f>Regular_cases_feb[[#This Row],[EOM Cases]]</f>
        <v>0</v>
      </c>
      <c r="L55" s="793">
        <v>0</v>
      </c>
      <c r="M55" s="711">
        <f t="shared" si="2"/>
        <v>0</v>
      </c>
      <c r="N55" s="795">
        <v>0</v>
      </c>
      <c r="O55" s="703">
        <f>Regular_cases_mar[[#This Row],[EOM Cases]]</f>
        <v>0</v>
      </c>
      <c r="P55" s="793">
        <v>0</v>
      </c>
      <c r="Q55" s="711">
        <f t="shared" si="3"/>
        <v>0</v>
      </c>
      <c r="R55" s="794">
        <v>0</v>
      </c>
      <c r="S55" s="703">
        <f>Regular_cases_apr[[#This Row],[EOM Cases]]</f>
        <v>0</v>
      </c>
      <c r="T55" s="793">
        <v>4</v>
      </c>
      <c r="U55" s="711">
        <f t="shared" si="4"/>
        <v>1</v>
      </c>
      <c r="V55" s="794">
        <v>3</v>
      </c>
      <c r="W55" s="796">
        <f>Regular_cases_may[[#This Row],[EOM Cases]]</f>
        <v>3</v>
      </c>
      <c r="X55" s="793">
        <v>4</v>
      </c>
      <c r="Y55" s="711">
        <f t="shared" si="5"/>
        <v>-2</v>
      </c>
      <c r="Z55" s="704">
        <v>9</v>
      </c>
      <c r="AA55" s="711">
        <f>Regular_cases_jun[[#This Row],[EOM Cases]]</f>
        <v>9</v>
      </c>
      <c r="AB55" s="704">
        <v>2</v>
      </c>
      <c r="AC55" s="711">
        <f t="shared" si="6"/>
        <v>-1</v>
      </c>
      <c r="AD55" s="704">
        <v>12</v>
      </c>
      <c r="AE55" s="711">
        <f>Regular_cases_jul[[#This Row],[EOM Cases]]</f>
        <v>12</v>
      </c>
      <c r="AF55" s="704">
        <v>0</v>
      </c>
      <c r="AG55" s="711">
        <f t="shared" si="7"/>
        <v>1</v>
      </c>
      <c r="AH55" s="704">
        <v>11</v>
      </c>
      <c r="AI55" s="711">
        <f>Regular_cases_Aug[[#This Row],[EOM Cases]]</f>
        <v>11</v>
      </c>
      <c r="AJ55" s="704">
        <v>2</v>
      </c>
      <c r="AK55" s="711">
        <f t="shared" si="8"/>
        <v>2</v>
      </c>
      <c r="AL55" s="704">
        <v>11</v>
      </c>
      <c r="AM55" s="711">
        <f>Regular_cases_Sep[[#This Row],[EOM Cases]]</f>
        <v>11</v>
      </c>
      <c r="AN55" s="704">
        <v>7</v>
      </c>
      <c r="AO55" s="711">
        <f t="shared" si="9"/>
        <v>-1</v>
      </c>
      <c r="AP55" s="704">
        <v>19</v>
      </c>
      <c r="AQ55" s="711">
        <f>Regular_cases_Oct[[#This Row],[EOM Cases]]</f>
        <v>19</v>
      </c>
      <c r="AR55" s="704">
        <v>0</v>
      </c>
      <c r="AS55" s="711">
        <f t="shared" si="10"/>
        <v>19</v>
      </c>
      <c r="AT55" s="704">
        <v>0</v>
      </c>
      <c r="AU55" s="711">
        <f>Regular_cases_Nov[[#This Row],[EOM Cases]]</f>
        <v>0</v>
      </c>
      <c r="AV55" s="704">
        <v>0</v>
      </c>
      <c r="AW55" s="711">
        <f t="shared" si="11"/>
        <v>0</v>
      </c>
      <c r="AX55" s="704">
        <v>0</v>
      </c>
      <c r="AZ55" s="714">
        <v>0</v>
      </c>
      <c r="BA55" s="707">
        <v>0</v>
      </c>
      <c r="BB55" s="711">
        <f t="shared" si="12"/>
        <v>0</v>
      </c>
      <c r="BC55" s="708">
        <v>0</v>
      </c>
      <c r="BD55" s="714">
        <f>Eip_cases_jan[[#This Row],[EOM Cases]]</f>
        <v>0</v>
      </c>
      <c r="BE55" s="707">
        <v>0</v>
      </c>
      <c r="BF55" s="711">
        <f t="shared" si="13"/>
        <v>0</v>
      </c>
      <c r="BG55" s="708">
        <v>0</v>
      </c>
      <c r="BH55" s="714">
        <f>Eip_cases_feb[[#This Row],[EOM Cases]]</f>
        <v>0</v>
      </c>
      <c r="BI55" s="707">
        <v>0</v>
      </c>
      <c r="BJ55" s="711">
        <f t="shared" si="14"/>
        <v>0</v>
      </c>
      <c r="BK55" s="708">
        <v>0</v>
      </c>
      <c r="BL55" s="714">
        <f>Eip_cases_mar[[#This Row],[EOM Cases]]</f>
        <v>0</v>
      </c>
      <c r="BM55" s="707">
        <v>0</v>
      </c>
      <c r="BN55" s="711">
        <f t="shared" si="15"/>
        <v>0</v>
      </c>
      <c r="BO55" s="708">
        <v>0</v>
      </c>
      <c r="BP55" s="714">
        <f>Eip_cases_Apr[[#This Row],[EOM Cases]]</f>
        <v>0</v>
      </c>
      <c r="BQ55" s="707">
        <v>0</v>
      </c>
      <c r="BR55" s="711">
        <f t="shared" si="16"/>
        <v>0</v>
      </c>
      <c r="BS55" s="708">
        <v>0</v>
      </c>
      <c r="BT55" s="714">
        <f>Eip_cases_May[[#This Row],[EOM Cases]]</f>
        <v>0</v>
      </c>
      <c r="BU55" s="707">
        <v>0</v>
      </c>
      <c r="BV55" s="711">
        <f t="shared" si="17"/>
        <v>0</v>
      </c>
      <c r="BW55" s="708">
        <v>0</v>
      </c>
      <c r="BX55" s="714">
        <f>Eip_cases_Jun[[#This Row],[EOM Cases]]</f>
        <v>0</v>
      </c>
      <c r="BY55" s="707">
        <v>0</v>
      </c>
      <c r="BZ55" s="711">
        <f t="shared" si="18"/>
        <v>0</v>
      </c>
      <c r="CA55" s="708">
        <v>0</v>
      </c>
      <c r="CB55" s="714">
        <f>Eip_cases_Jul[[#This Row],[EOM Cases]]</f>
        <v>0</v>
      </c>
      <c r="CC55" s="707">
        <v>1</v>
      </c>
      <c r="CD55" s="711">
        <f t="shared" si="19"/>
        <v>-5</v>
      </c>
      <c r="CE55" s="708">
        <v>6</v>
      </c>
      <c r="CF55" s="714">
        <f>Eip_cases_Aug[[#This Row],[EOM Cases]]</f>
        <v>6</v>
      </c>
      <c r="CG55" s="707">
        <v>0</v>
      </c>
      <c r="CH55" s="711">
        <f t="shared" si="20"/>
        <v>0</v>
      </c>
      <c r="CI55" s="708">
        <v>6</v>
      </c>
      <c r="CJ55" s="714">
        <f>Eip_cases_Sep[[#This Row],[EOM Cases]]</f>
        <v>6</v>
      </c>
      <c r="CK55" s="707">
        <v>0</v>
      </c>
      <c r="CL55" s="711">
        <f t="shared" si="21"/>
        <v>3</v>
      </c>
      <c r="CM55" s="708">
        <v>3</v>
      </c>
      <c r="CN55" s="714">
        <f>Eip_cases_Oct[[#This Row],[EOM Cases]]</f>
        <v>3</v>
      </c>
      <c r="CO55" s="707">
        <v>0</v>
      </c>
      <c r="CP55" s="711">
        <f t="shared" si="22"/>
        <v>3</v>
      </c>
      <c r="CQ55" s="708">
        <v>0</v>
      </c>
      <c r="CR55" s="714">
        <f>Eip_cases_Nov[[#This Row],[EOM Cases]]</f>
        <v>0</v>
      </c>
      <c r="CS55" s="707">
        <v>0</v>
      </c>
      <c r="CT55" s="711">
        <f t="shared" si="23"/>
        <v>0</v>
      </c>
      <c r="CU55" s="708">
        <v>0</v>
      </c>
    </row>
    <row r="56" spans="2:99" ht="14.5" x14ac:dyDescent="0.35">
      <c r="B56" s="874" t="str">
        <f>'Nurse Hours'!B57</f>
        <v>Fortner, Michael</v>
      </c>
      <c r="C56" s="701">
        <v>22</v>
      </c>
      <c r="D56" s="729">
        <v>3</v>
      </c>
      <c r="E56" s="711">
        <f t="shared" si="0"/>
        <v>1</v>
      </c>
      <c r="F56" s="732">
        <v>24</v>
      </c>
      <c r="G56" s="703">
        <f>Regular_cases_jan[[#This Row],[EOM Cases]]</f>
        <v>24</v>
      </c>
      <c r="H56" s="729">
        <v>2</v>
      </c>
      <c r="I56" s="711">
        <f t="shared" si="1"/>
        <v>1</v>
      </c>
      <c r="J56" s="732">
        <v>25</v>
      </c>
      <c r="K56" s="703">
        <f>Regular_cases_feb[[#This Row],[EOM Cases]]</f>
        <v>25</v>
      </c>
      <c r="L56" s="729">
        <v>2</v>
      </c>
      <c r="M56" s="711">
        <f t="shared" si="2"/>
        <v>4</v>
      </c>
      <c r="N56" s="734">
        <v>23</v>
      </c>
      <c r="O56" s="703">
        <f>Regular_cases_mar[[#This Row],[EOM Cases]]</f>
        <v>23</v>
      </c>
      <c r="P56" s="729">
        <v>0</v>
      </c>
      <c r="Q56" s="711">
        <f t="shared" si="3"/>
        <v>2</v>
      </c>
      <c r="R56" s="732">
        <v>21</v>
      </c>
      <c r="S56" s="703">
        <f>Regular_cases_apr[[#This Row],[EOM Cases]]</f>
        <v>21</v>
      </c>
      <c r="T56" s="729">
        <v>1</v>
      </c>
      <c r="U56" s="711">
        <f t="shared" si="4"/>
        <v>3</v>
      </c>
      <c r="V56" s="732">
        <v>19</v>
      </c>
      <c r="W56" s="632">
        <f>Regular_cases_may[[#This Row],[EOM Cases]]</f>
        <v>19</v>
      </c>
      <c r="X56" s="729">
        <v>1</v>
      </c>
      <c r="Y56" s="711">
        <f t="shared" si="5"/>
        <v>-2</v>
      </c>
      <c r="Z56" s="704">
        <v>22</v>
      </c>
      <c r="AA56" s="711">
        <f>Regular_cases_jun[[#This Row],[EOM Cases]]</f>
        <v>22</v>
      </c>
      <c r="AB56" s="704">
        <v>0</v>
      </c>
      <c r="AC56" s="711">
        <f t="shared" si="6"/>
        <v>0</v>
      </c>
      <c r="AD56" s="704">
        <v>22</v>
      </c>
      <c r="AE56" s="711">
        <f>Regular_cases_jul[[#This Row],[EOM Cases]]</f>
        <v>22</v>
      </c>
      <c r="AF56" s="704">
        <v>1</v>
      </c>
      <c r="AG56" s="711">
        <f t="shared" si="7"/>
        <v>0</v>
      </c>
      <c r="AH56" s="704">
        <v>23</v>
      </c>
      <c r="AI56" s="711">
        <f>Regular_cases_Aug[[#This Row],[EOM Cases]]</f>
        <v>23</v>
      </c>
      <c r="AJ56" s="704">
        <v>3</v>
      </c>
      <c r="AK56" s="711">
        <f t="shared" si="8"/>
        <v>2</v>
      </c>
      <c r="AL56" s="704">
        <v>24</v>
      </c>
      <c r="AM56" s="711">
        <f>Regular_cases_Sep[[#This Row],[EOM Cases]]</f>
        <v>24</v>
      </c>
      <c r="AN56" s="704">
        <v>2</v>
      </c>
      <c r="AO56" s="711">
        <f t="shared" si="9"/>
        <v>4</v>
      </c>
      <c r="AP56" s="704">
        <v>22</v>
      </c>
      <c r="AQ56" s="711">
        <f>Regular_cases_Oct[[#This Row],[EOM Cases]]</f>
        <v>22</v>
      </c>
      <c r="AR56" s="704">
        <v>0</v>
      </c>
      <c r="AS56" s="711">
        <f t="shared" si="10"/>
        <v>22</v>
      </c>
      <c r="AT56" s="704">
        <v>0</v>
      </c>
      <c r="AU56" s="711">
        <f>Regular_cases_Nov[[#This Row],[EOM Cases]]</f>
        <v>0</v>
      </c>
      <c r="AV56" s="704">
        <v>0</v>
      </c>
      <c r="AW56" s="711">
        <f t="shared" si="11"/>
        <v>0</v>
      </c>
      <c r="AX56" s="704">
        <v>0</v>
      </c>
      <c r="AZ56" s="714">
        <v>0</v>
      </c>
      <c r="BA56" s="707">
        <v>0</v>
      </c>
      <c r="BB56" s="711">
        <f t="shared" si="12"/>
        <v>0</v>
      </c>
      <c r="BC56" s="708">
        <v>0</v>
      </c>
      <c r="BD56" s="714">
        <f>Eip_cases_jan[[#This Row],[EOM Cases]]</f>
        <v>0</v>
      </c>
      <c r="BE56" s="707">
        <v>0</v>
      </c>
      <c r="BF56" s="711">
        <f t="shared" si="13"/>
        <v>0</v>
      </c>
      <c r="BG56" s="708">
        <v>0</v>
      </c>
      <c r="BH56" s="714">
        <f>Eip_cases_feb[[#This Row],[EOM Cases]]</f>
        <v>0</v>
      </c>
      <c r="BI56" s="707">
        <v>0</v>
      </c>
      <c r="BJ56" s="711">
        <f t="shared" si="14"/>
        <v>0</v>
      </c>
      <c r="BK56" s="708">
        <v>0</v>
      </c>
      <c r="BL56" s="714">
        <f>Eip_cases_mar[[#This Row],[EOM Cases]]</f>
        <v>0</v>
      </c>
      <c r="BM56" s="707">
        <v>0</v>
      </c>
      <c r="BN56" s="711">
        <f t="shared" si="15"/>
        <v>0</v>
      </c>
      <c r="BO56" s="708">
        <v>0</v>
      </c>
      <c r="BP56" s="714">
        <f>Eip_cases_Apr[[#This Row],[EOM Cases]]</f>
        <v>0</v>
      </c>
      <c r="BQ56" s="707">
        <v>0</v>
      </c>
      <c r="BR56" s="711">
        <f t="shared" si="16"/>
        <v>0</v>
      </c>
      <c r="BS56" s="708">
        <v>0</v>
      </c>
      <c r="BT56" s="714">
        <f>Eip_cases_May[[#This Row],[EOM Cases]]</f>
        <v>0</v>
      </c>
      <c r="BU56" s="707">
        <v>0</v>
      </c>
      <c r="BV56" s="711">
        <f t="shared" si="17"/>
        <v>0</v>
      </c>
      <c r="BW56" s="708">
        <v>0</v>
      </c>
      <c r="BX56" s="714">
        <f>Eip_cases_Jun[[#This Row],[EOM Cases]]</f>
        <v>0</v>
      </c>
      <c r="BY56" s="707">
        <v>0</v>
      </c>
      <c r="BZ56" s="711">
        <f t="shared" si="18"/>
        <v>0</v>
      </c>
      <c r="CA56" s="708">
        <v>0</v>
      </c>
      <c r="CB56" s="714">
        <f>Eip_cases_Jul[[#This Row],[EOM Cases]]</f>
        <v>0</v>
      </c>
      <c r="CC56" s="707">
        <v>0</v>
      </c>
      <c r="CD56" s="711">
        <f t="shared" si="19"/>
        <v>0</v>
      </c>
      <c r="CE56" s="708">
        <v>0</v>
      </c>
      <c r="CF56" s="714">
        <f>Eip_cases_Aug[[#This Row],[EOM Cases]]</f>
        <v>0</v>
      </c>
      <c r="CG56" s="707">
        <v>0</v>
      </c>
      <c r="CH56" s="711">
        <f t="shared" si="20"/>
        <v>0</v>
      </c>
      <c r="CI56" s="708">
        <v>0</v>
      </c>
      <c r="CJ56" s="714">
        <f>Eip_cases_Sep[[#This Row],[EOM Cases]]</f>
        <v>0</v>
      </c>
      <c r="CK56" s="707">
        <v>0</v>
      </c>
      <c r="CL56" s="711">
        <f t="shared" si="21"/>
        <v>0</v>
      </c>
      <c r="CM56" s="708">
        <v>0</v>
      </c>
      <c r="CN56" s="714">
        <f>Eip_cases_Oct[[#This Row],[EOM Cases]]</f>
        <v>0</v>
      </c>
      <c r="CO56" s="707">
        <v>0</v>
      </c>
      <c r="CP56" s="711">
        <f t="shared" si="22"/>
        <v>0</v>
      </c>
      <c r="CQ56" s="708">
        <v>0</v>
      </c>
      <c r="CR56" s="714">
        <f>Eip_cases_Nov[[#This Row],[EOM Cases]]</f>
        <v>0</v>
      </c>
      <c r="CS56" s="707">
        <v>0</v>
      </c>
      <c r="CT56" s="711">
        <f t="shared" si="23"/>
        <v>0</v>
      </c>
      <c r="CU56" s="708">
        <v>0</v>
      </c>
    </row>
    <row r="57" spans="2:99" ht="14.5" x14ac:dyDescent="0.35">
      <c r="B57" s="874" t="str">
        <f>'Nurse Hours'!B58</f>
        <v>Garrett, Holly</v>
      </c>
      <c r="C57" s="701">
        <v>4</v>
      </c>
      <c r="D57" s="729">
        <v>7</v>
      </c>
      <c r="E57" s="711">
        <f t="shared" si="0"/>
        <v>1</v>
      </c>
      <c r="F57" s="732">
        <v>10</v>
      </c>
      <c r="G57" s="703">
        <f>Regular_cases_jan[[#This Row],[EOM Cases]]</f>
        <v>10</v>
      </c>
      <c r="H57" s="729">
        <v>4</v>
      </c>
      <c r="I57" s="711">
        <f t="shared" si="1"/>
        <v>0</v>
      </c>
      <c r="J57" s="732">
        <v>14</v>
      </c>
      <c r="K57" s="703">
        <f>Regular_cases_feb[[#This Row],[EOM Cases]]</f>
        <v>14</v>
      </c>
      <c r="L57" s="729">
        <v>3</v>
      </c>
      <c r="M57" s="711">
        <f t="shared" si="2"/>
        <v>4</v>
      </c>
      <c r="N57" s="734">
        <v>13</v>
      </c>
      <c r="O57" s="703">
        <f>Regular_cases_mar[[#This Row],[EOM Cases]]</f>
        <v>13</v>
      </c>
      <c r="P57" s="729">
        <v>2</v>
      </c>
      <c r="Q57" s="711">
        <f t="shared" si="3"/>
        <v>2</v>
      </c>
      <c r="R57" s="732">
        <v>13</v>
      </c>
      <c r="S57" s="703">
        <f>Regular_cases_apr[[#This Row],[EOM Cases]]</f>
        <v>13</v>
      </c>
      <c r="T57" s="729">
        <v>2</v>
      </c>
      <c r="U57" s="711">
        <f t="shared" si="4"/>
        <v>3</v>
      </c>
      <c r="V57" s="732">
        <v>12</v>
      </c>
      <c r="W57" s="632">
        <f>Regular_cases_may[[#This Row],[EOM Cases]]</f>
        <v>12</v>
      </c>
      <c r="X57" s="729">
        <v>8</v>
      </c>
      <c r="Y57" s="711">
        <f t="shared" si="5"/>
        <v>2</v>
      </c>
      <c r="Z57" s="704">
        <v>18</v>
      </c>
      <c r="AA57" s="711">
        <f>Regular_cases_jun[[#This Row],[EOM Cases]]</f>
        <v>18</v>
      </c>
      <c r="AB57" s="704">
        <v>6</v>
      </c>
      <c r="AC57" s="711">
        <f t="shared" si="6"/>
        <v>3</v>
      </c>
      <c r="AD57" s="704">
        <v>21</v>
      </c>
      <c r="AE57" s="711">
        <f>Regular_cases_jul[[#This Row],[EOM Cases]]</f>
        <v>21</v>
      </c>
      <c r="AF57" s="704">
        <v>2</v>
      </c>
      <c r="AG57" s="711">
        <f t="shared" si="7"/>
        <v>2</v>
      </c>
      <c r="AH57" s="704">
        <v>21</v>
      </c>
      <c r="AI57" s="711">
        <f>Regular_cases_Aug[[#This Row],[EOM Cases]]</f>
        <v>21</v>
      </c>
      <c r="AJ57" s="704">
        <v>5</v>
      </c>
      <c r="AK57" s="711">
        <f t="shared" si="8"/>
        <v>8</v>
      </c>
      <c r="AL57" s="704">
        <v>18</v>
      </c>
      <c r="AM57" s="711">
        <f>Regular_cases_Sep[[#This Row],[EOM Cases]]</f>
        <v>18</v>
      </c>
      <c r="AN57" s="704">
        <v>0</v>
      </c>
      <c r="AO57" s="711">
        <f t="shared" si="9"/>
        <v>17</v>
      </c>
      <c r="AP57" s="704">
        <v>1</v>
      </c>
      <c r="AQ57" s="711">
        <f>Regular_cases_Oct[[#This Row],[EOM Cases]]</f>
        <v>1</v>
      </c>
      <c r="AR57" s="704">
        <v>0</v>
      </c>
      <c r="AS57" s="711">
        <f t="shared" si="10"/>
        <v>1</v>
      </c>
      <c r="AT57" s="704">
        <v>0</v>
      </c>
      <c r="AU57" s="711">
        <f>Regular_cases_Nov[[#This Row],[EOM Cases]]</f>
        <v>0</v>
      </c>
      <c r="AV57" s="704">
        <v>0</v>
      </c>
      <c r="AW57" s="711">
        <f t="shared" si="11"/>
        <v>0</v>
      </c>
      <c r="AX57" s="704">
        <v>0</v>
      </c>
      <c r="AZ57" s="714">
        <v>1</v>
      </c>
      <c r="BA57" s="707">
        <v>2</v>
      </c>
      <c r="BB57" s="711">
        <f t="shared" si="12"/>
        <v>0</v>
      </c>
      <c r="BC57" s="708">
        <v>3</v>
      </c>
      <c r="BD57" s="714">
        <f>Eip_cases_jan[[#This Row],[EOM Cases]]</f>
        <v>3</v>
      </c>
      <c r="BE57" s="707">
        <v>0</v>
      </c>
      <c r="BF57" s="711">
        <f t="shared" si="13"/>
        <v>-5</v>
      </c>
      <c r="BG57" s="708">
        <v>8</v>
      </c>
      <c r="BH57" s="714">
        <f>Eip_cases_feb[[#This Row],[EOM Cases]]</f>
        <v>8</v>
      </c>
      <c r="BI57" s="707">
        <v>5</v>
      </c>
      <c r="BJ57" s="711">
        <f t="shared" si="14"/>
        <v>3</v>
      </c>
      <c r="BK57" s="708">
        <v>10</v>
      </c>
      <c r="BL57" s="714">
        <f>Eip_cases_mar[[#This Row],[EOM Cases]]</f>
        <v>10</v>
      </c>
      <c r="BM57" s="707">
        <v>5</v>
      </c>
      <c r="BN57" s="711">
        <f t="shared" si="15"/>
        <v>4</v>
      </c>
      <c r="BO57" s="708">
        <v>11</v>
      </c>
      <c r="BP57" s="714">
        <f>Eip_cases_Apr[[#This Row],[EOM Cases]]</f>
        <v>11</v>
      </c>
      <c r="BQ57" s="707">
        <v>2</v>
      </c>
      <c r="BR57" s="711">
        <f t="shared" si="16"/>
        <v>4</v>
      </c>
      <c r="BS57" s="708">
        <v>9</v>
      </c>
      <c r="BT57" s="714">
        <f>Eip_cases_May[[#This Row],[EOM Cases]]</f>
        <v>9</v>
      </c>
      <c r="BU57" s="707">
        <v>0</v>
      </c>
      <c r="BV57" s="711">
        <f t="shared" si="17"/>
        <v>5</v>
      </c>
      <c r="BW57" s="708">
        <v>4</v>
      </c>
      <c r="BX57" s="714">
        <f>Eip_cases_Jun[[#This Row],[EOM Cases]]</f>
        <v>4</v>
      </c>
      <c r="BY57" s="707">
        <v>0</v>
      </c>
      <c r="BZ57" s="711">
        <f t="shared" si="18"/>
        <v>0</v>
      </c>
      <c r="CA57" s="708">
        <v>4</v>
      </c>
      <c r="CB57" s="714">
        <f>Eip_cases_Jul[[#This Row],[EOM Cases]]</f>
        <v>4</v>
      </c>
      <c r="CC57" s="707">
        <v>0</v>
      </c>
      <c r="CD57" s="711">
        <f t="shared" si="19"/>
        <v>0</v>
      </c>
      <c r="CE57" s="708">
        <v>4</v>
      </c>
      <c r="CF57" s="714">
        <f>Eip_cases_Aug[[#This Row],[EOM Cases]]</f>
        <v>4</v>
      </c>
      <c r="CG57" s="707">
        <v>1</v>
      </c>
      <c r="CH57" s="711">
        <f t="shared" si="20"/>
        <v>1</v>
      </c>
      <c r="CI57" s="708">
        <v>4</v>
      </c>
      <c r="CJ57" s="714">
        <f>Eip_cases_Sep[[#This Row],[EOM Cases]]</f>
        <v>4</v>
      </c>
      <c r="CK57" s="707">
        <v>0</v>
      </c>
      <c r="CL57" s="711">
        <f t="shared" si="21"/>
        <v>4</v>
      </c>
      <c r="CM57" s="708">
        <v>0</v>
      </c>
      <c r="CN57" s="714">
        <f>Eip_cases_Oct[[#This Row],[EOM Cases]]</f>
        <v>0</v>
      </c>
      <c r="CO57" s="707">
        <v>0</v>
      </c>
      <c r="CP57" s="711">
        <f t="shared" si="22"/>
        <v>0</v>
      </c>
      <c r="CQ57" s="708">
        <v>0</v>
      </c>
      <c r="CR57" s="714">
        <f>Eip_cases_Nov[[#This Row],[EOM Cases]]</f>
        <v>0</v>
      </c>
      <c r="CS57" s="707">
        <v>0</v>
      </c>
      <c r="CT57" s="711">
        <f t="shared" si="23"/>
        <v>0</v>
      </c>
      <c r="CU57" s="708">
        <v>0</v>
      </c>
    </row>
    <row r="58" spans="2:99" ht="14.5" x14ac:dyDescent="0.35">
      <c r="B58" s="874" t="str">
        <f>'Nurse Hours'!B59</f>
        <v>Gietzen, Shelby</v>
      </c>
      <c r="C58" s="701">
        <v>14</v>
      </c>
      <c r="D58" s="729">
        <v>2</v>
      </c>
      <c r="E58" s="711">
        <f t="shared" si="0"/>
        <v>2</v>
      </c>
      <c r="F58" s="732">
        <v>14</v>
      </c>
      <c r="G58" s="703">
        <f>Regular_cases_jan[[#This Row],[EOM Cases]]</f>
        <v>14</v>
      </c>
      <c r="H58" s="729">
        <v>6</v>
      </c>
      <c r="I58" s="711">
        <f t="shared" si="1"/>
        <v>-1</v>
      </c>
      <c r="J58" s="732">
        <v>21</v>
      </c>
      <c r="K58" s="703">
        <f>Regular_cases_feb[[#This Row],[EOM Cases]]</f>
        <v>21</v>
      </c>
      <c r="L58" s="729">
        <v>1</v>
      </c>
      <c r="M58" s="711">
        <f t="shared" si="2"/>
        <v>5</v>
      </c>
      <c r="N58" s="734">
        <v>17</v>
      </c>
      <c r="O58" s="703">
        <f>Regular_cases_mar[[#This Row],[EOM Cases]]</f>
        <v>17</v>
      </c>
      <c r="P58" s="729">
        <v>4</v>
      </c>
      <c r="Q58" s="711">
        <f t="shared" si="3"/>
        <v>5</v>
      </c>
      <c r="R58" s="732">
        <v>16</v>
      </c>
      <c r="S58" s="703">
        <f>Regular_cases_apr[[#This Row],[EOM Cases]]</f>
        <v>16</v>
      </c>
      <c r="T58" s="729">
        <v>2</v>
      </c>
      <c r="U58" s="711">
        <f t="shared" si="4"/>
        <v>4</v>
      </c>
      <c r="V58" s="732">
        <v>14</v>
      </c>
      <c r="W58" s="632">
        <f>Regular_cases_may[[#This Row],[EOM Cases]]</f>
        <v>14</v>
      </c>
      <c r="X58" s="729">
        <v>2</v>
      </c>
      <c r="Y58" s="711">
        <f t="shared" si="5"/>
        <v>4</v>
      </c>
      <c r="Z58" s="704">
        <v>12</v>
      </c>
      <c r="AA58" s="711">
        <f>Regular_cases_jun[[#This Row],[EOM Cases]]</f>
        <v>12</v>
      </c>
      <c r="AB58" s="704">
        <v>0</v>
      </c>
      <c r="AC58" s="711">
        <f t="shared" si="6"/>
        <v>4</v>
      </c>
      <c r="AD58" s="704">
        <v>8</v>
      </c>
      <c r="AE58" s="711">
        <f>Regular_cases_jul[[#This Row],[EOM Cases]]</f>
        <v>8</v>
      </c>
      <c r="AF58" s="704">
        <v>0</v>
      </c>
      <c r="AG58" s="711">
        <f t="shared" si="7"/>
        <v>2</v>
      </c>
      <c r="AH58" s="704">
        <v>6</v>
      </c>
      <c r="AI58" s="711">
        <f>Regular_cases_Aug[[#This Row],[EOM Cases]]</f>
        <v>6</v>
      </c>
      <c r="AJ58" s="704">
        <v>1</v>
      </c>
      <c r="AK58" s="711">
        <f t="shared" si="8"/>
        <v>0</v>
      </c>
      <c r="AL58" s="704">
        <v>7</v>
      </c>
      <c r="AM58" s="711">
        <f>Regular_cases_Sep[[#This Row],[EOM Cases]]</f>
        <v>7</v>
      </c>
      <c r="AN58" s="704">
        <v>1</v>
      </c>
      <c r="AO58" s="711">
        <f t="shared" si="9"/>
        <v>1</v>
      </c>
      <c r="AP58" s="704">
        <v>7</v>
      </c>
      <c r="AQ58" s="711">
        <f>Regular_cases_Oct[[#This Row],[EOM Cases]]</f>
        <v>7</v>
      </c>
      <c r="AR58" s="704">
        <v>0</v>
      </c>
      <c r="AS58" s="711">
        <f t="shared" si="10"/>
        <v>7</v>
      </c>
      <c r="AT58" s="704">
        <v>0</v>
      </c>
      <c r="AU58" s="711">
        <f>Regular_cases_Nov[[#This Row],[EOM Cases]]</f>
        <v>0</v>
      </c>
      <c r="AV58" s="704">
        <v>0</v>
      </c>
      <c r="AW58" s="711">
        <f t="shared" si="11"/>
        <v>0</v>
      </c>
      <c r="AX58" s="704">
        <v>0</v>
      </c>
      <c r="AZ58" s="714">
        <v>0</v>
      </c>
      <c r="BA58" s="707">
        <v>0</v>
      </c>
      <c r="BB58" s="711">
        <f t="shared" si="12"/>
        <v>0</v>
      </c>
      <c r="BC58" s="708">
        <v>0</v>
      </c>
      <c r="BD58" s="714">
        <f>Eip_cases_jan[[#This Row],[EOM Cases]]</f>
        <v>0</v>
      </c>
      <c r="BE58" s="707">
        <v>0</v>
      </c>
      <c r="BF58" s="711">
        <f t="shared" si="13"/>
        <v>0</v>
      </c>
      <c r="BG58" s="708">
        <v>0</v>
      </c>
      <c r="BH58" s="714">
        <f>Eip_cases_feb[[#This Row],[EOM Cases]]</f>
        <v>0</v>
      </c>
      <c r="BI58" s="707">
        <v>0</v>
      </c>
      <c r="BJ58" s="711">
        <f t="shared" si="14"/>
        <v>0</v>
      </c>
      <c r="BK58" s="708">
        <v>0</v>
      </c>
      <c r="BL58" s="714">
        <f>Eip_cases_mar[[#This Row],[EOM Cases]]</f>
        <v>0</v>
      </c>
      <c r="BM58" s="707">
        <v>0</v>
      </c>
      <c r="BN58" s="711">
        <f t="shared" si="15"/>
        <v>0</v>
      </c>
      <c r="BO58" s="708">
        <v>0</v>
      </c>
      <c r="BP58" s="714">
        <f>Eip_cases_Apr[[#This Row],[EOM Cases]]</f>
        <v>0</v>
      </c>
      <c r="BQ58" s="707">
        <v>0</v>
      </c>
      <c r="BR58" s="711">
        <f t="shared" si="16"/>
        <v>0</v>
      </c>
      <c r="BS58" s="708">
        <v>0</v>
      </c>
      <c r="BT58" s="714">
        <f>Eip_cases_May[[#This Row],[EOM Cases]]</f>
        <v>0</v>
      </c>
      <c r="BU58" s="707">
        <v>0</v>
      </c>
      <c r="BV58" s="711">
        <f t="shared" si="17"/>
        <v>0</v>
      </c>
      <c r="BW58" s="708">
        <v>0</v>
      </c>
      <c r="BX58" s="714">
        <f>Eip_cases_Jun[[#This Row],[EOM Cases]]</f>
        <v>0</v>
      </c>
      <c r="BY58" s="707">
        <v>0</v>
      </c>
      <c r="BZ58" s="711">
        <f t="shared" si="18"/>
        <v>0</v>
      </c>
      <c r="CA58" s="708">
        <v>0</v>
      </c>
      <c r="CB58" s="714">
        <f>Eip_cases_Jul[[#This Row],[EOM Cases]]</f>
        <v>0</v>
      </c>
      <c r="CC58" s="707">
        <v>0</v>
      </c>
      <c r="CD58" s="711">
        <f t="shared" si="19"/>
        <v>0</v>
      </c>
      <c r="CE58" s="708">
        <v>0</v>
      </c>
      <c r="CF58" s="714">
        <f>Eip_cases_Aug[[#This Row],[EOM Cases]]</f>
        <v>0</v>
      </c>
      <c r="CG58" s="707">
        <v>0</v>
      </c>
      <c r="CH58" s="711">
        <f t="shared" si="20"/>
        <v>0</v>
      </c>
      <c r="CI58" s="708">
        <v>0</v>
      </c>
      <c r="CJ58" s="714">
        <f>Eip_cases_Sep[[#This Row],[EOM Cases]]</f>
        <v>0</v>
      </c>
      <c r="CK58" s="707">
        <v>0</v>
      </c>
      <c r="CL58" s="711">
        <f t="shared" si="21"/>
        <v>0</v>
      </c>
      <c r="CM58" s="708">
        <v>0</v>
      </c>
      <c r="CN58" s="714">
        <f>Eip_cases_Oct[[#This Row],[EOM Cases]]</f>
        <v>0</v>
      </c>
      <c r="CO58" s="707">
        <v>0</v>
      </c>
      <c r="CP58" s="711">
        <f t="shared" si="22"/>
        <v>0</v>
      </c>
      <c r="CQ58" s="708">
        <v>0</v>
      </c>
      <c r="CR58" s="714">
        <f>Eip_cases_Nov[[#This Row],[EOM Cases]]</f>
        <v>0</v>
      </c>
      <c r="CS58" s="707">
        <v>0</v>
      </c>
      <c r="CT58" s="711">
        <f t="shared" si="23"/>
        <v>0</v>
      </c>
      <c r="CU58" s="708">
        <v>0</v>
      </c>
    </row>
    <row r="59" spans="2:99" ht="14.5" x14ac:dyDescent="0.35">
      <c r="B59" s="874" t="str">
        <f>'Nurse Hours'!B60</f>
        <v>Gill, Manpreet</v>
      </c>
      <c r="C59" s="701">
        <v>24</v>
      </c>
      <c r="D59" s="729">
        <v>2</v>
      </c>
      <c r="E59" s="711">
        <f t="shared" si="0"/>
        <v>2</v>
      </c>
      <c r="F59" s="732">
        <v>24</v>
      </c>
      <c r="G59" s="703">
        <f>Regular_cases_jan[[#This Row],[EOM Cases]]</f>
        <v>24</v>
      </c>
      <c r="H59" s="729">
        <v>3</v>
      </c>
      <c r="I59" s="711">
        <f t="shared" si="1"/>
        <v>2</v>
      </c>
      <c r="J59" s="732">
        <v>25</v>
      </c>
      <c r="K59" s="703">
        <f>Regular_cases_feb[[#This Row],[EOM Cases]]</f>
        <v>25</v>
      </c>
      <c r="L59" s="729">
        <v>1</v>
      </c>
      <c r="M59" s="711">
        <f t="shared" si="2"/>
        <v>2</v>
      </c>
      <c r="N59" s="734">
        <v>24</v>
      </c>
      <c r="O59" s="703">
        <f>Regular_cases_mar[[#This Row],[EOM Cases]]</f>
        <v>24</v>
      </c>
      <c r="P59" s="729">
        <v>1</v>
      </c>
      <c r="Q59" s="711">
        <f t="shared" si="3"/>
        <v>2</v>
      </c>
      <c r="R59" s="732">
        <v>23</v>
      </c>
      <c r="S59" s="703">
        <f>Regular_cases_apr[[#This Row],[EOM Cases]]</f>
        <v>23</v>
      </c>
      <c r="T59" s="729">
        <v>2</v>
      </c>
      <c r="U59" s="711">
        <f t="shared" si="4"/>
        <v>3</v>
      </c>
      <c r="V59" s="732">
        <v>22</v>
      </c>
      <c r="W59" s="632">
        <f>Regular_cases_may[[#This Row],[EOM Cases]]</f>
        <v>22</v>
      </c>
      <c r="X59" s="729">
        <v>3</v>
      </c>
      <c r="Y59" s="711">
        <f t="shared" si="5"/>
        <v>4</v>
      </c>
      <c r="Z59" s="704">
        <v>21</v>
      </c>
      <c r="AA59" s="711">
        <f>Regular_cases_jun[[#This Row],[EOM Cases]]</f>
        <v>21</v>
      </c>
      <c r="AB59" s="704">
        <v>3</v>
      </c>
      <c r="AC59" s="711">
        <f t="shared" si="6"/>
        <v>1</v>
      </c>
      <c r="AD59" s="704">
        <v>23</v>
      </c>
      <c r="AE59" s="711">
        <f>Regular_cases_jul[[#This Row],[EOM Cases]]</f>
        <v>23</v>
      </c>
      <c r="AF59" s="704">
        <v>3</v>
      </c>
      <c r="AG59" s="711">
        <f t="shared" si="7"/>
        <v>4</v>
      </c>
      <c r="AH59" s="704">
        <v>22</v>
      </c>
      <c r="AI59" s="711">
        <f>Regular_cases_Aug[[#This Row],[EOM Cases]]</f>
        <v>22</v>
      </c>
      <c r="AJ59" s="704">
        <v>0</v>
      </c>
      <c r="AK59" s="711">
        <f t="shared" si="8"/>
        <v>4</v>
      </c>
      <c r="AL59" s="704">
        <v>18</v>
      </c>
      <c r="AM59" s="711">
        <f>Regular_cases_Sep[[#This Row],[EOM Cases]]</f>
        <v>18</v>
      </c>
      <c r="AN59" s="704">
        <v>1</v>
      </c>
      <c r="AO59" s="711">
        <f t="shared" si="9"/>
        <v>4</v>
      </c>
      <c r="AP59" s="704">
        <v>15</v>
      </c>
      <c r="AQ59" s="711">
        <f>Regular_cases_Oct[[#This Row],[EOM Cases]]</f>
        <v>15</v>
      </c>
      <c r="AR59" s="704">
        <v>0</v>
      </c>
      <c r="AS59" s="711">
        <f t="shared" si="10"/>
        <v>15</v>
      </c>
      <c r="AT59" s="704">
        <v>0</v>
      </c>
      <c r="AU59" s="711">
        <f>Regular_cases_Nov[[#This Row],[EOM Cases]]</f>
        <v>0</v>
      </c>
      <c r="AV59" s="704">
        <v>0</v>
      </c>
      <c r="AW59" s="711">
        <f t="shared" si="11"/>
        <v>0</v>
      </c>
      <c r="AX59" s="704">
        <v>0</v>
      </c>
      <c r="AZ59" s="714">
        <v>0</v>
      </c>
      <c r="BA59" s="707">
        <v>0</v>
      </c>
      <c r="BB59" s="711">
        <f t="shared" si="12"/>
        <v>0</v>
      </c>
      <c r="BC59" s="708">
        <v>0</v>
      </c>
      <c r="BD59" s="714">
        <f>Eip_cases_jan[[#This Row],[EOM Cases]]</f>
        <v>0</v>
      </c>
      <c r="BE59" s="707">
        <v>0</v>
      </c>
      <c r="BF59" s="711">
        <f t="shared" si="13"/>
        <v>0</v>
      </c>
      <c r="BG59" s="708">
        <v>0</v>
      </c>
      <c r="BH59" s="714">
        <f>Eip_cases_feb[[#This Row],[EOM Cases]]</f>
        <v>0</v>
      </c>
      <c r="BI59" s="707">
        <v>0</v>
      </c>
      <c r="BJ59" s="711">
        <f t="shared" si="14"/>
        <v>0</v>
      </c>
      <c r="BK59" s="708">
        <v>0</v>
      </c>
      <c r="BL59" s="714">
        <f>Eip_cases_mar[[#This Row],[EOM Cases]]</f>
        <v>0</v>
      </c>
      <c r="BM59" s="707">
        <v>0</v>
      </c>
      <c r="BN59" s="711">
        <f t="shared" si="15"/>
        <v>0</v>
      </c>
      <c r="BO59" s="708">
        <v>0</v>
      </c>
      <c r="BP59" s="714">
        <f>Eip_cases_Apr[[#This Row],[EOM Cases]]</f>
        <v>0</v>
      </c>
      <c r="BQ59" s="707">
        <v>0</v>
      </c>
      <c r="BR59" s="711">
        <f t="shared" si="16"/>
        <v>0</v>
      </c>
      <c r="BS59" s="708">
        <v>0</v>
      </c>
      <c r="BT59" s="714">
        <f>Eip_cases_May[[#This Row],[EOM Cases]]</f>
        <v>0</v>
      </c>
      <c r="BU59" s="707">
        <v>0</v>
      </c>
      <c r="BV59" s="711">
        <f t="shared" si="17"/>
        <v>0</v>
      </c>
      <c r="BW59" s="708">
        <v>0</v>
      </c>
      <c r="BX59" s="714">
        <f>Eip_cases_Jun[[#This Row],[EOM Cases]]</f>
        <v>0</v>
      </c>
      <c r="BY59" s="707">
        <v>0</v>
      </c>
      <c r="BZ59" s="711">
        <f t="shared" si="18"/>
        <v>0</v>
      </c>
      <c r="CA59" s="708">
        <v>0</v>
      </c>
      <c r="CB59" s="714">
        <f>Eip_cases_Jul[[#This Row],[EOM Cases]]</f>
        <v>0</v>
      </c>
      <c r="CC59" s="707">
        <v>0</v>
      </c>
      <c r="CD59" s="711">
        <f t="shared" si="19"/>
        <v>0</v>
      </c>
      <c r="CE59" s="708">
        <v>0</v>
      </c>
      <c r="CF59" s="714">
        <f>Eip_cases_Aug[[#This Row],[EOM Cases]]</f>
        <v>0</v>
      </c>
      <c r="CG59" s="707">
        <v>0</v>
      </c>
      <c r="CH59" s="711">
        <f t="shared" si="20"/>
        <v>0</v>
      </c>
      <c r="CI59" s="708">
        <v>0</v>
      </c>
      <c r="CJ59" s="714">
        <f>Eip_cases_Sep[[#This Row],[EOM Cases]]</f>
        <v>0</v>
      </c>
      <c r="CK59" s="707">
        <v>0</v>
      </c>
      <c r="CL59" s="711">
        <f t="shared" si="21"/>
        <v>0</v>
      </c>
      <c r="CM59" s="708">
        <v>0</v>
      </c>
      <c r="CN59" s="714">
        <f>Eip_cases_Oct[[#This Row],[EOM Cases]]</f>
        <v>0</v>
      </c>
      <c r="CO59" s="707">
        <v>0</v>
      </c>
      <c r="CP59" s="711">
        <f t="shared" si="22"/>
        <v>0</v>
      </c>
      <c r="CQ59" s="708">
        <v>0</v>
      </c>
      <c r="CR59" s="714">
        <f>Eip_cases_Nov[[#This Row],[EOM Cases]]</f>
        <v>0</v>
      </c>
      <c r="CS59" s="707">
        <v>0</v>
      </c>
      <c r="CT59" s="711">
        <f t="shared" si="23"/>
        <v>0</v>
      </c>
      <c r="CU59" s="708">
        <v>0</v>
      </c>
    </row>
    <row r="60" spans="2:99" ht="14.5" x14ac:dyDescent="0.35">
      <c r="B60" s="874" t="str">
        <f>'Nurse Hours'!B61</f>
        <v>Grant, Scotti</v>
      </c>
      <c r="C60" s="701">
        <v>2</v>
      </c>
      <c r="D60" s="729">
        <v>0</v>
      </c>
      <c r="E60" s="711">
        <f t="shared" si="0"/>
        <v>1</v>
      </c>
      <c r="F60" s="732">
        <v>1</v>
      </c>
      <c r="G60" s="703">
        <f>Regular_cases_jan[[#This Row],[EOM Cases]]</f>
        <v>1</v>
      </c>
      <c r="H60" s="729">
        <v>2</v>
      </c>
      <c r="I60" s="711">
        <f t="shared" si="1"/>
        <v>-5</v>
      </c>
      <c r="J60" s="732">
        <v>8</v>
      </c>
      <c r="K60" s="703">
        <f>Regular_cases_feb[[#This Row],[EOM Cases]]</f>
        <v>8</v>
      </c>
      <c r="L60" s="729">
        <v>1</v>
      </c>
      <c r="M60" s="711">
        <f t="shared" si="2"/>
        <v>2</v>
      </c>
      <c r="N60" s="734">
        <v>7</v>
      </c>
      <c r="O60" s="703">
        <f>Regular_cases_mar[[#This Row],[EOM Cases]]</f>
        <v>7</v>
      </c>
      <c r="P60" s="729">
        <v>1</v>
      </c>
      <c r="Q60" s="711">
        <f t="shared" si="3"/>
        <v>0</v>
      </c>
      <c r="R60" s="732">
        <v>8</v>
      </c>
      <c r="S60" s="703">
        <f>Regular_cases_apr[[#This Row],[EOM Cases]]</f>
        <v>8</v>
      </c>
      <c r="T60" s="729">
        <v>0</v>
      </c>
      <c r="U60" s="711">
        <f t="shared" si="4"/>
        <v>5</v>
      </c>
      <c r="V60" s="732">
        <v>3</v>
      </c>
      <c r="W60" s="632">
        <f>Regular_cases_may[[#This Row],[EOM Cases]]</f>
        <v>3</v>
      </c>
      <c r="X60" s="729">
        <v>1</v>
      </c>
      <c r="Y60" s="711">
        <f t="shared" si="5"/>
        <v>-2</v>
      </c>
      <c r="Z60" s="704">
        <v>6</v>
      </c>
      <c r="AA60" s="711">
        <f>Regular_cases_jun[[#This Row],[EOM Cases]]</f>
        <v>6</v>
      </c>
      <c r="AB60" s="704">
        <v>0</v>
      </c>
      <c r="AC60" s="711">
        <f t="shared" si="6"/>
        <v>0</v>
      </c>
      <c r="AD60" s="704">
        <v>6</v>
      </c>
      <c r="AE60" s="711">
        <f>Regular_cases_jul[[#This Row],[EOM Cases]]</f>
        <v>6</v>
      </c>
      <c r="AF60" s="704">
        <v>0</v>
      </c>
      <c r="AG60" s="711">
        <f t="shared" si="7"/>
        <v>3</v>
      </c>
      <c r="AH60" s="704">
        <v>3</v>
      </c>
      <c r="AI60" s="711">
        <f>Regular_cases_Aug[[#This Row],[EOM Cases]]</f>
        <v>3</v>
      </c>
      <c r="AJ60" s="704">
        <v>0</v>
      </c>
      <c r="AK60" s="711">
        <f t="shared" si="8"/>
        <v>2</v>
      </c>
      <c r="AL60" s="704">
        <v>1</v>
      </c>
      <c r="AM60" s="711">
        <f>Regular_cases_Sep[[#This Row],[EOM Cases]]</f>
        <v>1</v>
      </c>
      <c r="AN60" s="704">
        <v>1</v>
      </c>
      <c r="AO60" s="711">
        <f t="shared" si="9"/>
        <v>2</v>
      </c>
      <c r="AP60" s="704">
        <v>0</v>
      </c>
      <c r="AQ60" s="711">
        <f>Regular_cases_Oct[[#This Row],[EOM Cases]]</f>
        <v>0</v>
      </c>
      <c r="AR60" s="704">
        <v>0</v>
      </c>
      <c r="AS60" s="711">
        <f t="shared" si="10"/>
        <v>0</v>
      </c>
      <c r="AT60" s="704">
        <v>0</v>
      </c>
      <c r="AU60" s="711">
        <f>Regular_cases_Nov[[#This Row],[EOM Cases]]</f>
        <v>0</v>
      </c>
      <c r="AV60" s="704">
        <v>0</v>
      </c>
      <c r="AW60" s="711">
        <f t="shared" si="11"/>
        <v>0</v>
      </c>
      <c r="AX60" s="704">
        <v>0</v>
      </c>
      <c r="AZ60" s="714">
        <v>0</v>
      </c>
      <c r="BA60" s="707">
        <v>0</v>
      </c>
      <c r="BB60" s="711">
        <f t="shared" si="12"/>
        <v>0</v>
      </c>
      <c r="BC60" s="708">
        <v>0</v>
      </c>
      <c r="BD60" s="714">
        <f>Eip_cases_jan[[#This Row],[EOM Cases]]</f>
        <v>0</v>
      </c>
      <c r="BE60" s="707">
        <v>0</v>
      </c>
      <c r="BF60" s="711">
        <f t="shared" si="13"/>
        <v>0</v>
      </c>
      <c r="BG60" s="708">
        <v>0</v>
      </c>
      <c r="BH60" s="714">
        <f>Eip_cases_feb[[#This Row],[EOM Cases]]</f>
        <v>0</v>
      </c>
      <c r="BI60" s="707">
        <v>0</v>
      </c>
      <c r="BJ60" s="711">
        <f t="shared" si="14"/>
        <v>0</v>
      </c>
      <c r="BK60" s="708">
        <v>0</v>
      </c>
      <c r="BL60" s="714">
        <f>Eip_cases_mar[[#This Row],[EOM Cases]]</f>
        <v>0</v>
      </c>
      <c r="BM60" s="707">
        <v>0</v>
      </c>
      <c r="BN60" s="711">
        <f t="shared" si="15"/>
        <v>0</v>
      </c>
      <c r="BO60" s="708">
        <v>0</v>
      </c>
      <c r="BP60" s="714">
        <f>Eip_cases_Apr[[#This Row],[EOM Cases]]</f>
        <v>0</v>
      </c>
      <c r="BQ60" s="707">
        <v>0</v>
      </c>
      <c r="BR60" s="711">
        <f t="shared" si="16"/>
        <v>0</v>
      </c>
      <c r="BS60" s="708">
        <v>0</v>
      </c>
      <c r="BT60" s="714">
        <f>Eip_cases_May[[#This Row],[EOM Cases]]</f>
        <v>0</v>
      </c>
      <c r="BU60" s="707">
        <v>0</v>
      </c>
      <c r="BV60" s="711">
        <f t="shared" si="17"/>
        <v>0</v>
      </c>
      <c r="BW60" s="708">
        <v>0</v>
      </c>
      <c r="BX60" s="714">
        <f>Eip_cases_Jun[[#This Row],[EOM Cases]]</f>
        <v>0</v>
      </c>
      <c r="BY60" s="707">
        <v>0</v>
      </c>
      <c r="BZ60" s="711">
        <f t="shared" si="18"/>
        <v>0</v>
      </c>
      <c r="CA60" s="708">
        <v>0</v>
      </c>
      <c r="CB60" s="714">
        <f>Eip_cases_Jul[[#This Row],[EOM Cases]]</f>
        <v>0</v>
      </c>
      <c r="CC60" s="707">
        <v>0</v>
      </c>
      <c r="CD60" s="711">
        <f t="shared" si="19"/>
        <v>0</v>
      </c>
      <c r="CE60" s="708">
        <v>0</v>
      </c>
      <c r="CF60" s="714">
        <f>Eip_cases_Aug[[#This Row],[EOM Cases]]</f>
        <v>0</v>
      </c>
      <c r="CG60" s="707">
        <v>0</v>
      </c>
      <c r="CH60" s="711">
        <f t="shared" si="20"/>
        <v>0</v>
      </c>
      <c r="CI60" s="708">
        <v>0</v>
      </c>
      <c r="CJ60" s="714">
        <f>Eip_cases_Sep[[#This Row],[EOM Cases]]</f>
        <v>0</v>
      </c>
      <c r="CK60" s="707">
        <v>0</v>
      </c>
      <c r="CL60" s="711">
        <f t="shared" si="21"/>
        <v>0</v>
      </c>
      <c r="CM60" s="708">
        <v>0</v>
      </c>
      <c r="CN60" s="714">
        <f>Eip_cases_Oct[[#This Row],[EOM Cases]]</f>
        <v>0</v>
      </c>
      <c r="CO60" s="707">
        <v>0</v>
      </c>
      <c r="CP60" s="711">
        <f t="shared" si="22"/>
        <v>0</v>
      </c>
      <c r="CQ60" s="708">
        <v>0</v>
      </c>
      <c r="CR60" s="714">
        <f>Eip_cases_Nov[[#This Row],[EOM Cases]]</f>
        <v>0</v>
      </c>
      <c r="CS60" s="707">
        <v>0</v>
      </c>
      <c r="CT60" s="711">
        <f t="shared" si="23"/>
        <v>0</v>
      </c>
      <c r="CU60" s="708">
        <v>0</v>
      </c>
    </row>
    <row r="61" spans="2:99" ht="14.5" x14ac:dyDescent="0.35">
      <c r="B61" s="874" t="str">
        <f>'Nurse Hours'!B62</f>
        <v>Habra, Cecilia</v>
      </c>
      <c r="C61" s="701">
        <v>0</v>
      </c>
      <c r="D61" s="729">
        <v>0</v>
      </c>
      <c r="E61" s="711">
        <f t="shared" si="0"/>
        <v>0</v>
      </c>
      <c r="F61" s="732">
        <v>0</v>
      </c>
      <c r="G61" s="703">
        <f>Regular_cases_jan[[#This Row],[EOM Cases]]</f>
        <v>0</v>
      </c>
      <c r="H61" s="729">
        <v>0</v>
      </c>
      <c r="I61" s="711">
        <f t="shared" si="1"/>
        <v>0</v>
      </c>
      <c r="J61" s="732">
        <v>0</v>
      </c>
      <c r="K61" s="703">
        <f>Regular_cases_feb[[#This Row],[EOM Cases]]</f>
        <v>0</v>
      </c>
      <c r="L61" s="729">
        <v>0</v>
      </c>
      <c r="M61" s="711">
        <f t="shared" si="2"/>
        <v>0</v>
      </c>
      <c r="N61" s="734">
        <v>0</v>
      </c>
      <c r="O61" s="703">
        <f>Regular_cases_mar[[#This Row],[EOM Cases]]</f>
        <v>0</v>
      </c>
      <c r="P61" s="729">
        <v>0</v>
      </c>
      <c r="Q61" s="711">
        <f t="shared" si="3"/>
        <v>0</v>
      </c>
      <c r="R61" s="732">
        <v>0</v>
      </c>
      <c r="S61" s="703">
        <f>Regular_cases_apr[[#This Row],[EOM Cases]]</f>
        <v>0</v>
      </c>
      <c r="T61" s="729">
        <v>0</v>
      </c>
      <c r="U61" s="711">
        <f t="shared" si="4"/>
        <v>0</v>
      </c>
      <c r="V61" s="732">
        <v>0</v>
      </c>
      <c r="W61" s="632">
        <f>Regular_cases_may[[#This Row],[EOM Cases]]</f>
        <v>0</v>
      </c>
      <c r="X61" s="729">
        <v>0</v>
      </c>
      <c r="Y61" s="711">
        <f t="shared" si="5"/>
        <v>0</v>
      </c>
      <c r="Z61" s="704">
        <v>0</v>
      </c>
      <c r="AA61" s="711">
        <f>Regular_cases_jun[[#This Row],[EOM Cases]]</f>
        <v>0</v>
      </c>
      <c r="AB61" s="704">
        <v>0</v>
      </c>
      <c r="AC61" s="711">
        <f t="shared" si="6"/>
        <v>0</v>
      </c>
      <c r="AD61" s="704">
        <v>0</v>
      </c>
      <c r="AE61" s="711">
        <f>Regular_cases_jul[[#This Row],[EOM Cases]]</f>
        <v>0</v>
      </c>
      <c r="AF61" s="704">
        <v>0</v>
      </c>
      <c r="AG61" s="711">
        <f t="shared" si="7"/>
        <v>0</v>
      </c>
      <c r="AH61" s="704">
        <v>0</v>
      </c>
      <c r="AI61" s="711">
        <f>Regular_cases_Aug[[#This Row],[EOM Cases]]</f>
        <v>0</v>
      </c>
      <c r="AJ61" s="704">
        <v>0</v>
      </c>
      <c r="AK61" s="711">
        <f t="shared" si="8"/>
        <v>0</v>
      </c>
      <c r="AL61" s="704">
        <v>0</v>
      </c>
      <c r="AM61" s="711">
        <f>Regular_cases_Sep[[#This Row],[EOM Cases]]</f>
        <v>0</v>
      </c>
      <c r="AN61" s="704">
        <v>1</v>
      </c>
      <c r="AO61" s="711">
        <f t="shared" si="9"/>
        <v>0</v>
      </c>
      <c r="AP61" s="704">
        <v>1</v>
      </c>
      <c r="AQ61" s="711">
        <f>Regular_cases_Oct[[#This Row],[EOM Cases]]</f>
        <v>1</v>
      </c>
      <c r="AR61" s="704">
        <v>0</v>
      </c>
      <c r="AS61" s="711">
        <f t="shared" si="10"/>
        <v>1</v>
      </c>
      <c r="AT61" s="704">
        <v>0</v>
      </c>
      <c r="AU61" s="711">
        <f>Regular_cases_Nov[[#This Row],[EOM Cases]]</f>
        <v>0</v>
      </c>
      <c r="AV61" s="704">
        <v>0</v>
      </c>
      <c r="AW61" s="711">
        <f t="shared" si="11"/>
        <v>0</v>
      </c>
      <c r="AX61" s="704">
        <v>0</v>
      </c>
      <c r="AZ61" s="714">
        <v>0</v>
      </c>
      <c r="BA61" s="707">
        <v>0</v>
      </c>
      <c r="BB61" s="711">
        <f t="shared" si="12"/>
        <v>0</v>
      </c>
      <c r="BC61" s="708">
        <v>0</v>
      </c>
      <c r="BD61" s="714">
        <f>Eip_cases_jan[[#This Row],[EOM Cases]]</f>
        <v>0</v>
      </c>
      <c r="BE61" s="707">
        <v>0</v>
      </c>
      <c r="BF61" s="711">
        <f t="shared" si="13"/>
        <v>0</v>
      </c>
      <c r="BG61" s="708">
        <v>0</v>
      </c>
      <c r="BH61" s="714">
        <f>Eip_cases_feb[[#This Row],[EOM Cases]]</f>
        <v>0</v>
      </c>
      <c r="BI61" s="707">
        <v>0</v>
      </c>
      <c r="BJ61" s="711">
        <f t="shared" si="14"/>
        <v>0</v>
      </c>
      <c r="BK61" s="708">
        <v>0</v>
      </c>
      <c r="BL61" s="714">
        <f>Eip_cases_mar[[#This Row],[EOM Cases]]</f>
        <v>0</v>
      </c>
      <c r="BM61" s="707">
        <v>1</v>
      </c>
      <c r="BN61" s="711">
        <f t="shared" si="15"/>
        <v>0</v>
      </c>
      <c r="BO61" s="708">
        <v>1</v>
      </c>
      <c r="BP61" s="714">
        <f>Eip_cases_Apr[[#This Row],[EOM Cases]]</f>
        <v>1</v>
      </c>
      <c r="BQ61" s="707">
        <v>3</v>
      </c>
      <c r="BR61" s="711">
        <f t="shared" si="16"/>
        <v>-7</v>
      </c>
      <c r="BS61" s="708">
        <v>11</v>
      </c>
      <c r="BT61" s="714">
        <f>Eip_cases_May[[#This Row],[EOM Cases]]</f>
        <v>11</v>
      </c>
      <c r="BU61" s="707">
        <v>7</v>
      </c>
      <c r="BV61" s="711">
        <f t="shared" si="17"/>
        <v>-2</v>
      </c>
      <c r="BW61" s="708">
        <v>20</v>
      </c>
      <c r="BX61" s="714">
        <f>Eip_cases_Jun[[#This Row],[EOM Cases]]</f>
        <v>20</v>
      </c>
      <c r="BY61" s="707">
        <v>3</v>
      </c>
      <c r="BZ61" s="711">
        <f t="shared" si="18"/>
        <v>0</v>
      </c>
      <c r="CA61" s="708">
        <v>23</v>
      </c>
      <c r="CB61" s="714">
        <f>Eip_cases_Jul[[#This Row],[EOM Cases]]</f>
        <v>23</v>
      </c>
      <c r="CC61" s="707">
        <v>11</v>
      </c>
      <c r="CD61" s="711">
        <f t="shared" si="19"/>
        <v>-10</v>
      </c>
      <c r="CE61" s="708">
        <v>44</v>
      </c>
      <c r="CF61" s="714">
        <f>Eip_cases_Aug[[#This Row],[EOM Cases]]</f>
        <v>44</v>
      </c>
      <c r="CG61" s="707">
        <v>7</v>
      </c>
      <c r="CH61" s="711">
        <f t="shared" si="20"/>
        <v>9</v>
      </c>
      <c r="CI61" s="708">
        <v>42</v>
      </c>
      <c r="CJ61" s="714">
        <f>Eip_cases_Sep[[#This Row],[EOM Cases]]</f>
        <v>42</v>
      </c>
      <c r="CK61" s="707">
        <v>6</v>
      </c>
      <c r="CL61" s="711">
        <f t="shared" si="21"/>
        <v>10</v>
      </c>
      <c r="CM61" s="708">
        <v>38</v>
      </c>
      <c r="CN61" s="714">
        <f>Eip_cases_Oct[[#This Row],[EOM Cases]]</f>
        <v>38</v>
      </c>
      <c r="CO61" s="707">
        <v>0</v>
      </c>
      <c r="CP61" s="711">
        <f t="shared" si="22"/>
        <v>38</v>
      </c>
      <c r="CQ61" s="708">
        <v>0</v>
      </c>
      <c r="CR61" s="714">
        <f>Eip_cases_Nov[[#This Row],[EOM Cases]]</f>
        <v>0</v>
      </c>
      <c r="CS61" s="707">
        <v>0</v>
      </c>
      <c r="CT61" s="711">
        <f t="shared" si="23"/>
        <v>0</v>
      </c>
      <c r="CU61" s="708">
        <v>0</v>
      </c>
    </row>
    <row r="62" spans="2:99" ht="14.5" x14ac:dyDescent="0.35">
      <c r="B62" s="874" t="str">
        <f>'Nurse Hours'!B63</f>
        <v>Ind Contractors</v>
      </c>
      <c r="C62" s="701">
        <v>0</v>
      </c>
      <c r="D62" s="729">
        <v>0</v>
      </c>
      <c r="E62" s="711">
        <f t="shared" si="0"/>
        <v>0</v>
      </c>
      <c r="F62" s="732">
        <v>0</v>
      </c>
      <c r="G62" s="703">
        <f>Regular_cases_jan[[#This Row],[EOM Cases]]</f>
        <v>0</v>
      </c>
      <c r="H62" s="729">
        <v>0</v>
      </c>
      <c r="I62" s="711">
        <f t="shared" si="1"/>
        <v>0</v>
      </c>
      <c r="J62" s="732">
        <v>0</v>
      </c>
      <c r="K62" s="703">
        <f>Regular_cases_feb[[#This Row],[EOM Cases]]</f>
        <v>0</v>
      </c>
      <c r="L62" s="729">
        <v>0</v>
      </c>
      <c r="M62" s="711">
        <f t="shared" si="2"/>
        <v>0</v>
      </c>
      <c r="N62" s="734">
        <v>0</v>
      </c>
      <c r="O62" s="703">
        <f>Regular_cases_mar[[#This Row],[EOM Cases]]</f>
        <v>0</v>
      </c>
      <c r="P62" s="729">
        <v>0</v>
      </c>
      <c r="Q62" s="711">
        <f t="shared" si="3"/>
        <v>0</v>
      </c>
      <c r="R62" s="732">
        <v>0</v>
      </c>
      <c r="S62" s="703">
        <f>Regular_cases_apr[[#This Row],[EOM Cases]]</f>
        <v>0</v>
      </c>
      <c r="T62" s="729">
        <v>0</v>
      </c>
      <c r="U62" s="711">
        <f t="shared" si="4"/>
        <v>0</v>
      </c>
      <c r="V62" s="732">
        <v>0</v>
      </c>
      <c r="W62" s="632">
        <f>Regular_cases_may[[#This Row],[EOM Cases]]</f>
        <v>0</v>
      </c>
      <c r="X62" s="729">
        <v>0</v>
      </c>
      <c r="Y62" s="711">
        <f t="shared" si="5"/>
        <v>0</v>
      </c>
      <c r="Z62" s="704">
        <v>0</v>
      </c>
      <c r="AA62" s="711">
        <f>Regular_cases_jun[[#This Row],[EOM Cases]]</f>
        <v>0</v>
      </c>
      <c r="AB62" s="704">
        <v>0</v>
      </c>
      <c r="AC62" s="711">
        <f>SUM(AA62:AB62)-AD62</f>
        <v>0</v>
      </c>
      <c r="AD62" s="704">
        <v>0</v>
      </c>
      <c r="AE62" s="711">
        <f>Regular_cases_jul[[#This Row],[EOM Cases]]</f>
        <v>0</v>
      </c>
      <c r="AF62" s="704">
        <v>0</v>
      </c>
      <c r="AG62" s="711">
        <f t="shared" si="7"/>
        <v>0</v>
      </c>
      <c r="AH62" s="704">
        <v>0</v>
      </c>
      <c r="AI62" s="711">
        <f>Regular_cases_Aug[[#This Row],[EOM Cases]]</f>
        <v>0</v>
      </c>
      <c r="AJ62" s="704">
        <v>0</v>
      </c>
      <c r="AK62" s="711">
        <f t="shared" si="8"/>
        <v>0</v>
      </c>
      <c r="AL62" s="704">
        <v>0</v>
      </c>
      <c r="AM62" s="711">
        <f>Regular_cases_Sep[[#This Row],[EOM Cases]]</f>
        <v>0</v>
      </c>
      <c r="AN62" s="704">
        <v>0</v>
      </c>
      <c r="AO62" s="711">
        <f t="shared" si="9"/>
        <v>0</v>
      </c>
      <c r="AP62" s="704">
        <v>0</v>
      </c>
      <c r="AQ62" s="711">
        <f>Regular_cases_Oct[[#This Row],[EOM Cases]]</f>
        <v>0</v>
      </c>
      <c r="AR62" s="704">
        <v>0</v>
      </c>
      <c r="AS62" s="711">
        <f t="shared" si="10"/>
        <v>0</v>
      </c>
      <c r="AT62" s="704">
        <v>0</v>
      </c>
      <c r="AU62" s="711">
        <f>Regular_cases_Nov[[#This Row],[EOM Cases]]</f>
        <v>0</v>
      </c>
      <c r="AV62" s="704">
        <v>0</v>
      </c>
      <c r="AW62" s="711">
        <f t="shared" si="11"/>
        <v>0</v>
      </c>
      <c r="AX62" s="704">
        <v>0</v>
      </c>
      <c r="AZ62" s="714">
        <v>0</v>
      </c>
      <c r="BA62" s="707">
        <v>0</v>
      </c>
      <c r="BB62" s="711">
        <f t="shared" si="12"/>
        <v>0</v>
      </c>
      <c r="BC62" s="708">
        <v>0</v>
      </c>
      <c r="BD62" s="714">
        <f>Eip_cases_jan[[#This Row],[EOM Cases]]</f>
        <v>0</v>
      </c>
      <c r="BE62" s="707">
        <v>0</v>
      </c>
      <c r="BF62" s="711">
        <f t="shared" si="13"/>
        <v>0</v>
      </c>
      <c r="BG62" s="708">
        <v>0</v>
      </c>
      <c r="BH62" s="714">
        <f>Eip_cases_feb[[#This Row],[EOM Cases]]</f>
        <v>0</v>
      </c>
      <c r="BI62" s="707">
        <v>0</v>
      </c>
      <c r="BJ62" s="711">
        <f t="shared" si="14"/>
        <v>0</v>
      </c>
      <c r="BK62" s="708">
        <v>0</v>
      </c>
      <c r="BL62" s="714">
        <f>Eip_cases_mar[[#This Row],[EOM Cases]]</f>
        <v>0</v>
      </c>
      <c r="BM62" s="707">
        <v>0</v>
      </c>
      <c r="BN62" s="711">
        <f t="shared" si="15"/>
        <v>0</v>
      </c>
      <c r="BO62" s="708">
        <v>0</v>
      </c>
      <c r="BP62" s="714">
        <f>Eip_cases_Apr[[#This Row],[EOM Cases]]</f>
        <v>0</v>
      </c>
      <c r="BQ62" s="707">
        <v>0</v>
      </c>
      <c r="BR62" s="711">
        <f t="shared" si="16"/>
        <v>0</v>
      </c>
      <c r="BS62" s="708">
        <v>0</v>
      </c>
      <c r="BT62" s="714">
        <f>Eip_cases_May[[#This Row],[EOM Cases]]</f>
        <v>0</v>
      </c>
      <c r="BU62" s="707">
        <v>0</v>
      </c>
      <c r="BV62" s="711">
        <f t="shared" si="17"/>
        <v>0</v>
      </c>
      <c r="BW62" s="708">
        <v>0</v>
      </c>
      <c r="BX62" s="714">
        <f>Eip_cases_Jun[[#This Row],[EOM Cases]]</f>
        <v>0</v>
      </c>
      <c r="BY62" s="707">
        <v>0</v>
      </c>
      <c r="BZ62" s="711">
        <f t="shared" si="18"/>
        <v>0</v>
      </c>
      <c r="CA62" s="708">
        <v>0</v>
      </c>
      <c r="CB62" s="714">
        <f>Eip_cases_Jul[[#This Row],[EOM Cases]]</f>
        <v>0</v>
      </c>
      <c r="CC62" s="707">
        <v>0</v>
      </c>
      <c r="CD62" s="711">
        <f t="shared" si="19"/>
        <v>0</v>
      </c>
      <c r="CE62" s="708">
        <v>0</v>
      </c>
      <c r="CF62" s="714">
        <f>Eip_cases_Aug[[#This Row],[EOM Cases]]</f>
        <v>0</v>
      </c>
      <c r="CG62" s="707">
        <v>0</v>
      </c>
      <c r="CH62" s="711">
        <f t="shared" si="20"/>
        <v>0</v>
      </c>
      <c r="CI62" s="708">
        <v>0</v>
      </c>
      <c r="CJ62" s="714">
        <f>Eip_cases_Sep[[#This Row],[EOM Cases]]</f>
        <v>0</v>
      </c>
      <c r="CK62" s="707">
        <v>0</v>
      </c>
      <c r="CL62" s="711">
        <f t="shared" si="21"/>
        <v>0</v>
      </c>
      <c r="CM62" s="708">
        <v>0</v>
      </c>
      <c r="CN62" s="714">
        <f>Eip_cases_Oct[[#This Row],[EOM Cases]]</f>
        <v>0</v>
      </c>
      <c r="CO62" s="707">
        <v>0</v>
      </c>
      <c r="CP62" s="711">
        <f t="shared" si="22"/>
        <v>0</v>
      </c>
      <c r="CQ62" s="708">
        <v>0</v>
      </c>
      <c r="CR62" s="714">
        <f>Eip_cases_Nov[[#This Row],[EOM Cases]]</f>
        <v>0</v>
      </c>
      <c r="CS62" s="707">
        <v>0</v>
      </c>
      <c r="CT62" s="711">
        <f t="shared" si="23"/>
        <v>0</v>
      </c>
      <c r="CU62" s="708">
        <v>0</v>
      </c>
    </row>
    <row r="63" spans="2:99" ht="14.5" x14ac:dyDescent="0.35">
      <c r="B63" s="874" t="str">
        <f>'Nurse Hours'!B64</f>
        <v>Jeng, Jinny</v>
      </c>
      <c r="C63" s="701">
        <v>22</v>
      </c>
      <c r="D63" s="729">
        <v>2</v>
      </c>
      <c r="E63" s="711">
        <f t="shared" si="0"/>
        <v>1</v>
      </c>
      <c r="F63" s="732">
        <v>23</v>
      </c>
      <c r="G63" s="703">
        <f>Regular_cases_jan[[#This Row],[EOM Cases]]</f>
        <v>23</v>
      </c>
      <c r="H63" s="729">
        <v>2</v>
      </c>
      <c r="I63" s="711">
        <f t="shared" si="1"/>
        <v>8</v>
      </c>
      <c r="J63" s="732">
        <v>17</v>
      </c>
      <c r="K63" s="703">
        <f>Regular_cases_feb[[#This Row],[EOM Cases]]</f>
        <v>17</v>
      </c>
      <c r="L63" s="729">
        <v>5</v>
      </c>
      <c r="M63" s="711">
        <f t="shared" si="2"/>
        <v>0</v>
      </c>
      <c r="N63" s="734">
        <v>22</v>
      </c>
      <c r="O63" s="703">
        <f>Regular_cases_mar[[#This Row],[EOM Cases]]</f>
        <v>22</v>
      </c>
      <c r="P63" s="729">
        <v>3</v>
      </c>
      <c r="Q63" s="711">
        <f t="shared" si="3"/>
        <v>0</v>
      </c>
      <c r="R63" s="732">
        <v>25</v>
      </c>
      <c r="S63" s="703">
        <f>Regular_cases_apr[[#This Row],[EOM Cases]]</f>
        <v>25</v>
      </c>
      <c r="T63" s="729">
        <v>3</v>
      </c>
      <c r="U63" s="711">
        <f t="shared" si="4"/>
        <v>3</v>
      </c>
      <c r="V63" s="732">
        <v>25</v>
      </c>
      <c r="W63" s="632">
        <f>Regular_cases_may[[#This Row],[EOM Cases]]</f>
        <v>25</v>
      </c>
      <c r="X63" s="729">
        <v>1</v>
      </c>
      <c r="Y63" s="711">
        <f t="shared" si="5"/>
        <v>1</v>
      </c>
      <c r="Z63" s="704">
        <v>25</v>
      </c>
      <c r="AA63" s="711">
        <f>Regular_cases_jun[[#This Row],[EOM Cases]]</f>
        <v>25</v>
      </c>
      <c r="AB63" s="704">
        <v>0</v>
      </c>
      <c r="AC63" s="711">
        <f t="shared" si="6"/>
        <v>3</v>
      </c>
      <c r="AD63" s="704">
        <v>22</v>
      </c>
      <c r="AE63" s="711">
        <f>Regular_cases_jul[[#This Row],[EOM Cases]]</f>
        <v>22</v>
      </c>
      <c r="AF63" s="704">
        <v>5</v>
      </c>
      <c r="AG63" s="711">
        <f t="shared" si="7"/>
        <v>2</v>
      </c>
      <c r="AH63" s="704">
        <v>25</v>
      </c>
      <c r="AI63" s="711">
        <f>Regular_cases_Aug[[#This Row],[EOM Cases]]</f>
        <v>25</v>
      </c>
      <c r="AJ63" s="704">
        <v>2</v>
      </c>
      <c r="AK63" s="711">
        <f t="shared" si="8"/>
        <v>4</v>
      </c>
      <c r="AL63" s="704">
        <v>23</v>
      </c>
      <c r="AM63" s="711">
        <f>Regular_cases_Sep[[#This Row],[EOM Cases]]</f>
        <v>23</v>
      </c>
      <c r="AN63" s="704">
        <v>1</v>
      </c>
      <c r="AO63" s="711">
        <f t="shared" si="9"/>
        <v>0</v>
      </c>
      <c r="AP63" s="704">
        <v>24</v>
      </c>
      <c r="AQ63" s="711">
        <f>Regular_cases_Oct[[#This Row],[EOM Cases]]</f>
        <v>24</v>
      </c>
      <c r="AR63" s="704">
        <v>0</v>
      </c>
      <c r="AS63" s="711">
        <f t="shared" si="10"/>
        <v>24</v>
      </c>
      <c r="AT63" s="704">
        <v>0</v>
      </c>
      <c r="AU63" s="711">
        <f>Regular_cases_Nov[[#This Row],[EOM Cases]]</f>
        <v>0</v>
      </c>
      <c r="AV63" s="704">
        <v>0</v>
      </c>
      <c r="AW63" s="711">
        <f t="shared" si="11"/>
        <v>0</v>
      </c>
      <c r="AX63" s="704">
        <v>0</v>
      </c>
      <c r="AZ63" s="714">
        <v>0</v>
      </c>
      <c r="BA63" s="707">
        <v>0</v>
      </c>
      <c r="BB63" s="711">
        <f t="shared" si="12"/>
        <v>0</v>
      </c>
      <c r="BC63" s="708">
        <v>0</v>
      </c>
      <c r="BD63" s="714">
        <f>Eip_cases_jan[[#This Row],[EOM Cases]]</f>
        <v>0</v>
      </c>
      <c r="BE63" s="707">
        <v>0</v>
      </c>
      <c r="BF63" s="711">
        <f t="shared" si="13"/>
        <v>0</v>
      </c>
      <c r="BG63" s="708">
        <v>0</v>
      </c>
      <c r="BH63" s="714">
        <f>Eip_cases_feb[[#This Row],[EOM Cases]]</f>
        <v>0</v>
      </c>
      <c r="BI63" s="707">
        <v>0</v>
      </c>
      <c r="BJ63" s="711">
        <f t="shared" si="14"/>
        <v>0</v>
      </c>
      <c r="BK63" s="708">
        <v>0</v>
      </c>
      <c r="BL63" s="714">
        <f>Eip_cases_mar[[#This Row],[EOM Cases]]</f>
        <v>0</v>
      </c>
      <c r="BM63" s="707">
        <v>0</v>
      </c>
      <c r="BN63" s="711">
        <f t="shared" si="15"/>
        <v>0</v>
      </c>
      <c r="BO63" s="708">
        <v>0</v>
      </c>
      <c r="BP63" s="714">
        <f>Eip_cases_Apr[[#This Row],[EOM Cases]]</f>
        <v>0</v>
      </c>
      <c r="BQ63" s="707">
        <v>0</v>
      </c>
      <c r="BR63" s="711">
        <f t="shared" si="16"/>
        <v>0</v>
      </c>
      <c r="BS63" s="708">
        <v>0</v>
      </c>
      <c r="BT63" s="714">
        <f>Eip_cases_May[[#This Row],[EOM Cases]]</f>
        <v>0</v>
      </c>
      <c r="BU63" s="707">
        <v>0</v>
      </c>
      <c r="BV63" s="711">
        <f t="shared" si="17"/>
        <v>0</v>
      </c>
      <c r="BW63" s="708">
        <v>0</v>
      </c>
      <c r="BX63" s="714">
        <f>Eip_cases_Jun[[#This Row],[EOM Cases]]</f>
        <v>0</v>
      </c>
      <c r="BY63" s="707">
        <v>0</v>
      </c>
      <c r="BZ63" s="711">
        <f t="shared" si="18"/>
        <v>0</v>
      </c>
      <c r="CA63" s="708">
        <v>0</v>
      </c>
      <c r="CB63" s="714">
        <f>Eip_cases_Jul[[#This Row],[EOM Cases]]</f>
        <v>0</v>
      </c>
      <c r="CC63" s="707">
        <v>0</v>
      </c>
      <c r="CD63" s="711">
        <f t="shared" si="19"/>
        <v>0</v>
      </c>
      <c r="CE63" s="708">
        <v>0</v>
      </c>
      <c r="CF63" s="714">
        <f>Eip_cases_Aug[[#This Row],[EOM Cases]]</f>
        <v>0</v>
      </c>
      <c r="CG63" s="707">
        <v>0</v>
      </c>
      <c r="CH63" s="711">
        <f t="shared" si="20"/>
        <v>0</v>
      </c>
      <c r="CI63" s="708">
        <v>0</v>
      </c>
      <c r="CJ63" s="714">
        <f>Eip_cases_Sep[[#This Row],[EOM Cases]]</f>
        <v>0</v>
      </c>
      <c r="CK63" s="707">
        <v>0</v>
      </c>
      <c r="CL63" s="711">
        <f t="shared" si="21"/>
        <v>0</v>
      </c>
      <c r="CM63" s="708">
        <v>0</v>
      </c>
      <c r="CN63" s="714">
        <f>Eip_cases_Oct[[#This Row],[EOM Cases]]</f>
        <v>0</v>
      </c>
      <c r="CO63" s="707">
        <v>0</v>
      </c>
      <c r="CP63" s="711">
        <f t="shared" si="22"/>
        <v>0</v>
      </c>
      <c r="CQ63" s="708">
        <v>0</v>
      </c>
      <c r="CR63" s="714">
        <f>Eip_cases_Nov[[#This Row],[EOM Cases]]</f>
        <v>0</v>
      </c>
      <c r="CS63" s="707">
        <v>0</v>
      </c>
      <c r="CT63" s="711">
        <f t="shared" si="23"/>
        <v>0</v>
      </c>
      <c r="CU63" s="708">
        <v>0</v>
      </c>
    </row>
    <row r="64" spans="2:99" ht="14.5" x14ac:dyDescent="0.35">
      <c r="B64" s="874" t="str">
        <f>'Nurse Hours'!B65</f>
        <v xml:space="preserve">Kaur, Gursimron </v>
      </c>
      <c r="C64" s="701"/>
      <c r="D64" s="729"/>
      <c r="E64" s="711">
        <f>SUM(C64:D64)-F64</f>
        <v>0</v>
      </c>
      <c r="F64" s="732"/>
      <c r="G64" s="703">
        <f>Regular_cases_jan[[#This Row],[EOM Cases]]</f>
        <v>0</v>
      </c>
      <c r="H64" s="729"/>
      <c r="I64" s="711">
        <f>SUM(G64:H64)-J64</f>
        <v>0</v>
      </c>
      <c r="J64" s="732"/>
      <c r="K64" s="703">
        <f>Regular_cases_feb[[#This Row],[EOM Cases]]</f>
        <v>0</v>
      </c>
      <c r="L64" s="729"/>
      <c r="M64" s="711">
        <f>SUM(K64:L64)-N64</f>
        <v>0</v>
      </c>
      <c r="N64" s="734"/>
      <c r="O64" s="703">
        <f>Regular_cases_mar[[#This Row],[EOM Cases]]</f>
        <v>0</v>
      </c>
      <c r="P64" s="729"/>
      <c r="Q64" s="711">
        <f>SUM(O64:P64)-R64</f>
        <v>0</v>
      </c>
      <c r="R64" s="732"/>
      <c r="S64" s="703">
        <f>Regular_cases_apr[[#This Row],[EOM Cases]]</f>
        <v>0</v>
      </c>
      <c r="T64" s="729"/>
      <c r="U64" s="711">
        <f>SUM(S64:T64)-V64</f>
        <v>0</v>
      </c>
      <c r="V64" s="732"/>
      <c r="W64" s="632">
        <f>Regular_cases_may[[#This Row],[EOM Cases]]</f>
        <v>0</v>
      </c>
      <c r="X64" s="729"/>
      <c r="Y64" s="711">
        <f>SUM(W64:X64)-Z64</f>
        <v>0</v>
      </c>
      <c r="Z64" s="704"/>
      <c r="AA64" s="711">
        <f>Regular_cases_jun[[#This Row],[EOM Cases]]</f>
        <v>0</v>
      </c>
      <c r="AB64" s="704">
        <v>2</v>
      </c>
      <c r="AC64" s="711">
        <f t="shared" si="6"/>
        <v>0</v>
      </c>
      <c r="AD64" s="704">
        <v>2</v>
      </c>
      <c r="AE64" s="711">
        <f>Regular_cases_jul[[#This Row],[EOM Cases]]</f>
        <v>2</v>
      </c>
      <c r="AF64" s="704">
        <v>2</v>
      </c>
      <c r="AG64" s="711">
        <f>SUM(AE64:AF64)-AH64</f>
        <v>0</v>
      </c>
      <c r="AH64" s="704">
        <v>4</v>
      </c>
      <c r="AI64" s="711">
        <f>Regular_cases_Aug[[#This Row],[EOM Cases]]</f>
        <v>4</v>
      </c>
      <c r="AJ64" s="704">
        <v>3</v>
      </c>
      <c r="AK64" s="711">
        <f>SUM(AI64:AJ64)-AL64</f>
        <v>1</v>
      </c>
      <c r="AL64" s="704">
        <v>6</v>
      </c>
      <c r="AM64" s="711">
        <f>Regular_cases_Sep[[#This Row],[EOM Cases]]</f>
        <v>6</v>
      </c>
      <c r="AN64" s="704">
        <v>4</v>
      </c>
      <c r="AO64" s="711">
        <f>SUM(AM64:AN64)-AP64</f>
        <v>-1</v>
      </c>
      <c r="AP64" s="704">
        <v>11</v>
      </c>
      <c r="AQ64" s="711">
        <f>Regular_cases_Oct[[#This Row],[EOM Cases]]</f>
        <v>11</v>
      </c>
      <c r="AR64" s="704"/>
      <c r="AS64" s="711">
        <f>SUM(AQ64:AR64)-AT64</f>
        <v>11</v>
      </c>
      <c r="AT64" s="704"/>
      <c r="AU64" s="711">
        <f>Regular_cases_Nov[[#This Row],[EOM Cases]]</f>
        <v>0</v>
      </c>
      <c r="AV64" s="704"/>
      <c r="AW64" s="711">
        <f>SUM(AU64:AV64)-AX64</f>
        <v>0</v>
      </c>
      <c r="AX64" s="704"/>
      <c r="AZ64" s="714"/>
      <c r="BA64" s="707"/>
      <c r="BB64" s="711">
        <f>SUM(AZ64:BA64)-BC64</f>
        <v>0</v>
      </c>
      <c r="BC64" s="708"/>
      <c r="BD64" s="714">
        <f>Eip_cases_jan[[#This Row],[EOM Cases]]</f>
        <v>0</v>
      </c>
      <c r="BE64" s="707"/>
      <c r="BF64" s="711">
        <f>SUM(BD64:BE64)-BG64</f>
        <v>0</v>
      </c>
      <c r="BG64" s="708"/>
      <c r="BH64" s="714">
        <f>Eip_cases_feb[[#This Row],[EOM Cases]]</f>
        <v>0</v>
      </c>
      <c r="BI64" s="707"/>
      <c r="BJ64" s="711">
        <f>SUM(BH64:BI64)-BK64</f>
        <v>0</v>
      </c>
      <c r="BK64" s="708"/>
      <c r="BL64" s="714">
        <f>Eip_cases_mar[[#This Row],[EOM Cases]]</f>
        <v>0</v>
      </c>
      <c r="BM64" s="707"/>
      <c r="BN64" s="711">
        <f>SUM(BL64:BM64)-BO64</f>
        <v>0</v>
      </c>
      <c r="BO64" s="708"/>
      <c r="BP64" s="714">
        <f>Eip_cases_Apr[[#This Row],[EOM Cases]]</f>
        <v>0</v>
      </c>
      <c r="BQ64" s="707"/>
      <c r="BR64" s="711">
        <f>SUM(BP64:BQ64)-BS64</f>
        <v>0</v>
      </c>
      <c r="BS64" s="708"/>
      <c r="BT64" s="714">
        <f>Eip_cases_May[[#This Row],[EOM Cases]]</f>
        <v>0</v>
      </c>
      <c r="BU64" s="707"/>
      <c r="BV64" s="711">
        <f>SUM(BT64:BU64)-BW64</f>
        <v>0</v>
      </c>
      <c r="BW64" s="708"/>
      <c r="BX64" s="714">
        <f>Eip_cases_Jun[[#This Row],[EOM Cases]]</f>
        <v>0</v>
      </c>
      <c r="BY64" s="707"/>
      <c r="BZ64" s="711">
        <f>SUM(BX64:BY64)-CA64</f>
        <v>0</v>
      </c>
      <c r="CA64" s="708"/>
      <c r="CB64" s="714">
        <f>Eip_cases_Jul[[#This Row],[EOM Cases]]</f>
        <v>0</v>
      </c>
      <c r="CC64" s="707"/>
      <c r="CD64" s="711">
        <f>SUM(CB64:CC64)-CE64</f>
        <v>0</v>
      </c>
      <c r="CE64" s="708"/>
      <c r="CF64" s="714">
        <f>Eip_cases_Aug[[#This Row],[EOM Cases]]</f>
        <v>0</v>
      </c>
      <c r="CG64" s="707">
        <v>0</v>
      </c>
      <c r="CH64" s="711">
        <f>SUM(CF64:CG64)-CI64</f>
        <v>0</v>
      </c>
      <c r="CI64" s="708">
        <v>0</v>
      </c>
      <c r="CJ64" s="714">
        <f>Eip_cases_Sep[[#This Row],[EOM Cases]]</f>
        <v>0</v>
      </c>
      <c r="CK64" s="707"/>
      <c r="CL64" s="711">
        <f>SUM(CJ64:CK64)-CM64</f>
        <v>0</v>
      </c>
      <c r="CM64" s="708"/>
      <c r="CN64" s="714">
        <f>Eip_cases_Oct[[#This Row],[EOM Cases]]</f>
        <v>0</v>
      </c>
      <c r="CO64" s="707"/>
      <c r="CP64" s="711">
        <f>SUM(CN64:CO64)-CQ64</f>
        <v>0</v>
      </c>
      <c r="CQ64" s="708"/>
      <c r="CR64" s="714">
        <f>Eip_cases_Nov[[#This Row],[EOM Cases]]</f>
        <v>0</v>
      </c>
      <c r="CS64" s="707"/>
      <c r="CT64" s="711">
        <f>SUM(CR64:CS64)-CU64</f>
        <v>0</v>
      </c>
      <c r="CU64" s="708"/>
    </row>
    <row r="65" spans="2:112" ht="14.5" x14ac:dyDescent="0.35">
      <c r="B65" s="874" t="str">
        <f>'Nurse Hours'!B66</f>
        <v>Kaur, Lapreet</v>
      </c>
      <c r="C65" s="871"/>
      <c r="D65" s="872"/>
      <c r="E65" s="712">
        <f>SUM(C65:D65)-F65</f>
        <v>0</v>
      </c>
      <c r="F65" s="872"/>
      <c r="G65" s="871">
        <f>Regular_cases_jan[[#This Row],[EOM Cases]]</f>
        <v>0</v>
      </c>
      <c r="H65" s="872"/>
      <c r="I65" s="712">
        <f>SUM(G65:H65)-J65</f>
        <v>0</v>
      </c>
      <c r="J65" s="872"/>
      <c r="K65" s="871">
        <f>Regular_cases_feb[[#This Row],[EOM Cases]]</f>
        <v>0</v>
      </c>
      <c r="L65" s="872"/>
      <c r="M65" s="712">
        <f>SUM(K65:L65)-N65</f>
        <v>0</v>
      </c>
      <c r="N65" s="872"/>
      <c r="O65" s="871">
        <f>Regular_cases_mar[[#This Row],[EOM Cases]]</f>
        <v>0</v>
      </c>
      <c r="P65" s="872"/>
      <c r="Q65" s="712">
        <f>SUM(O65:P65)-R65</f>
        <v>0</v>
      </c>
      <c r="R65" s="872"/>
      <c r="S65" s="871">
        <f>Regular_cases_apr[[#This Row],[EOM Cases]]</f>
        <v>0</v>
      </c>
      <c r="T65" s="872"/>
      <c r="U65" s="712">
        <f>SUM(S65:T65)-V65</f>
        <v>0</v>
      </c>
      <c r="V65" s="872"/>
      <c r="W65" s="871">
        <f>Regular_cases_may[[#This Row],[EOM Cases]]</f>
        <v>0</v>
      </c>
      <c r="X65" s="872"/>
      <c r="Y65" s="712">
        <f>SUM(W65:X65)-Z65</f>
        <v>0</v>
      </c>
      <c r="Z65" s="543"/>
      <c r="AA65" s="712">
        <f>Regular_cases_jun[[#This Row],[EOM Cases]]</f>
        <v>0</v>
      </c>
      <c r="AB65" s="543"/>
      <c r="AC65" s="712">
        <f>SUM(AA65:AB65)-AD65</f>
        <v>0</v>
      </c>
      <c r="AD65" s="543"/>
      <c r="AE65" s="712">
        <f>Regular_cases_jul[[#This Row],[EOM Cases]]</f>
        <v>0</v>
      </c>
      <c r="AF65" s="543"/>
      <c r="AG65" s="712">
        <f>SUM(AE65:AF65)-AH65</f>
        <v>0</v>
      </c>
      <c r="AH65" s="543"/>
      <c r="AI65" s="712">
        <f>Regular_cases_Aug[[#This Row],[EOM Cases]]</f>
        <v>0</v>
      </c>
      <c r="AJ65" s="543"/>
      <c r="AK65" s="712">
        <f>SUM(AI65:AJ65)-AL65</f>
        <v>0</v>
      </c>
      <c r="AL65" s="543"/>
      <c r="AM65" s="712">
        <f>Regular_cases_Sep[[#This Row],[EOM Cases]]</f>
        <v>0</v>
      </c>
      <c r="AN65" s="543">
        <v>2</v>
      </c>
      <c r="AO65" s="712">
        <f>SUM(AM65:AN65)-AP65</f>
        <v>0</v>
      </c>
      <c r="AP65" s="543">
        <v>2</v>
      </c>
      <c r="AQ65" s="712">
        <f>Regular_cases_Oct[[#This Row],[EOM Cases]]</f>
        <v>2</v>
      </c>
      <c r="AR65" s="543"/>
      <c r="AS65" s="712">
        <f>SUM(AQ65:AR65)-AT65</f>
        <v>2</v>
      </c>
      <c r="AT65" s="543"/>
      <c r="AU65" s="712">
        <f>Regular_cases_Nov[[#This Row],[EOM Cases]]</f>
        <v>0</v>
      </c>
      <c r="AV65" s="543"/>
      <c r="AW65" s="712">
        <f>SUM(AU65:AV65)-AX65</f>
        <v>0</v>
      </c>
      <c r="AX65" s="543"/>
      <c r="AZ65" s="871"/>
      <c r="BA65" s="872"/>
      <c r="BB65" s="712">
        <f>SUM(AZ65:BA65)-BC65</f>
        <v>0</v>
      </c>
      <c r="BC65" s="873"/>
      <c r="BD65" s="871">
        <f>Eip_cases_jan[[#This Row],[EOM Cases]]</f>
        <v>0</v>
      </c>
      <c r="BE65" s="872"/>
      <c r="BF65" s="712">
        <f>SUM(BD65:BE65)-BG65</f>
        <v>0</v>
      </c>
      <c r="BG65" s="873"/>
      <c r="BH65" s="871">
        <f>Eip_cases_feb[[#This Row],[EOM Cases]]</f>
        <v>0</v>
      </c>
      <c r="BI65" s="872"/>
      <c r="BJ65" s="712">
        <f>SUM(BH65:BI65)-BK65</f>
        <v>0</v>
      </c>
      <c r="BK65" s="873"/>
      <c r="BL65" s="871">
        <f>Eip_cases_mar[[#This Row],[EOM Cases]]</f>
        <v>0</v>
      </c>
      <c r="BM65" s="872"/>
      <c r="BN65" s="712">
        <f>SUM(BL65:BM65)-BO65</f>
        <v>0</v>
      </c>
      <c r="BO65" s="873"/>
      <c r="BP65" s="871">
        <f>Eip_cases_Apr[[#This Row],[EOM Cases]]</f>
        <v>0</v>
      </c>
      <c r="BQ65" s="872"/>
      <c r="BR65" s="712">
        <f>SUM(BP65:BQ65)-BS65</f>
        <v>0</v>
      </c>
      <c r="BS65" s="873"/>
      <c r="BT65" s="871">
        <f>Eip_cases_May[[#This Row],[EOM Cases]]</f>
        <v>0</v>
      </c>
      <c r="BU65" s="872"/>
      <c r="BV65" s="712">
        <f>SUM(BT65:BU65)-BW65</f>
        <v>0</v>
      </c>
      <c r="BW65" s="873"/>
      <c r="BX65" s="871">
        <f>Eip_cases_Jun[[#This Row],[EOM Cases]]</f>
        <v>0</v>
      </c>
      <c r="BY65" s="872"/>
      <c r="BZ65" s="712">
        <f>SUM(BX65:BY65)-CA65</f>
        <v>0</v>
      </c>
      <c r="CA65" s="873"/>
      <c r="CB65" s="871">
        <f>Eip_cases_Jul[[#This Row],[EOM Cases]]</f>
        <v>0</v>
      </c>
      <c r="CC65" s="872"/>
      <c r="CD65" s="712">
        <f>SUM(CB65:CC65)-CE65</f>
        <v>0</v>
      </c>
      <c r="CE65" s="873"/>
      <c r="CF65" s="871">
        <f>Eip_cases_Aug[[#This Row],[EOM Cases]]</f>
        <v>0</v>
      </c>
      <c r="CG65" s="872"/>
      <c r="CH65" s="712">
        <f>SUM(CF65:CG65)-CI65</f>
        <v>0</v>
      </c>
      <c r="CI65" s="873"/>
      <c r="CJ65" s="871">
        <f>Eip_cases_Sep[[#This Row],[EOM Cases]]</f>
        <v>0</v>
      </c>
      <c r="CK65" s="872"/>
      <c r="CL65" s="712">
        <f>SUM(CJ65:CK65)-CM65</f>
        <v>0</v>
      </c>
      <c r="CM65" s="873"/>
      <c r="CN65" s="871">
        <f>Eip_cases_Oct[[#This Row],[EOM Cases]]</f>
        <v>0</v>
      </c>
      <c r="CO65" s="872"/>
      <c r="CP65" s="712">
        <f>SUM(CN65:CO65)-CQ65</f>
        <v>0</v>
      </c>
      <c r="CQ65" s="873"/>
      <c r="CR65" s="871">
        <f>Eip_cases_Nov[[#This Row],[EOM Cases]]</f>
        <v>0</v>
      </c>
      <c r="CS65" s="872"/>
      <c r="CT65" s="712">
        <f>SUM(CR65:CS65)-CU65</f>
        <v>0</v>
      </c>
      <c r="CU65" s="873"/>
    </row>
    <row r="66" spans="2:112" ht="14.5" x14ac:dyDescent="0.35">
      <c r="B66" s="874" t="str">
        <f>'Nurse Hours'!B67</f>
        <v>Kaur, Ravee</v>
      </c>
      <c r="C66" s="871">
        <v>18</v>
      </c>
      <c r="D66" s="872">
        <v>1</v>
      </c>
      <c r="E66" s="712">
        <f t="shared" si="0"/>
        <v>1</v>
      </c>
      <c r="F66" s="872">
        <v>18</v>
      </c>
      <c r="G66" s="871">
        <f>Regular_cases_jan[[#This Row],[EOM Cases]]</f>
        <v>18</v>
      </c>
      <c r="H66" s="872">
        <v>2</v>
      </c>
      <c r="I66" s="712">
        <f t="shared" si="1"/>
        <v>2</v>
      </c>
      <c r="J66" s="872">
        <v>18</v>
      </c>
      <c r="K66" s="871">
        <f>Regular_cases_feb[[#This Row],[EOM Cases]]</f>
        <v>18</v>
      </c>
      <c r="L66" s="872">
        <v>1</v>
      </c>
      <c r="M66" s="712">
        <f t="shared" si="2"/>
        <v>1</v>
      </c>
      <c r="N66" s="872">
        <v>18</v>
      </c>
      <c r="O66" s="871">
        <f>Regular_cases_mar[[#This Row],[EOM Cases]]</f>
        <v>18</v>
      </c>
      <c r="P66" s="872">
        <v>1</v>
      </c>
      <c r="Q66" s="712">
        <f t="shared" si="3"/>
        <v>2</v>
      </c>
      <c r="R66" s="872">
        <v>17</v>
      </c>
      <c r="S66" s="871">
        <f>Regular_cases_apr[[#This Row],[EOM Cases]]</f>
        <v>17</v>
      </c>
      <c r="T66" s="872">
        <v>1</v>
      </c>
      <c r="U66" s="712">
        <f t="shared" si="4"/>
        <v>1</v>
      </c>
      <c r="V66" s="872">
        <v>17</v>
      </c>
      <c r="W66" s="871">
        <f>Regular_cases_may[[#This Row],[EOM Cases]]</f>
        <v>17</v>
      </c>
      <c r="X66" s="872">
        <v>1</v>
      </c>
      <c r="Y66" s="712">
        <f t="shared" si="5"/>
        <v>1</v>
      </c>
      <c r="Z66" s="543">
        <v>17</v>
      </c>
      <c r="AA66" s="712">
        <f>Regular_cases_jun[[#This Row],[EOM Cases]]</f>
        <v>17</v>
      </c>
      <c r="AB66" s="543">
        <v>3</v>
      </c>
      <c r="AC66" s="712">
        <f t="shared" si="6"/>
        <v>1</v>
      </c>
      <c r="AD66" s="543">
        <v>19</v>
      </c>
      <c r="AE66" s="712">
        <f>Regular_cases_jul[[#This Row],[EOM Cases]]</f>
        <v>19</v>
      </c>
      <c r="AF66" s="543">
        <v>2</v>
      </c>
      <c r="AG66" s="712">
        <f t="shared" si="7"/>
        <v>2</v>
      </c>
      <c r="AH66" s="543">
        <v>19</v>
      </c>
      <c r="AI66" s="712">
        <f>Regular_cases_Aug[[#This Row],[EOM Cases]]</f>
        <v>19</v>
      </c>
      <c r="AJ66" s="543">
        <v>1</v>
      </c>
      <c r="AK66" s="712">
        <f t="shared" si="8"/>
        <v>1</v>
      </c>
      <c r="AL66" s="543">
        <v>19</v>
      </c>
      <c r="AM66" s="712">
        <f>Regular_cases_Sep[[#This Row],[EOM Cases]]</f>
        <v>19</v>
      </c>
      <c r="AN66" s="543">
        <v>1</v>
      </c>
      <c r="AO66" s="712">
        <f t="shared" si="9"/>
        <v>3</v>
      </c>
      <c r="AP66" s="543">
        <v>17</v>
      </c>
      <c r="AQ66" s="712">
        <f>Regular_cases_Oct[[#This Row],[EOM Cases]]</f>
        <v>17</v>
      </c>
      <c r="AR66" s="543">
        <v>0</v>
      </c>
      <c r="AS66" s="712">
        <f t="shared" si="10"/>
        <v>17</v>
      </c>
      <c r="AT66" s="543">
        <v>0</v>
      </c>
      <c r="AU66" s="712">
        <f>Regular_cases_Nov[[#This Row],[EOM Cases]]</f>
        <v>0</v>
      </c>
      <c r="AV66" s="543">
        <v>0</v>
      </c>
      <c r="AW66" s="712">
        <f t="shared" si="11"/>
        <v>0</v>
      </c>
      <c r="AX66" s="543">
        <v>0</v>
      </c>
      <c r="AZ66" s="871">
        <v>0</v>
      </c>
      <c r="BA66" s="872">
        <v>0</v>
      </c>
      <c r="BB66" s="712">
        <f t="shared" si="12"/>
        <v>0</v>
      </c>
      <c r="BC66" s="873">
        <v>0</v>
      </c>
      <c r="BD66" s="871">
        <f>Eip_cases_jan[[#This Row],[EOM Cases]]</f>
        <v>0</v>
      </c>
      <c r="BE66" s="872">
        <v>0</v>
      </c>
      <c r="BF66" s="712">
        <f t="shared" si="13"/>
        <v>0</v>
      </c>
      <c r="BG66" s="873">
        <v>0</v>
      </c>
      <c r="BH66" s="871">
        <f>Eip_cases_feb[[#This Row],[EOM Cases]]</f>
        <v>0</v>
      </c>
      <c r="BI66" s="872">
        <v>0</v>
      </c>
      <c r="BJ66" s="712">
        <f t="shared" si="14"/>
        <v>0</v>
      </c>
      <c r="BK66" s="873">
        <v>0</v>
      </c>
      <c r="BL66" s="871">
        <f>Eip_cases_mar[[#This Row],[EOM Cases]]</f>
        <v>0</v>
      </c>
      <c r="BM66" s="872">
        <v>0</v>
      </c>
      <c r="BN66" s="712">
        <f t="shared" si="15"/>
        <v>0</v>
      </c>
      <c r="BO66" s="873">
        <v>0</v>
      </c>
      <c r="BP66" s="871">
        <f>Eip_cases_Apr[[#This Row],[EOM Cases]]</f>
        <v>0</v>
      </c>
      <c r="BQ66" s="872">
        <v>0</v>
      </c>
      <c r="BR66" s="712">
        <f t="shared" si="16"/>
        <v>0</v>
      </c>
      <c r="BS66" s="873">
        <v>0</v>
      </c>
      <c r="BT66" s="871">
        <f>Eip_cases_May[[#This Row],[EOM Cases]]</f>
        <v>0</v>
      </c>
      <c r="BU66" s="872">
        <v>0</v>
      </c>
      <c r="BV66" s="712">
        <f t="shared" si="17"/>
        <v>0</v>
      </c>
      <c r="BW66" s="873">
        <v>0</v>
      </c>
      <c r="BX66" s="871">
        <f>Eip_cases_Jun[[#This Row],[EOM Cases]]</f>
        <v>0</v>
      </c>
      <c r="BY66" s="872">
        <v>0</v>
      </c>
      <c r="BZ66" s="712">
        <f t="shared" si="18"/>
        <v>0</v>
      </c>
      <c r="CA66" s="873">
        <v>0</v>
      </c>
      <c r="CB66" s="871">
        <f>Eip_cases_Jul[[#This Row],[EOM Cases]]</f>
        <v>0</v>
      </c>
      <c r="CC66" s="872">
        <v>0</v>
      </c>
      <c r="CD66" s="712">
        <f t="shared" si="19"/>
        <v>0</v>
      </c>
      <c r="CE66" s="873">
        <v>0</v>
      </c>
      <c r="CF66" s="871">
        <f>Eip_cases_Aug[[#This Row],[EOM Cases]]</f>
        <v>0</v>
      </c>
      <c r="CG66" s="872">
        <v>0</v>
      </c>
      <c r="CH66" s="712">
        <f t="shared" si="20"/>
        <v>0</v>
      </c>
      <c r="CI66" s="873">
        <v>0</v>
      </c>
      <c r="CJ66" s="871">
        <f>Eip_cases_Sep[[#This Row],[EOM Cases]]</f>
        <v>0</v>
      </c>
      <c r="CK66" s="872">
        <v>0</v>
      </c>
      <c r="CL66" s="712">
        <f t="shared" si="21"/>
        <v>0</v>
      </c>
      <c r="CM66" s="873">
        <v>0</v>
      </c>
      <c r="CN66" s="871">
        <f>Eip_cases_Oct[[#This Row],[EOM Cases]]</f>
        <v>0</v>
      </c>
      <c r="CO66" s="872">
        <v>0</v>
      </c>
      <c r="CP66" s="712">
        <f t="shared" si="22"/>
        <v>0</v>
      </c>
      <c r="CQ66" s="873">
        <v>0</v>
      </c>
      <c r="CR66" s="871">
        <f>Eip_cases_Nov[[#This Row],[EOM Cases]]</f>
        <v>0</v>
      </c>
      <c r="CS66" s="872">
        <v>0</v>
      </c>
      <c r="CT66" s="712">
        <f t="shared" si="23"/>
        <v>0</v>
      </c>
      <c r="CU66" s="873">
        <v>0</v>
      </c>
    </row>
    <row r="67" spans="2:112" ht="14.5" x14ac:dyDescent="0.35">
      <c r="B67" s="874" t="str">
        <f>'Nurse Hours'!B68</f>
        <v>Kaur, Savreet</v>
      </c>
      <c r="C67" s="701">
        <v>19</v>
      </c>
      <c r="D67" s="729">
        <v>3</v>
      </c>
      <c r="E67" s="711">
        <f t="shared" si="0"/>
        <v>2</v>
      </c>
      <c r="F67" s="732">
        <v>20</v>
      </c>
      <c r="G67" s="703">
        <f>Regular_cases_jan[[#This Row],[EOM Cases]]</f>
        <v>20</v>
      </c>
      <c r="H67" s="729">
        <v>1</v>
      </c>
      <c r="I67" s="711">
        <f t="shared" si="1"/>
        <v>1</v>
      </c>
      <c r="J67" s="732">
        <v>20</v>
      </c>
      <c r="K67" s="703">
        <f>Regular_cases_feb[[#This Row],[EOM Cases]]</f>
        <v>20</v>
      </c>
      <c r="L67" s="729">
        <v>0</v>
      </c>
      <c r="M67" s="711">
        <f t="shared" si="2"/>
        <v>-3</v>
      </c>
      <c r="N67" s="734">
        <v>23</v>
      </c>
      <c r="O67" s="703">
        <f>Regular_cases_mar[[#This Row],[EOM Cases]]</f>
        <v>23</v>
      </c>
      <c r="P67" s="729">
        <v>0</v>
      </c>
      <c r="Q67" s="711">
        <f t="shared" si="3"/>
        <v>2</v>
      </c>
      <c r="R67" s="732">
        <v>21</v>
      </c>
      <c r="S67" s="703">
        <f>Regular_cases_apr[[#This Row],[EOM Cases]]</f>
        <v>21</v>
      </c>
      <c r="T67" s="729">
        <v>1</v>
      </c>
      <c r="U67" s="711">
        <f t="shared" si="4"/>
        <v>1</v>
      </c>
      <c r="V67" s="732">
        <v>21</v>
      </c>
      <c r="W67" s="632">
        <f>Regular_cases_may[[#This Row],[EOM Cases]]</f>
        <v>21</v>
      </c>
      <c r="X67" s="729">
        <v>2</v>
      </c>
      <c r="Y67" s="711">
        <f t="shared" si="5"/>
        <v>0</v>
      </c>
      <c r="Z67" s="704">
        <v>23</v>
      </c>
      <c r="AA67" s="711">
        <f>Regular_cases_jun[[#This Row],[EOM Cases]]</f>
        <v>23</v>
      </c>
      <c r="AB67" s="704">
        <v>1</v>
      </c>
      <c r="AC67" s="711">
        <f t="shared" si="6"/>
        <v>2</v>
      </c>
      <c r="AD67" s="704">
        <v>22</v>
      </c>
      <c r="AE67" s="711">
        <f>Regular_cases_jul[[#This Row],[EOM Cases]]</f>
        <v>22</v>
      </c>
      <c r="AF67" s="704">
        <v>1</v>
      </c>
      <c r="AG67" s="711">
        <f t="shared" si="7"/>
        <v>0</v>
      </c>
      <c r="AH67" s="704">
        <v>23</v>
      </c>
      <c r="AI67" s="711">
        <f>Regular_cases_Aug[[#This Row],[EOM Cases]]</f>
        <v>23</v>
      </c>
      <c r="AJ67" s="704">
        <v>2</v>
      </c>
      <c r="AK67" s="711">
        <f t="shared" si="8"/>
        <v>4</v>
      </c>
      <c r="AL67" s="704">
        <v>21</v>
      </c>
      <c r="AM67" s="711">
        <f>Regular_cases_Sep[[#This Row],[EOM Cases]]</f>
        <v>21</v>
      </c>
      <c r="AN67" s="704">
        <v>1</v>
      </c>
      <c r="AO67" s="711">
        <f t="shared" si="9"/>
        <v>0</v>
      </c>
      <c r="AP67" s="704">
        <v>22</v>
      </c>
      <c r="AQ67" s="711">
        <f>Regular_cases_Oct[[#This Row],[EOM Cases]]</f>
        <v>22</v>
      </c>
      <c r="AR67" s="704">
        <v>0</v>
      </c>
      <c r="AS67" s="711">
        <f t="shared" si="10"/>
        <v>22</v>
      </c>
      <c r="AT67" s="704">
        <v>0</v>
      </c>
      <c r="AU67" s="711">
        <f>Regular_cases_Nov[[#This Row],[EOM Cases]]</f>
        <v>0</v>
      </c>
      <c r="AV67" s="704">
        <v>0</v>
      </c>
      <c r="AW67" s="711">
        <f t="shared" si="11"/>
        <v>0</v>
      </c>
      <c r="AX67" s="704">
        <v>0</v>
      </c>
      <c r="AZ67" s="714">
        <v>0</v>
      </c>
      <c r="BA67" s="707">
        <v>0</v>
      </c>
      <c r="BB67" s="711">
        <f t="shared" si="12"/>
        <v>0</v>
      </c>
      <c r="BC67" s="708">
        <v>0</v>
      </c>
      <c r="BD67" s="714">
        <f>Eip_cases_jan[[#This Row],[EOM Cases]]</f>
        <v>0</v>
      </c>
      <c r="BE67" s="707">
        <v>0</v>
      </c>
      <c r="BF67" s="711">
        <f t="shared" si="13"/>
        <v>0</v>
      </c>
      <c r="BG67" s="708">
        <v>0</v>
      </c>
      <c r="BH67" s="714">
        <f>Eip_cases_feb[[#This Row],[EOM Cases]]</f>
        <v>0</v>
      </c>
      <c r="BI67" s="707">
        <v>0</v>
      </c>
      <c r="BJ67" s="711">
        <f t="shared" si="14"/>
        <v>0</v>
      </c>
      <c r="BK67" s="708">
        <v>0</v>
      </c>
      <c r="BL67" s="714">
        <f>Eip_cases_mar[[#This Row],[EOM Cases]]</f>
        <v>0</v>
      </c>
      <c r="BM67" s="707">
        <v>0</v>
      </c>
      <c r="BN67" s="711">
        <f t="shared" si="15"/>
        <v>0</v>
      </c>
      <c r="BO67" s="708">
        <v>0</v>
      </c>
      <c r="BP67" s="714">
        <f>Eip_cases_Apr[[#This Row],[EOM Cases]]</f>
        <v>0</v>
      </c>
      <c r="BQ67" s="707">
        <v>0</v>
      </c>
      <c r="BR67" s="711">
        <f t="shared" si="16"/>
        <v>0</v>
      </c>
      <c r="BS67" s="708">
        <v>0</v>
      </c>
      <c r="BT67" s="714">
        <f>Eip_cases_May[[#This Row],[EOM Cases]]</f>
        <v>0</v>
      </c>
      <c r="BU67" s="707">
        <v>0</v>
      </c>
      <c r="BV67" s="711">
        <f t="shared" si="17"/>
        <v>0</v>
      </c>
      <c r="BW67" s="708">
        <v>0</v>
      </c>
      <c r="BX67" s="714">
        <f>Eip_cases_Jun[[#This Row],[EOM Cases]]</f>
        <v>0</v>
      </c>
      <c r="BY67" s="707">
        <v>0</v>
      </c>
      <c r="BZ67" s="711">
        <f t="shared" si="18"/>
        <v>0</v>
      </c>
      <c r="CA67" s="708">
        <v>0</v>
      </c>
      <c r="CB67" s="714">
        <f>Eip_cases_Jul[[#This Row],[EOM Cases]]</f>
        <v>0</v>
      </c>
      <c r="CC67" s="707">
        <v>0</v>
      </c>
      <c r="CD67" s="711">
        <f t="shared" si="19"/>
        <v>0</v>
      </c>
      <c r="CE67" s="708">
        <v>0</v>
      </c>
      <c r="CF67" s="714">
        <f>Eip_cases_Aug[[#This Row],[EOM Cases]]</f>
        <v>0</v>
      </c>
      <c r="CG67" s="707">
        <v>0</v>
      </c>
      <c r="CH67" s="711">
        <f t="shared" si="20"/>
        <v>0</v>
      </c>
      <c r="CI67" s="708">
        <v>0</v>
      </c>
      <c r="CJ67" s="714">
        <f>Eip_cases_Sep[[#This Row],[EOM Cases]]</f>
        <v>0</v>
      </c>
      <c r="CK67" s="707">
        <v>0</v>
      </c>
      <c r="CL67" s="711">
        <f t="shared" si="21"/>
        <v>0</v>
      </c>
      <c r="CM67" s="708">
        <v>0</v>
      </c>
      <c r="CN67" s="714">
        <f>Eip_cases_Oct[[#This Row],[EOM Cases]]</f>
        <v>0</v>
      </c>
      <c r="CO67" s="707">
        <v>0</v>
      </c>
      <c r="CP67" s="711">
        <f t="shared" si="22"/>
        <v>0</v>
      </c>
      <c r="CQ67" s="708">
        <v>0</v>
      </c>
      <c r="CR67" s="714">
        <f>Eip_cases_Nov[[#This Row],[EOM Cases]]</f>
        <v>0</v>
      </c>
      <c r="CS67" s="707">
        <v>0</v>
      </c>
      <c r="CT67" s="711">
        <f t="shared" si="23"/>
        <v>0</v>
      </c>
      <c r="CU67" s="708">
        <v>0</v>
      </c>
    </row>
    <row r="68" spans="2:112" ht="14.5" x14ac:dyDescent="0.35">
      <c r="B68" s="874" t="str">
        <f>'Nurse Hours'!B69</f>
        <v>Keefer, Tamryn</v>
      </c>
      <c r="C68" s="701">
        <v>25</v>
      </c>
      <c r="D68" s="729">
        <v>5</v>
      </c>
      <c r="E68" s="711">
        <f t="shared" si="0"/>
        <v>2</v>
      </c>
      <c r="F68" s="732">
        <v>28</v>
      </c>
      <c r="G68" s="703">
        <f>Regular_cases_jan[[#This Row],[EOM Cases]]</f>
        <v>28</v>
      </c>
      <c r="H68" s="729">
        <v>7</v>
      </c>
      <c r="I68" s="711">
        <f t="shared" si="1"/>
        <v>7</v>
      </c>
      <c r="J68" s="732">
        <v>28</v>
      </c>
      <c r="K68" s="703">
        <f>Regular_cases_feb[[#This Row],[EOM Cases]]</f>
        <v>28</v>
      </c>
      <c r="L68" s="729">
        <v>4</v>
      </c>
      <c r="M68" s="711">
        <f t="shared" si="2"/>
        <v>1</v>
      </c>
      <c r="N68" s="734">
        <v>31</v>
      </c>
      <c r="O68" s="703">
        <f>Regular_cases_mar[[#This Row],[EOM Cases]]</f>
        <v>31</v>
      </c>
      <c r="P68" s="729">
        <v>2</v>
      </c>
      <c r="Q68" s="711">
        <f t="shared" si="3"/>
        <v>0</v>
      </c>
      <c r="R68" s="732">
        <v>33</v>
      </c>
      <c r="S68" s="703">
        <f>Regular_cases_apr[[#This Row],[EOM Cases]]</f>
        <v>33</v>
      </c>
      <c r="T68" s="729">
        <v>2</v>
      </c>
      <c r="U68" s="711">
        <f t="shared" si="4"/>
        <v>2</v>
      </c>
      <c r="V68" s="732">
        <v>33</v>
      </c>
      <c r="W68" s="632">
        <f>Regular_cases_may[[#This Row],[EOM Cases]]</f>
        <v>33</v>
      </c>
      <c r="X68" s="729">
        <v>2</v>
      </c>
      <c r="Y68" s="711">
        <f t="shared" si="5"/>
        <v>2</v>
      </c>
      <c r="Z68" s="704">
        <v>33</v>
      </c>
      <c r="AA68" s="711">
        <f>Regular_cases_jun[[#This Row],[EOM Cases]]</f>
        <v>33</v>
      </c>
      <c r="AB68" s="704">
        <v>4</v>
      </c>
      <c r="AC68" s="711">
        <f t="shared" si="6"/>
        <v>2</v>
      </c>
      <c r="AD68" s="704">
        <v>35</v>
      </c>
      <c r="AE68" s="711">
        <f>Regular_cases_jul[[#This Row],[EOM Cases]]</f>
        <v>35</v>
      </c>
      <c r="AF68" s="704">
        <v>3</v>
      </c>
      <c r="AG68" s="711">
        <f t="shared" si="7"/>
        <v>7</v>
      </c>
      <c r="AH68" s="704">
        <v>31</v>
      </c>
      <c r="AI68" s="711">
        <f>Regular_cases_Aug[[#This Row],[EOM Cases]]</f>
        <v>31</v>
      </c>
      <c r="AJ68" s="704">
        <v>3</v>
      </c>
      <c r="AK68" s="711">
        <f t="shared" si="8"/>
        <v>3</v>
      </c>
      <c r="AL68" s="704">
        <v>31</v>
      </c>
      <c r="AM68" s="711">
        <f>Regular_cases_Sep[[#This Row],[EOM Cases]]</f>
        <v>31</v>
      </c>
      <c r="AN68" s="704">
        <v>4</v>
      </c>
      <c r="AO68" s="711">
        <f t="shared" si="9"/>
        <v>4</v>
      </c>
      <c r="AP68" s="704">
        <v>31</v>
      </c>
      <c r="AQ68" s="711">
        <f>Regular_cases_Oct[[#This Row],[EOM Cases]]</f>
        <v>31</v>
      </c>
      <c r="AR68" s="704">
        <v>0</v>
      </c>
      <c r="AS68" s="711">
        <f t="shared" si="10"/>
        <v>31</v>
      </c>
      <c r="AT68" s="704">
        <v>0</v>
      </c>
      <c r="AU68" s="711">
        <f>Regular_cases_Nov[[#This Row],[EOM Cases]]</f>
        <v>0</v>
      </c>
      <c r="AV68" s="704">
        <v>0</v>
      </c>
      <c r="AW68" s="711">
        <f t="shared" si="11"/>
        <v>0</v>
      </c>
      <c r="AX68" s="704">
        <v>0</v>
      </c>
      <c r="AZ68" s="714">
        <v>0</v>
      </c>
      <c r="BA68" s="707">
        <v>0</v>
      </c>
      <c r="BB68" s="711">
        <f t="shared" si="12"/>
        <v>0</v>
      </c>
      <c r="BC68" s="708">
        <v>0</v>
      </c>
      <c r="BD68" s="714">
        <f>Eip_cases_jan[[#This Row],[EOM Cases]]</f>
        <v>0</v>
      </c>
      <c r="BE68" s="707">
        <v>0</v>
      </c>
      <c r="BF68" s="711">
        <f t="shared" si="13"/>
        <v>0</v>
      </c>
      <c r="BG68" s="708">
        <v>0</v>
      </c>
      <c r="BH68" s="714">
        <f>Eip_cases_feb[[#This Row],[EOM Cases]]</f>
        <v>0</v>
      </c>
      <c r="BI68" s="707">
        <v>0</v>
      </c>
      <c r="BJ68" s="711">
        <f t="shared" si="14"/>
        <v>0</v>
      </c>
      <c r="BK68" s="708">
        <v>0</v>
      </c>
      <c r="BL68" s="714">
        <f>Eip_cases_mar[[#This Row],[EOM Cases]]</f>
        <v>0</v>
      </c>
      <c r="BM68" s="707">
        <v>0</v>
      </c>
      <c r="BN68" s="711">
        <f t="shared" si="15"/>
        <v>0</v>
      </c>
      <c r="BO68" s="708">
        <v>0</v>
      </c>
      <c r="BP68" s="714">
        <f>Eip_cases_Apr[[#This Row],[EOM Cases]]</f>
        <v>0</v>
      </c>
      <c r="BQ68" s="707">
        <v>0</v>
      </c>
      <c r="BR68" s="711">
        <f t="shared" si="16"/>
        <v>0</v>
      </c>
      <c r="BS68" s="708">
        <v>0</v>
      </c>
      <c r="BT68" s="714">
        <f>Eip_cases_May[[#This Row],[EOM Cases]]</f>
        <v>0</v>
      </c>
      <c r="BU68" s="707">
        <v>0</v>
      </c>
      <c r="BV68" s="711">
        <f t="shared" si="17"/>
        <v>0</v>
      </c>
      <c r="BW68" s="708">
        <v>0</v>
      </c>
      <c r="BX68" s="714">
        <f>Eip_cases_Jun[[#This Row],[EOM Cases]]</f>
        <v>0</v>
      </c>
      <c r="BY68" s="707">
        <v>0</v>
      </c>
      <c r="BZ68" s="711">
        <f t="shared" si="18"/>
        <v>0</v>
      </c>
      <c r="CA68" s="708">
        <v>0</v>
      </c>
      <c r="CB68" s="714">
        <f>Eip_cases_Jul[[#This Row],[EOM Cases]]</f>
        <v>0</v>
      </c>
      <c r="CC68" s="707">
        <v>0</v>
      </c>
      <c r="CD68" s="711">
        <f t="shared" si="19"/>
        <v>0</v>
      </c>
      <c r="CE68" s="708">
        <v>0</v>
      </c>
      <c r="CF68" s="714">
        <f>Eip_cases_Aug[[#This Row],[EOM Cases]]</f>
        <v>0</v>
      </c>
      <c r="CG68" s="707">
        <v>0</v>
      </c>
      <c r="CH68" s="711">
        <f t="shared" si="20"/>
        <v>0</v>
      </c>
      <c r="CI68" s="708">
        <v>0</v>
      </c>
      <c r="CJ68" s="714">
        <f>Eip_cases_Sep[[#This Row],[EOM Cases]]</f>
        <v>0</v>
      </c>
      <c r="CK68" s="707">
        <v>0</v>
      </c>
      <c r="CL68" s="711">
        <f t="shared" si="21"/>
        <v>0</v>
      </c>
      <c r="CM68" s="708">
        <v>0</v>
      </c>
      <c r="CN68" s="714">
        <f>Eip_cases_Oct[[#This Row],[EOM Cases]]</f>
        <v>0</v>
      </c>
      <c r="CO68" s="707">
        <v>0</v>
      </c>
      <c r="CP68" s="711">
        <f t="shared" si="22"/>
        <v>0</v>
      </c>
      <c r="CQ68" s="708">
        <v>0</v>
      </c>
      <c r="CR68" s="714">
        <f>Eip_cases_Nov[[#This Row],[EOM Cases]]</f>
        <v>0</v>
      </c>
      <c r="CS68" s="707">
        <v>0</v>
      </c>
      <c r="CT68" s="711">
        <f t="shared" si="23"/>
        <v>0</v>
      </c>
      <c r="CU68" s="708">
        <v>0</v>
      </c>
    </row>
    <row r="69" spans="2:112" ht="14.5" x14ac:dyDescent="0.35">
      <c r="B69" s="874" t="str">
        <f>'Nurse Hours'!B70</f>
        <v xml:space="preserve">Malone, Teresa </v>
      </c>
      <c r="C69" s="701">
        <v>1</v>
      </c>
      <c r="D69" s="729">
        <v>0</v>
      </c>
      <c r="E69" s="711">
        <f t="shared" si="0"/>
        <v>1</v>
      </c>
      <c r="F69" s="732">
        <v>0</v>
      </c>
      <c r="G69" s="703">
        <f>Regular_cases_jan[[#This Row],[EOM Cases]]</f>
        <v>0</v>
      </c>
      <c r="H69" s="729">
        <v>0</v>
      </c>
      <c r="I69" s="711">
        <f t="shared" si="1"/>
        <v>0</v>
      </c>
      <c r="J69" s="732">
        <v>0</v>
      </c>
      <c r="K69" s="703">
        <f>Regular_cases_feb[[#This Row],[EOM Cases]]</f>
        <v>0</v>
      </c>
      <c r="L69" s="729">
        <v>0</v>
      </c>
      <c r="M69" s="711">
        <f t="shared" si="2"/>
        <v>0</v>
      </c>
      <c r="N69" s="734">
        <v>0</v>
      </c>
      <c r="O69" s="703">
        <f>Regular_cases_mar[[#This Row],[EOM Cases]]</f>
        <v>0</v>
      </c>
      <c r="P69" s="729">
        <v>0</v>
      </c>
      <c r="Q69" s="711">
        <f t="shared" si="3"/>
        <v>0</v>
      </c>
      <c r="R69" s="732">
        <v>0</v>
      </c>
      <c r="S69" s="703">
        <f>Regular_cases_apr[[#This Row],[EOM Cases]]</f>
        <v>0</v>
      </c>
      <c r="T69" s="729">
        <v>0</v>
      </c>
      <c r="U69" s="711">
        <f t="shared" si="4"/>
        <v>0</v>
      </c>
      <c r="V69" s="732">
        <v>0</v>
      </c>
      <c r="W69" s="632">
        <f>Regular_cases_may[[#This Row],[EOM Cases]]</f>
        <v>0</v>
      </c>
      <c r="X69" s="729">
        <v>0</v>
      </c>
      <c r="Y69" s="711">
        <f t="shared" si="5"/>
        <v>0</v>
      </c>
      <c r="Z69" s="704">
        <v>0</v>
      </c>
      <c r="AA69" s="711">
        <f>Regular_cases_jun[[#This Row],[EOM Cases]]</f>
        <v>0</v>
      </c>
      <c r="AB69" s="704">
        <v>0</v>
      </c>
      <c r="AC69" s="711">
        <f t="shared" si="6"/>
        <v>0</v>
      </c>
      <c r="AD69" s="704">
        <v>0</v>
      </c>
      <c r="AE69" s="711">
        <f>Regular_cases_jul[[#This Row],[EOM Cases]]</f>
        <v>0</v>
      </c>
      <c r="AF69" s="704">
        <v>0</v>
      </c>
      <c r="AG69" s="711">
        <f t="shared" si="7"/>
        <v>0</v>
      </c>
      <c r="AH69" s="704">
        <v>0</v>
      </c>
      <c r="AI69" s="711">
        <f>Regular_cases_Aug[[#This Row],[EOM Cases]]</f>
        <v>0</v>
      </c>
      <c r="AJ69" s="704">
        <v>0</v>
      </c>
      <c r="AK69" s="711">
        <f t="shared" si="8"/>
        <v>0</v>
      </c>
      <c r="AL69" s="704">
        <v>0</v>
      </c>
      <c r="AM69" s="711">
        <f>Regular_cases_Sep[[#This Row],[EOM Cases]]</f>
        <v>0</v>
      </c>
      <c r="AN69" s="704">
        <v>0</v>
      </c>
      <c r="AO69" s="711">
        <f t="shared" si="9"/>
        <v>0</v>
      </c>
      <c r="AP69" s="704">
        <v>0</v>
      </c>
      <c r="AQ69" s="711">
        <f>Regular_cases_Oct[[#This Row],[EOM Cases]]</f>
        <v>0</v>
      </c>
      <c r="AR69" s="704">
        <v>0</v>
      </c>
      <c r="AS69" s="711">
        <f t="shared" si="10"/>
        <v>0</v>
      </c>
      <c r="AT69" s="704">
        <v>0</v>
      </c>
      <c r="AU69" s="711">
        <f>Regular_cases_Nov[[#This Row],[EOM Cases]]</f>
        <v>0</v>
      </c>
      <c r="AV69" s="704">
        <v>0</v>
      </c>
      <c r="AW69" s="711">
        <f t="shared" si="11"/>
        <v>0</v>
      </c>
      <c r="AX69" s="704">
        <v>0</v>
      </c>
      <c r="AZ69" s="714">
        <v>0</v>
      </c>
      <c r="BA69" s="707">
        <v>0</v>
      </c>
      <c r="BB69" s="711">
        <f t="shared" si="12"/>
        <v>0</v>
      </c>
      <c r="BC69" s="708">
        <v>0</v>
      </c>
      <c r="BD69" s="714">
        <f>Eip_cases_jan[[#This Row],[EOM Cases]]</f>
        <v>0</v>
      </c>
      <c r="BE69" s="707">
        <v>0</v>
      </c>
      <c r="BF69" s="711">
        <f t="shared" si="13"/>
        <v>0</v>
      </c>
      <c r="BG69" s="708">
        <v>0</v>
      </c>
      <c r="BH69" s="714">
        <f>Eip_cases_feb[[#This Row],[EOM Cases]]</f>
        <v>0</v>
      </c>
      <c r="BI69" s="707">
        <v>0</v>
      </c>
      <c r="BJ69" s="711">
        <f t="shared" si="14"/>
        <v>0</v>
      </c>
      <c r="BK69" s="708">
        <v>0</v>
      </c>
      <c r="BL69" s="714">
        <f>Eip_cases_mar[[#This Row],[EOM Cases]]</f>
        <v>0</v>
      </c>
      <c r="BM69" s="707">
        <v>0</v>
      </c>
      <c r="BN69" s="711">
        <f t="shared" si="15"/>
        <v>0</v>
      </c>
      <c r="BO69" s="708">
        <v>0</v>
      </c>
      <c r="BP69" s="714">
        <f>Eip_cases_Apr[[#This Row],[EOM Cases]]</f>
        <v>0</v>
      </c>
      <c r="BQ69" s="707">
        <v>0</v>
      </c>
      <c r="BR69" s="711">
        <f t="shared" si="16"/>
        <v>0</v>
      </c>
      <c r="BS69" s="708">
        <v>0</v>
      </c>
      <c r="BT69" s="714">
        <f>Eip_cases_May[[#This Row],[EOM Cases]]</f>
        <v>0</v>
      </c>
      <c r="BU69" s="707">
        <v>0</v>
      </c>
      <c r="BV69" s="711">
        <f t="shared" si="17"/>
        <v>0</v>
      </c>
      <c r="BW69" s="708">
        <v>0</v>
      </c>
      <c r="BX69" s="714">
        <f>Eip_cases_Jun[[#This Row],[EOM Cases]]</f>
        <v>0</v>
      </c>
      <c r="BY69" s="707">
        <v>0</v>
      </c>
      <c r="BZ69" s="711">
        <f t="shared" si="18"/>
        <v>0</v>
      </c>
      <c r="CA69" s="708">
        <v>0</v>
      </c>
      <c r="CB69" s="714">
        <f>Eip_cases_Jul[[#This Row],[EOM Cases]]</f>
        <v>0</v>
      </c>
      <c r="CC69" s="707">
        <v>0</v>
      </c>
      <c r="CD69" s="711">
        <f t="shared" si="19"/>
        <v>0</v>
      </c>
      <c r="CE69" s="708">
        <v>0</v>
      </c>
      <c r="CF69" s="714">
        <f>Eip_cases_Aug[[#This Row],[EOM Cases]]</f>
        <v>0</v>
      </c>
      <c r="CG69" s="707">
        <v>0</v>
      </c>
      <c r="CH69" s="711">
        <f t="shared" si="20"/>
        <v>0</v>
      </c>
      <c r="CI69" s="708">
        <v>0</v>
      </c>
      <c r="CJ69" s="714">
        <f>Eip_cases_Sep[[#This Row],[EOM Cases]]</f>
        <v>0</v>
      </c>
      <c r="CK69" s="707">
        <v>0</v>
      </c>
      <c r="CL69" s="711">
        <f t="shared" si="21"/>
        <v>0</v>
      </c>
      <c r="CM69" s="708">
        <v>0</v>
      </c>
      <c r="CN69" s="714">
        <f>Eip_cases_Oct[[#This Row],[EOM Cases]]</f>
        <v>0</v>
      </c>
      <c r="CO69" s="707">
        <v>0</v>
      </c>
      <c r="CP69" s="711">
        <f t="shared" si="22"/>
        <v>0</v>
      </c>
      <c r="CQ69" s="708">
        <v>0</v>
      </c>
      <c r="CR69" s="714">
        <f>Eip_cases_Nov[[#This Row],[EOM Cases]]</f>
        <v>0</v>
      </c>
      <c r="CS69" s="707">
        <v>0</v>
      </c>
      <c r="CT69" s="711">
        <f t="shared" si="23"/>
        <v>0</v>
      </c>
      <c r="CU69" s="708">
        <v>0</v>
      </c>
    </row>
    <row r="70" spans="2:112" ht="14.5" x14ac:dyDescent="0.35">
      <c r="B70" s="874" t="str">
        <f>'Nurse Hours'!B71</f>
        <v>Miller, Alicia</v>
      </c>
      <c r="C70" s="701"/>
      <c r="D70" s="729"/>
      <c r="E70" s="711">
        <f>SUM(C70:D70)-F70</f>
        <v>0</v>
      </c>
      <c r="F70" s="732"/>
      <c r="G70" s="703">
        <f>Regular_cases_jan[[#This Row],[EOM Cases]]</f>
        <v>0</v>
      </c>
      <c r="H70" s="729"/>
      <c r="I70" s="711">
        <f>SUM(G70:H70)-J70</f>
        <v>0</v>
      </c>
      <c r="J70" s="732"/>
      <c r="K70" s="703">
        <f>Regular_cases_feb[[#This Row],[EOM Cases]]</f>
        <v>0</v>
      </c>
      <c r="L70" s="729"/>
      <c r="M70" s="711">
        <f>SUM(K70:L70)-N70</f>
        <v>0</v>
      </c>
      <c r="N70" s="734"/>
      <c r="O70" s="703">
        <f>Regular_cases_mar[[#This Row],[EOM Cases]]</f>
        <v>0</v>
      </c>
      <c r="P70" s="729"/>
      <c r="Q70" s="711">
        <f>SUM(O70:P70)-R70</f>
        <v>0</v>
      </c>
      <c r="R70" s="732"/>
      <c r="S70" s="703">
        <f>Regular_cases_apr[[#This Row],[EOM Cases]]</f>
        <v>0</v>
      </c>
      <c r="T70" s="729"/>
      <c r="U70" s="711">
        <f>SUM(S70:T70)-V70</f>
        <v>0</v>
      </c>
      <c r="V70" s="732"/>
      <c r="W70" s="632">
        <f>Regular_cases_may[[#This Row],[EOM Cases]]</f>
        <v>0</v>
      </c>
      <c r="X70" s="729"/>
      <c r="Y70" s="711">
        <f>SUM(W70:X70)-Z70</f>
        <v>0</v>
      </c>
      <c r="Z70" s="704"/>
      <c r="AA70" s="711">
        <f>Regular_cases_jun[[#This Row],[EOM Cases]]</f>
        <v>0</v>
      </c>
      <c r="AB70" s="704"/>
      <c r="AC70" s="711">
        <f>SUM(AA70:AB70)-AD70</f>
        <v>0</v>
      </c>
      <c r="AD70" s="704"/>
      <c r="AE70" s="711">
        <f>Regular_cases_jul[[#This Row],[EOM Cases]]</f>
        <v>0</v>
      </c>
      <c r="AF70" s="704"/>
      <c r="AG70" s="711">
        <f>SUM(AE70:AF70)-AH70</f>
        <v>0</v>
      </c>
      <c r="AH70" s="704"/>
      <c r="AI70" s="711">
        <f>Regular_cases_Aug[[#This Row],[EOM Cases]]</f>
        <v>0</v>
      </c>
      <c r="AJ70" s="704"/>
      <c r="AK70" s="711">
        <f>SUM(AI70:AJ70)-AL70</f>
        <v>0</v>
      </c>
      <c r="AL70" s="704"/>
      <c r="AM70" s="711">
        <f>Regular_cases_Sep[[#This Row],[EOM Cases]]</f>
        <v>0</v>
      </c>
      <c r="AN70" s="704">
        <v>3</v>
      </c>
      <c r="AO70" s="711">
        <f>SUM(AM70:AN70)-AP70</f>
        <v>-2</v>
      </c>
      <c r="AP70" s="704">
        <v>5</v>
      </c>
      <c r="AQ70" s="711">
        <f>Regular_cases_Oct[[#This Row],[EOM Cases]]</f>
        <v>5</v>
      </c>
      <c r="AR70" s="704"/>
      <c r="AS70" s="711">
        <f>SUM(AQ70:AR70)-AT70</f>
        <v>5</v>
      </c>
      <c r="AT70" s="704"/>
      <c r="AU70" s="711">
        <f>Regular_cases_Nov[[#This Row],[EOM Cases]]</f>
        <v>0</v>
      </c>
      <c r="AV70" s="704"/>
      <c r="AW70" s="711">
        <f>SUM(AU70:AV70)-AX70</f>
        <v>0</v>
      </c>
      <c r="AX70" s="704"/>
      <c r="AZ70" s="714"/>
      <c r="BA70" s="707"/>
      <c r="BB70" s="711">
        <f>SUM(AZ70:BA70)-BC70</f>
        <v>0</v>
      </c>
      <c r="BC70" s="708"/>
      <c r="BD70" s="714">
        <f>Eip_cases_jan[[#This Row],[EOM Cases]]</f>
        <v>0</v>
      </c>
      <c r="BE70" s="707"/>
      <c r="BF70" s="711">
        <f>SUM(BD70:BE70)-BG70</f>
        <v>0</v>
      </c>
      <c r="BG70" s="708"/>
      <c r="BH70" s="714">
        <f>Eip_cases_feb[[#This Row],[EOM Cases]]</f>
        <v>0</v>
      </c>
      <c r="BI70" s="707"/>
      <c r="BJ70" s="711">
        <f>SUM(BH70:BI70)-BK70</f>
        <v>0</v>
      </c>
      <c r="BK70" s="708"/>
      <c r="BL70" s="714">
        <f>Eip_cases_mar[[#This Row],[EOM Cases]]</f>
        <v>0</v>
      </c>
      <c r="BM70" s="707"/>
      <c r="BN70" s="711">
        <f>SUM(BL70:BM70)-BO70</f>
        <v>0</v>
      </c>
      <c r="BO70" s="708"/>
      <c r="BP70" s="714">
        <f>Eip_cases_Apr[[#This Row],[EOM Cases]]</f>
        <v>0</v>
      </c>
      <c r="BQ70" s="707"/>
      <c r="BR70" s="711">
        <f>SUM(BP70:BQ70)-BS70</f>
        <v>0</v>
      </c>
      <c r="BS70" s="708"/>
      <c r="BT70" s="714">
        <f>Eip_cases_May[[#This Row],[EOM Cases]]</f>
        <v>0</v>
      </c>
      <c r="BU70" s="707"/>
      <c r="BV70" s="711">
        <f>SUM(BT70:BU70)-BW70</f>
        <v>0</v>
      </c>
      <c r="BW70" s="708"/>
      <c r="BX70" s="714">
        <f>Eip_cases_Jun[[#This Row],[EOM Cases]]</f>
        <v>0</v>
      </c>
      <c r="BY70" s="707"/>
      <c r="BZ70" s="711">
        <f>SUM(BX70:BY70)-CA70</f>
        <v>0</v>
      </c>
      <c r="CA70" s="708"/>
      <c r="CB70" s="714">
        <f>Eip_cases_Jul[[#This Row],[EOM Cases]]</f>
        <v>0</v>
      </c>
      <c r="CC70" s="707"/>
      <c r="CD70" s="711">
        <f>SUM(CB70:CC70)-CE70</f>
        <v>0</v>
      </c>
      <c r="CE70" s="708"/>
      <c r="CF70" s="714">
        <f>Eip_cases_Aug[[#This Row],[EOM Cases]]</f>
        <v>0</v>
      </c>
      <c r="CG70" s="707"/>
      <c r="CH70" s="711">
        <f>SUM(CF70:CG70)-CI70</f>
        <v>0</v>
      </c>
      <c r="CI70" s="708"/>
      <c r="CJ70" s="714">
        <f>Eip_cases_Sep[[#This Row],[EOM Cases]]</f>
        <v>0</v>
      </c>
      <c r="CK70" s="707"/>
      <c r="CL70" s="711">
        <f>SUM(CJ70:CK70)-CM70</f>
        <v>0</v>
      </c>
      <c r="CM70" s="708"/>
      <c r="CN70" s="714">
        <f>Eip_cases_Oct[[#This Row],[EOM Cases]]</f>
        <v>0</v>
      </c>
      <c r="CO70" s="707"/>
      <c r="CP70" s="711">
        <f>SUM(CN70:CO70)-CQ70</f>
        <v>0</v>
      </c>
      <c r="CQ70" s="708"/>
      <c r="CR70" s="714">
        <f>Eip_cases_Nov[[#This Row],[EOM Cases]]</f>
        <v>0</v>
      </c>
      <c r="CS70" s="707"/>
      <c r="CT70" s="711">
        <f>SUM(CR70:CS70)-CU70</f>
        <v>0</v>
      </c>
      <c r="CU70" s="708"/>
    </row>
    <row r="71" spans="2:112" ht="14.5" x14ac:dyDescent="0.35">
      <c r="B71" s="874" t="str">
        <f>'Nurse Hours'!B72</f>
        <v>Moore, Falisha</v>
      </c>
      <c r="C71" s="701">
        <v>16</v>
      </c>
      <c r="D71" s="729">
        <v>1</v>
      </c>
      <c r="E71" s="711">
        <f t="shared" si="0"/>
        <v>7</v>
      </c>
      <c r="F71" s="732">
        <v>10</v>
      </c>
      <c r="G71" s="703">
        <f>Regular_cases_jan[[#This Row],[EOM Cases]]</f>
        <v>10</v>
      </c>
      <c r="H71" s="729">
        <v>0</v>
      </c>
      <c r="I71" s="711">
        <f t="shared" si="1"/>
        <v>10</v>
      </c>
      <c r="J71" s="732">
        <v>0</v>
      </c>
      <c r="K71" s="703">
        <f>Regular_cases_feb[[#This Row],[EOM Cases]]</f>
        <v>0</v>
      </c>
      <c r="L71" s="729">
        <v>0</v>
      </c>
      <c r="M71" s="711">
        <f t="shared" si="2"/>
        <v>0</v>
      </c>
      <c r="N71" s="734">
        <v>0</v>
      </c>
      <c r="O71" s="703">
        <f>Regular_cases_mar[[#This Row],[EOM Cases]]</f>
        <v>0</v>
      </c>
      <c r="P71" s="729">
        <v>0</v>
      </c>
      <c r="Q71" s="711">
        <f t="shared" si="3"/>
        <v>0</v>
      </c>
      <c r="R71" s="732">
        <v>0</v>
      </c>
      <c r="S71" s="703">
        <f>Regular_cases_apr[[#This Row],[EOM Cases]]</f>
        <v>0</v>
      </c>
      <c r="T71" s="729">
        <v>0</v>
      </c>
      <c r="U71" s="711">
        <f t="shared" si="4"/>
        <v>0</v>
      </c>
      <c r="V71" s="732">
        <v>0</v>
      </c>
      <c r="W71" s="632">
        <f>Regular_cases_may[[#This Row],[EOM Cases]]</f>
        <v>0</v>
      </c>
      <c r="X71" s="729">
        <v>0</v>
      </c>
      <c r="Y71" s="711">
        <f t="shared" si="5"/>
        <v>0</v>
      </c>
      <c r="Z71" s="704">
        <v>0</v>
      </c>
      <c r="AA71" s="711">
        <f>Regular_cases_jun[[#This Row],[EOM Cases]]</f>
        <v>0</v>
      </c>
      <c r="AB71" s="704">
        <v>0</v>
      </c>
      <c r="AC71" s="711">
        <f t="shared" si="6"/>
        <v>0</v>
      </c>
      <c r="AD71" s="704">
        <v>0</v>
      </c>
      <c r="AE71" s="711">
        <f>Regular_cases_jul[[#This Row],[EOM Cases]]</f>
        <v>0</v>
      </c>
      <c r="AF71" s="704">
        <v>0</v>
      </c>
      <c r="AG71" s="711">
        <f t="shared" si="7"/>
        <v>0</v>
      </c>
      <c r="AH71" s="704">
        <v>0</v>
      </c>
      <c r="AI71" s="711">
        <f>Regular_cases_Aug[[#This Row],[EOM Cases]]</f>
        <v>0</v>
      </c>
      <c r="AJ71" s="704">
        <v>0</v>
      </c>
      <c r="AK71" s="711">
        <f t="shared" si="8"/>
        <v>0</v>
      </c>
      <c r="AL71" s="704">
        <v>0</v>
      </c>
      <c r="AM71" s="711">
        <f>Regular_cases_Sep[[#This Row],[EOM Cases]]</f>
        <v>0</v>
      </c>
      <c r="AN71" s="704">
        <v>0</v>
      </c>
      <c r="AO71" s="711">
        <f t="shared" si="9"/>
        <v>0</v>
      </c>
      <c r="AP71" s="704">
        <v>0</v>
      </c>
      <c r="AQ71" s="711">
        <f>Regular_cases_Oct[[#This Row],[EOM Cases]]</f>
        <v>0</v>
      </c>
      <c r="AR71" s="704">
        <v>0</v>
      </c>
      <c r="AS71" s="711">
        <f t="shared" si="10"/>
        <v>0</v>
      </c>
      <c r="AT71" s="704">
        <v>0</v>
      </c>
      <c r="AU71" s="711">
        <f>Regular_cases_Nov[[#This Row],[EOM Cases]]</f>
        <v>0</v>
      </c>
      <c r="AV71" s="704">
        <v>0</v>
      </c>
      <c r="AW71" s="711">
        <f t="shared" si="11"/>
        <v>0</v>
      </c>
      <c r="AX71" s="704">
        <v>0</v>
      </c>
      <c r="AZ71" s="714">
        <v>0</v>
      </c>
      <c r="BA71" s="707">
        <v>0</v>
      </c>
      <c r="BB71" s="711">
        <f t="shared" si="12"/>
        <v>0</v>
      </c>
      <c r="BC71" s="708">
        <v>0</v>
      </c>
      <c r="BD71" s="714">
        <f>Eip_cases_jan[[#This Row],[EOM Cases]]</f>
        <v>0</v>
      </c>
      <c r="BE71" s="707">
        <v>0</v>
      </c>
      <c r="BF71" s="711">
        <f t="shared" si="13"/>
        <v>0</v>
      </c>
      <c r="BG71" s="708">
        <v>0</v>
      </c>
      <c r="BH71" s="714">
        <f>Eip_cases_feb[[#This Row],[EOM Cases]]</f>
        <v>0</v>
      </c>
      <c r="BI71" s="707">
        <v>0</v>
      </c>
      <c r="BJ71" s="711">
        <f t="shared" si="14"/>
        <v>0</v>
      </c>
      <c r="BK71" s="708">
        <v>0</v>
      </c>
      <c r="BL71" s="714">
        <f>Eip_cases_mar[[#This Row],[EOM Cases]]</f>
        <v>0</v>
      </c>
      <c r="BM71" s="707">
        <v>0</v>
      </c>
      <c r="BN71" s="711">
        <f t="shared" si="15"/>
        <v>0</v>
      </c>
      <c r="BO71" s="708">
        <v>0</v>
      </c>
      <c r="BP71" s="714">
        <f>Eip_cases_Apr[[#This Row],[EOM Cases]]</f>
        <v>0</v>
      </c>
      <c r="BQ71" s="707">
        <v>0</v>
      </c>
      <c r="BR71" s="711">
        <f t="shared" si="16"/>
        <v>0</v>
      </c>
      <c r="BS71" s="708">
        <v>0</v>
      </c>
      <c r="BT71" s="714">
        <f>Eip_cases_May[[#This Row],[EOM Cases]]</f>
        <v>0</v>
      </c>
      <c r="BU71" s="707">
        <v>0</v>
      </c>
      <c r="BV71" s="711">
        <f t="shared" si="17"/>
        <v>0</v>
      </c>
      <c r="BW71" s="708">
        <v>0</v>
      </c>
      <c r="BX71" s="714">
        <f>Eip_cases_Jun[[#This Row],[EOM Cases]]</f>
        <v>0</v>
      </c>
      <c r="BY71" s="707">
        <v>0</v>
      </c>
      <c r="BZ71" s="711">
        <f t="shared" si="18"/>
        <v>0</v>
      </c>
      <c r="CA71" s="708">
        <v>0</v>
      </c>
      <c r="CB71" s="714">
        <f>Eip_cases_Jul[[#This Row],[EOM Cases]]</f>
        <v>0</v>
      </c>
      <c r="CC71" s="707">
        <v>0</v>
      </c>
      <c r="CD71" s="711">
        <f t="shared" si="19"/>
        <v>0</v>
      </c>
      <c r="CE71" s="708">
        <v>0</v>
      </c>
      <c r="CF71" s="714">
        <f>Eip_cases_Aug[[#This Row],[EOM Cases]]</f>
        <v>0</v>
      </c>
      <c r="CG71" s="707">
        <v>0</v>
      </c>
      <c r="CH71" s="711">
        <f t="shared" si="20"/>
        <v>0</v>
      </c>
      <c r="CI71" s="708">
        <v>0</v>
      </c>
      <c r="CJ71" s="714">
        <f>Eip_cases_Sep[[#This Row],[EOM Cases]]</f>
        <v>0</v>
      </c>
      <c r="CK71" s="707">
        <v>0</v>
      </c>
      <c r="CL71" s="711">
        <f t="shared" si="21"/>
        <v>0</v>
      </c>
      <c r="CM71" s="708">
        <v>0</v>
      </c>
      <c r="CN71" s="714">
        <f>Eip_cases_Oct[[#This Row],[EOM Cases]]</f>
        <v>0</v>
      </c>
      <c r="CO71" s="707">
        <v>0</v>
      </c>
      <c r="CP71" s="711">
        <f t="shared" si="22"/>
        <v>0</v>
      </c>
      <c r="CQ71" s="708">
        <v>0</v>
      </c>
      <c r="CR71" s="714">
        <f>Eip_cases_Nov[[#This Row],[EOM Cases]]</f>
        <v>0</v>
      </c>
      <c r="CS71" s="707">
        <v>0</v>
      </c>
      <c r="CT71" s="711">
        <f t="shared" si="23"/>
        <v>0</v>
      </c>
      <c r="CU71" s="708">
        <v>0</v>
      </c>
    </row>
    <row r="72" spans="2:112" ht="14.5" x14ac:dyDescent="0.35">
      <c r="B72" s="874" t="str">
        <f>'Nurse Hours'!B73</f>
        <v>Omoaholo, Roxanne</v>
      </c>
      <c r="C72" s="701">
        <v>18</v>
      </c>
      <c r="D72" s="729">
        <v>1</v>
      </c>
      <c r="E72" s="711">
        <f t="shared" si="0"/>
        <v>2</v>
      </c>
      <c r="F72" s="732">
        <v>17</v>
      </c>
      <c r="G72" s="703">
        <f>Regular_cases_jan[[#This Row],[EOM Cases]]</f>
        <v>17</v>
      </c>
      <c r="H72" s="729">
        <v>2</v>
      </c>
      <c r="I72" s="711">
        <f t="shared" si="1"/>
        <v>1</v>
      </c>
      <c r="J72" s="732">
        <v>18</v>
      </c>
      <c r="K72" s="703">
        <f>Regular_cases_feb[[#This Row],[EOM Cases]]</f>
        <v>18</v>
      </c>
      <c r="L72" s="729">
        <v>0</v>
      </c>
      <c r="M72" s="711">
        <f t="shared" si="2"/>
        <v>3</v>
      </c>
      <c r="N72" s="734">
        <v>15</v>
      </c>
      <c r="O72" s="703">
        <f>Regular_cases_mar[[#This Row],[EOM Cases]]</f>
        <v>15</v>
      </c>
      <c r="P72" s="729">
        <v>0</v>
      </c>
      <c r="Q72" s="711">
        <f t="shared" si="3"/>
        <v>2</v>
      </c>
      <c r="R72" s="732">
        <v>13</v>
      </c>
      <c r="S72" s="703">
        <f>Regular_cases_apr[[#This Row],[EOM Cases]]</f>
        <v>13</v>
      </c>
      <c r="T72" s="729">
        <v>0</v>
      </c>
      <c r="U72" s="711">
        <f t="shared" si="4"/>
        <v>6</v>
      </c>
      <c r="V72" s="732">
        <v>7</v>
      </c>
      <c r="W72" s="632">
        <f>Regular_cases_may[[#This Row],[EOM Cases]]</f>
        <v>7</v>
      </c>
      <c r="X72" s="729">
        <v>0</v>
      </c>
      <c r="Y72" s="711">
        <f t="shared" si="5"/>
        <v>-1</v>
      </c>
      <c r="Z72" s="704">
        <v>8</v>
      </c>
      <c r="AA72" s="711">
        <f>Regular_cases_jun[[#This Row],[EOM Cases]]</f>
        <v>8</v>
      </c>
      <c r="AB72" s="704">
        <v>0</v>
      </c>
      <c r="AC72" s="711">
        <f t="shared" si="6"/>
        <v>0</v>
      </c>
      <c r="AD72" s="704">
        <v>8</v>
      </c>
      <c r="AE72" s="711">
        <f>Regular_cases_jul[[#This Row],[EOM Cases]]</f>
        <v>8</v>
      </c>
      <c r="AF72" s="704">
        <v>1</v>
      </c>
      <c r="AG72" s="711">
        <f t="shared" si="7"/>
        <v>2</v>
      </c>
      <c r="AH72" s="704">
        <v>7</v>
      </c>
      <c r="AI72" s="711">
        <f>Regular_cases_Aug[[#This Row],[EOM Cases]]</f>
        <v>7</v>
      </c>
      <c r="AJ72" s="704">
        <v>0</v>
      </c>
      <c r="AK72" s="711">
        <f t="shared" si="8"/>
        <v>1</v>
      </c>
      <c r="AL72" s="704">
        <v>6</v>
      </c>
      <c r="AM72" s="711">
        <f>Regular_cases_Sep[[#This Row],[EOM Cases]]</f>
        <v>6</v>
      </c>
      <c r="AN72" s="704">
        <v>0</v>
      </c>
      <c r="AO72" s="711">
        <f t="shared" si="9"/>
        <v>6</v>
      </c>
      <c r="AP72" s="704">
        <v>0</v>
      </c>
      <c r="AQ72" s="711">
        <f>Regular_cases_Oct[[#This Row],[EOM Cases]]</f>
        <v>0</v>
      </c>
      <c r="AR72" s="704">
        <v>0</v>
      </c>
      <c r="AS72" s="711">
        <f t="shared" si="10"/>
        <v>0</v>
      </c>
      <c r="AT72" s="704">
        <v>0</v>
      </c>
      <c r="AU72" s="711">
        <f>Regular_cases_Nov[[#This Row],[EOM Cases]]</f>
        <v>0</v>
      </c>
      <c r="AV72" s="704">
        <v>0</v>
      </c>
      <c r="AW72" s="711">
        <f t="shared" si="11"/>
        <v>0</v>
      </c>
      <c r="AX72" s="704">
        <v>0</v>
      </c>
      <c r="AZ72" s="714">
        <v>0</v>
      </c>
      <c r="BA72" s="707">
        <v>0</v>
      </c>
      <c r="BB72" s="711">
        <f t="shared" si="12"/>
        <v>0</v>
      </c>
      <c r="BC72" s="708">
        <v>0</v>
      </c>
      <c r="BD72" s="714">
        <f>Eip_cases_jan[[#This Row],[EOM Cases]]</f>
        <v>0</v>
      </c>
      <c r="BE72" s="707">
        <v>0</v>
      </c>
      <c r="BF72" s="711">
        <f t="shared" si="13"/>
        <v>0</v>
      </c>
      <c r="BG72" s="708">
        <v>0</v>
      </c>
      <c r="BH72" s="714">
        <f>Eip_cases_feb[[#This Row],[EOM Cases]]</f>
        <v>0</v>
      </c>
      <c r="BI72" s="707">
        <v>0</v>
      </c>
      <c r="BJ72" s="711">
        <f t="shared" si="14"/>
        <v>0</v>
      </c>
      <c r="BK72" s="708">
        <v>0</v>
      </c>
      <c r="BL72" s="714">
        <f>Eip_cases_mar[[#This Row],[EOM Cases]]</f>
        <v>0</v>
      </c>
      <c r="BM72" s="707">
        <v>0</v>
      </c>
      <c r="BN72" s="711">
        <f t="shared" si="15"/>
        <v>0</v>
      </c>
      <c r="BO72" s="708">
        <v>0</v>
      </c>
      <c r="BP72" s="714">
        <f>Eip_cases_Apr[[#This Row],[EOM Cases]]</f>
        <v>0</v>
      </c>
      <c r="BQ72" s="707">
        <v>0</v>
      </c>
      <c r="BR72" s="711">
        <f t="shared" si="16"/>
        <v>0</v>
      </c>
      <c r="BS72" s="708">
        <v>0</v>
      </c>
      <c r="BT72" s="714">
        <f>Eip_cases_May[[#This Row],[EOM Cases]]</f>
        <v>0</v>
      </c>
      <c r="BU72" s="707">
        <v>0</v>
      </c>
      <c r="BV72" s="711">
        <f t="shared" si="17"/>
        <v>0</v>
      </c>
      <c r="BW72" s="708">
        <v>0</v>
      </c>
      <c r="BX72" s="714">
        <f>Eip_cases_Jun[[#This Row],[EOM Cases]]</f>
        <v>0</v>
      </c>
      <c r="BY72" s="707">
        <v>0</v>
      </c>
      <c r="BZ72" s="711">
        <f t="shared" si="18"/>
        <v>0</v>
      </c>
      <c r="CA72" s="708">
        <v>0</v>
      </c>
      <c r="CB72" s="714">
        <f>Eip_cases_Jul[[#This Row],[EOM Cases]]</f>
        <v>0</v>
      </c>
      <c r="CC72" s="707">
        <v>0</v>
      </c>
      <c r="CD72" s="711">
        <f t="shared" si="19"/>
        <v>0</v>
      </c>
      <c r="CE72" s="708">
        <v>0</v>
      </c>
      <c r="CF72" s="714">
        <f>Eip_cases_Aug[[#This Row],[EOM Cases]]</f>
        <v>0</v>
      </c>
      <c r="CG72" s="707">
        <v>0</v>
      </c>
      <c r="CH72" s="711">
        <f t="shared" si="20"/>
        <v>0</v>
      </c>
      <c r="CI72" s="708">
        <v>0</v>
      </c>
      <c r="CJ72" s="714">
        <f>Eip_cases_Sep[[#This Row],[EOM Cases]]</f>
        <v>0</v>
      </c>
      <c r="CK72" s="707">
        <v>0</v>
      </c>
      <c r="CL72" s="711">
        <f t="shared" si="21"/>
        <v>0</v>
      </c>
      <c r="CM72" s="708">
        <v>0</v>
      </c>
      <c r="CN72" s="714">
        <f>Eip_cases_Oct[[#This Row],[EOM Cases]]</f>
        <v>0</v>
      </c>
      <c r="CO72" s="707">
        <v>0</v>
      </c>
      <c r="CP72" s="711">
        <f t="shared" si="22"/>
        <v>0</v>
      </c>
      <c r="CQ72" s="708">
        <v>0</v>
      </c>
      <c r="CR72" s="714">
        <f>Eip_cases_Nov[[#This Row],[EOM Cases]]</f>
        <v>0</v>
      </c>
      <c r="CS72" s="707">
        <v>0</v>
      </c>
      <c r="CT72" s="711">
        <f t="shared" si="23"/>
        <v>0</v>
      </c>
      <c r="CU72" s="708">
        <v>0</v>
      </c>
    </row>
    <row r="73" spans="2:112" ht="14.5" x14ac:dyDescent="0.35">
      <c r="B73" s="874" t="str">
        <f>'Nurse Hours'!B74</f>
        <v>Pepito, Mabelene</v>
      </c>
      <c r="C73" s="701">
        <v>26</v>
      </c>
      <c r="D73" s="729">
        <v>2</v>
      </c>
      <c r="E73" s="711">
        <f t="shared" si="0"/>
        <v>3</v>
      </c>
      <c r="F73" s="732">
        <v>25</v>
      </c>
      <c r="G73" s="703">
        <f>Regular_cases_jan[[#This Row],[EOM Cases]]</f>
        <v>25</v>
      </c>
      <c r="H73" s="729">
        <v>6</v>
      </c>
      <c r="I73" s="711">
        <f t="shared" si="1"/>
        <v>3</v>
      </c>
      <c r="J73" s="732">
        <v>28</v>
      </c>
      <c r="K73" s="703">
        <f>Regular_cases_feb[[#This Row],[EOM Cases]]</f>
        <v>28</v>
      </c>
      <c r="L73" s="729">
        <v>2</v>
      </c>
      <c r="M73" s="711">
        <f t="shared" si="2"/>
        <v>4</v>
      </c>
      <c r="N73" s="734">
        <v>26</v>
      </c>
      <c r="O73" s="703">
        <f>Regular_cases_mar[[#This Row],[EOM Cases]]</f>
        <v>26</v>
      </c>
      <c r="P73" s="729">
        <v>3</v>
      </c>
      <c r="Q73" s="711">
        <f t="shared" si="3"/>
        <v>2</v>
      </c>
      <c r="R73" s="732">
        <v>27</v>
      </c>
      <c r="S73" s="703">
        <f>Regular_cases_apr[[#This Row],[EOM Cases]]</f>
        <v>27</v>
      </c>
      <c r="T73" s="729">
        <v>2</v>
      </c>
      <c r="U73" s="711">
        <f t="shared" si="4"/>
        <v>3</v>
      </c>
      <c r="V73" s="732">
        <v>26</v>
      </c>
      <c r="W73" s="632">
        <f>Regular_cases_may[[#This Row],[EOM Cases]]</f>
        <v>26</v>
      </c>
      <c r="X73" s="729">
        <v>3</v>
      </c>
      <c r="Y73" s="711">
        <f t="shared" si="5"/>
        <v>3</v>
      </c>
      <c r="Z73" s="704">
        <v>26</v>
      </c>
      <c r="AA73" s="711">
        <f>Regular_cases_jun[[#This Row],[EOM Cases]]</f>
        <v>26</v>
      </c>
      <c r="AB73" s="704">
        <v>2</v>
      </c>
      <c r="AC73" s="711">
        <f t="shared" si="6"/>
        <v>0</v>
      </c>
      <c r="AD73" s="704">
        <v>28</v>
      </c>
      <c r="AE73" s="711">
        <f>Regular_cases_jul[[#This Row],[EOM Cases]]</f>
        <v>28</v>
      </c>
      <c r="AF73" s="704">
        <v>4</v>
      </c>
      <c r="AG73" s="711">
        <f t="shared" si="7"/>
        <v>6</v>
      </c>
      <c r="AH73" s="704">
        <v>26</v>
      </c>
      <c r="AI73" s="711">
        <f>Regular_cases_Aug[[#This Row],[EOM Cases]]</f>
        <v>26</v>
      </c>
      <c r="AJ73" s="704">
        <v>4</v>
      </c>
      <c r="AK73" s="711">
        <f t="shared" si="8"/>
        <v>2</v>
      </c>
      <c r="AL73" s="704">
        <v>28</v>
      </c>
      <c r="AM73" s="711">
        <f>Regular_cases_Sep[[#This Row],[EOM Cases]]</f>
        <v>28</v>
      </c>
      <c r="AN73" s="704">
        <v>2</v>
      </c>
      <c r="AO73" s="711">
        <f t="shared" si="9"/>
        <v>0</v>
      </c>
      <c r="AP73" s="704">
        <v>30</v>
      </c>
      <c r="AQ73" s="711">
        <f>Regular_cases_Oct[[#This Row],[EOM Cases]]</f>
        <v>30</v>
      </c>
      <c r="AR73" s="704">
        <v>0</v>
      </c>
      <c r="AS73" s="711">
        <f t="shared" si="10"/>
        <v>30</v>
      </c>
      <c r="AT73" s="704">
        <v>0</v>
      </c>
      <c r="AU73" s="711">
        <f>Regular_cases_Nov[[#This Row],[EOM Cases]]</f>
        <v>0</v>
      </c>
      <c r="AV73" s="704">
        <v>0</v>
      </c>
      <c r="AW73" s="711">
        <f t="shared" si="11"/>
        <v>0</v>
      </c>
      <c r="AX73" s="704">
        <v>0</v>
      </c>
      <c r="AZ73" s="714">
        <v>0</v>
      </c>
      <c r="BA73" s="707">
        <v>0</v>
      </c>
      <c r="BB73" s="711">
        <f t="shared" si="12"/>
        <v>0</v>
      </c>
      <c r="BC73" s="708">
        <v>0</v>
      </c>
      <c r="BD73" s="714">
        <f>Eip_cases_jan[[#This Row],[EOM Cases]]</f>
        <v>0</v>
      </c>
      <c r="BE73" s="707">
        <v>0</v>
      </c>
      <c r="BF73" s="711">
        <f t="shared" si="13"/>
        <v>0</v>
      </c>
      <c r="BG73" s="708">
        <v>0</v>
      </c>
      <c r="BH73" s="714">
        <f>Eip_cases_feb[[#This Row],[EOM Cases]]</f>
        <v>0</v>
      </c>
      <c r="BI73" s="707">
        <v>0</v>
      </c>
      <c r="BJ73" s="711">
        <f t="shared" si="14"/>
        <v>0</v>
      </c>
      <c r="BK73" s="708">
        <v>0</v>
      </c>
      <c r="BL73" s="714">
        <f>Eip_cases_mar[[#This Row],[EOM Cases]]</f>
        <v>0</v>
      </c>
      <c r="BM73" s="707">
        <v>0</v>
      </c>
      <c r="BN73" s="711">
        <f t="shared" si="15"/>
        <v>0</v>
      </c>
      <c r="BO73" s="708">
        <v>0</v>
      </c>
      <c r="BP73" s="714">
        <f>Eip_cases_Apr[[#This Row],[EOM Cases]]</f>
        <v>0</v>
      </c>
      <c r="BQ73" s="707">
        <v>0</v>
      </c>
      <c r="BR73" s="711">
        <f t="shared" si="16"/>
        <v>0</v>
      </c>
      <c r="BS73" s="708">
        <v>0</v>
      </c>
      <c r="BT73" s="714">
        <f>Eip_cases_May[[#This Row],[EOM Cases]]</f>
        <v>0</v>
      </c>
      <c r="BU73" s="707">
        <v>0</v>
      </c>
      <c r="BV73" s="711">
        <f t="shared" si="17"/>
        <v>0</v>
      </c>
      <c r="BW73" s="708">
        <v>0</v>
      </c>
      <c r="BX73" s="714">
        <f>Eip_cases_Jun[[#This Row],[EOM Cases]]</f>
        <v>0</v>
      </c>
      <c r="BY73" s="707">
        <v>0</v>
      </c>
      <c r="BZ73" s="711">
        <f t="shared" si="18"/>
        <v>0</v>
      </c>
      <c r="CA73" s="708">
        <v>0</v>
      </c>
      <c r="CB73" s="714">
        <f>Eip_cases_Jul[[#This Row],[EOM Cases]]</f>
        <v>0</v>
      </c>
      <c r="CC73" s="707">
        <v>0</v>
      </c>
      <c r="CD73" s="711">
        <f t="shared" si="19"/>
        <v>0</v>
      </c>
      <c r="CE73" s="708">
        <v>0</v>
      </c>
      <c r="CF73" s="714">
        <f>Eip_cases_Aug[[#This Row],[EOM Cases]]</f>
        <v>0</v>
      </c>
      <c r="CG73" s="707">
        <v>0</v>
      </c>
      <c r="CH73" s="711">
        <f t="shared" si="20"/>
        <v>0</v>
      </c>
      <c r="CI73" s="708">
        <v>0</v>
      </c>
      <c r="CJ73" s="714">
        <f>Eip_cases_Sep[[#This Row],[EOM Cases]]</f>
        <v>0</v>
      </c>
      <c r="CK73" s="707">
        <v>0</v>
      </c>
      <c r="CL73" s="711">
        <f t="shared" si="21"/>
        <v>0</v>
      </c>
      <c r="CM73" s="708">
        <v>0</v>
      </c>
      <c r="CN73" s="714">
        <f>Eip_cases_Oct[[#This Row],[EOM Cases]]</f>
        <v>0</v>
      </c>
      <c r="CO73" s="707">
        <v>0</v>
      </c>
      <c r="CP73" s="711">
        <f t="shared" si="22"/>
        <v>0</v>
      </c>
      <c r="CQ73" s="708">
        <v>0</v>
      </c>
      <c r="CR73" s="714">
        <f>Eip_cases_Nov[[#This Row],[EOM Cases]]</f>
        <v>0</v>
      </c>
      <c r="CS73" s="707">
        <v>0</v>
      </c>
      <c r="CT73" s="711">
        <f t="shared" si="23"/>
        <v>0</v>
      </c>
      <c r="CU73" s="708">
        <v>0</v>
      </c>
      <c r="CY73" s="542"/>
      <c r="CZ73" s="403"/>
      <c r="DA73" s="403"/>
      <c r="DB73" s="448"/>
      <c r="DC73" s="543"/>
      <c r="DF73" s="402"/>
      <c r="DG73" s="401"/>
      <c r="DH73" s="402"/>
    </row>
    <row r="74" spans="2:112" ht="14.5" x14ac:dyDescent="0.35">
      <c r="B74" s="874" t="str">
        <f>'Nurse Hours'!B75</f>
        <v>Pham, Michelle</v>
      </c>
      <c r="C74" s="701">
        <v>0</v>
      </c>
      <c r="D74" s="729">
        <v>0</v>
      </c>
      <c r="E74" s="711">
        <f t="shared" si="0"/>
        <v>0</v>
      </c>
      <c r="F74" s="732">
        <v>0</v>
      </c>
      <c r="G74" s="703">
        <f>Regular_cases_jan[[#This Row],[EOM Cases]]</f>
        <v>0</v>
      </c>
      <c r="H74" s="729">
        <v>2</v>
      </c>
      <c r="I74" s="711">
        <f t="shared" si="1"/>
        <v>-2</v>
      </c>
      <c r="J74" s="732">
        <v>4</v>
      </c>
      <c r="K74" s="703">
        <f>Regular_cases_feb[[#This Row],[EOM Cases]]</f>
        <v>4</v>
      </c>
      <c r="L74" s="729">
        <v>3</v>
      </c>
      <c r="M74" s="711">
        <f t="shared" si="2"/>
        <v>-4</v>
      </c>
      <c r="N74" s="734">
        <v>11</v>
      </c>
      <c r="O74" s="703">
        <f>Regular_cases_mar[[#This Row],[EOM Cases]]</f>
        <v>11</v>
      </c>
      <c r="P74" s="729">
        <v>8</v>
      </c>
      <c r="Q74" s="711">
        <f t="shared" si="3"/>
        <v>3</v>
      </c>
      <c r="R74" s="732">
        <v>16</v>
      </c>
      <c r="S74" s="703">
        <f>Regular_cases_apr[[#This Row],[EOM Cases]]</f>
        <v>16</v>
      </c>
      <c r="T74" s="729">
        <v>2</v>
      </c>
      <c r="U74" s="711">
        <f t="shared" si="4"/>
        <v>0</v>
      </c>
      <c r="V74" s="732">
        <v>18</v>
      </c>
      <c r="W74" s="632">
        <f>Regular_cases_may[[#This Row],[EOM Cases]]</f>
        <v>18</v>
      </c>
      <c r="X74" s="729">
        <v>4</v>
      </c>
      <c r="Y74" s="711">
        <f t="shared" si="5"/>
        <v>3</v>
      </c>
      <c r="Z74" s="704">
        <v>19</v>
      </c>
      <c r="AA74" s="711">
        <f>Regular_cases_jun[[#This Row],[EOM Cases]]</f>
        <v>19</v>
      </c>
      <c r="AB74" s="704">
        <v>6</v>
      </c>
      <c r="AC74" s="711">
        <f t="shared" si="6"/>
        <v>2</v>
      </c>
      <c r="AD74" s="704">
        <v>23</v>
      </c>
      <c r="AE74" s="711">
        <f>Regular_cases_jul[[#This Row],[EOM Cases]]</f>
        <v>23</v>
      </c>
      <c r="AF74" s="704">
        <v>2</v>
      </c>
      <c r="AG74" s="711">
        <f t="shared" si="7"/>
        <v>2</v>
      </c>
      <c r="AH74" s="704">
        <v>23</v>
      </c>
      <c r="AI74" s="711">
        <f>Regular_cases_Aug[[#This Row],[EOM Cases]]</f>
        <v>23</v>
      </c>
      <c r="AJ74" s="704">
        <v>3</v>
      </c>
      <c r="AK74" s="711">
        <f t="shared" si="8"/>
        <v>2</v>
      </c>
      <c r="AL74" s="704">
        <v>24</v>
      </c>
      <c r="AM74" s="711">
        <f>Regular_cases_Sep[[#This Row],[EOM Cases]]</f>
        <v>24</v>
      </c>
      <c r="AN74" s="704">
        <v>4</v>
      </c>
      <c r="AO74" s="711">
        <f t="shared" si="9"/>
        <v>2</v>
      </c>
      <c r="AP74" s="704">
        <v>26</v>
      </c>
      <c r="AQ74" s="711">
        <f>Regular_cases_Oct[[#This Row],[EOM Cases]]</f>
        <v>26</v>
      </c>
      <c r="AR74" s="704">
        <v>0</v>
      </c>
      <c r="AS74" s="711">
        <f t="shared" si="10"/>
        <v>26</v>
      </c>
      <c r="AT74" s="704">
        <v>0</v>
      </c>
      <c r="AU74" s="711">
        <f>Regular_cases_Nov[[#This Row],[EOM Cases]]</f>
        <v>0</v>
      </c>
      <c r="AV74" s="704">
        <v>0</v>
      </c>
      <c r="AW74" s="711">
        <f t="shared" si="11"/>
        <v>0</v>
      </c>
      <c r="AX74" s="704">
        <v>0</v>
      </c>
      <c r="AZ74" s="714">
        <v>0</v>
      </c>
      <c r="BA74" s="707">
        <v>0</v>
      </c>
      <c r="BB74" s="711">
        <f t="shared" si="12"/>
        <v>0</v>
      </c>
      <c r="BC74" s="708">
        <v>0</v>
      </c>
      <c r="BD74" s="714">
        <f>Eip_cases_jan[[#This Row],[EOM Cases]]</f>
        <v>0</v>
      </c>
      <c r="BE74" s="707">
        <v>0</v>
      </c>
      <c r="BF74" s="711">
        <f t="shared" si="13"/>
        <v>0</v>
      </c>
      <c r="BG74" s="708">
        <v>0</v>
      </c>
      <c r="BH74" s="714">
        <f>Eip_cases_feb[[#This Row],[EOM Cases]]</f>
        <v>0</v>
      </c>
      <c r="BI74" s="707">
        <v>0</v>
      </c>
      <c r="BJ74" s="711">
        <f t="shared" si="14"/>
        <v>0</v>
      </c>
      <c r="BK74" s="708">
        <v>0</v>
      </c>
      <c r="BL74" s="714">
        <f>Eip_cases_mar[[#This Row],[EOM Cases]]</f>
        <v>0</v>
      </c>
      <c r="BM74" s="707">
        <v>0</v>
      </c>
      <c r="BN74" s="711">
        <f t="shared" si="15"/>
        <v>0</v>
      </c>
      <c r="BO74" s="708">
        <v>0</v>
      </c>
      <c r="BP74" s="714">
        <f>Eip_cases_Apr[[#This Row],[EOM Cases]]</f>
        <v>0</v>
      </c>
      <c r="BQ74" s="707">
        <v>0</v>
      </c>
      <c r="BR74" s="711">
        <f t="shared" si="16"/>
        <v>0</v>
      </c>
      <c r="BS74" s="708">
        <v>0</v>
      </c>
      <c r="BT74" s="714">
        <f>Eip_cases_May[[#This Row],[EOM Cases]]</f>
        <v>0</v>
      </c>
      <c r="BU74" s="707">
        <v>0</v>
      </c>
      <c r="BV74" s="711">
        <f t="shared" si="17"/>
        <v>0</v>
      </c>
      <c r="BW74" s="708">
        <v>0</v>
      </c>
      <c r="BX74" s="714">
        <f>Eip_cases_Jun[[#This Row],[EOM Cases]]</f>
        <v>0</v>
      </c>
      <c r="BY74" s="707">
        <v>0</v>
      </c>
      <c r="BZ74" s="711">
        <f t="shared" si="18"/>
        <v>0</v>
      </c>
      <c r="CA74" s="708">
        <v>0</v>
      </c>
      <c r="CB74" s="714">
        <f>Eip_cases_Jul[[#This Row],[EOM Cases]]</f>
        <v>0</v>
      </c>
      <c r="CC74" s="707">
        <v>0</v>
      </c>
      <c r="CD74" s="711">
        <f t="shared" si="19"/>
        <v>0</v>
      </c>
      <c r="CE74" s="708">
        <v>0</v>
      </c>
      <c r="CF74" s="714">
        <f>Eip_cases_Aug[[#This Row],[EOM Cases]]</f>
        <v>0</v>
      </c>
      <c r="CG74" s="707">
        <v>0</v>
      </c>
      <c r="CH74" s="711">
        <f t="shared" si="20"/>
        <v>0</v>
      </c>
      <c r="CI74" s="708">
        <v>0</v>
      </c>
      <c r="CJ74" s="714">
        <f>Eip_cases_Sep[[#This Row],[EOM Cases]]</f>
        <v>0</v>
      </c>
      <c r="CK74" s="707">
        <v>0</v>
      </c>
      <c r="CL74" s="711">
        <f t="shared" si="21"/>
        <v>0</v>
      </c>
      <c r="CM74" s="708">
        <v>0</v>
      </c>
      <c r="CN74" s="714">
        <f>Eip_cases_Oct[[#This Row],[EOM Cases]]</f>
        <v>0</v>
      </c>
      <c r="CO74" s="707">
        <v>0</v>
      </c>
      <c r="CP74" s="711">
        <f t="shared" si="22"/>
        <v>0</v>
      </c>
      <c r="CQ74" s="708">
        <v>0</v>
      </c>
      <c r="CR74" s="714">
        <f>Eip_cases_Nov[[#This Row],[EOM Cases]]</f>
        <v>0</v>
      </c>
      <c r="CS74" s="707">
        <v>0</v>
      </c>
      <c r="CT74" s="711">
        <f t="shared" si="23"/>
        <v>0</v>
      </c>
      <c r="CU74" s="708">
        <v>0</v>
      </c>
      <c r="CY74" s="542"/>
      <c r="CZ74" s="403"/>
      <c r="DA74" s="403"/>
      <c r="DB74" s="448"/>
      <c r="DC74" s="543"/>
      <c r="DF74" s="402"/>
      <c r="DG74" s="401"/>
      <c r="DH74" s="402"/>
    </row>
    <row r="75" spans="2:112" ht="14.5" x14ac:dyDescent="0.35">
      <c r="B75" s="874" t="str">
        <f>'Nurse Hours'!B76</f>
        <v>Price, Nychole</v>
      </c>
      <c r="C75" s="701">
        <v>0</v>
      </c>
      <c r="D75" s="729">
        <v>0</v>
      </c>
      <c r="E75" s="711">
        <f t="shared" si="0"/>
        <v>0</v>
      </c>
      <c r="F75" s="732">
        <v>0</v>
      </c>
      <c r="G75" s="703">
        <f>Regular_cases_jan[[#This Row],[EOM Cases]]</f>
        <v>0</v>
      </c>
      <c r="H75" s="729">
        <v>2</v>
      </c>
      <c r="I75" s="711">
        <f t="shared" si="1"/>
        <v>-2</v>
      </c>
      <c r="J75" s="732">
        <v>4</v>
      </c>
      <c r="K75" s="703">
        <f>Regular_cases_feb[[#This Row],[EOM Cases]]</f>
        <v>4</v>
      </c>
      <c r="L75" s="729">
        <v>5</v>
      </c>
      <c r="M75" s="711">
        <f t="shared" si="2"/>
        <v>-5</v>
      </c>
      <c r="N75" s="734">
        <v>14</v>
      </c>
      <c r="O75" s="703">
        <f>Regular_cases_mar[[#This Row],[EOM Cases]]</f>
        <v>14</v>
      </c>
      <c r="P75" s="729">
        <v>5</v>
      </c>
      <c r="Q75" s="711">
        <f t="shared" si="3"/>
        <v>1</v>
      </c>
      <c r="R75" s="732">
        <v>18</v>
      </c>
      <c r="S75" s="703">
        <f>Regular_cases_apr[[#This Row],[EOM Cases]]</f>
        <v>18</v>
      </c>
      <c r="T75" s="729">
        <v>1</v>
      </c>
      <c r="U75" s="711">
        <f t="shared" si="4"/>
        <v>0</v>
      </c>
      <c r="V75" s="732">
        <v>19</v>
      </c>
      <c r="W75" s="632">
        <f>Regular_cases_may[[#This Row],[EOM Cases]]</f>
        <v>19</v>
      </c>
      <c r="X75" s="729">
        <v>0</v>
      </c>
      <c r="Y75" s="711">
        <f t="shared" si="5"/>
        <v>19</v>
      </c>
      <c r="Z75" s="704">
        <v>0</v>
      </c>
      <c r="AA75" s="711">
        <f>Regular_cases_jun[[#This Row],[EOM Cases]]</f>
        <v>0</v>
      </c>
      <c r="AB75" s="704">
        <v>0</v>
      </c>
      <c r="AC75" s="711">
        <f t="shared" si="6"/>
        <v>0</v>
      </c>
      <c r="AD75" s="704">
        <v>0</v>
      </c>
      <c r="AE75" s="711">
        <f>Regular_cases_jul[[#This Row],[EOM Cases]]</f>
        <v>0</v>
      </c>
      <c r="AF75" s="704">
        <v>0</v>
      </c>
      <c r="AG75" s="711">
        <f t="shared" si="7"/>
        <v>0</v>
      </c>
      <c r="AH75" s="704">
        <v>0</v>
      </c>
      <c r="AI75" s="711">
        <f>Regular_cases_Aug[[#This Row],[EOM Cases]]</f>
        <v>0</v>
      </c>
      <c r="AJ75" s="704">
        <v>0</v>
      </c>
      <c r="AK75" s="711">
        <f t="shared" si="8"/>
        <v>0</v>
      </c>
      <c r="AL75" s="704">
        <v>0</v>
      </c>
      <c r="AM75" s="711">
        <f>Regular_cases_Sep[[#This Row],[EOM Cases]]</f>
        <v>0</v>
      </c>
      <c r="AN75" s="704">
        <v>0</v>
      </c>
      <c r="AO75" s="711">
        <f t="shared" si="9"/>
        <v>0</v>
      </c>
      <c r="AP75" s="704">
        <v>0</v>
      </c>
      <c r="AQ75" s="711">
        <f>Regular_cases_Oct[[#This Row],[EOM Cases]]</f>
        <v>0</v>
      </c>
      <c r="AR75" s="704">
        <v>0</v>
      </c>
      <c r="AS75" s="711">
        <f t="shared" si="10"/>
        <v>0</v>
      </c>
      <c r="AT75" s="704">
        <v>0</v>
      </c>
      <c r="AU75" s="711">
        <f>Regular_cases_Nov[[#This Row],[EOM Cases]]</f>
        <v>0</v>
      </c>
      <c r="AV75" s="704">
        <v>0</v>
      </c>
      <c r="AW75" s="711">
        <f t="shared" si="11"/>
        <v>0</v>
      </c>
      <c r="AX75" s="704">
        <v>0</v>
      </c>
      <c r="AZ75" s="714">
        <v>0</v>
      </c>
      <c r="BA75" s="707">
        <v>0</v>
      </c>
      <c r="BB75" s="711">
        <f t="shared" si="12"/>
        <v>0</v>
      </c>
      <c r="BC75" s="708">
        <v>0</v>
      </c>
      <c r="BD75" s="714">
        <f>Eip_cases_jan[[#This Row],[EOM Cases]]</f>
        <v>0</v>
      </c>
      <c r="BE75" s="707">
        <v>0</v>
      </c>
      <c r="BF75" s="711">
        <f t="shared" si="13"/>
        <v>0</v>
      </c>
      <c r="BG75" s="708">
        <v>0</v>
      </c>
      <c r="BH75" s="714">
        <f>Eip_cases_feb[[#This Row],[EOM Cases]]</f>
        <v>0</v>
      </c>
      <c r="BI75" s="707">
        <v>0</v>
      </c>
      <c r="BJ75" s="711">
        <f t="shared" si="14"/>
        <v>0</v>
      </c>
      <c r="BK75" s="708">
        <v>0</v>
      </c>
      <c r="BL75" s="714">
        <f>Eip_cases_mar[[#This Row],[EOM Cases]]</f>
        <v>0</v>
      </c>
      <c r="BM75" s="707">
        <v>1</v>
      </c>
      <c r="BN75" s="711">
        <f t="shared" si="15"/>
        <v>0</v>
      </c>
      <c r="BO75" s="708">
        <v>1</v>
      </c>
      <c r="BP75" s="714">
        <f>Eip_cases_Apr[[#This Row],[EOM Cases]]</f>
        <v>1</v>
      </c>
      <c r="BQ75" s="707">
        <v>0</v>
      </c>
      <c r="BR75" s="711">
        <f t="shared" si="16"/>
        <v>1</v>
      </c>
      <c r="BS75" s="708">
        <v>0</v>
      </c>
      <c r="BT75" s="714">
        <f>Eip_cases_May[[#This Row],[EOM Cases]]</f>
        <v>0</v>
      </c>
      <c r="BU75" s="707">
        <v>0</v>
      </c>
      <c r="BV75" s="711">
        <f t="shared" si="17"/>
        <v>0</v>
      </c>
      <c r="BW75" s="708">
        <v>0</v>
      </c>
      <c r="BX75" s="714">
        <f>Eip_cases_Jun[[#This Row],[EOM Cases]]</f>
        <v>0</v>
      </c>
      <c r="BY75" s="707">
        <v>0</v>
      </c>
      <c r="BZ75" s="711">
        <f t="shared" si="18"/>
        <v>0</v>
      </c>
      <c r="CA75" s="708">
        <v>0</v>
      </c>
      <c r="CB75" s="714">
        <f>Eip_cases_Jul[[#This Row],[EOM Cases]]</f>
        <v>0</v>
      </c>
      <c r="CC75" s="707">
        <v>0</v>
      </c>
      <c r="CD75" s="711">
        <f t="shared" si="19"/>
        <v>0</v>
      </c>
      <c r="CE75" s="708">
        <v>0</v>
      </c>
      <c r="CF75" s="714">
        <f>Eip_cases_Aug[[#This Row],[EOM Cases]]</f>
        <v>0</v>
      </c>
      <c r="CG75" s="707">
        <v>0</v>
      </c>
      <c r="CH75" s="711">
        <f t="shared" si="20"/>
        <v>0</v>
      </c>
      <c r="CI75" s="708">
        <v>0</v>
      </c>
      <c r="CJ75" s="714">
        <f>Eip_cases_Sep[[#This Row],[EOM Cases]]</f>
        <v>0</v>
      </c>
      <c r="CK75" s="707">
        <v>0</v>
      </c>
      <c r="CL75" s="711">
        <f t="shared" si="21"/>
        <v>0</v>
      </c>
      <c r="CM75" s="708">
        <v>0</v>
      </c>
      <c r="CN75" s="714">
        <f>Eip_cases_Oct[[#This Row],[EOM Cases]]</f>
        <v>0</v>
      </c>
      <c r="CO75" s="707">
        <v>0</v>
      </c>
      <c r="CP75" s="711">
        <f t="shared" si="22"/>
        <v>0</v>
      </c>
      <c r="CQ75" s="708">
        <v>0</v>
      </c>
      <c r="CR75" s="714">
        <f>Eip_cases_Nov[[#This Row],[EOM Cases]]</f>
        <v>0</v>
      </c>
      <c r="CS75" s="707">
        <v>0</v>
      </c>
      <c r="CT75" s="711">
        <f t="shared" si="23"/>
        <v>0</v>
      </c>
      <c r="CU75" s="708">
        <v>0</v>
      </c>
      <c r="CY75" s="542"/>
      <c r="DA75" s="403"/>
      <c r="DB75" s="448"/>
      <c r="DC75" s="543"/>
      <c r="DF75" s="402"/>
      <c r="DG75" s="401"/>
      <c r="DH75" s="402"/>
    </row>
    <row r="76" spans="2:112" ht="14.5" x14ac:dyDescent="0.35">
      <c r="B76" s="874" t="str">
        <f>'Nurse Hours'!B77</f>
        <v>Raimondi, Lisa</v>
      </c>
      <c r="C76" s="701">
        <v>16</v>
      </c>
      <c r="D76" s="729">
        <v>1</v>
      </c>
      <c r="E76" s="711">
        <f t="shared" si="0"/>
        <v>0</v>
      </c>
      <c r="F76" s="732">
        <v>17</v>
      </c>
      <c r="G76" s="703">
        <f>Regular_cases_jan[[#This Row],[EOM Cases]]</f>
        <v>17</v>
      </c>
      <c r="H76" s="729">
        <v>2</v>
      </c>
      <c r="I76" s="711">
        <f t="shared" si="1"/>
        <v>2</v>
      </c>
      <c r="J76" s="732">
        <v>17</v>
      </c>
      <c r="K76" s="703">
        <f>Regular_cases_feb[[#This Row],[EOM Cases]]</f>
        <v>17</v>
      </c>
      <c r="L76" s="729">
        <v>0</v>
      </c>
      <c r="M76" s="711">
        <f t="shared" si="2"/>
        <v>2</v>
      </c>
      <c r="N76" s="734">
        <v>15</v>
      </c>
      <c r="O76" s="703">
        <f>Regular_cases_mar[[#This Row],[EOM Cases]]</f>
        <v>15</v>
      </c>
      <c r="P76" s="729">
        <v>4</v>
      </c>
      <c r="Q76" s="711">
        <f t="shared" si="3"/>
        <v>5</v>
      </c>
      <c r="R76" s="732">
        <v>14</v>
      </c>
      <c r="S76" s="703">
        <f>Regular_cases_apr[[#This Row],[EOM Cases]]</f>
        <v>14</v>
      </c>
      <c r="T76" s="729">
        <v>1</v>
      </c>
      <c r="U76" s="711">
        <f t="shared" si="4"/>
        <v>0</v>
      </c>
      <c r="V76" s="732">
        <v>15</v>
      </c>
      <c r="W76" s="632">
        <f>Regular_cases_may[[#This Row],[EOM Cases]]</f>
        <v>15</v>
      </c>
      <c r="X76" s="729">
        <v>0</v>
      </c>
      <c r="Y76" s="711">
        <f t="shared" si="5"/>
        <v>2</v>
      </c>
      <c r="Z76" s="704">
        <v>13</v>
      </c>
      <c r="AA76" s="711">
        <f>Regular_cases_jun[[#This Row],[EOM Cases]]</f>
        <v>13</v>
      </c>
      <c r="AB76" s="704">
        <v>0</v>
      </c>
      <c r="AC76" s="711">
        <f t="shared" si="6"/>
        <v>1</v>
      </c>
      <c r="AD76" s="704">
        <v>12</v>
      </c>
      <c r="AE76" s="711">
        <f>Regular_cases_jul[[#This Row],[EOM Cases]]</f>
        <v>12</v>
      </c>
      <c r="AF76" s="704">
        <v>3</v>
      </c>
      <c r="AG76" s="711">
        <f t="shared" si="7"/>
        <v>1</v>
      </c>
      <c r="AH76" s="704">
        <v>14</v>
      </c>
      <c r="AI76" s="711">
        <f>Regular_cases_Aug[[#This Row],[EOM Cases]]</f>
        <v>14</v>
      </c>
      <c r="AJ76" s="704">
        <v>0</v>
      </c>
      <c r="AK76" s="711">
        <f t="shared" si="8"/>
        <v>2</v>
      </c>
      <c r="AL76" s="704">
        <v>12</v>
      </c>
      <c r="AM76" s="711">
        <f>Regular_cases_Sep[[#This Row],[EOM Cases]]</f>
        <v>12</v>
      </c>
      <c r="AN76" s="704">
        <v>3</v>
      </c>
      <c r="AO76" s="711">
        <f t="shared" si="9"/>
        <v>0</v>
      </c>
      <c r="AP76" s="704">
        <v>15</v>
      </c>
      <c r="AQ76" s="711">
        <f>Regular_cases_Oct[[#This Row],[EOM Cases]]</f>
        <v>15</v>
      </c>
      <c r="AR76" s="704">
        <v>0</v>
      </c>
      <c r="AS76" s="711">
        <f t="shared" si="10"/>
        <v>15</v>
      </c>
      <c r="AT76" s="704">
        <v>0</v>
      </c>
      <c r="AU76" s="711">
        <f>Regular_cases_Nov[[#This Row],[EOM Cases]]</f>
        <v>0</v>
      </c>
      <c r="AV76" s="704">
        <v>0</v>
      </c>
      <c r="AW76" s="711">
        <f t="shared" si="11"/>
        <v>0</v>
      </c>
      <c r="AX76" s="704">
        <v>0</v>
      </c>
      <c r="AZ76" s="714">
        <v>0</v>
      </c>
      <c r="BA76" s="707">
        <v>0</v>
      </c>
      <c r="BB76" s="711">
        <f t="shared" si="12"/>
        <v>0</v>
      </c>
      <c r="BC76" s="708">
        <v>0</v>
      </c>
      <c r="BD76" s="714">
        <f>Eip_cases_jan[[#This Row],[EOM Cases]]</f>
        <v>0</v>
      </c>
      <c r="BE76" s="707">
        <v>0</v>
      </c>
      <c r="BF76" s="711">
        <f t="shared" si="13"/>
        <v>0</v>
      </c>
      <c r="BG76" s="708">
        <v>0</v>
      </c>
      <c r="BH76" s="714">
        <f>Eip_cases_feb[[#This Row],[EOM Cases]]</f>
        <v>0</v>
      </c>
      <c r="BI76" s="707">
        <v>0</v>
      </c>
      <c r="BJ76" s="711">
        <f t="shared" si="14"/>
        <v>0</v>
      </c>
      <c r="BK76" s="708">
        <v>0</v>
      </c>
      <c r="BL76" s="714">
        <f>Eip_cases_mar[[#This Row],[EOM Cases]]</f>
        <v>0</v>
      </c>
      <c r="BM76" s="707">
        <v>0</v>
      </c>
      <c r="BN76" s="711">
        <f t="shared" si="15"/>
        <v>0</v>
      </c>
      <c r="BO76" s="708">
        <v>0</v>
      </c>
      <c r="BP76" s="714">
        <f>Eip_cases_Apr[[#This Row],[EOM Cases]]</f>
        <v>0</v>
      </c>
      <c r="BQ76" s="707">
        <v>0</v>
      </c>
      <c r="BR76" s="711">
        <f t="shared" si="16"/>
        <v>0</v>
      </c>
      <c r="BS76" s="708">
        <v>0</v>
      </c>
      <c r="BT76" s="714">
        <f>Eip_cases_May[[#This Row],[EOM Cases]]</f>
        <v>0</v>
      </c>
      <c r="BU76" s="707">
        <v>0</v>
      </c>
      <c r="BV76" s="711">
        <f t="shared" si="17"/>
        <v>0</v>
      </c>
      <c r="BW76" s="708">
        <v>0</v>
      </c>
      <c r="BX76" s="714">
        <f>Eip_cases_Jun[[#This Row],[EOM Cases]]</f>
        <v>0</v>
      </c>
      <c r="BY76" s="707">
        <v>3</v>
      </c>
      <c r="BZ76" s="711">
        <f t="shared" si="18"/>
        <v>0</v>
      </c>
      <c r="CA76" s="708">
        <v>3</v>
      </c>
      <c r="CB76" s="714">
        <f>Eip_cases_Jul[[#This Row],[EOM Cases]]</f>
        <v>3</v>
      </c>
      <c r="CC76" s="707">
        <v>1</v>
      </c>
      <c r="CD76" s="711">
        <f t="shared" si="19"/>
        <v>-1</v>
      </c>
      <c r="CE76" s="708">
        <v>5</v>
      </c>
      <c r="CF76" s="714">
        <f>Eip_cases_Aug[[#This Row],[EOM Cases]]</f>
        <v>5</v>
      </c>
      <c r="CG76" s="707">
        <v>1</v>
      </c>
      <c r="CH76" s="711">
        <f t="shared" si="20"/>
        <v>0</v>
      </c>
      <c r="CI76" s="708">
        <v>6</v>
      </c>
      <c r="CJ76" s="714">
        <f>Eip_cases_Sep[[#This Row],[EOM Cases]]</f>
        <v>6</v>
      </c>
      <c r="CK76" s="707">
        <v>1</v>
      </c>
      <c r="CL76" s="711">
        <f t="shared" si="21"/>
        <v>2</v>
      </c>
      <c r="CM76" s="708">
        <v>5</v>
      </c>
      <c r="CN76" s="714">
        <f>Eip_cases_Oct[[#This Row],[EOM Cases]]</f>
        <v>5</v>
      </c>
      <c r="CO76" s="707">
        <v>0</v>
      </c>
      <c r="CP76" s="711">
        <f t="shared" si="22"/>
        <v>5</v>
      </c>
      <c r="CQ76" s="708">
        <v>0</v>
      </c>
      <c r="CR76" s="714">
        <f>Eip_cases_Nov[[#This Row],[EOM Cases]]</f>
        <v>0</v>
      </c>
      <c r="CS76" s="707">
        <v>0</v>
      </c>
      <c r="CT76" s="711">
        <f t="shared" si="23"/>
        <v>0</v>
      </c>
      <c r="CU76" s="708">
        <v>0</v>
      </c>
      <c r="CY76" s="542"/>
      <c r="CZ76" s="403"/>
      <c r="DA76" s="403"/>
      <c r="DB76" s="448"/>
      <c r="DC76" s="543"/>
      <c r="DF76" s="402"/>
      <c r="DG76" s="401"/>
      <c r="DH76" s="402"/>
    </row>
    <row r="77" spans="2:112" ht="14.5" x14ac:dyDescent="0.35">
      <c r="B77" s="874" t="str">
        <f>'Nurse Hours'!B78</f>
        <v>Regalado, Jeanette</v>
      </c>
      <c r="C77" s="701">
        <v>0</v>
      </c>
      <c r="D77" s="729">
        <v>0</v>
      </c>
      <c r="E77" s="711">
        <f t="shared" si="0"/>
        <v>0</v>
      </c>
      <c r="F77" s="732">
        <v>0</v>
      </c>
      <c r="G77" s="703">
        <f>Regular_cases_jan[[#This Row],[EOM Cases]]</f>
        <v>0</v>
      </c>
      <c r="H77" s="729">
        <v>0</v>
      </c>
      <c r="I77" s="711">
        <f t="shared" si="1"/>
        <v>0</v>
      </c>
      <c r="J77" s="732">
        <v>0</v>
      </c>
      <c r="K77" s="703">
        <f>Regular_cases_feb[[#This Row],[EOM Cases]]</f>
        <v>0</v>
      </c>
      <c r="L77" s="729">
        <v>1</v>
      </c>
      <c r="M77" s="711">
        <f t="shared" si="2"/>
        <v>-1</v>
      </c>
      <c r="N77" s="734">
        <v>2</v>
      </c>
      <c r="O77" s="703">
        <f>Regular_cases_mar[[#This Row],[EOM Cases]]</f>
        <v>2</v>
      </c>
      <c r="P77" s="729">
        <v>3</v>
      </c>
      <c r="Q77" s="711">
        <f t="shared" si="3"/>
        <v>-2</v>
      </c>
      <c r="R77" s="732">
        <v>7</v>
      </c>
      <c r="S77" s="703">
        <f>Regular_cases_apr[[#This Row],[EOM Cases]]</f>
        <v>7</v>
      </c>
      <c r="T77" s="729">
        <v>1</v>
      </c>
      <c r="U77" s="711">
        <f t="shared" si="4"/>
        <v>-2</v>
      </c>
      <c r="V77" s="732">
        <v>10</v>
      </c>
      <c r="W77" s="632">
        <f>Regular_cases_may[[#This Row],[EOM Cases]]</f>
        <v>10</v>
      </c>
      <c r="X77" s="729">
        <v>2</v>
      </c>
      <c r="Y77" s="711">
        <f t="shared" si="5"/>
        <v>-2</v>
      </c>
      <c r="Z77" s="704">
        <v>14</v>
      </c>
      <c r="AA77" s="711">
        <f>Regular_cases_jun[[#This Row],[EOM Cases]]</f>
        <v>14</v>
      </c>
      <c r="AB77" s="704">
        <v>4</v>
      </c>
      <c r="AC77" s="711">
        <f t="shared" si="6"/>
        <v>3</v>
      </c>
      <c r="AD77" s="704">
        <v>15</v>
      </c>
      <c r="AE77" s="711">
        <f>Regular_cases_jul[[#This Row],[EOM Cases]]</f>
        <v>15</v>
      </c>
      <c r="AF77" s="704">
        <v>3</v>
      </c>
      <c r="AG77" s="711">
        <f t="shared" si="7"/>
        <v>-1</v>
      </c>
      <c r="AH77" s="704">
        <v>19</v>
      </c>
      <c r="AI77" s="711">
        <f>Regular_cases_Aug[[#This Row],[EOM Cases]]</f>
        <v>19</v>
      </c>
      <c r="AJ77" s="704">
        <v>2</v>
      </c>
      <c r="AK77" s="711">
        <f t="shared" si="8"/>
        <v>0</v>
      </c>
      <c r="AL77" s="704">
        <v>21</v>
      </c>
      <c r="AM77" s="711">
        <f>Regular_cases_Sep[[#This Row],[EOM Cases]]</f>
        <v>21</v>
      </c>
      <c r="AN77" s="704">
        <v>2</v>
      </c>
      <c r="AO77" s="711">
        <f t="shared" si="9"/>
        <v>1</v>
      </c>
      <c r="AP77" s="704">
        <v>22</v>
      </c>
      <c r="AQ77" s="711">
        <f>Regular_cases_Oct[[#This Row],[EOM Cases]]</f>
        <v>22</v>
      </c>
      <c r="AR77" s="704">
        <v>0</v>
      </c>
      <c r="AS77" s="711">
        <f t="shared" si="10"/>
        <v>22</v>
      </c>
      <c r="AT77" s="704">
        <v>0</v>
      </c>
      <c r="AU77" s="711">
        <f>Regular_cases_Nov[[#This Row],[EOM Cases]]</f>
        <v>0</v>
      </c>
      <c r="AV77" s="704">
        <v>0</v>
      </c>
      <c r="AW77" s="711">
        <f t="shared" si="11"/>
        <v>0</v>
      </c>
      <c r="AX77" s="704">
        <v>0</v>
      </c>
      <c r="AZ77" s="714">
        <v>0</v>
      </c>
      <c r="BA77" s="707">
        <v>0</v>
      </c>
      <c r="BB77" s="711">
        <f t="shared" si="12"/>
        <v>0</v>
      </c>
      <c r="BC77" s="708">
        <v>0</v>
      </c>
      <c r="BD77" s="714">
        <f>Eip_cases_jan[[#This Row],[EOM Cases]]</f>
        <v>0</v>
      </c>
      <c r="BE77" s="707">
        <v>0</v>
      </c>
      <c r="BF77" s="711">
        <f t="shared" si="13"/>
        <v>0</v>
      </c>
      <c r="BG77" s="708">
        <v>0</v>
      </c>
      <c r="BH77" s="714">
        <f>Eip_cases_feb[[#This Row],[EOM Cases]]</f>
        <v>0</v>
      </c>
      <c r="BI77" s="707">
        <v>0</v>
      </c>
      <c r="BJ77" s="711">
        <f t="shared" si="14"/>
        <v>0</v>
      </c>
      <c r="BK77" s="708">
        <v>0</v>
      </c>
      <c r="BL77" s="714">
        <f>Eip_cases_mar[[#This Row],[EOM Cases]]</f>
        <v>0</v>
      </c>
      <c r="BM77" s="707">
        <v>0</v>
      </c>
      <c r="BN77" s="711">
        <f t="shared" si="15"/>
        <v>0</v>
      </c>
      <c r="BO77" s="708">
        <v>0</v>
      </c>
      <c r="BP77" s="714">
        <f>Eip_cases_Apr[[#This Row],[EOM Cases]]</f>
        <v>0</v>
      </c>
      <c r="BQ77" s="707">
        <v>0</v>
      </c>
      <c r="BR77" s="711">
        <f t="shared" si="16"/>
        <v>0</v>
      </c>
      <c r="BS77" s="708">
        <v>0</v>
      </c>
      <c r="BT77" s="714">
        <f>Eip_cases_May[[#This Row],[EOM Cases]]</f>
        <v>0</v>
      </c>
      <c r="BU77" s="707">
        <v>0</v>
      </c>
      <c r="BV77" s="711">
        <f t="shared" si="17"/>
        <v>0</v>
      </c>
      <c r="BW77" s="708">
        <v>0</v>
      </c>
      <c r="BX77" s="714">
        <f>Eip_cases_Jun[[#This Row],[EOM Cases]]</f>
        <v>0</v>
      </c>
      <c r="BY77" s="707">
        <v>0</v>
      </c>
      <c r="BZ77" s="711">
        <f t="shared" si="18"/>
        <v>0</v>
      </c>
      <c r="CA77" s="708">
        <v>0</v>
      </c>
      <c r="CB77" s="714">
        <f>Eip_cases_Jul[[#This Row],[EOM Cases]]</f>
        <v>0</v>
      </c>
      <c r="CC77" s="707">
        <v>0</v>
      </c>
      <c r="CD77" s="711">
        <f t="shared" si="19"/>
        <v>0</v>
      </c>
      <c r="CE77" s="708">
        <v>0</v>
      </c>
      <c r="CF77" s="714">
        <f>Eip_cases_Aug[[#This Row],[EOM Cases]]</f>
        <v>0</v>
      </c>
      <c r="CG77" s="707">
        <v>0</v>
      </c>
      <c r="CH77" s="711">
        <f t="shared" si="20"/>
        <v>0</v>
      </c>
      <c r="CI77" s="708">
        <v>0</v>
      </c>
      <c r="CJ77" s="714">
        <f>Eip_cases_Sep[[#This Row],[EOM Cases]]</f>
        <v>0</v>
      </c>
      <c r="CK77" s="707">
        <v>0</v>
      </c>
      <c r="CL77" s="711">
        <f t="shared" si="21"/>
        <v>0</v>
      </c>
      <c r="CM77" s="708">
        <v>0</v>
      </c>
      <c r="CN77" s="714">
        <f>Eip_cases_Oct[[#This Row],[EOM Cases]]</f>
        <v>0</v>
      </c>
      <c r="CO77" s="707">
        <v>0</v>
      </c>
      <c r="CP77" s="711">
        <f t="shared" si="22"/>
        <v>0</v>
      </c>
      <c r="CQ77" s="708">
        <v>0</v>
      </c>
      <c r="CR77" s="714">
        <f>Eip_cases_Nov[[#This Row],[EOM Cases]]</f>
        <v>0</v>
      </c>
      <c r="CS77" s="707">
        <v>0</v>
      </c>
      <c r="CT77" s="711">
        <f t="shared" si="23"/>
        <v>0</v>
      </c>
      <c r="CU77" s="708">
        <v>0</v>
      </c>
    </row>
    <row r="78" spans="2:112" ht="14.5" x14ac:dyDescent="0.35">
      <c r="B78" s="874" t="str">
        <f>'Nurse Hours'!B79</f>
        <v>Root, Gabrielle</v>
      </c>
      <c r="C78" s="701"/>
      <c r="D78" s="729"/>
      <c r="E78" s="711">
        <f>SUM(C78:D78)-F78</f>
        <v>0</v>
      </c>
      <c r="F78" s="732"/>
      <c r="G78" s="703">
        <f>Regular_cases_jan[[#This Row],[EOM Cases]]</f>
        <v>0</v>
      </c>
      <c r="H78" s="729"/>
      <c r="I78" s="711">
        <f>SUM(G78:H78)-J78</f>
        <v>0</v>
      </c>
      <c r="J78" s="732"/>
      <c r="K78" s="703">
        <f>Regular_cases_feb[[#This Row],[EOM Cases]]</f>
        <v>0</v>
      </c>
      <c r="L78" s="729"/>
      <c r="M78" s="711">
        <f>SUM(K78:L78)-N78</f>
        <v>0</v>
      </c>
      <c r="N78" s="734"/>
      <c r="O78" s="703">
        <f>Regular_cases_mar[[#This Row],[EOM Cases]]</f>
        <v>0</v>
      </c>
      <c r="P78" s="729"/>
      <c r="Q78" s="711">
        <f>SUM(O78:P78)-R78</f>
        <v>0</v>
      </c>
      <c r="R78" s="732"/>
      <c r="S78" s="703">
        <f>Regular_cases_apr[[#This Row],[EOM Cases]]</f>
        <v>0</v>
      </c>
      <c r="T78" s="729"/>
      <c r="U78" s="711">
        <f>SUM(S78:T78)-V78</f>
        <v>0</v>
      </c>
      <c r="V78" s="732"/>
      <c r="W78" s="632">
        <f>Regular_cases_may[[#This Row],[EOM Cases]]</f>
        <v>0</v>
      </c>
      <c r="X78" s="729"/>
      <c r="Y78" s="711">
        <f>SUM(W78:X78)-Z78</f>
        <v>0</v>
      </c>
      <c r="Z78" s="704"/>
      <c r="AA78" s="711">
        <f>Regular_cases_jun[[#This Row],[EOM Cases]]</f>
        <v>0</v>
      </c>
      <c r="AB78" s="704"/>
      <c r="AC78" s="711">
        <f>SUM(AA78:AB78)-AD78</f>
        <v>0</v>
      </c>
      <c r="AD78" s="704"/>
      <c r="AE78" s="711">
        <f>Regular_cases_jul[[#This Row],[EOM Cases]]</f>
        <v>0</v>
      </c>
      <c r="AF78" s="704"/>
      <c r="AG78" s="711">
        <f>SUM(AE78:AF78)-AH78</f>
        <v>0</v>
      </c>
      <c r="AH78" s="704"/>
      <c r="AI78" s="711">
        <f>Regular_cases_Aug[[#This Row],[EOM Cases]]</f>
        <v>0</v>
      </c>
      <c r="AJ78" s="704"/>
      <c r="AK78" s="711">
        <f>SUM(AI78:AJ78)-AL78</f>
        <v>0</v>
      </c>
      <c r="AL78" s="704"/>
      <c r="AM78" s="711">
        <f>Regular_cases_Sep[[#This Row],[EOM Cases]]</f>
        <v>0</v>
      </c>
      <c r="AN78" s="704">
        <v>1</v>
      </c>
      <c r="AO78" s="711">
        <f>SUM(AM78:AN78)-AP78</f>
        <v>-3</v>
      </c>
      <c r="AP78" s="704">
        <v>4</v>
      </c>
      <c r="AQ78" s="711">
        <f>Regular_cases_Oct[[#This Row],[EOM Cases]]</f>
        <v>4</v>
      </c>
      <c r="AR78" s="704"/>
      <c r="AS78" s="711">
        <f>SUM(AQ78:AR78)-AT78</f>
        <v>4</v>
      </c>
      <c r="AT78" s="704"/>
      <c r="AU78" s="711">
        <f>Regular_cases_Nov[[#This Row],[EOM Cases]]</f>
        <v>0</v>
      </c>
      <c r="AV78" s="704"/>
      <c r="AW78" s="711">
        <f>SUM(AU78:AV78)-AX78</f>
        <v>0</v>
      </c>
      <c r="AX78" s="704"/>
      <c r="AZ78" s="714"/>
      <c r="BA78" s="707"/>
      <c r="BB78" s="711">
        <f>SUM(AZ78:BA78)-BC78</f>
        <v>0</v>
      </c>
      <c r="BC78" s="708"/>
      <c r="BD78" s="714">
        <f>Eip_cases_jan[[#This Row],[EOM Cases]]</f>
        <v>0</v>
      </c>
      <c r="BE78" s="707"/>
      <c r="BF78" s="711">
        <f>SUM(BD78:BE78)-BG78</f>
        <v>0</v>
      </c>
      <c r="BG78" s="708"/>
      <c r="BH78" s="714">
        <f>Eip_cases_feb[[#This Row],[EOM Cases]]</f>
        <v>0</v>
      </c>
      <c r="BI78" s="707"/>
      <c r="BJ78" s="711">
        <f>SUM(BH78:BI78)-BK78</f>
        <v>0</v>
      </c>
      <c r="BK78" s="708"/>
      <c r="BL78" s="714">
        <f>Eip_cases_mar[[#This Row],[EOM Cases]]</f>
        <v>0</v>
      </c>
      <c r="BM78" s="707"/>
      <c r="BN78" s="711">
        <f>SUM(BL78:BM78)-BO78</f>
        <v>0</v>
      </c>
      <c r="BO78" s="708"/>
      <c r="BP78" s="714">
        <f>Eip_cases_Apr[[#This Row],[EOM Cases]]</f>
        <v>0</v>
      </c>
      <c r="BQ78" s="707"/>
      <c r="BR78" s="711">
        <f>SUM(BP78:BQ78)-BS78</f>
        <v>0</v>
      </c>
      <c r="BS78" s="708"/>
      <c r="BT78" s="871">
        <f>Eip_cases_May[[#This Row],[EOM Cases]]</f>
        <v>0</v>
      </c>
      <c r="BU78" s="707"/>
      <c r="BV78" s="711">
        <f>SUM(BT78:BU78)-BW78</f>
        <v>0</v>
      </c>
      <c r="BW78" s="708"/>
      <c r="BX78" s="714">
        <f>Eip_cases_Jun[[#This Row],[EOM Cases]]</f>
        <v>0</v>
      </c>
      <c r="BY78" s="707"/>
      <c r="BZ78" s="711">
        <f>SUM(BX78:BY78)-CA78</f>
        <v>0</v>
      </c>
      <c r="CA78" s="708"/>
      <c r="CB78" s="714">
        <f>Eip_cases_Jul[[#This Row],[EOM Cases]]</f>
        <v>0</v>
      </c>
      <c r="CC78" s="707"/>
      <c r="CD78" s="711">
        <f>SUM(CB78:CC78)-CE78</f>
        <v>0</v>
      </c>
      <c r="CE78" s="708"/>
      <c r="CF78" s="714">
        <f>Eip_cases_Aug[[#This Row],[EOM Cases]]</f>
        <v>0</v>
      </c>
      <c r="CG78" s="707"/>
      <c r="CH78" s="711">
        <f>SUM(CF78:CG78)-CI78</f>
        <v>0</v>
      </c>
      <c r="CI78" s="708"/>
      <c r="CJ78" s="714">
        <f>Eip_cases_Sep[[#This Row],[EOM Cases]]</f>
        <v>0</v>
      </c>
      <c r="CK78" s="707"/>
      <c r="CL78" s="711">
        <f>SUM(CJ78:CK78)-CM78</f>
        <v>0</v>
      </c>
      <c r="CM78" s="708"/>
      <c r="CN78" s="714">
        <f>Eip_cases_Oct[[#This Row],[EOM Cases]]</f>
        <v>0</v>
      </c>
      <c r="CO78" s="707"/>
      <c r="CP78" s="711">
        <f>SUM(CN78:CO78)-CQ78</f>
        <v>0</v>
      </c>
      <c r="CQ78" s="708"/>
      <c r="CR78" s="714">
        <f>Eip_cases_Nov[[#This Row],[EOM Cases]]</f>
        <v>0</v>
      </c>
      <c r="CS78" s="707"/>
      <c r="CT78" s="711">
        <f>SUM(CR78:CS78)-CU78</f>
        <v>0</v>
      </c>
      <c r="CU78" s="708"/>
    </row>
    <row r="79" spans="2:112" ht="14.5" x14ac:dyDescent="0.35">
      <c r="B79" s="874" t="str">
        <f>'Nurse Hours'!B80</f>
        <v>Rost, Alison</v>
      </c>
      <c r="C79" s="701">
        <v>15</v>
      </c>
      <c r="D79" s="729">
        <v>1</v>
      </c>
      <c r="E79" s="711">
        <f t="shared" si="0"/>
        <v>2</v>
      </c>
      <c r="F79" s="732">
        <v>14</v>
      </c>
      <c r="G79" s="703">
        <f>Regular_cases_jan[[#This Row],[EOM Cases]]</f>
        <v>14</v>
      </c>
      <c r="H79" s="729">
        <v>4</v>
      </c>
      <c r="I79" s="711">
        <f t="shared" si="1"/>
        <v>-2</v>
      </c>
      <c r="J79" s="732">
        <v>20</v>
      </c>
      <c r="K79" s="703">
        <f>Regular_cases_feb[[#This Row],[EOM Cases]]</f>
        <v>20</v>
      </c>
      <c r="L79" s="729">
        <v>1</v>
      </c>
      <c r="M79" s="711">
        <f t="shared" si="2"/>
        <v>-2</v>
      </c>
      <c r="N79" s="734">
        <v>23</v>
      </c>
      <c r="O79" s="703">
        <f>Regular_cases_mar[[#This Row],[EOM Cases]]</f>
        <v>23</v>
      </c>
      <c r="P79" s="729">
        <v>1</v>
      </c>
      <c r="Q79" s="711">
        <f t="shared" si="3"/>
        <v>2</v>
      </c>
      <c r="R79" s="732">
        <v>22</v>
      </c>
      <c r="S79" s="703">
        <f>Regular_cases_apr[[#This Row],[EOM Cases]]</f>
        <v>22</v>
      </c>
      <c r="T79" s="729">
        <v>1</v>
      </c>
      <c r="U79" s="711">
        <f t="shared" si="4"/>
        <v>5</v>
      </c>
      <c r="V79" s="732">
        <v>18</v>
      </c>
      <c r="W79" s="632">
        <f>Regular_cases_may[[#This Row],[EOM Cases]]</f>
        <v>18</v>
      </c>
      <c r="X79" s="729">
        <v>1</v>
      </c>
      <c r="Y79" s="711">
        <f t="shared" si="5"/>
        <v>4</v>
      </c>
      <c r="Z79" s="704">
        <v>15</v>
      </c>
      <c r="AA79" s="711">
        <f>Regular_cases_jun[[#This Row],[EOM Cases]]</f>
        <v>15</v>
      </c>
      <c r="AB79" s="704">
        <v>0</v>
      </c>
      <c r="AC79" s="711">
        <f t="shared" si="6"/>
        <v>4</v>
      </c>
      <c r="AD79" s="704">
        <v>11</v>
      </c>
      <c r="AE79" s="711">
        <f>Regular_cases_jul[[#This Row],[EOM Cases]]</f>
        <v>11</v>
      </c>
      <c r="AF79" s="704">
        <v>0</v>
      </c>
      <c r="AG79" s="711">
        <f t="shared" si="7"/>
        <v>3</v>
      </c>
      <c r="AH79" s="704">
        <v>8</v>
      </c>
      <c r="AI79" s="711">
        <f>Regular_cases_Aug[[#This Row],[EOM Cases]]</f>
        <v>8</v>
      </c>
      <c r="AJ79" s="704">
        <v>0</v>
      </c>
      <c r="AK79" s="711">
        <f t="shared" si="8"/>
        <v>0</v>
      </c>
      <c r="AL79" s="704">
        <v>8</v>
      </c>
      <c r="AM79" s="711">
        <f>Regular_cases_Sep[[#This Row],[EOM Cases]]</f>
        <v>8</v>
      </c>
      <c r="AN79" s="704">
        <v>0</v>
      </c>
      <c r="AO79" s="711">
        <f t="shared" si="9"/>
        <v>1</v>
      </c>
      <c r="AP79" s="704">
        <v>7</v>
      </c>
      <c r="AQ79" s="711">
        <f>Regular_cases_Oct[[#This Row],[EOM Cases]]</f>
        <v>7</v>
      </c>
      <c r="AR79" s="704">
        <v>0</v>
      </c>
      <c r="AS79" s="711">
        <f t="shared" si="10"/>
        <v>7</v>
      </c>
      <c r="AT79" s="704">
        <v>0</v>
      </c>
      <c r="AU79" s="711">
        <f>Regular_cases_Nov[[#This Row],[EOM Cases]]</f>
        <v>0</v>
      </c>
      <c r="AV79" s="704">
        <v>0</v>
      </c>
      <c r="AW79" s="711">
        <f t="shared" si="11"/>
        <v>0</v>
      </c>
      <c r="AX79" s="704">
        <v>0</v>
      </c>
      <c r="AZ79" s="714">
        <v>0</v>
      </c>
      <c r="BA79" s="707">
        <v>0</v>
      </c>
      <c r="BB79" s="711">
        <f t="shared" si="12"/>
        <v>0</v>
      </c>
      <c r="BC79" s="708">
        <v>0</v>
      </c>
      <c r="BD79" s="714">
        <f>Eip_cases_jan[[#This Row],[EOM Cases]]</f>
        <v>0</v>
      </c>
      <c r="BE79" s="707">
        <v>0</v>
      </c>
      <c r="BF79" s="711">
        <f t="shared" si="13"/>
        <v>0</v>
      </c>
      <c r="BG79" s="708">
        <v>0</v>
      </c>
      <c r="BH79" s="714">
        <f>Eip_cases_feb[[#This Row],[EOM Cases]]</f>
        <v>0</v>
      </c>
      <c r="BI79" s="707">
        <v>0</v>
      </c>
      <c r="BJ79" s="711">
        <f t="shared" si="14"/>
        <v>0</v>
      </c>
      <c r="BK79" s="708">
        <v>0</v>
      </c>
      <c r="BL79" s="714">
        <f>Eip_cases_mar[[#This Row],[EOM Cases]]</f>
        <v>0</v>
      </c>
      <c r="BM79" s="707">
        <v>0</v>
      </c>
      <c r="BN79" s="711">
        <f t="shared" si="15"/>
        <v>0</v>
      </c>
      <c r="BO79" s="708">
        <v>0</v>
      </c>
      <c r="BP79" s="714">
        <f>Eip_cases_Apr[[#This Row],[EOM Cases]]</f>
        <v>0</v>
      </c>
      <c r="BQ79" s="707">
        <v>0</v>
      </c>
      <c r="BR79" s="711">
        <f t="shared" si="16"/>
        <v>0</v>
      </c>
      <c r="BS79" s="708">
        <v>0</v>
      </c>
      <c r="BT79" s="871">
        <f>Eip_cases_May[[#This Row],[EOM Cases]]</f>
        <v>0</v>
      </c>
      <c r="BU79" s="707">
        <v>0</v>
      </c>
      <c r="BV79" s="711">
        <f t="shared" si="17"/>
        <v>0</v>
      </c>
      <c r="BW79" s="708">
        <v>0</v>
      </c>
      <c r="BX79" s="714">
        <f>Eip_cases_Jun[[#This Row],[EOM Cases]]</f>
        <v>0</v>
      </c>
      <c r="BY79" s="707">
        <v>0</v>
      </c>
      <c r="BZ79" s="711">
        <f t="shared" si="18"/>
        <v>0</v>
      </c>
      <c r="CA79" s="708">
        <v>0</v>
      </c>
      <c r="CB79" s="714">
        <f>Eip_cases_Jul[[#This Row],[EOM Cases]]</f>
        <v>0</v>
      </c>
      <c r="CC79" s="707">
        <v>0</v>
      </c>
      <c r="CD79" s="711">
        <f t="shared" si="19"/>
        <v>0</v>
      </c>
      <c r="CE79" s="708">
        <v>0</v>
      </c>
      <c r="CF79" s="714">
        <f>Eip_cases_Aug[[#This Row],[EOM Cases]]</f>
        <v>0</v>
      </c>
      <c r="CG79" s="707">
        <v>0</v>
      </c>
      <c r="CH79" s="711">
        <f t="shared" si="20"/>
        <v>0</v>
      </c>
      <c r="CI79" s="708">
        <v>0</v>
      </c>
      <c r="CJ79" s="714">
        <f>Eip_cases_Sep[[#This Row],[EOM Cases]]</f>
        <v>0</v>
      </c>
      <c r="CK79" s="707">
        <v>0</v>
      </c>
      <c r="CL79" s="711">
        <f t="shared" si="21"/>
        <v>0</v>
      </c>
      <c r="CM79" s="708">
        <v>0</v>
      </c>
      <c r="CN79" s="714">
        <f>Eip_cases_Oct[[#This Row],[EOM Cases]]</f>
        <v>0</v>
      </c>
      <c r="CO79" s="707">
        <v>0</v>
      </c>
      <c r="CP79" s="711">
        <f t="shared" si="22"/>
        <v>0</v>
      </c>
      <c r="CQ79" s="708">
        <v>0</v>
      </c>
      <c r="CR79" s="714">
        <f>Eip_cases_Nov[[#This Row],[EOM Cases]]</f>
        <v>0</v>
      </c>
      <c r="CS79" s="707">
        <v>0</v>
      </c>
      <c r="CT79" s="711">
        <f t="shared" si="23"/>
        <v>0</v>
      </c>
      <c r="CU79" s="708">
        <v>0</v>
      </c>
    </row>
    <row r="80" spans="2:112" ht="14.5" x14ac:dyDescent="0.35">
      <c r="B80" s="874" t="str">
        <f>'Nurse Hours'!B81</f>
        <v xml:space="preserve">Sanchez, Armando </v>
      </c>
      <c r="C80" s="792">
        <v>0</v>
      </c>
      <c r="D80" s="793">
        <v>0</v>
      </c>
      <c r="E80" s="712">
        <f t="shared" ref="E80:E85" si="24">SUM(C80:D80)-F80</f>
        <v>0</v>
      </c>
      <c r="F80" s="794">
        <v>0</v>
      </c>
      <c r="G80" s="703">
        <f>Regular_cases_jan[[#This Row],[EOM Cases]]</f>
        <v>0</v>
      </c>
      <c r="H80" s="793">
        <v>0</v>
      </c>
      <c r="I80" s="711">
        <f t="shared" ref="I80:I85" si="25">SUM(G80:H80)-J80</f>
        <v>0</v>
      </c>
      <c r="J80" s="794">
        <v>0</v>
      </c>
      <c r="K80" s="703">
        <f>Regular_cases_feb[[#This Row],[EOM Cases]]</f>
        <v>0</v>
      </c>
      <c r="L80" s="793">
        <v>0</v>
      </c>
      <c r="M80" s="711">
        <f t="shared" ref="M80:M85" si="26">SUM(K80:L80)-N80</f>
        <v>0</v>
      </c>
      <c r="N80" s="795">
        <v>0</v>
      </c>
      <c r="O80" s="703">
        <f>Regular_cases_mar[[#This Row],[EOM Cases]]</f>
        <v>0</v>
      </c>
      <c r="P80" s="793">
        <v>0</v>
      </c>
      <c r="Q80" s="711">
        <f t="shared" ref="Q80:Q85" si="27">SUM(O80:P80)-R80</f>
        <v>0</v>
      </c>
      <c r="R80" s="794">
        <v>0</v>
      </c>
      <c r="S80" s="703">
        <f>Regular_cases_apr[[#This Row],[EOM Cases]]</f>
        <v>0</v>
      </c>
      <c r="T80" s="793">
        <v>0</v>
      </c>
      <c r="U80" s="711">
        <f t="shared" ref="U80:U85" si="28">SUM(S80:T80)-V80</f>
        <v>0</v>
      </c>
      <c r="V80" s="794">
        <v>0</v>
      </c>
      <c r="W80" s="796">
        <f>Regular_cases_may[[#This Row],[EOM Cases]]</f>
        <v>0</v>
      </c>
      <c r="X80" s="793">
        <v>0</v>
      </c>
      <c r="Y80" s="711">
        <f t="shared" ref="Y80:Y85" si="29">SUM(W80:X80)-Z80</f>
        <v>0</v>
      </c>
      <c r="Z80" s="704">
        <v>0</v>
      </c>
      <c r="AA80" s="711">
        <f>Regular_cases_jun[[#This Row],[EOM Cases]]</f>
        <v>0</v>
      </c>
      <c r="AB80" s="704">
        <v>0</v>
      </c>
      <c r="AC80" s="711">
        <f t="shared" ref="AC80:AC85" si="30">SUM(AA80:AB80)-AD80</f>
        <v>0</v>
      </c>
      <c r="AD80" s="704">
        <v>0</v>
      </c>
      <c r="AE80" s="711">
        <f>Regular_cases_jul[[#This Row],[EOM Cases]]</f>
        <v>0</v>
      </c>
      <c r="AF80" s="704">
        <v>0</v>
      </c>
      <c r="AG80" s="711">
        <f t="shared" ref="AG80:AG85" si="31">SUM(AE80:AF80)-AH80</f>
        <v>0</v>
      </c>
      <c r="AH80" s="704">
        <v>0</v>
      </c>
      <c r="AI80" s="711">
        <f>Regular_cases_Aug[[#This Row],[EOM Cases]]</f>
        <v>0</v>
      </c>
      <c r="AJ80" s="704">
        <v>0</v>
      </c>
      <c r="AK80" s="711">
        <f t="shared" ref="AK80:AK85" si="32">SUM(AI80:AJ80)-AL80</f>
        <v>0</v>
      </c>
      <c r="AL80" s="704">
        <v>0</v>
      </c>
      <c r="AM80" s="711">
        <f>Regular_cases_Sep[[#This Row],[EOM Cases]]</f>
        <v>0</v>
      </c>
      <c r="AN80" s="704">
        <v>0</v>
      </c>
      <c r="AO80" s="711">
        <f t="shared" ref="AO80:AO85" si="33">SUM(AM80:AN80)-AP80</f>
        <v>0</v>
      </c>
      <c r="AP80" s="704">
        <v>0</v>
      </c>
      <c r="AQ80" s="711">
        <f>Regular_cases_Oct[[#This Row],[EOM Cases]]</f>
        <v>0</v>
      </c>
      <c r="AR80" s="704">
        <v>0</v>
      </c>
      <c r="AS80" s="711">
        <f t="shared" ref="AS80:AS85" si="34">SUM(AQ80:AR80)-AT80</f>
        <v>0</v>
      </c>
      <c r="AT80" s="704">
        <v>0</v>
      </c>
      <c r="AU80" s="711">
        <f>Regular_cases_Nov[[#This Row],[EOM Cases]]</f>
        <v>0</v>
      </c>
      <c r="AV80" s="704">
        <v>0</v>
      </c>
      <c r="AW80" s="711">
        <f t="shared" ref="AW80:AW85" si="35">SUM(AU80:AV80)-AX80</f>
        <v>0</v>
      </c>
      <c r="AX80" s="704">
        <v>0</v>
      </c>
      <c r="AZ80" s="712">
        <v>0</v>
      </c>
      <c r="BA80" s="543">
        <v>0</v>
      </c>
      <c r="BB80" s="712">
        <f t="shared" ref="BB80:BB85" si="36">SUM(AZ80:BA80)-BC80</f>
        <v>0</v>
      </c>
      <c r="BC80" s="543">
        <v>0</v>
      </c>
      <c r="BD80" s="712">
        <f>Eip_cases_jan[[#This Row],[EOM Cases]]</f>
        <v>0</v>
      </c>
      <c r="BE80" s="543">
        <v>0</v>
      </c>
      <c r="BF80" s="711">
        <f t="shared" ref="BF80:BF85" si="37">SUM(BD80:BE80)-BG80</f>
        <v>0</v>
      </c>
      <c r="BG80" s="543">
        <v>0</v>
      </c>
      <c r="BH80" s="711">
        <f>Eip_cases_feb[[#This Row],[EOM Cases]]</f>
        <v>0</v>
      </c>
      <c r="BI80" s="710">
        <v>0</v>
      </c>
      <c r="BJ80" s="711">
        <f t="shared" ref="BJ80:BJ85" si="38">SUM(BH80:BI80)-BK80</f>
        <v>0</v>
      </c>
      <c r="BK80" s="543">
        <v>0</v>
      </c>
      <c r="BL80" s="711">
        <f>Eip_cases_mar[[#This Row],[EOM Cases]]</f>
        <v>0</v>
      </c>
      <c r="BM80" s="543">
        <v>0</v>
      </c>
      <c r="BN80" s="711">
        <f t="shared" ref="BN80:BN85" si="39">SUM(BL80:BM80)-BO80</f>
        <v>0</v>
      </c>
      <c r="BO80" s="543">
        <v>0</v>
      </c>
      <c r="BP80" s="712">
        <f>Eip_cases_Apr[[#This Row],[EOM Cases]]</f>
        <v>0</v>
      </c>
      <c r="BQ80" s="707">
        <v>0</v>
      </c>
      <c r="BR80" s="712">
        <f t="shared" ref="BR80:BR85" si="40">SUM(BP80:BQ80)-BS80</f>
        <v>0</v>
      </c>
      <c r="BS80" s="708">
        <v>0</v>
      </c>
      <c r="BT80" s="712">
        <f>Eip_cases_May[[#This Row],[EOM Cases]]</f>
        <v>0</v>
      </c>
      <c r="BU80" s="707">
        <v>0</v>
      </c>
      <c r="BV80" s="711">
        <f t="shared" ref="BV80:BV85" si="41">SUM(BT80:BU80)-BW80</f>
        <v>0</v>
      </c>
      <c r="BW80" s="708">
        <v>0</v>
      </c>
      <c r="BX80" s="711">
        <f>Eip_cases_Jun[[#This Row],[EOM Cases]]</f>
        <v>0</v>
      </c>
      <c r="BY80" s="707">
        <v>0</v>
      </c>
      <c r="BZ80" s="711">
        <f t="shared" ref="BZ80:BZ85" si="42">SUM(BX80:BY80)-CA80</f>
        <v>0</v>
      </c>
      <c r="CA80" s="708">
        <v>0</v>
      </c>
      <c r="CB80" s="711">
        <f>Eip_cases_Jul[[#This Row],[EOM Cases]]</f>
        <v>0</v>
      </c>
      <c r="CC80" s="707">
        <v>0</v>
      </c>
      <c r="CD80" s="711">
        <f t="shared" ref="CD80:CD85" si="43">SUM(CB80:CC80)-CE80</f>
        <v>0</v>
      </c>
      <c r="CE80" s="708">
        <v>0</v>
      </c>
      <c r="CF80" s="712">
        <f>Eip_cases_Aug[[#This Row],[EOM Cases]]</f>
        <v>0</v>
      </c>
      <c r="CG80" s="707">
        <v>0</v>
      </c>
      <c r="CH80" s="712">
        <f t="shared" ref="CH80:CH85" si="44">SUM(CF80:CG80)-CI80</f>
        <v>0</v>
      </c>
      <c r="CI80" s="708">
        <v>0</v>
      </c>
      <c r="CJ80" s="712">
        <f>Eip_cases_Sep[[#This Row],[EOM Cases]]</f>
        <v>0</v>
      </c>
      <c r="CK80" s="707">
        <v>0</v>
      </c>
      <c r="CL80" s="711">
        <f t="shared" ref="CL80:CL85" si="45">SUM(CJ80:CK80)-CM80</f>
        <v>0</v>
      </c>
      <c r="CM80" s="708">
        <v>0</v>
      </c>
      <c r="CN80" s="711">
        <f>Eip_cases_Oct[[#This Row],[EOM Cases]]</f>
        <v>0</v>
      </c>
      <c r="CO80" s="707">
        <v>0</v>
      </c>
      <c r="CP80" s="711">
        <f t="shared" ref="CP80:CP85" si="46">SUM(CN80:CO80)-CQ80</f>
        <v>0</v>
      </c>
      <c r="CQ80" s="708">
        <v>0</v>
      </c>
      <c r="CR80" s="711">
        <f>Eip_cases_Nov[[#This Row],[EOM Cases]]</f>
        <v>0</v>
      </c>
      <c r="CS80" s="707">
        <v>0</v>
      </c>
      <c r="CT80" s="711">
        <f t="shared" ref="CT80:CT85" si="47">SUM(CR80:CS80)-CU80</f>
        <v>0</v>
      </c>
      <c r="CU80" s="708">
        <v>0</v>
      </c>
    </row>
    <row r="81" spans="2:99" ht="14.5" x14ac:dyDescent="0.35">
      <c r="B81" s="874" t="str">
        <f>'Nurse Hours'!B82</f>
        <v xml:space="preserve">Snyder, Collete </v>
      </c>
      <c r="C81" s="792">
        <v>0</v>
      </c>
      <c r="D81" s="793">
        <v>0</v>
      </c>
      <c r="E81" s="712">
        <f t="shared" si="24"/>
        <v>0</v>
      </c>
      <c r="F81" s="794">
        <v>0</v>
      </c>
      <c r="G81" s="703">
        <f>Regular_cases_jan[[#This Row],[EOM Cases]]</f>
        <v>0</v>
      </c>
      <c r="H81" s="793">
        <v>0</v>
      </c>
      <c r="I81" s="711">
        <f t="shared" si="25"/>
        <v>0</v>
      </c>
      <c r="J81" s="794">
        <v>0</v>
      </c>
      <c r="K81" s="703">
        <f>Regular_cases_feb[[#This Row],[EOM Cases]]</f>
        <v>0</v>
      </c>
      <c r="L81" s="793">
        <v>0</v>
      </c>
      <c r="M81" s="711">
        <f t="shared" si="26"/>
        <v>0</v>
      </c>
      <c r="N81" s="795">
        <v>0</v>
      </c>
      <c r="O81" s="703">
        <f>Regular_cases_mar[[#This Row],[EOM Cases]]</f>
        <v>0</v>
      </c>
      <c r="P81" s="793">
        <v>0</v>
      </c>
      <c r="Q81" s="711">
        <f t="shared" si="27"/>
        <v>0</v>
      </c>
      <c r="R81" s="794">
        <v>0</v>
      </c>
      <c r="S81" s="703">
        <f>Regular_cases_apr[[#This Row],[EOM Cases]]</f>
        <v>0</v>
      </c>
      <c r="T81" s="793">
        <v>2</v>
      </c>
      <c r="U81" s="711">
        <f t="shared" si="28"/>
        <v>-2</v>
      </c>
      <c r="V81" s="794">
        <v>4</v>
      </c>
      <c r="W81" s="796">
        <f>Regular_cases_may[[#This Row],[EOM Cases]]</f>
        <v>4</v>
      </c>
      <c r="X81" s="793">
        <v>7</v>
      </c>
      <c r="Y81" s="711">
        <f t="shared" si="29"/>
        <v>-3</v>
      </c>
      <c r="Z81" s="704">
        <v>14</v>
      </c>
      <c r="AA81" s="711">
        <f>Regular_cases_jun[[#This Row],[EOM Cases]]</f>
        <v>14</v>
      </c>
      <c r="AB81" s="704">
        <v>5</v>
      </c>
      <c r="AC81" s="711">
        <f t="shared" si="30"/>
        <v>1</v>
      </c>
      <c r="AD81" s="704">
        <v>18</v>
      </c>
      <c r="AE81" s="711">
        <f>Regular_cases_jul[[#This Row],[EOM Cases]]</f>
        <v>18</v>
      </c>
      <c r="AF81" s="704">
        <v>7</v>
      </c>
      <c r="AG81" s="711">
        <f t="shared" si="31"/>
        <v>2</v>
      </c>
      <c r="AH81" s="704">
        <v>23</v>
      </c>
      <c r="AI81" s="711">
        <f>Regular_cases_Aug[[#This Row],[EOM Cases]]</f>
        <v>23</v>
      </c>
      <c r="AJ81" s="704">
        <v>1</v>
      </c>
      <c r="AK81" s="711">
        <f t="shared" si="32"/>
        <v>1</v>
      </c>
      <c r="AL81" s="704">
        <v>23</v>
      </c>
      <c r="AM81" s="711">
        <f>Regular_cases_Sep[[#This Row],[EOM Cases]]</f>
        <v>23</v>
      </c>
      <c r="AN81" s="704">
        <v>5</v>
      </c>
      <c r="AO81" s="711">
        <f t="shared" si="33"/>
        <v>3</v>
      </c>
      <c r="AP81" s="704">
        <v>25</v>
      </c>
      <c r="AQ81" s="711">
        <f>Regular_cases_Oct[[#This Row],[EOM Cases]]</f>
        <v>25</v>
      </c>
      <c r="AR81" s="704">
        <v>0</v>
      </c>
      <c r="AS81" s="711">
        <f t="shared" si="34"/>
        <v>25</v>
      </c>
      <c r="AT81" s="704">
        <v>0</v>
      </c>
      <c r="AU81" s="711">
        <f>Regular_cases_Nov[[#This Row],[EOM Cases]]</f>
        <v>0</v>
      </c>
      <c r="AV81" s="704">
        <v>0</v>
      </c>
      <c r="AW81" s="711">
        <f t="shared" si="35"/>
        <v>0</v>
      </c>
      <c r="AX81" s="704">
        <v>0</v>
      </c>
      <c r="AZ81" s="712">
        <v>0</v>
      </c>
      <c r="BA81" s="543">
        <v>0</v>
      </c>
      <c r="BB81" s="712">
        <f t="shared" si="36"/>
        <v>0</v>
      </c>
      <c r="BC81" s="543">
        <v>0</v>
      </c>
      <c r="BD81" s="712">
        <f>Eip_cases_jan[[#This Row],[EOM Cases]]</f>
        <v>0</v>
      </c>
      <c r="BE81" s="543">
        <v>0</v>
      </c>
      <c r="BF81" s="711">
        <f t="shared" si="37"/>
        <v>0</v>
      </c>
      <c r="BG81" s="543">
        <v>0</v>
      </c>
      <c r="BH81" s="711">
        <f>Eip_cases_feb[[#This Row],[EOM Cases]]</f>
        <v>0</v>
      </c>
      <c r="BI81" s="710">
        <v>0</v>
      </c>
      <c r="BJ81" s="711">
        <f t="shared" si="38"/>
        <v>0</v>
      </c>
      <c r="BK81" s="543">
        <v>0</v>
      </c>
      <c r="BL81" s="711">
        <f>Eip_cases_mar[[#This Row],[EOM Cases]]</f>
        <v>0</v>
      </c>
      <c r="BM81" s="543">
        <v>0</v>
      </c>
      <c r="BN81" s="711">
        <f t="shared" si="39"/>
        <v>0</v>
      </c>
      <c r="BO81" s="543">
        <v>0</v>
      </c>
      <c r="BP81" s="712">
        <f>Eip_cases_Apr[[#This Row],[EOM Cases]]</f>
        <v>0</v>
      </c>
      <c r="BQ81" s="707">
        <v>0</v>
      </c>
      <c r="BR81" s="712">
        <f t="shared" si="40"/>
        <v>0</v>
      </c>
      <c r="BS81" s="708">
        <v>0</v>
      </c>
      <c r="BT81" s="712">
        <f>Eip_cases_May[[#This Row],[EOM Cases]]</f>
        <v>0</v>
      </c>
      <c r="BU81" s="707">
        <v>0</v>
      </c>
      <c r="BV81" s="711">
        <f t="shared" si="41"/>
        <v>0</v>
      </c>
      <c r="BW81" s="708">
        <v>0</v>
      </c>
      <c r="BX81" s="711">
        <f>Eip_cases_Jun[[#This Row],[EOM Cases]]</f>
        <v>0</v>
      </c>
      <c r="BY81" s="707">
        <v>0</v>
      </c>
      <c r="BZ81" s="711">
        <f t="shared" si="42"/>
        <v>0</v>
      </c>
      <c r="CA81" s="708">
        <v>0</v>
      </c>
      <c r="CB81" s="711">
        <f>Eip_cases_Jul[[#This Row],[EOM Cases]]</f>
        <v>0</v>
      </c>
      <c r="CC81" s="707">
        <v>0</v>
      </c>
      <c r="CD81" s="711">
        <f t="shared" si="43"/>
        <v>0</v>
      </c>
      <c r="CE81" s="708">
        <v>0</v>
      </c>
      <c r="CF81" s="712">
        <f>Eip_cases_Aug[[#This Row],[EOM Cases]]</f>
        <v>0</v>
      </c>
      <c r="CG81" s="707">
        <v>0</v>
      </c>
      <c r="CH81" s="712">
        <f t="shared" si="44"/>
        <v>0</v>
      </c>
      <c r="CI81" s="708">
        <v>0</v>
      </c>
      <c r="CJ81" s="712">
        <f>Eip_cases_Sep[[#This Row],[EOM Cases]]</f>
        <v>0</v>
      </c>
      <c r="CK81" s="707">
        <v>0</v>
      </c>
      <c r="CL81" s="711">
        <f t="shared" si="45"/>
        <v>0</v>
      </c>
      <c r="CM81" s="708">
        <v>0</v>
      </c>
      <c r="CN81" s="711">
        <f>Eip_cases_Oct[[#This Row],[EOM Cases]]</f>
        <v>0</v>
      </c>
      <c r="CO81" s="707">
        <v>0</v>
      </c>
      <c r="CP81" s="711">
        <f t="shared" si="46"/>
        <v>0</v>
      </c>
      <c r="CQ81" s="708">
        <v>0</v>
      </c>
      <c r="CR81" s="711">
        <f>Eip_cases_Nov[[#This Row],[EOM Cases]]</f>
        <v>0</v>
      </c>
      <c r="CS81" s="707">
        <v>0</v>
      </c>
      <c r="CT81" s="711">
        <f t="shared" si="47"/>
        <v>0</v>
      </c>
      <c r="CU81" s="708">
        <v>0</v>
      </c>
    </row>
    <row r="82" spans="2:99" ht="14.5" x14ac:dyDescent="0.35">
      <c r="B82" s="874" t="str">
        <f>'Nurse Hours'!B83</f>
        <v xml:space="preserve">Thieleman, Casandra </v>
      </c>
      <c r="C82" s="792">
        <v>0</v>
      </c>
      <c r="D82" s="793">
        <v>0</v>
      </c>
      <c r="E82" s="712">
        <f t="shared" si="24"/>
        <v>0</v>
      </c>
      <c r="F82" s="794">
        <v>0</v>
      </c>
      <c r="G82" s="703">
        <f>Regular_cases_jan[[#This Row],[EOM Cases]]</f>
        <v>0</v>
      </c>
      <c r="H82" s="793">
        <v>0</v>
      </c>
      <c r="I82" s="711">
        <f t="shared" si="25"/>
        <v>0</v>
      </c>
      <c r="J82" s="794">
        <v>0</v>
      </c>
      <c r="K82" s="703">
        <f>Regular_cases_feb[[#This Row],[EOM Cases]]</f>
        <v>0</v>
      </c>
      <c r="L82" s="793">
        <v>0</v>
      </c>
      <c r="M82" s="711">
        <f t="shared" si="26"/>
        <v>0</v>
      </c>
      <c r="N82" s="795">
        <v>0</v>
      </c>
      <c r="O82" s="703">
        <f>Regular_cases_mar[[#This Row],[EOM Cases]]</f>
        <v>0</v>
      </c>
      <c r="P82" s="793">
        <v>0</v>
      </c>
      <c r="Q82" s="711">
        <f t="shared" si="27"/>
        <v>0</v>
      </c>
      <c r="R82" s="794">
        <v>0</v>
      </c>
      <c r="S82" s="703">
        <f>Regular_cases_apr[[#This Row],[EOM Cases]]</f>
        <v>0</v>
      </c>
      <c r="T82" s="793">
        <v>1</v>
      </c>
      <c r="U82" s="711">
        <f t="shared" si="28"/>
        <v>-2</v>
      </c>
      <c r="V82" s="794">
        <v>3</v>
      </c>
      <c r="W82" s="796">
        <f>Regular_cases_may[[#This Row],[EOM Cases]]</f>
        <v>3</v>
      </c>
      <c r="X82" s="793">
        <v>3</v>
      </c>
      <c r="Y82" s="711">
        <f t="shared" si="29"/>
        <v>-3</v>
      </c>
      <c r="Z82" s="704">
        <v>9</v>
      </c>
      <c r="AA82" s="711">
        <f>Regular_cases_jun[[#This Row],[EOM Cases]]</f>
        <v>9</v>
      </c>
      <c r="AB82" s="704">
        <v>8</v>
      </c>
      <c r="AC82" s="711">
        <f t="shared" si="30"/>
        <v>0</v>
      </c>
      <c r="AD82" s="704">
        <v>17</v>
      </c>
      <c r="AE82" s="711">
        <f>Regular_cases_jul[[#This Row],[EOM Cases]]</f>
        <v>17</v>
      </c>
      <c r="AF82" s="704">
        <v>3</v>
      </c>
      <c r="AG82" s="711">
        <f t="shared" si="31"/>
        <v>2</v>
      </c>
      <c r="AH82" s="704">
        <v>18</v>
      </c>
      <c r="AI82" s="711">
        <f>Regular_cases_Aug[[#This Row],[EOM Cases]]</f>
        <v>18</v>
      </c>
      <c r="AJ82" s="704">
        <v>4</v>
      </c>
      <c r="AK82" s="711">
        <f t="shared" si="32"/>
        <v>1</v>
      </c>
      <c r="AL82" s="704">
        <v>21</v>
      </c>
      <c r="AM82" s="711">
        <f>Regular_cases_Sep[[#This Row],[EOM Cases]]</f>
        <v>21</v>
      </c>
      <c r="AN82" s="704">
        <v>9</v>
      </c>
      <c r="AO82" s="711">
        <f t="shared" si="33"/>
        <v>5</v>
      </c>
      <c r="AP82" s="704">
        <v>25</v>
      </c>
      <c r="AQ82" s="711">
        <f>Regular_cases_Oct[[#This Row],[EOM Cases]]</f>
        <v>25</v>
      </c>
      <c r="AR82" s="704">
        <v>0</v>
      </c>
      <c r="AS82" s="711">
        <f t="shared" si="34"/>
        <v>25</v>
      </c>
      <c r="AT82" s="704">
        <v>0</v>
      </c>
      <c r="AU82" s="711">
        <f>Regular_cases_Nov[[#This Row],[EOM Cases]]</f>
        <v>0</v>
      </c>
      <c r="AV82" s="704">
        <v>0</v>
      </c>
      <c r="AW82" s="711">
        <f t="shared" si="35"/>
        <v>0</v>
      </c>
      <c r="AX82" s="704">
        <v>0</v>
      </c>
      <c r="AZ82" s="712">
        <v>0</v>
      </c>
      <c r="BA82" s="543">
        <v>0</v>
      </c>
      <c r="BB82" s="712">
        <f t="shared" si="36"/>
        <v>0</v>
      </c>
      <c r="BC82" s="543">
        <v>0</v>
      </c>
      <c r="BD82" s="712">
        <f>Eip_cases_jan[[#This Row],[EOM Cases]]</f>
        <v>0</v>
      </c>
      <c r="BE82" s="543">
        <v>0</v>
      </c>
      <c r="BF82" s="711">
        <f t="shared" si="37"/>
        <v>0</v>
      </c>
      <c r="BG82" s="543">
        <v>0</v>
      </c>
      <c r="BH82" s="711">
        <f>Eip_cases_feb[[#This Row],[EOM Cases]]</f>
        <v>0</v>
      </c>
      <c r="BI82" s="710">
        <v>0</v>
      </c>
      <c r="BJ82" s="711">
        <f t="shared" si="38"/>
        <v>0</v>
      </c>
      <c r="BK82" s="543">
        <v>0</v>
      </c>
      <c r="BL82" s="711">
        <f>Eip_cases_mar[[#This Row],[EOM Cases]]</f>
        <v>0</v>
      </c>
      <c r="BM82" s="543">
        <v>0</v>
      </c>
      <c r="BN82" s="711">
        <f t="shared" si="39"/>
        <v>0</v>
      </c>
      <c r="BO82" s="543">
        <v>0</v>
      </c>
      <c r="BP82" s="712">
        <f>Eip_cases_Apr[[#This Row],[EOM Cases]]</f>
        <v>0</v>
      </c>
      <c r="BQ82" s="707">
        <v>0</v>
      </c>
      <c r="BR82" s="712">
        <f t="shared" si="40"/>
        <v>0</v>
      </c>
      <c r="BS82" s="708">
        <v>0</v>
      </c>
      <c r="BT82" s="712">
        <f>Eip_cases_May[[#This Row],[EOM Cases]]</f>
        <v>0</v>
      </c>
      <c r="BU82" s="707">
        <v>0</v>
      </c>
      <c r="BV82" s="711">
        <f t="shared" si="41"/>
        <v>0</v>
      </c>
      <c r="BW82" s="708">
        <v>0</v>
      </c>
      <c r="BX82" s="711">
        <f>Eip_cases_Jun[[#This Row],[EOM Cases]]</f>
        <v>0</v>
      </c>
      <c r="BY82" s="707">
        <v>0</v>
      </c>
      <c r="BZ82" s="711">
        <f t="shared" si="42"/>
        <v>0</v>
      </c>
      <c r="CA82" s="708">
        <v>0</v>
      </c>
      <c r="CB82" s="711">
        <f>Eip_cases_Jul[[#This Row],[EOM Cases]]</f>
        <v>0</v>
      </c>
      <c r="CC82" s="707">
        <v>0</v>
      </c>
      <c r="CD82" s="711">
        <f t="shared" si="43"/>
        <v>0</v>
      </c>
      <c r="CE82" s="708">
        <v>0</v>
      </c>
      <c r="CF82" s="712">
        <f>Eip_cases_Aug[[#This Row],[EOM Cases]]</f>
        <v>0</v>
      </c>
      <c r="CG82" s="707">
        <v>3</v>
      </c>
      <c r="CH82" s="712">
        <f t="shared" si="44"/>
        <v>1</v>
      </c>
      <c r="CI82" s="708">
        <v>2</v>
      </c>
      <c r="CJ82" s="712">
        <f>Eip_cases_Sep[[#This Row],[EOM Cases]]</f>
        <v>2</v>
      </c>
      <c r="CK82" s="707">
        <v>0</v>
      </c>
      <c r="CL82" s="711">
        <f t="shared" si="45"/>
        <v>0</v>
      </c>
      <c r="CM82" s="708">
        <v>2</v>
      </c>
      <c r="CN82" s="711">
        <f>Eip_cases_Oct[[#This Row],[EOM Cases]]</f>
        <v>2</v>
      </c>
      <c r="CO82" s="707">
        <v>0</v>
      </c>
      <c r="CP82" s="711">
        <f t="shared" si="46"/>
        <v>2</v>
      </c>
      <c r="CQ82" s="708">
        <v>0</v>
      </c>
      <c r="CR82" s="711">
        <f>Eip_cases_Nov[[#This Row],[EOM Cases]]</f>
        <v>0</v>
      </c>
      <c r="CS82" s="707">
        <v>0</v>
      </c>
      <c r="CT82" s="711">
        <f t="shared" si="47"/>
        <v>0</v>
      </c>
      <c r="CU82" s="708">
        <v>0</v>
      </c>
    </row>
    <row r="83" spans="2:99" ht="14.5" x14ac:dyDescent="0.35">
      <c r="B83" s="874" t="str">
        <f>'Nurse Hours'!B84</f>
        <v>Thomas, Tracy</v>
      </c>
      <c r="C83" s="792"/>
      <c r="D83" s="793"/>
      <c r="E83" s="712">
        <f t="shared" si="24"/>
        <v>0</v>
      </c>
      <c r="F83" s="794"/>
      <c r="G83" s="703">
        <f>Regular_cases_jan[[#This Row],[EOM Cases]]</f>
        <v>0</v>
      </c>
      <c r="H83" s="793"/>
      <c r="I83" s="711">
        <f t="shared" si="25"/>
        <v>0</v>
      </c>
      <c r="J83" s="794"/>
      <c r="K83" s="703">
        <f>Regular_cases_feb[[#This Row],[EOM Cases]]</f>
        <v>0</v>
      </c>
      <c r="L83" s="793"/>
      <c r="M83" s="711">
        <f t="shared" si="26"/>
        <v>0</v>
      </c>
      <c r="N83" s="795"/>
      <c r="O83" s="703">
        <f>Regular_cases_mar[[#This Row],[EOM Cases]]</f>
        <v>0</v>
      </c>
      <c r="P83" s="793"/>
      <c r="Q83" s="711">
        <f t="shared" si="27"/>
        <v>0</v>
      </c>
      <c r="R83" s="794"/>
      <c r="S83" s="703">
        <f>Regular_cases_apr[[#This Row],[EOM Cases]]</f>
        <v>0</v>
      </c>
      <c r="T83" s="793"/>
      <c r="U83" s="711">
        <f t="shared" si="28"/>
        <v>0</v>
      </c>
      <c r="V83" s="794"/>
      <c r="W83" s="796">
        <f>Regular_cases_may[[#This Row],[EOM Cases]]</f>
        <v>0</v>
      </c>
      <c r="X83" s="793"/>
      <c r="Y83" s="711">
        <f t="shared" si="29"/>
        <v>0</v>
      </c>
      <c r="Z83" s="704"/>
      <c r="AA83" s="711">
        <f>Regular_cases_jun[[#This Row],[EOM Cases]]</f>
        <v>0</v>
      </c>
      <c r="AB83" s="704"/>
      <c r="AC83" s="711">
        <f t="shared" si="30"/>
        <v>0</v>
      </c>
      <c r="AD83" s="704"/>
      <c r="AE83" s="711">
        <f>Regular_cases_jul[[#This Row],[EOM Cases]]</f>
        <v>0</v>
      </c>
      <c r="AF83" s="704"/>
      <c r="AG83" s="711">
        <f t="shared" si="31"/>
        <v>0</v>
      </c>
      <c r="AH83" s="704"/>
      <c r="AI83" s="711">
        <f>Regular_cases_Aug[[#This Row],[EOM Cases]]</f>
        <v>0</v>
      </c>
      <c r="AJ83" s="704"/>
      <c r="AK83" s="711">
        <f t="shared" si="32"/>
        <v>0</v>
      </c>
      <c r="AL83" s="704"/>
      <c r="AM83" s="711">
        <f>Regular_cases_Sep[[#This Row],[EOM Cases]]</f>
        <v>0</v>
      </c>
      <c r="AN83" s="704">
        <v>0</v>
      </c>
      <c r="AO83" s="711">
        <f t="shared" si="33"/>
        <v>0</v>
      </c>
      <c r="AP83" s="704">
        <v>0</v>
      </c>
      <c r="AQ83" s="711">
        <f>Regular_cases_Oct[[#This Row],[EOM Cases]]</f>
        <v>0</v>
      </c>
      <c r="AR83" s="704"/>
      <c r="AS83" s="711">
        <f t="shared" si="34"/>
        <v>0</v>
      </c>
      <c r="AT83" s="704"/>
      <c r="AU83" s="711">
        <f>Regular_cases_Nov[[#This Row],[EOM Cases]]</f>
        <v>0</v>
      </c>
      <c r="AV83" s="704"/>
      <c r="AW83" s="711">
        <f t="shared" si="35"/>
        <v>0</v>
      </c>
      <c r="AX83" s="704"/>
      <c r="AZ83" s="712"/>
      <c r="BA83" s="543"/>
      <c r="BB83" s="712">
        <f t="shared" si="36"/>
        <v>0</v>
      </c>
      <c r="BC83" s="543"/>
      <c r="BD83" s="712">
        <f>Eip_cases_jan[[#This Row],[EOM Cases]]</f>
        <v>0</v>
      </c>
      <c r="BE83" s="543"/>
      <c r="BF83" s="711">
        <f t="shared" si="37"/>
        <v>0</v>
      </c>
      <c r="BG83" s="543"/>
      <c r="BH83" s="711">
        <f>Eip_cases_feb[[#This Row],[EOM Cases]]</f>
        <v>0</v>
      </c>
      <c r="BI83" s="710"/>
      <c r="BJ83" s="711">
        <f t="shared" si="38"/>
        <v>0</v>
      </c>
      <c r="BK83" s="543"/>
      <c r="BL83" s="711">
        <f>Eip_cases_mar[[#This Row],[EOM Cases]]</f>
        <v>0</v>
      </c>
      <c r="BM83" s="543"/>
      <c r="BN83" s="711">
        <f t="shared" si="39"/>
        <v>0</v>
      </c>
      <c r="BO83" s="543"/>
      <c r="BP83" s="712">
        <f>Eip_cases_Apr[[#This Row],[EOM Cases]]</f>
        <v>0</v>
      </c>
      <c r="BQ83" s="707"/>
      <c r="BR83" s="712">
        <f t="shared" si="40"/>
        <v>0</v>
      </c>
      <c r="BS83" s="708"/>
      <c r="BT83" s="712">
        <f>Eip_cases_May[[#This Row],[EOM Cases]]</f>
        <v>0</v>
      </c>
      <c r="BU83" s="707"/>
      <c r="BV83" s="711">
        <f t="shared" si="41"/>
        <v>0</v>
      </c>
      <c r="BW83" s="708"/>
      <c r="BX83" s="711">
        <f>Eip_cases_Jun[[#This Row],[EOM Cases]]</f>
        <v>0</v>
      </c>
      <c r="BY83" s="707"/>
      <c r="BZ83" s="711">
        <f t="shared" si="42"/>
        <v>0</v>
      </c>
      <c r="CA83" s="708"/>
      <c r="CB83" s="711">
        <f>Eip_cases_Jul[[#This Row],[EOM Cases]]</f>
        <v>0</v>
      </c>
      <c r="CC83" s="707"/>
      <c r="CD83" s="711">
        <f t="shared" si="43"/>
        <v>0</v>
      </c>
      <c r="CE83" s="708"/>
      <c r="CF83" s="712">
        <f>Eip_cases_Aug[[#This Row],[EOM Cases]]</f>
        <v>0</v>
      </c>
      <c r="CG83" s="707">
        <v>4</v>
      </c>
      <c r="CH83" s="712">
        <f t="shared" si="44"/>
        <v>-1</v>
      </c>
      <c r="CI83" s="708">
        <v>5</v>
      </c>
      <c r="CJ83" s="712">
        <f>Eip_cases_Sep[[#This Row],[EOM Cases]]</f>
        <v>5</v>
      </c>
      <c r="CK83" s="707">
        <v>4</v>
      </c>
      <c r="CL83" s="711">
        <f t="shared" si="45"/>
        <v>-2</v>
      </c>
      <c r="CM83" s="708">
        <v>11</v>
      </c>
      <c r="CN83" s="711">
        <f>Eip_cases_Oct[[#This Row],[EOM Cases]]</f>
        <v>11</v>
      </c>
      <c r="CO83" s="707"/>
      <c r="CP83" s="711">
        <f t="shared" si="46"/>
        <v>11</v>
      </c>
      <c r="CQ83" s="708"/>
      <c r="CR83" s="711">
        <f>Eip_cases_Nov[[#This Row],[EOM Cases]]</f>
        <v>0</v>
      </c>
      <c r="CS83" s="707"/>
      <c r="CT83" s="711">
        <f t="shared" si="47"/>
        <v>0</v>
      </c>
      <c r="CU83" s="708"/>
    </row>
    <row r="84" spans="2:99" ht="14.5" x14ac:dyDescent="0.35">
      <c r="B84" s="874" t="str">
        <f>'Nurse Hours'!B85</f>
        <v>Veilleaux, Cheryl</v>
      </c>
      <c r="C84" s="701">
        <v>19</v>
      </c>
      <c r="D84" s="729">
        <v>1</v>
      </c>
      <c r="E84" s="712">
        <f t="shared" si="24"/>
        <v>1</v>
      </c>
      <c r="F84" s="732">
        <v>19</v>
      </c>
      <c r="G84" s="703">
        <f>Regular_cases_jan[[#This Row],[EOM Cases]]</f>
        <v>19</v>
      </c>
      <c r="H84" s="729">
        <v>0</v>
      </c>
      <c r="I84" s="711">
        <f t="shared" si="25"/>
        <v>2</v>
      </c>
      <c r="J84" s="732">
        <v>17</v>
      </c>
      <c r="K84" s="703">
        <f>Regular_cases_feb[[#This Row],[EOM Cases]]</f>
        <v>17</v>
      </c>
      <c r="L84" s="729">
        <v>1</v>
      </c>
      <c r="M84" s="711">
        <f t="shared" si="26"/>
        <v>4</v>
      </c>
      <c r="N84" s="734">
        <v>14</v>
      </c>
      <c r="O84" s="703">
        <f>Regular_cases_mar[[#This Row],[EOM Cases]]</f>
        <v>14</v>
      </c>
      <c r="P84" s="729">
        <v>1</v>
      </c>
      <c r="Q84" s="711">
        <f t="shared" si="27"/>
        <v>2</v>
      </c>
      <c r="R84" s="732">
        <v>13</v>
      </c>
      <c r="S84" s="703">
        <f>Regular_cases_apr[[#This Row],[EOM Cases]]</f>
        <v>13</v>
      </c>
      <c r="T84" s="729">
        <v>2</v>
      </c>
      <c r="U84" s="711">
        <f t="shared" si="28"/>
        <v>3</v>
      </c>
      <c r="V84" s="732">
        <v>12</v>
      </c>
      <c r="W84" s="632">
        <f>Regular_cases_may[[#This Row],[EOM Cases]]</f>
        <v>12</v>
      </c>
      <c r="X84" s="729">
        <v>2</v>
      </c>
      <c r="Y84" s="711">
        <f t="shared" si="29"/>
        <v>1</v>
      </c>
      <c r="Z84" s="704">
        <v>13</v>
      </c>
      <c r="AA84" s="711">
        <f>Regular_cases_jun[[#This Row],[EOM Cases]]</f>
        <v>13</v>
      </c>
      <c r="AB84" s="704">
        <v>0</v>
      </c>
      <c r="AC84" s="711">
        <f t="shared" si="30"/>
        <v>1</v>
      </c>
      <c r="AD84" s="704">
        <v>12</v>
      </c>
      <c r="AE84" s="711">
        <f>Regular_cases_jul[[#This Row],[EOM Cases]]</f>
        <v>12</v>
      </c>
      <c r="AF84" s="704">
        <v>0</v>
      </c>
      <c r="AG84" s="711">
        <f t="shared" si="31"/>
        <v>0</v>
      </c>
      <c r="AH84" s="704">
        <v>12</v>
      </c>
      <c r="AI84" s="711">
        <f>Regular_cases_Aug[[#This Row],[EOM Cases]]</f>
        <v>12</v>
      </c>
      <c r="AJ84" s="704">
        <v>1</v>
      </c>
      <c r="AK84" s="711">
        <f t="shared" si="32"/>
        <v>1</v>
      </c>
      <c r="AL84" s="704">
        <v>12</v>
      </c>
      <c r="AM84" s="711">
        <f>Regular_cases_Sep[[#This Row],[EOM Cases]]</f>
        <v>12</v>
      </c>
      <c r="AN84" s="704">
        <v>0</v>
      </c>
      <c r="AO84" s="711">
        <f t="shared" si="33"/>
        <v>1</v>
      </c>
      <c r="AP84" s="704">
        <v>11</v>
      </c>
      <c r="AQ84" s="711">
        <f>Regular_cases_Oct[[#This Row],[EOM Cases]]</f>
        <v>11</v>
      </c>
      <c r="AR84" s="704">
        <v>0</v>
      </c>
      <c r="AS84" s="711">
        <f t="shared" si="34"/>
        <v>11</v>
      </c>
      <c r="AT84" s="704">
        <v>0</v>
      </c>
      <c r="AU84" s="711">
        <f>Regular_cases_Nov[[#This Row],[EOM Cases]]</f>
        <v>0</v>
      </c>
      <c r="AV84" s="704">
        <v>0</v>
      </c>
      <c r="AW84" s="711">
        <f t="shared" si="35"/>
        <v>0</v>
      </c>
      <c r="AX84" s="704">
        <v>0</v>
      </c>
      <c r="AZ84" s="712">
        <v>0</v>
      </c>
      <c r="BA84" s="543">
        <v>0</v>
      </c>
      <c r="BB84" s="711">
        <f t="shared" si="36"/>
        <v>0</v>
      </c>
      <c r="BC84" s="543">
        <v>0</v>
      </c>
      <c r="BD84" s="712">
        <f>Eip_cases_jan[[#This Row],[EOM Cases]]</f>
        <v>0</v>
      </c>
      <c r="BE84" s="543">
        <v>0</v>
      </c>
      <c r="BF84" s="711">
        <f t="shared" si="37"/>
        <v>0</v>
      </c>
      <c r="BG84" s="543">
        <v>0</v>
      </c>
      <c r="BH84" s="711">
        <f>Eip_cases_feb[[#This Row],[EOM Cases]]</f>
        <v>0</v>
      </c>
      <c r="BI84" s="710">
        <v>0</v>
      </c>
      <c r="BJ84" s="711">
        <f t="shared" si="38"/>
        <v>0</v>
      </c>
      <c r="BK84" s="543">
        <v>0</v>
      </c>
      <c r="BL84" s="711">
        <f>Eip_cases_mar[[#This Row],[EOM Cases]]</f>
        <v>0</v>
      </c>
      <c r="BM84" s="543">
        <v>0</v>
      </c>
      <c r="BN84" s="711">
        <f t="shared" si="39"/>
        <v>0</v>
      </c>
      <c r="BO84" s="543">
        <v>0</v>
      </c>
      <c r="BP84" s="712">
        <f>Eip_cases_Apr[[#This Row],[EOM Cases]]</f>
        <v>0</v>
      </c>
      <c r="BQ84" s="707">
        <v>0</v>
      </c>
      <c r="BR84" s="712">
        <f t="shared" si="40"/>
        <v>0</v>
      </c>
      <c r="BS84" s="708">
        <v>0</v>
      </c>
      <c r="BT84" s="712">
        <f>Eip_cases_May[[#This Row],[EOM Cases]]</f>
        <v>0</v>
      </c>
      <c r="BU84" s="707">
        <v>0</v>
      </c>
      <c r="BV84" s="711">
        <f t="shared" si="41"/>
        <v>0</v>
      </c>
      <c r="BW84" s="708">
        <v>0</v>
      </c>
      <c r="BX84" s="711">
        <f>Eip_cases_Jun[[#This Row],[EOM Cases]]</f>
        <v>0</v>
      </c>
      <c r="BY84" s="707">
        <v>0</v>
      </c>
      <c r="BZ84" s="711">
        <f t="shared" si="42"/>
        <v>0</v>
      </c>
      <c r="CA84" s="708">
        <v>0</v>
      </c>
      <c r="CB84" s="711">
        <f>Eip_cases_Jul[[#This Row],[EOM Cases]]</f>
        <v>0</v>
      </c>
      <c r="CC84" s="707">
        <v>0</v>
      </c>
      <c r="CD84" s="711">
        <f t="shared" si="43"/>
        <v>0</v>
      </c>
      <c r="CE84" s="708">
        <v>0</v>
      </c>
      <c r="CF84" s="712">
        <f>Eip_cases_Aug[[#This Row],[EOM Cases]]</f>
        <v>0</v>
      </c>
      <c r="CG84" s="707">
        <v>0</v>
      </c>
      <c r="CH84" s="712">
        <f t="shared" si="44"/>
        <v>0</v>
      </c>
      <c r="CI84" s="708">
        <v>0</v>
      </c>
      <c r="CJ84" s="712">
        <f>Eip_cases_Sep[[#This Row],[EOM Cases]]</f>
        <v>0</v>
      </c>
      <c r="CK84" s="707">
        <v>0</v>
      </c>
      <c r="CL84" s="711">
        <f t="shared" si="45"/>
        <v>0</v>
      </c>
      <c r="CM84" s="708">
        <v>0</v>
      </c>
      <c r="CN84" s="711">
        <f>Eip_cases_Oct[[#This Row],[EOM Cases]]</f>
        <v>0</v>
      </c>
      <c r="CO84" s="707">
        <v>0</v>
      </c>
      <c r="CP84" s="711">
        <f t="shared" si="46"/>
        <v>0</v>
      </c>
      <c r="CQ84" s="708">
        <v>0</v>
      </c>
      <c r="CR84" s="711">
        <f>Eip_cases_Nov[[#This Row],[EOM Cases]]</f>
        <v>0</v>
      </c>
      <c r="CS84" s="707">
        <v>0</v>
      </c>
      <c r="CT84" s="711">
        <f t="shared" si="47"/>
        <v>0</v>
      </c>
      <c r="CU84" s="708">
        <v>0</v>
      </c>
    </row>
    <row r="85" spans="2:99" ht="14.5" x14ac:dyDescent="0.35">
      <c r="B85" s="874" t="str">
        <f>'Nurse Hours'!B86</f>
        <v>Vincente, Devanny</v>
      </c>
      <c r="C85" s="797">
        <v>19</v>
      </c>
      <c r="D85" s="798">
        <v>3</v>
      </c>
      <c r="E85" s="712">
        <f t="shared" si="24"/>
        <v>2</v>
      </c>
      <c r="F85" s="799">
        <v>20</v>
      </c>
      <c r="G85" s="703">
        <f>Regular_cases_jan[[#This Row],[EOM Cases]]</f>
        <v>20</v>
      </c>
      <c r="H85" s="798">
        <v>1</v>
      </c>
      <c r="I85" s="711">
        <f t="shared" si="25"/>
        <v>2</v>
      </c>
      <c r="J85" s="799">
        <v>19</v>
      </c>
      <c r="K85" s="703">
        <f>Regular_cases_feb[[#This Row],[EOM Cases]]</f>
        <v>19</v>
      </c>
      <c r="L85" s="798">
        <v>0</v>
      </c>
      <c r="M85" s="711">
        <f t="shared" si="26"/>
        <v>1</v>
      </c>
      <c r="N85" s="801">
        <v>18</v>
      </c>
      <c r="O85" s="703">
        <f>Regular_cases_mar[[#This Row],[EOM Cases]]</f>
        <v>18</v>
      </c>
      <c r="P85" s="798">
        <v>3</v>
      </c>
      <c r="Q85" s="711">
        <f t="shared" si="27"/>
        <v>1</v>
      </c>
      <c r="R85" s="799">
        <v>20</v>
      </c>
      <c r="S85" s="800">
        <f>Regular_cases_apr[[#This Row],[EOM Cases]]</f>
        <v>20</v>
      </c>
      <c r="T85" s="798">
        <v>1</v>
      </c>
      <c r="U85" s="711">
        <f t="shared" si="28"/>
        <v>1</v>
      </c>
      <c r="V85" s="799">
        <v>20</v>
      </c>
      <c r="W85" s="802">
        <f>Regular_cases_may[[#This Row],[EOM Cases]]</f>
        <v>20</v>
      </c>
      <c r="X85" s="798">
        <v>1</v>
      </c>
      <c r="Y85" s="711">
        <f t="shared" si="29"/>
        <v>0</v>
      </c>
      <c r="Z85" s="704">
        <v>21</v>
      </c>
      <c r="AA85" s="711">
        <f>Regular_cases_jun[[#This Row],[EOM Cases]]</f>
        <v>21</v>
      </c>
      <c r="AB85" s="704">
        <v>2</v>
      </c>
      <c r="AC85" s="711">
        <f t="shared" si="30"/>
        <v>3</v>
      </c>
      <c r="AD85" s="704">
        <v>20</v>
      </c>
      <c r="AE85" s="711">
        <f>Regular_cases_jul[[#This Row],[EOM Cases]]</f>
        <v>20</v>
      </c>
      <c r="AF85" s="704">
        <v>6</v>
      </c>
      <c r="AG85" s="711">
        <f t="shared" si="31"/>
        <v>6</v>
      </c>
      <c r="AH85" s="704">
        <v>20</v>
      </c>
      <c r="AI85" s="711">
        <f>Regular_cases_Aug[[#This Row],[EOM Cases]]</f>
        <v>20</v>
      </c>
      <c r="AJ85" s="704">
        <v>5</v>
      </c>
      <c r="AK85" s="711">
        <f t="shared" si="32"/>
        <v>4</v>
      </c>
      <c r="AL85" s="704">
        <v>21</v>
      </c>
      <c r="AM85" s="711">
        <f>Regular_cases_Sep[[#This Row],[EOM Cases]]</f>
        <v>21</v>
      </c>
      <c r="AN85" s="704">
        <v>1</v>
      </c>
      <c r="AO85" s="711">
        <f t="shared" si="33"/>
        <v>2</v>
      </c>
      <c r="AP85" s="704">
        <v>20</v>
      </c>
      <c r="AQ85" s="711">
        <f>Regular_cases_Oct[[#This Row],[EOM Cases]]</f>
        <v>20</v>
      </c>
      <c r="AR85" s="704">
        <v>0</v>
      </c>
      <c r="AS85" s="711">
        <f t="shared" si="34"/>
        <v>20</v>
      </c>
      <c r="AT85" s="704">
        <v>0</v>
      </c>
      <c r="AU85" s="711">
        <f>Regular_cases_Nov[[#This Row],[EOM Cases]]</f>
        <v>0</v>
      </c>
      <c r="AV85" s="704">
        <v>0</v>
      </c>
      <c r="AW85" s="711">
        <f t="shared" si="35"/>
        <v>0</v>
      </c>
      <c r="AX85" s="704">
        <v>0</v>
      </c>
      <c r="AZ85" s="712">
        <v>0</v>
      </c>
      <c r="BA85" s="543">
        <v>0</v>
      </c>
      <c r="BB85" s="712">
        <f t="shared" si="36"/>
        <v>0</v>
      </c>
      <c r="BC85" s="543">
        <v>0</v>
      </c>
      <c r="BD85" s="711">
        <f>Eip_cases_jan[[#This Row],[EOM Cases]]</f>
        <v>0</v>
      </c>
      <c r="BE85" s="543">
        <v>0</v>
      </c>
      <c r="BF85" s="711">
        <f t="shared" si="37"/>
        <v>0</v>
      </c>
      <c r="BG85" s="543">
        <v>0</v>
      </c>
      <c r="BH85" s="711">
        <f>Eip_cases_feb[[#This Row],[EOM Cases]]</f>
        <v>0</v>
      </c>
      <c r="BI85" s="710">
        <v>0</v>
      </c>
      <c r="BJ85" s="711">
        <f t="shared" si="38"/>
        <v>0</v>
      </c>
      <c r="BK85" s="543">
        <v>0</v>
      </c>
      <c r="BL85" s="711">
        <f>Eip_cases_mar[[#This Row],[EOM Cases]]</f>
        <v>0</v>
      </c>
      <c r="BM85" s="543">
        <v>0</v>
      </c>
      <c r="BN85" s="711">
        <f t="shared" si="39"/>
        <v>0</v>
      </c>
      <c r="BO85" s="543">
        <v>0</v>
      </c>
      <c r="BP85" s="712">
        <f>Eip_cases_Apr[[#This Row],[EOM Cases]]</f>
        <v>0</v>
      </c>
      <c r="BQ85" s="707">
        <v>0</v>
      </c>
      <c r="BR85" s="712">
        <f t="shared" si="40"/>
        <v>0</v>
      </c>
      <c r="BS85" s="708">
        <v>0</v>
      </c>
      <c r="BT85" s="712">
        <f>Eip_cases_May[[#This Row],[EOM Cases]]</f>
        <v>0</v>
      </c>
      <c r="BU85" s="707">
        <v>0</v>
      </c>
      <c r="BV85" s="711">
        <f t="shared" si="41"/>
        <v>0</v>
      </c>
      <c r="BW85" s="708">
        <v>0</v>
      </c>
      <c r="BX85" s="711">
        <f>Eip_cases_Jun[[#This Row],[EOM Cases]]</f>
        <v>0</v>
      </c>
      <c r="BY85" s="707">
        <v>0</v>
      </c>
      <c r="BZ85" s="711">
        <f t="shared" si="42"/>
        <v>0</v>
      </c>
      <c r="CA85" s="708">
        <v>0</v>
      </c>
      <c r="CB85" s="711">
        <f>Eip_cases_Jul[[#This Row],[EOM Cases]]</f>
        <v>0</v>
      </c>
      <c r="CC85" s="707">
        <v>0</v>
      </c>
      <c r="CD85" s="711">
        <f t="shared" si="43"/>
        <v>0</v>
      </c>
      <c r="CE85" s="708">
        <v>0</v>
      </c>
      <c r="CF85" s="712">
        <f>Eip_cases_Aug[[#This Row],[EOM Cases]]</f>
        <v>0</v>
      </c>
      <c r="CG85" s="707">
        <v>0</v>
      </c>
      <c r="CH85" s="712">
        <f t="shared" si="44"/>
        <v>0</v>
      </c>
      <c r="CI85" s="708">
        <v>0</v>
      </c>
      <c r="CJ85" s="712">
        <f>Eip_cases_Sep[[#This Row],[EOM Cases]]</f>
        <v>0</v>
      </c>
      <c r="CK85" s="707">
        <v>0</v>
      </c>
      <c r="CL85" s="711">
        <f t="shared" si="45"/>
        <v>0</v>
      </c>
      <c r="CM85" s="708">
        <v>0</v>
      </c>
      <c r="CN85" s="711">
        <f>Eip_cases_Oct[[#This Row],[EOM Cases]]</f>
        <v>0</v>
      </c>
      <c r="CO85" s="707">
        <v>0</v>
      </c>
      <c r="CP85" s="711">
        <f t="shared" si="46"/>
        <v>0</v>
      </c>
      <c r="CQ85" s="708">
        <v>0</v>
      </c>
      <c r="CR85" s="711">
        <f>Eip_cases_Nov[[#This Row],[EOM Cases]]</f>
        <v>0</v>
      </c>
      <c r="CS85" s="707">
        <v>0</v>
      </c>
      <c r="CT85" s="711">
        <f t="shared" si="47"/>
        <v>0</v>
      </c>
      <c r="CU85" s="708">
        <v>0</v>
      </c>
    </row>
    <row r="86" spans="2:99" ht="14" x14ac:dyDescent="0.3">
      <c r="B86" s="718" t="s">
        <v>24</v>
      </c>
      <c r="C86" s="719">
        <f>SUBTOTAL(109,C37:C85)</f>
        <v>526</v>
      </c>
      <c r="D86" s="730">
        <f>SUBTOTAL(109,D37:D85)</f>
        <v>79</v>
      </c>
      <c r="E86" s="719">
        <f>SUBTOTAL(109,E37:E85)</f>
        <v>61</v>
      </c>
      <c r="F86" s="730">
        <f>SUBTOTAL(109,Regular_cases_jan[EOM Cases])</f>
        <v>544</v>
      </c>
      <c r="G86" s="719">
        <f t="shared" ref="G86:AX86" si="48">SUBTOTAL(109,G37:G85)</f>
        <v>544</v>
      </c>
      <c r="H86" s="730">
        <f t="shared" si="48"/>
        <v>83</v>
      </c>
      <c r="I86" s="719">
        <f t="shared" si="48"/>
        <v>74</v>
      </c>
      <c r="J86" s="730">
        <f t="shared" si="48"/>
        <v>553</v>
      </c>
      <c r="K86" s="719">
        <f t="shared" si="48"/>
        <v>553</v>
      </c>
      <c r="L86" s="730">
        <f t="shared" si="48"/>
        <v>60</v>
      </c>
      <c r="M86" s="719">
        <f t="shared" si="48"/>
        <v>56</v>
      </c>
      <c r="N86" s="730">
        <f t="shared" si="48"/>
        <v>557</v>
      </c>
      <c r="O86" s="719">
        <f t="shared" si="48"/>
        <v>557</v>
      </c>
      <c r="P86" s="730">
        <f t="shared" si="48"/>
        <v>74</v>
      </c>
      <c r="Q86" s="719">
        <f t="shared" si="48"/>
        <v>71</v>
      </c>
      <c r="R86" s="730">
        <f t="shared" si="48"/>
        <v>560</v>
      </c>
      <c r="S86" s="719">
        <f t="shared" si="48"/>
        <v>560</v>
      </c>
      <c r="T86" s="730">
        <f t="shared" si="48"/>
        <v>57</v>
      </c>
      <c r="U86" s="719">
        <f t="shared" si="48"/>
        <v>60</v>
      </c>
      <c r="V86" s="730">
        <f t="shared" si="48"/>
        <v>557</v>
      </c>
      <c r="W86" s="719">
        <f t="shared" si="48"/>
        <v>557</v>
      </c>
      <c r="X86" s="730">
        <f t="shared" si="48"/>
        <v>72</v>
      </c>
      <c r="Y86" s="719">
        <f t="shared" si="48"/>
        <v>58</v>
      </c>
      <c r="Z86" s="730">
        <f t="shared" si="48"/>
        <v>571</v>
      </c>
      <c r="AA86" s="709">
        <f t="shared" si="48"/>
        <v>571</v>
      </c>
      <c r="AB86" s="709">
        <f t="shared" si="48"/>
        <v>83</v>
      </c>
      <c r="AC86" s="709">
        <f t="shared" si="48"/>
        <v>64</v>
      </c>
      <c r="AD86" s="709">
        <f t="shared" si="48"/>
        <v>590</v>
      </c>
      <c r="AE86" s="709">
        <f t="shared" si="48"/>
        <v>590</v>
      </c>
      <c r="AF86" s="709">
        <f t="shared" si="48"/>
        <v>87</v>
      </c>
      <c r="AG86" s="709">
        <f t="shared" si="48"/>
        <v>73</v>
      </c>
      <c r="AH86" s="709">
        <f t="shared" si="48"/>
        <v>604</v>
      </c>
      <c r="AI86" s="709">
        <f t="shared" si="48"/>
        <v>604</v>
      </c>
      <c r="AJ86" s="709">
        <f t="shared" si="48"/>
        <v>78</v>
      </c>
      <c r="AK86" s="709">
        <f t="shared" si="48"/>
        <v>71</v>
      </c>
      <c r="AL86" s="709">
        <f t="shared" si="48"/>
        <v>611</v>
      </c>
      <c r="AM86" s="709">
        <f t="shared" si="48"/>
        <v>611</v>
      </c>
      <c r="AN86" s="709">
        <f t="shared" si="48"/>
        <v>95</v>
      </c>
      <c r="AO86" s="709">
        <f t="shared" si="48"/>
        <v>74</v>
      </c>
      <c r="AP86" s="709">
        <f t="shared" si="48"/>
        <v>632</v>
      </c>
      <c r="AQ86" s="709">
        <f t="shared" si="48"/>
        <v>632</v>
      </c>
      <c r="AR86" s="709">
        <f t="shared" si="48"/>
        <v>0</v>
      </c>
      <c r="AS86" s="709">
        <f t="shared" si="48"/>
        <v>632</v>
      </c>
      <c r="AT86" s="709">
        <f t="shared" si="48"/>
        <v>0</v>
      </c>
      <c r="AU86" s="709">
        <f t="shared" si="48"/>
        <v>0</v>
      </c>
      <c r="AV86" s="709">
        <f t="shared" si="48"/>
        <v>0</v>
      </c>
      <c r="AW86" s="709">
        <f t="shared" si="48"/>
        <v>0</v>
      </c>
      <c r="AX86" s="709">
        <f t="shared" si="48"/>
        <v>0</v>
      </c>
      <c r="AZ86" s="720">
        <f>SUBTOTAL(109,AZ37:AZ85)</f>
        <v>46</v>
      </c>
      <c r="BA86" s="720">
        <f>SUBTOTAL(109,BA37:BA85)</f>
        <v>11</v>
      </c>
      <c r="BB86" s="720">
        <f>SUBTOTAL(109,BB37:BB85)</f>
        <v>11</v>
      </c>
      <c r="BC86" s="720">
        <f>SUBTOTAL(109,Eip_cases_jan[EOM Cases])</f>
        <v>46</v>
      </c>
      <c r="BD86" s="720">
        <f t="shared" ref="BD86:CU86" si="49">SUBTOTAL(109,BD37:BD85)</f>
        <v>46</v>
      </c>
      <c r="BE86" s="720">
        <f t="shared" si="49"/>
        <v>9</v>
      </c>
      <c r="BF86" s="720">
        <f t="shared" si="49"/>
        <v>1</v>
      </c>
      <c r="BG86" s="721">
        <f t="shared" si="49"/>
        <v>54</v>
      </c>
      <c r="BH86" s="722">
        <f t="shared" si="49"/>
        <v>54</v>
      </c>
      <c r="BI86" s="723">
        <f t="shared" si="49"/>
        <v>23</v>
      </c>
      <c r="BJ86" s="723">
        <f t="shared" si="49"/>
        <v>8</v>
      </c>
      <c r="BK86" s="724">
        <f t="shared" si="49"/>
        <v>69</v>
      </c>
      <c r="BL86" s="725">
        <f t="shared" si="49"/>
        <v>69</v>
      </c>
      <c r="BM86" s="720">
        <f t="shared" si="49"/>
        <v>19</v>
      </c>
      <c r="BN86" s="720">
        <f t="shared" si="49"/>
        <v>15</v>
      </c>
      <c r="BO86" s="720">
        <f t="shared" si="49"/>
        <v>73</v>
      </c>
      <c r="BP86" s="720">
        <f t="shared" si="49"/>
        <v>73</v>
      </c>
      <c r="BQ86" s="720">
        <f t="shared" si="49"/>
        <v>12</v>
      </c>
      <c r="BR86" s="720">
        <f t="shared" si="49"/>
        <v>14</v>
      </c>
      <c r="BS86" s="720">
        <f t="shared" si="49"/>
        <v>71</v>
      </c>
      <c r="BT86" s="720">
        <f t="shared" si="49"/>
        <v>71</v>
      </c>
      <c r="BU86" s="720">
        <f t="shared" si="49"/>
        <v>10</v>
      </c>
      <c r="BV86" s="720">
        <f t="shared" si="49"/>
        <v>14</v>
      </c>
      <c r="BW86" s="721">
        <f t="shared" si="49"/>
        <v>67</v>
      </c>
      <c r="BX86" s="716">
        <f t="shared" si="49"/>
        <v>67</v>
      </c>
      <c r="BY86" s="395">
        <f t="shared" si="49"/>
        <v>14</v>
      </c>
      <c r="BZ86" s="395">
        <f t="shared" si="49"/>
        <v>16</v>
      </c>
      <c r="CA86" s="396">
        <f t="shared" si="49"/>
        <v>65</v>
      </c>
      <c r="CB86" s="394">
        <f t="shared" si="49"/>
        <v>65</v>
      </c>
      <c r="CC86" s="394">
        <f t="shared" si="49"/>
        <v>13</v>
      </c>
      <c r="CD86" s="394">
        <f t="shared" si="49"/>
        <v>19</v>
      </c>
      <c r="CE86" s="394">
        <f t="shared" si="49"/>
        <v>59</v>
      </c>
      <c r="CF86" s="394">
        <f t="shared" si="49"/>
        <v>59</v>
      </c>
      <c r="CG86" s="394">
        <f t="shared" si="49"/>
        <v>16</v>
      </c>
      <c r="CH86" s="394">
        <f t="shared" si="49"/>
        <v>10</v>
      </c>
      <c r="CI86" s="394">
        <f t="shared" si="49"/>
        <v>65</v>
      </c>
      <c r="CJ86" s="394">
        <f t="shared" si="49"/>
        <v>65</v>
      </c>
      <c r="CK86" s="394">
        <f t="shared" si="49"/>
        <v>11</v>
      </c>
      <c r="CL86" s="394">
        <f t="shared" si="49"/>
        <v>17</v>
      </c>
      <c r="CM86" s="394">
        <f t="shared" si="49"/>
        <v>59</v>
      </c>
      <c r="CN86" s="716">
        <f t="shared" si="49"/>
        <v>59</v>
      </c>
      <c r="CO86" s="395">
        <f t="shared" si="49"/>
        <v>0</v>
      </c>
      <c r="CP86" s="395">
        <f t="shared" si="49"/>
        <v>59</v>
      </c>
      <c r="CQ86" s="396">
        <f t="shared" si="49"/>
        <v>0</v>
      </c>
      <c r="CR86" s="394">
        <f t="shared" si="49"/>
        <v>0</v>
      </c>
      <c r="CS86" s="394">
        <f t="shared" si="49"/>
        <v>0</v>
      </c>
      <c r="CT86" s="394">
        <f t="shared" si="49"/>
        <v>0</v>
      </c>
      <c r="CU86" s="394">
        <f t="shared" si="49"/>
        <v>0</v>
      </c>
    </row>
    <row r="87" spans="2:99" ht="14" x14ac:dyDescent="0.3">
      <c r="M87" s="376"/>
      <c r="BP87" s="401"/>
      <c r="BQ87" s="542"/>
      <c r="BR87" s="403"/>
      <c r="BS87" s="403"/>
      <c r="BT87" s="448"/>
      <c r="BU87" s="543"/>
      <c r="BV87" s="401"/>
      <c r="BW87" s="401"/>
      <c r="BX87" s="402"/>
      <c r="BY87" s="401"/>
      <c r="BZ87" s="402"/>
      <c r="CA87" s="401"/>
      <c r="CB87" s="402"/>
      <c r="CC87" s="401"/>
      <c r="CD87" s="402"/>
      <c r="CE87" s="401"/>
      <c r="CF87" s="402"/>
      <c r="CG87" s="401"/>
      <c r="CH87" s="542"/>
      <c r="CI87" s="403"/>
      <c r="CJ87" s="403"/>
      <c r="CK87" s="448"/>
      <c r="CL87" s="543"/>
      <c r="CM87" s="401"/>
      <c r="CN87" s="401"/>
      <c r="CO87" s="402"/>
      <c r="CP87" s="401"/>
      <c r="CQ87" s="402"/>
      <c r="CR87" s="401"/>
      <c r="CS87" s="402"/>
      <c r="CT87" s="401"/>
      <c r="CU87" s="402"/>
    </row>
    <row r="88" spans="2:99" x14ac:dyDescent="0.3">
      <c r="I88" s="377"/>
      <c r="M88" s="204"/>
    </row>
    <row r="89" spans="2:99" x14ac:dyDescent="0.3">
      <c r="M89" s="204"/>
    </row>
    <row r="90" spans="2:99" x14ac:dyDescent="0.3">
      <c r="M90" s="204"/>
    </row>
  </sheetData>
  <sheetProtection algorithmName="SHA-512" hashValue="wmVc1eaofLdqmSaX4dRH4xPEQplhnmiPvdwR8vUOZ/H4uHAvK2ZtY5s06gKkaLpw+m+/UJj2BxyD4ATaQ5o+BA==" saltValue="xVOl2JAI+2IVtdr5ETCErA==" spinCount="100000" sheet="1" selectLockedCells="1"/>
  <protectedRanges>
    <protectedRange sqref="Q37:Q84 BB37:BB85 BF37:BF85 BJ37:BJ85 BN37:BN85 P80:P84 R80:R84 U37:U84 Y37:Y85 AG37:AG85 AK37:AK85 AO37:AO85 AS37:AS85 AW37:AW85 BR37:BR85 BV37:BV85 BZ37:BZ85 CD37:CD85 CH37:CH85 CL37:CL85 CP37:CP85 CT37:CT85 AZ80:BA85 BC80:BC85 BE80:BE85 BG80:BG85 BI80:BI85 BK80:BK85 BM80:BM85 BO80:BO85 B37:N37 H38:J84 G38:G85 L38:N84 K38:K85 AC37:AC85 Z18:AM18 AO18:BD18 O18:X18 C79:F84 B79:B85 B38:F78" name="Data"/>
    <protectedRange sqref="AZ37:BA79 BD80:BD85 BH80:BH85 BL80:BL85 CU37:CU85 BP37:BQ85 BO37:BO79 BC37:BE79 BG37:BI79 BK37:BM79 BS37:BU85 BW37:BY85 CA37:CC85 CE37:CG85 CI37:CK85 CM37:CO85 CQ37:CS85" name="EIp data"/>
    <protectedRange sqref="AN18" name="Data_22"/>
  </protectedRanges>
  <mergeCells count="31">
    <mergeCell ref="AQ35:AT35"/>
    <mergeCell ref="C34:N34"/>
    <mergeCell ref="G11:H11"/>
    <mergeCell ref="AU35:AX35"/>
    <mergeCell ref="CR35:CU35"/>
    <mergeCell ref="AZ35:BC35"/>
    <mergeCell ref="BD35:BG35"/>
    <mergeCell ref="BH35:BK35"/>
    <mergeCell ref="BL35:BO35"/>
    <mergeCell ref="BP35:BS35"/>
    <mergeCell ref="BT35:BW35"/>
    <mergeCell ref="BX35:CA35"/>
    <mergeCell ref="CB35:CE35"/>
    <mergeCell ref="CF35:CI35"/>
    <mergeCell ref="CJ35:CM35"/>
    <mergeCell ref="CN35:CQ35"/>
    <mergeCell ref="W35:Z35"/>
    <mergeCell ref="AA35:AD35"/>
    <mergeCell ref="AE35:AH35"/>
    <mergeCell ref="AI35:AL35"/>
    <mergeCell ref="AM35:AP35"/>
    <mergeCell ref="C35:F35"/>
    <mergeCell ref="G35:J35"/>
    <mergeCell ref="K35:N35"/>
    <mergeCell ref="O35:R35"/>
    <mergeCell ref="S35:V35"/>
    <mergeCell ref="C33:D33"/>
    <mergeCell ref="AZ33:BA33"/>
    <mergeCell ref="D3:G5"/>
    <mergeCell ref="J4:BB6"/>
    <mergeCell ref="D11:E11"/>
  </mergeCells>
  <dataValidations count="6">
    <dataValidation type="list" allowBlank="1" showInputMessage="1" showErrorMessage="1" sqref="I11" xr:uid="{84C1E30A-86D2-49F7-AC8D-83AE39D065E9}">
      <formula1>"Regular, EIP"</formula1>
    </dataValidation>
    <dataValidation type="list" allowBlank="1" showInputMessage="1" showErrorMessage="1" sqref="F11" xr:uid="{0B960478-204A-4C82-B38C-624C7869D854}">
      <formula1>$C$36:$F$36</formula1>
    </dataValidation>
    <dataValidation type="list" allowBlank="1" showInputMessage="1" showErrorMessage="1" sqref="S11" xr:uid="{F501FE98-AA13-496B-BBCB-2A718442E226}">
      <formula1>"Jan,Feb,Mar,Apr,May,Jun,Jul,Aug,Sep,Oct,Nov,Dec"</formula1>
    </dataValidation>
    <dataValidation type="list" allowBlank="1" showInputMessage="1" showErrorMessage="1" sqref="V11" xr:uid="{D79A1B5B-B1DB-437D-9344-CB70170EC201}">
      <formula1>$G$36:$J$36</formula1>
    </dataValidation>
    <dataValidation type="list" allowBlank="1" showInputMessage="1" showErrorMessage="1" sqref="P11" xr:uid="{68F3EC7E-15A0-41E9-91AF-EA1FBE825A1B}">
      <formula1>"Regular,EIP"</formula1>
    </dataValidation>
    <dataValidation type="list" allowBlank="1" showInputMessage="1" showErrorMessage="1" sqref="C11" xr:uid="{5689E25D-8AAB-40B3-B1D8-525DF7FB3501}">
      <formula1>$B$37:$B$86</formula1>
    </dataValidation>
  </dataValidations>
  <pageMargins left="0.7" right="0.7" top="0.75" bottom="0.75" header="0.3" footer="0.3"/>
  <pageSetup orientation="portrait" r:id="rId1"/>
  <ignoredErrors>
    <ignoredError sqref="AW79 AS79 AO79 AK79 AG79 AC79 Y79 BF79 BJ79 BN79 BR79 BV79 BZ79 CD79 CH79 CL79 CP79 CT79 I84:I85 M84:M85 Q84:Q85 U84:U85 I40:I47 M40:M47 Q40:Q47 U40:U47 Y40:Y47 AC40:AC47 AG40:AG47 AK40:AK47 AO40:AO47 AS40:AS47 AW40:AW47 I52:I63 M52:M63 Q52:Q63 U52:U63 Y52:Y63 AC52:AC61 AG52:AG63 AK52:AK63 AO52:AO63 AS52:AS63 AW52:AW63 BF40:BF47 BJ40:BJ47 BN40:BN47 BR40:BR47 BV40:BV47 BZ40:BZ47 CD40:CD47 CH40:CH47 CL40:CL47 CP40:CP47 CT40:CT47 BF52:BF63 BJ52:BJ63 BN52:BN63 BR52:BR63 BV52:BV63 BZ52:BZ63 CD52:CD63 CH52:CH63 CL52:CL63 CP52:CP63 CT52:CT63 AC63 I37:I38 M37:M38 Q37:Q38 U37:U38 Y37:Y38 AC37:AC38 AG37:AG38 AK37:AK38 AO37:AO38 AS37:AS38 AW37:AW38 I79:I82 M79:M82 Q79:Q82 U79:U82 BF37:BF38 BJ37:BJ38 BN37:BN38 BR37:BR38 BV37:BV38 BZ37:BZ38 CD37:CD38 CH37:CH38 CL37:CL38 CP37:CP38 CT37:CT38 I66:I69 M66:M69 Q66:Q69 U66:U69 Y66:Y69 AC66:AC69 AG66:AG69 AK66:AK69 AO66:AO69 AS66:AS69 AW66:AW69 BF66:BF69 BJ66:BJ69 BN66:BN69 BR66:BR69 BV66:BV69 BZ66:BZ69 CD66:CD69 CH66:CH69 CL66:CL69 CP66:CP69 CT66:CT69 I71:I77 M71:M77 Q71:Q77 U71:U77 Y71:Y77 AC71:AC77 AG71:AG77 AK71:AK77 AO71:AO77 AS71:AS77 AW71:AW77 BF71:BF77 BJ71:BJ77 BN71:BN77 BR71:BR77 BV71:BV77 BZ71:BZ77 CD71:CD77 CH71:CH77 CL71:CL77 CP71:CP77 CT71:CT77 I49:I50 M49:M50 Q49:Q50 U49:U50 Y49:Y50 AC49:AC50 AG49:AG50 AK49:AK50 AO49:AO50 AS49:AS50 AW49:AW50 BF49:BF50 BJ49:BJ50 BN49:BN50 BR49:BR50 BV49:BV50 BZ49:BZ50 CD49:CD50 CH49:CH50 CL49:CL50 CP49:CP50 CT49:CT50" formulaRange="1"/>
    <ignoredError sqref="BD84:BD85 BF84:BF85 BH84:BH85 BJ84:BJ85 BL84:BL85 BN84:BN85 BP84:BP85 BR84:BR85 BT84:BT85 BV84:BV85 BB84:BB85 CT84:CT85 CP84:CP85 BX84:CA84 BD40:BD47 BD52:BD63 CH82 BD37:BD38 CF82 CF80:CI81 BB80:BB82 BF80:BF82 BD79:BD82 BJ80:BJ82 BH80:BH82 BN80:BN82 BL80:BL82 BR80:BR82 BP80:BP82 BV80:BV82 BT80:BT82 CJ80:CM81 CP80:CP82 CT80:CT82 BD66:BD69 BD71:BD77 BD49:BD50 BX80:CE82 CB84:CI85 CJ84:CM85 CJ82:CL82" unlockedFormula="1"/>
  </ignoredErrors>
  <drawing r:id="rId2"/>
  <tableParts count="24">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8BC8E-8564-4FB2-97B8-B59C33556CB1}">
  <dimension ref="A2:DY204"/>
  <sheetViews>
    <sheetView showGridLines="0" zoomScale="70" zoomScaleNormal="70" workbookViewId="0">
      <pane xSplit="2" topLeftCell="C1" activePane="topRight" state="frozen"/>
      <selection pane="topRight" activeCell="C11" sqref="C11"/>
    </sheetView>
  </sheetViews>
  <sheetFormatPr defaultColWidth="0" defaultRowHeight="13" x14ac:dyDescent="0.3"/>
  <cols>
    <col min="1" max="1" width="2.81640625" style="28" customWidth="1"/>
    <col min="2" max="2" width="22.1796875" style="28" customWidth="1"/>
    <col min="3" max="3" width="25.81640625" style="28" customWidth="1"/>
    <col min="4" max="4" width="12.1796875" style="204" bestFit="1" customWidth="1"/>
    <col min="5" max="5" width="14.1796875" style="204" customWidth="1"/>
    <col min="6" max="6" width="15" style="346" customWidth="1"/>
    <col min="7" max="7" width="18.453125" style="346" customWidth="1"/>
    <col min="8" max="8" width="13" style="347" bestFit="1" customWidth="1"/>
    <col min="9" max="9" width="14.54296875" style="346" bestFit="1" customWidth="1"/>
    <col min="10" max="10" width="14.1796875" style="204" bestFit="1" customWidth="1"/>
    <col min="11" max="11" width="14.54296875" style="28" bestFit="1" customWidth="1"/>
    <col min="12" max="12" width="13" style="28" customWidth="1"/>
    <col min="13" max="13" width="14.54296875" style="28" bestFit="1" customWidth="1"/>
    <col min="14" max="14" width="13.1796875" style="28" bestFit="1" customWidth="1"/>
    <col min="15" max="15" width="13.453125" style="28" bestFit="1" customWidth="1"/>
    <col min="16" max="16" width="13" style="28" bestFit="1" customWidth="1"/>
    <col min="17" max="17" width="14.81640625" style="28" bestFit="1" customWidth="1"/>
    <col min="18" max="18" width="13.1796875" style="28" bestFit="1" customWidth="1"/>
    <col min="19" max="19" width="10.54296875" style="28" hidden="1" customWidth="1"/>
    <col min="20" max="20" width="10.1796875" style="28" hidden="1" customWidth="1"/>
    <col min="21" max="21" width="11.81640625" style="28" hidden="1" customWidth="1"/>
    <col min="22" max="22" width="10.1796875" style="28" hidden="1" customWidth="1"/>
    <col min="23" max="23" width="10.54296875" style="28" hidden="1" customWidth="1"/>
    <col min="24" max="24" width="10.1796875" style="28" hidden="1" customWidth="1"/>
    <col min="25" max="25" width="11.81640625" style="28" hidden="1" customWidth="1"/>
    <col min="26" max="26" width="10.1796875" style="28" hidden="1" customWidth="1"/>
    <col min="27" max="27" width="10.54296875" style="28" hidden="1" customWidth="1"/>
    <col min="28" max="28" width="10.1796875" style="28" hidden="1" customWidth="1"/>
    <col min="29" max="29" width="11.81640625" style="28" hidden="1" customWidth="1"/>
    <col min="30" max="30" width="10.1796875" style="28" hidden="1" customWidth="1"/>
    <col min="31" max="31" width="10.54296875" style="28" hidden="1" customWidth="1"/>
    <col min="32" max="32" width="10.1796875" style="28" hidden="1" customWidth="1"/>
    <col min="33" max="33" width="11.81640625" style="28" hidden="1" customWidth="1"/>
    <col min="34" max="34" width="10.1796875" style="28" hidden="1" customWidth="1"/>
    <col min="35" max="35" width="10.54296875" style="28" hidden="1" customWidth="1"/>
    <col min="36" max="36" width="10.1796875" style="28" hidden="1" customWidth="1"/>
    <col min="37" max="37" width="11.81640625" style="28" hidden="1" customWidth="1"/>
    <col min="38" max="38" width="10.1796875" style="28" hidden="1" customWidth="1"/>
    <col min="39" max="39" width="10.54296875" style="28" hidden="1" customWidth="1"/>
    <col min="40" max="40" width="10.1796875" style="28" hidden="1" customWidth="1"/>
    <col min="41" max="41" width="11.81640625" style="28" hidden="1" customWidth="1"/>
    <col min="42" max="42" width="10.1796875" style="28" hidden="1" customWidth="1"/>
    <col min="43" max="43" width="10.54296875" style="28" hidden="1" customWidth="1"/>
    <col min="44" max="44" width="10.1796875" style="28" hidden="1" customWidth="1"/>
    <col min="45" max="45" width="11.81640625" style="28" hidden="1" customWidth="1"/>
    <col min="46" max="46" width="10.1796875" style="28" hidden="1" customWidth="1"/>
    <col min="47" max="47" width="10.54296875" style="28" hidden="1" customWidth="1"/>
    <col min="48" max="48" width="10.1796875" style="28" hidden="1" customWidth="1"/>
    <col min="49" max="49" width="11.81640625" style="28" hidden="1" customWidth="1"/>
    <col min="50" max="50" width="10.1796875" style="28" hidden="1" customWidth="1"/>
    <col min="51" max="51" width="9.54296875" style="28" hidden="1" customWidth="1"/>
    <col min="52" max="52" width="14.54296875" style="28" hidden="1" customWidth="1"/>
    <col min="53" max="53" width="13.453125" style="28" hidden="1" customWidth="1"/>
    <col min="54" max="54" width="13" style="28" hidden="1" customWidth="1"/>
    <col min="55" max="55" width="14.81640625" style="28" hidden="1" customWidth="1"/>
    <col min="56" max="56" width="13.1796875" style="28" hidden="1" customWidth="1"/>
    <col min="57" max="57" width="13.453125" style="28" hidden="1" customWidth="1"/>
    <col min="58" max="58" width="13" style="28" hidden="1" customWidth="1"/>
    <col min="59" max="59" width="14.81640625" style="28" hidden="1" customWidth="1"/>
    <col min="60" max="60" width="13.1796875" style="28" hidden="1" customWidth="1"/>
    <col min="61" max="61" width="13.453125" style="28" hidden="1" customWidth="1"/>
    <col min="62" max="62" width="13" style="28" hidden="1" customWidth="1"/>
    <col min="63" max="63" width="13.1796875" style="28" hidden="1" customWidth="1"/>
    <col min="64" max="64" width="13.453125" style="28" hidden="1" customWidth="1"/>
    <col min="65" max="65" width="13" style="28" hidden="1" customWidth="1"/>
    <col min="66" max="66" width="14.81640625" style="28" hidden="1" customWidth="1"/>
    <col min="67" max="67" width="13.1796875" style="28" hidden="1" customWidth="1"/>
    <col min="68" max="68" width="13.453125" style="28" hidden="1" customWidth="1"/>
    <col min="69" max="69" width="13" style="28" hidden="1" customWidth="1"/>
    <col min="70" max="70" width="14.81640625" style="28" hidden="1" customWidth="1"/>
    <col min="71" max="71" width="13.1796875" style="28" hidden="1" customWidth="1"/>
    <col min="72" max="72" width="13.453125" style="28" hidden="1" customWidth="1"/>
    <col min="73" max="73" width="13" style="28" hidden="1" customWidth="1"/>
    <col min="74" max="74" width="14.81640625" style="28" hidden="1" customWidth="1"/>
    <col min="75" max="75" width="13.1796875" style="28" hidden="1" customWidth="1"/>
    <col min="76" max="76" width="13.453125" style="28" hidden="1" customWidth="1"/>
    <col min="77" max="77" width="13" style="28" hidden="1" customWidth="1"/>
    <col min="78" max="78" width="14.81640625" style="28" hidden="1" customWidth="1"/>
    <col min="79" max="79" width="13.1796875" style="28" hidden="1" customWidth="1"/>
    <col min="80" max="80" width="13.453125" style="28" hidden="1" customWidth="1"/>
    <col min="81" max="81" width="13" style="28" hidden="1" customWidth="1"/>
    <col min="82" max="82" width="14.81640625" style="28" hidden="1" customWidth="1"/>
    <col min="83" max="83" width="13.1796875" style="28" hidden="1" customWidth="1"/>
    <col min="84" max="84" width="13.453125" style="28" hidden="1" customWidth="1"/>
    <col min="85" max="85" width="13" style="28" hidden="1" customWidth="1"/>
    <col min="86" max="86" width="14.81640625" style="28" hidden="1" customWidth="1"/>
    <col min="87" max="87" width="13.1796875" style="28" hidden="1" customWidth="1"/>
    <col min="88" max="88" width="13.453125" style="28" hidden="1" customWidth="1"/>
    <col min="89" max="89" width="13" style="28" hidden="1" customWidth="1"/>
    <col min="90" max="90" width="14.81640625" style="28" hidden="1" customWidth="1"/>
    <col min="91" max="91" width="13.1796875" style="28" hidden="1" customWidth="1"/>
    <col min="92" max="92" width="13.453125" style="28" hidden="1" customWidth="1"/>
    <col min="93" max="93" width="13" style="28" hidden="1" customWidth="1"/>
    <col min="94" max="94" width="14.81640625" style="28" hidden="1" customWidth="1"/>
    <col min="95" max="95" width="13.1796875" style="28" hidden="1" customWidth="1"/>
    <col min="96" max="96" width="13.453125" style="28" hidden="1" customWidth="1"/>
    <col min="97" max="97" width="13" style="28" hidden="1" customWidth="1"/>
    <col min="98" max="98" width="14.81640625" style="28" hidden="1" customWidth="1"/>
    <col min="99" max="100" width="13.1796875" style="28" hidden="1" customWidth="1"/>
    <col min="101" max="102" width="9.54296875" style="28" hidden="1" customWidth="1"/>
    <col min="103" max="103" width="9.81640625" style="28" hidden="1" customWidth="1"/>
    <col min="104" max="105" width="9.54296875" style="28" hidden="1" customWidth="1"/>
    <col min="106" max="107" width="9.81640625" style="28" hidden="1" customWidth="1"/>
    <col min="108" max="108" width="10.1796875" style="28" hidden="1" customWidth="1"/>
    <col min="109" max="109" width="9.54296875" style="28" hidden="1" customWidth="1"/>
    <col min="110" max="129" width="0" style="28" hidden="1" customWidth="1"/>
    <col min="130" max="16384" width="8.81640625" style="28" hidden="1"/>
  </cols>
  <sheetData>
    <row r="2" spans="2:108" ht="13.5" customHeight="1" x14ac:dyDescent="0.3">
      <c r="B2" s="338"/>
      <c r="C2" s="339"/>
      <c r="D2" s="340"/>
      <c r="E2" s="340"/>
      <c r="F2" s="341"/>
      <c r="G2" s="341"/>
      <c r="H2" s="342"/>
      <c r="I2" s="341"/>
      <c r="J2" s="338"/>
      <c r="K2" s="341"/>
      <c r="L2" s="341"/>
      <c r="M2" s="339"/>
      <c r="N2" s="339"/>
      <c r="O2" s="339"/>
      <c r="P2" s="339"/>
    </row>
    <row r="3" spans="2:108" ht="13.5" customHeight="1" x14ac:dyDescent="0.3">
      <c r="B3" s="338"/>
      <c r="C3" s="339"/>
      <c r="D3" s="956"/>
      <c r="E3" s="956"/>
      <c r="F3" s="956"/>
      <c r="G3" s="956"/>
      <c r="H3" s="956" t="s">
        <v>867</v>
      </c>
      <c r="I3" s="956"/>
      <c r="J3" s="956"/>
      <c r="K3" s="956"/>
      <c r="L3" s="956"/>
      <c r="M3" s="956"/>
      <c r="N3" s="956"/>
      <c r="O3" s="345"/>
      <c r="P3" s="345"/>
      <c r="Q3" s="355"/>
      <c r="R3" s="355"/>
      <c r="S3" s="355"/>
      <c r="T3" s="355"/>
      <c r="U3" s="355"/>
      <c r="V3" s="355"/>
      <c r="W3" s="355"/>
      <c r="X3" s="355"/>
      <c r="Y3" s="355"/>
      <c r="Z3" s="355"/>
      <c r="AA3" s="355"/>
      <c r="AB3" s="355"/>
      <c r="AC3" s="355"/>
      <c r="AD3" s="355"/>
      <c r="AE3" s="355"/>
      <c r="AF3" s="355"/>
      <c r="AG3" s="355"/>
      <c r="AH3" s="355"/>
      <c r="AI3" s="355"/>
      <c r="AJ3" s="355"/>
      <c r="AK3" s="355"/>
      <c r="AL3" s="355"/>
      <c r="AM3" s="355"/>
      <c r="AN3" s="355"/>
      <c r="AO3" s="355"/>
      <c r="AP3" s="355"/>
      <c r="AQ3" s="355"/>
      <c r="AR3" s="355"/>
      <c r="AS3" s="355"/>
      <c r="AT3" s="355"/>
      <c r="AU3" s="355"/>
      <c r="AV3" s="355"/>
      <c r="AW3" s="355"/>
      <c r="AX3" s="355"/>
      <c r="AY3" s="355"/>
      <c r="AZ3" s="355"/>
      <c r="BA3" s="355"/>
      <c r="BB3" s="355"/>
      <c r="BC3" s="355"/>
      <c r="BD3" s="355"/>
      <c r="BE3" s="355"/>
      <c r="BF3" s="355"/>
      <c r="BG3" s="355"/>
      <c r="BH3" s="355"/>
      <c r="BI3" s="355"/>
      <c r="BJ3" s="355"/>
      <c r="BK3" s="355"/>
      <c r="BL3" s="355"/>
      <c r="BM3" s="355"/>
      <c r="BN3" s="355"/>
      <c r="BO3" s="355"/>
      <c r="BP3" s="355"/>
      <c r="BQ3" s="355"/>
      <c r="BR3" s="355"/>
      <c r="BS3" s="355"/>
      <c r="BT3" s="355"/>
      <c r="BU3" s="355"/>
      <c r="BV3" s="355"/>
      <c r="BW3" s="355"/>
      <c r="BX3" s="355"/>
      <c r="BY3" s="355"/>
      <c r="BZ3" s="355"/>
      <c r="CA3" s="355"/>
      <c r="CB3" s="355"/>
      <c r="CC3" s="355"/>
      <c r="CD3" s="355"/>
      <c r="CE3" s="355"/>
      <c r="CF3" s="355"/>
      <c r="CG3" s="355"/>
      <c r="CH3" s="355"/>
      <c r="CI3" s="355"/>
      <c r="CJ3" s="355"/>
      <c r="CK3" s="355"/>
      <c r="CL3" s="355"/>
      <c r="CM3" s="355"/>
      <c r="CN3" s="355"/>
      <c r="CO3" s="355"/>
      <c r="CP3" s="355"/>
      <c r="CQ3" s="355"/>
      <c r="CR3" s="355"/>
      <c r="CS3" s="355"/>
      <c r="CT3" s="355"/>
      <c r="CU3" s="355"/>
      <c r="CV3" s="355"/>
      <c r="CW3" s="355"/>
      <c r="CX3" s="355"/>
      <c r="CY3" s="355"/>
      <c r="CZ3" s="355"/>
      <c r="DA3" s="355"/>
      <c r="DB3" s="355"/>
      <c r="DC3" s="355"/>
      <c r="DD3" s="355"/>
    </row>
    <row r="4" spans="2:108" ht="13.5" customHeight="1" x14ac:dyDescent="0.3">
      <c r="B4" s="338"/>
      <c r="C4" s="339"/>
      <c r="D4" s="956"/>
      <c r="E4" s="956"/>
      <c r="F4" s="956"/>
      <c r="G4" s="956"/>
      <c r="H4" s="956"/>
      <c r="I4" s="956"/>
      <c r="J4" s="956"/>
      <c r="K4" s="956"/>
      <c r="L4" s="956"/>
      <c r="M4" s="956"/>
      <c r="N4" s="956"/>
      <c r="O4" s="556"/>
      <c r="P4" s="556"/>
      <c r="Q4" s="435"/>
      <c r="R4" s="435"/>
      <c r="S4" s="435"/>
      <c r="T4" s="435"/>
      <c r="U4" s="435"/>
      <c r="V4" s="435"/>
      <c r="W4" s="435"/>
      <c r="X4" s="435"/>
      <c r="Y4" s="435"/>
      <c r="Z4" s="435"/>
      <c r="AA4" s="435"/>
      <c r="AB4" s="435"/>
      <c r="AC4" s="435"/>
      <c r="AD4" s="435"/>
      <c r="AE4" s="435"/>
      <c r="AF4" s="435"/>
      <c r="AG4" s="435"/>
      <c r="AH4" s="435"/>
      <c r="AI4" s="435"/>
      <c r="AJ4" s="435"/>
      <c r="AK4" s="435"/>
      <c r="AL4" s="435"/>
      <c r="AM4" s="435"/>
      <c r="AN4" s="435"/>
      <c r="AO4" s="435"/>
      <c r="AP4" s="435"/>
      <c r="AQ4" s="435"/>
      <c r="AR4" s="435"/>
      <c r="AS4" s="435"/>
      <c r="AT4" s="435"/>
      <c r="AU4" s="435"/>
      <c r="AV4" s="435"/>
      <c r="AW4" s="435"/>
      <c r="AX4" s="435"/>
      <c r="AY4" s="435"/>
      <c r="AZ4" s="435"/>
      <c r="BA4" s="435"/>
      <c r="BB4" s="435"/>
      <c r="BC4" s="557"/>
      <c r="BD4" s="355"/>
      <c r="BE4" s="355"/>
      <c r="BF4" s="355"/>
      <c r="BG4" s="355"/>
      <c r="BH4" s="355"/>
      <c r="BI4" s="355"/>
      <c r="BJ4" s="355"/>
      <c r="BK4" s="355"/>
      <c r="BL4" s="355"/>
      <c r="BM4" s="355"/>
      <c r="BN4" s="355"/>
      <c r="BO4" s="355"/>
      <c r="BP4" s="355"/>
      <c r="BQ4" s="355"/>
      <c r="BR4" s="355"/>
      <c r="BS4" s="355"/>
      <c r="BT4" s="355"/>
      <c r="BU4" s="355"/>
      <c r="BV4" s="355"/>
      <c r="BW4" s="355"/>
      <c r="BX4" s="355"/>
      <c r="BY4" s="355"/>
      <c r="BZ4" s="355"/>
      <c r="CA4" s="355"/>
      <c r="CB4" s="355"/>
      <c r="CC4" s="355"/>
      <c r="CD4" s="355"/>
      <c r="CE4" s="355"/>
      <c r="CF4" s="355"/>
      <c r="CG4" s="355"/>
      <c r="CH4" s="355"/>
      <c r="CI4" s="355"/>
      <c r="CJ4" s="355"/>
      <c r="CK4" s="355"/>
      <c r="CL4" s="355"/>
      <c r="CM4" s="355"/>
      <c r="CN4" s="355"/>
      <c r="CO4" s="355"/>
      <c r="CP4" s="355"/>
      <c r="CQ4" s="355"/>
      <c r="CR4" s="355"/>
      <c r="CS4" s="355"/>
      <c r="CT4" s="355"/>
      <c r="CU4" s="355"/>
      <c r="CV4" s="355"/>
      <c r="CW4" s="355"/>
      <c r="CX4" s="355"/>
      <c r="CY4" s="355"/>
      <c r="CZ4" s="355"/>
      <c r="DA4" s="355"/>
      <c r="DB4" s="355"/>
      <c r="DC4" s="355"/>
      <c r="DD4" s="355"/>
    </row>
    <row r="5" spans="2:108" ht="13.5" customHeight="1" x14ac:dyDescent="0.3">
      <c r="B5" s="338"/>
      <c r="C5" s="339"/>
      <c r="D5" s="956"/>
      <c r="E5" s="956"/>
      <c r="F5" s="956"/>
      <c r="G5" s="956"/>
      <c r="H5" s="956"/>
      <c r="I5" s="956"/>
      <c r="J5" s="956"/>
      <c r="K5" s="956"/>
      <c r="L5" s="956"/>
      <c r="M5" s="956"/>
      <c r="N5" s="956"/>
      <c r="O5" s="556"/>
      <c r="P5" s="556"/>
      <c r="Q5" s="435"/>
      <c r="R5" s="435"/>
      <c r="S5" s="435"/>
      <c r="T5" s="435"/>
      <c r="U5" s="435"/>
      <c r="V5" s="435"/>
      <c r="W5" s="435"/>
      <c r="X5" s="435"/>
      <c r="Y5" s="435"/>
      <c r="Z5" s="435"/>
      <c r="AA5" s="435"/>
      <c r="AB5" s="435"/>
      <c r="AC5" s="435"/>
      <c r="AD5" s="435"/>
      <c r="AE5" s="435"/>
      <c r="AF5" s="435"/>
      <c r="AG5" s="435"/>
      <c r="AH5" s="435"/>
      <c r="AI5" s="435"/>
      <c r="AJ5" s="435"/>
      <c r="AK5" s="435"/>
      <c r="AL5" s="435"/>
      <c r="AM5" s="435"/>
      <c r="AN5" s="435"/>
      <c r="AO5" s="435"/>
      <c r="AP5" s="435"/>
      <c r="AQ5" s="435"/>
      <c r="AR5" s="435"/>
      <c r="AS5" s="435"/>
      <c r="AT5" s="435"/>
      <c r="AU5" s="435"/>
      <c r="AV5" s="435"/>
      <c r="AW5" s="435"/>
      <c r="AX5" s="435"/>
      <c r="AY5" s="435"/>
      <c r="AZ5" s="435"/>
      <c r="BA5" s="435"/>
      <c r="BB5" s="435"/>
      <c r="BC5" s="557"/>
      <c r="BD5" s="355"/>
      <c r="BE5" s="355"/>
      <c r="BF5" s="355"/>
      <c r="BG5" s="355"/>
      <c r="BH5" s="355"/>
      <c r="BI5" s="355"/>
      <c r="BJ5" s="355"/>
      <c r="BK5" s="355"/>
      <c r="BL5" s="355"/>
      <c r="BM5" s="355"/>
      <c r="BN5" s="355"/>
      <c r="BO5" s="355"/>
      <c r="BP5" s="355"/>
      <c r="BQ5" s="355"/>
      <c r="BR5" s="355"/>
      <c r="BS5" s="355"/>
      <c r="BT5" s="355"/>
      <c r="BU5" s="355"/>
      <c r="BV5" s="355"/>
      <c r="BW5" s="355"/>
      <c r="BX5" s="355"/>
      <c r="BY5" s="355"/>
      <c r="BZ5" s="355"/>
      <c r="CA5" s="355"/>
      <c r="CB5" s="355"/>
      <c r="CC5" s="355"/>
      <c r="CD5" s="355"/>
      <c r="CE5" s="355"/>
      <c r="CF5" s="355"/>
      <c r="CG5" s="355"/>
      <c r="CH5" s="355"/>
      <c r="CI5" s="355"/>
      <c r="CJ5" s="355"/>
      <c r="CK5" s="355"/>
      <c r="CL5" s="355"/>
      <c r="CM5" s="355"/>
      <c r="CN5" s="355"/>
      <c r="CO5" s="355"/>
      <c r="CP5" s="355"/>
      <c r="CQ5" s="355"/>
      <c r="CR5" s="355"/>
      <c r="CS5" s="355"/>
      <c r="CT5" s="355"/>
      <c r="CU5" s="355"/>
      <c r="CV5" s="355"/>
      <c r="CW5" s="355"/>
      <c r="CX5" s="355"/>
      <c r="CY5" s="355"/>
      <c r="CZ5" s="355"/>
      <c r="DA5" s="355"/>
      <c r="DB5" s="355"/>
      <c r="DC5" s="355"/>
      <c r="DD5" s="355"/>
    </row>
    <row r="6" spans="2:108" ht="13.5" customHeight="1" x14ac:dyDescent="0.3">
      <c r="B6" s="338"/>
      <c r="C6" s="339"/>
      <c r="D6" s="343"/>
      <c r="E6" s="343"/>
      <c r="F6" s="343"/>
      <c r="G6" s="343"/>
      <c r="H6" s="956"/>
      <c r="I6" s="956"/>
      <c r="J6" s="956"/>
      <c r="K6" s="956"/>
      <c r="L6" s="956"/>
      <c r="M6" s="956"/>
      <c r="N6" s="956"/>
      <c r="O6" s="556"/>
      <c r="P6" s="556"/>
      <c r="Q6" s="435"/>
      <c r="R6" s="435"/>
      <c r="S6" s="435"/>
      <c r="T6" s="435"/>
      <c r="U6" s="435"/>
      <c r="V6" s="435"/>
      <c r="W6" s="435"/>
      <c r="X6" s="435"/>
      <c r="Y6" s="435"/>
      <c r="Z6" s="435"/>
      <c r="AA6" s="435"/>
      <c r="AB6" s="435"/>
      <c r="AC6" s="435"/>
      <c r="AD6" s="435"/>
      <c r="AE6" s="435"/>
      <c r="AF6" s="435"/>
      <c r="AG6" s="435"/>
      <c r="AH6" s="435"/>
      <c r="AI6" s="435"/>
      <c r="AJ6" s="435"/>
      <c r="AK6" s="435"/>
      <c r="AL6" s="435"/>
      <c r="AM6" s="435"/>
      <c r="AN6" s="435"/>
      <c r="AO6" s="435"/>
      <c r="AP6" s="435"/>
      <c r="AQ6" s="435"/>
      <c r="AR6" s="435"/>
      <c r="AS6" s="435"/>
      <c r="AT6" s="435"/>
      <c r="AU6" s="435"/>
      <c r="AV6" s="435"/>
      <c r="AW6" s="435"/>
      <c r="AX6" s="435"/>
      <c r="AY6" s="435"/>
      <c r="AZ6" s="435"/>
      <c r="BA6" s="435"/>
      <c r="BB6" s="435"/>
      <c r="BC6" s="557"/>
      <c r="BD6" s="355"/>
      <c r="BE6" s="355"/>
      <c r="BF6" s="355"/>
      <c r="BG6" s="355"/>
      <c r="BH6" s="355"/>
      <c r="BI6" s="355"/>
      <c r="BJ6" s="355"/>
      <c r="BK6" s="355"/>
      <c r="BL6" s="355"/>
      <c r="BM6" s="355"/>
      <c r="BN6" s="355"/>
      <c r="BO6" s="355"/>
      <c r="BP6" s="355"/>
      <c r="BQ6" s="355"/>
      <c r="BR6" s="355"/>
      <c r="BS6" s="355"/>
      <c r="BT6" s="355"/>
      <c r="BU6" s="355"/>
      <c r="BV6" s="355"/>
      <c r="BW6" s="355"/>
      <c r="BX6" s="355"/>
      <c r="BY6" s="355"/>
      <c r="BZ6" s="355"/>
      <c r="CA6" s="355"/>
      <c r="CB6" s="355"/>
      <c r="CC6" s="355"/>
      <c r="CD6" s="355"/>
      <c r="CE6" s="355"/>
      <c r="CF6" s="355"/>
      <c r="CG6" s="355"/>
      <c r="CH6" s="355"/>
      <c r="CI6" s="355"/>
      <c r="CJ6" s="355"/>
      <c r="CK6" s="355"/>
      <c r="CL6" s="355"/>
      <c r="CM6" s="355"/>
      <c r="CN6" s="355"/>
      <c r="CO6" s="355"/>
      <c r="CP6" s="355"/>
      <c r="CQ6" s="355"/>
      <c r="CR6" s="355"/>
      <c r="CS6" s="355"/>
      <c r="CT6" s="355"/>
      <c r="CU6" s="355"/>
      <c r="CV6" s="355"/>
      <c r="CW6" s="355"/>
      <c r="CX6" s="355"/>
      <c r="CY6" s="355"/>
      <c r="CZ6" s="355"/>
      <c r="DA6" s="355"/>
      <c r="DB6" s="355"/>
      <c r="DC6" s="355"/>
      <c r="DD6" s="355"/>
    </row>
    <row r="7" spans="2:108" ht="13.5" customHeight="1" x14ac:dyDescent="0.3">
      <c r="B7" s="338"/>
      <c r="C7" s="339"/>
      <c r="D7" s="340"/>
      <c r="E7" s="340"/>
      <c r="F7" s="341"/>
      <c r="G7" s="341"/>
      <c r="H7" s="342"/>
      <c r="I7" s="341"/>
      <c r="J7" s="338"/>
      <c r="K7" s="341"/>
      <c r="L7" s="341"/>
      <c r="M7" s="339"/>
      <c r="N7" s="339"/>
      <c r="O7" s="339"/>
      <c r="P7" s="339"/>
    </row>
    <row r="10" spans="2:108" x14ac:dyDescent="0.3">
      <c r="B10" s="378"/>
      <c r="C10" s="379"/>
      <c r="D10" s="380"/>
      <c r="E10" s="380"/>
      <c r="F10" s="381"/>
      <c r="G10" s="381"/>
      <c r="H10" s="382"/>
      <c r="I10" s="381"/>
      <c r="J10" s="380"/>
      <c r="K10" s="379"/>
      <c r="L10" s="379"/>
      <c r="M10" s="379"/>
      <c r="N10" s="383"/>
    </row>
    <row r="11" spans="2:108" x14ac:dyDescent="0.3">
      <c r="B11" s="384" t="s">
        <v>647</v>
      </c>
      <c r="C11" s="392" t="s">
        <v>668</v>
      </c>
      <c r="D11" s="346"/>
      <c r="E11" s="346"/>
      <c r="H11" s="346"/>
      <c r="J11" s="393"/>
      <c r="K11" s="400"/>
      <c r="L11" s="393"/>
      <c r="N11" s="385"/>
      <c r="AY11" s="361"/>
    </row>
    <row r="12" spans="2:108" x14ac:dyDescent="0.3">
      <c r="B12" s="386"/>
      <c r="C12" s="387"/>
      <c r="D12" s="388"/>
      <c r="E12" s="388"/>
      <c r="F12" s="389"/>
      <c r="G12" s="389"/>
      <c r="H12" s="390"/>
      <c r="I12" s="389"/>
      <c r="J12" s="388"/>
      <c r="K12" s="387"/>
      <c r="L12" s="387"/>
      <c r="M12" s="387"/>
      <c r="N12" s="391"/>
    </row>
    <row r="14" spans="2:108" x14ac:dyDescent="0.3">
      <c r="B14" s="397" t="s">
        <v>655</v>
      </c>
      <c r="C14" s="397" t="s">
        <v>656</v>
      </c>
      <c r="D14" s="397" t="s">
        <v>657</v>
      </c>
      <c r="E14" s="397" t="s">
        <v>658</v>
      </c>
      <c r="F14" s="398" t="s">
        <v>659</v>
      </c>
      <c r="G14" s="398" t="s">
        <v>660</v>
      </c>
      <c r="H14" s="399" t="s">
        <v>661</v>
      </c>
      <c r="I14" s="398" t="s">
        <v>662</v>
      </c>
      <c r="J14" s="397" t="s">
        <v>663</v>
      </c>
      <c r="K14" s="362" t="s">
        <v>664</v>
      </c>
      <c r="L14" s="362" t="s">
        <v>665</v>
      </c>
      <c r="M14" s="362" t="s">
        <v>666</v>
      </c>
      <c r="AZ14" s="397" t="s">
        <v>655</v>
      </c>
      <c r="BA14" s="397" t="s">
        <v>656</v>
      </c>
      <c r="BB14" s="397" t="s">
        <v>657</v>
      </c>
      <c r="BC14" s="397" t="s">
        <v>658</v>
      </c>
      <c r="BD14" s="398" t="s">
        <v>659</v>
      </c>
      <c r="BE14" s="398" t="s">
        <v>660</v>
      </c>
      <c r="BF14" s="399" t="s">
        <v>661</v>
      </c>
      <c r="BG14" s="398" t="s">
        <v>662</v>
      </c>
      <c r="BH14" s="397" t="s">
        <v>663</v>
      </c>
      <c r="BI14" s="397" t="s">
        <v>664</v>
      </c>
      <c r="BJ14" s="397" t="s">
        <v>665</v>
      </c>
      <c r="BK14" s="397" t="s">
        <v>666</v>
      </c>
    </row>
    <row r="15" spans="2:108" x14ac:dyDescent="0.3">
      <c r="B15" s="397"/>
      <c r="C15" s="397"/>
      <c r="D15" s="397"/>
      <c r="E15" s="397"/>
      <c r="F15" s="397"/>
      <c r="G15" s="397"/>
      <c r="H15" s="397"/>
      <c r="I15" s="397"/>
      <c r="J15" s="397"/>
      <c r="K15" s="397"/>
      <c r="L15" s="397"/>
      <c r="M15" s="397"/>
      <c r="AZ15" s="397" t="e">
        <f>INDEX($AZ$37:$BC$79,MATCH($C$11,$B$37:$B$85,0),MATCH($F$11,$AZ$36:$BC$36,0))</f>
        <v>#N/A</v>
      </c>
      <c r="BA15" s="397" t="e">
        <f>INDEX($BD$37:$BG$79,MATCH($C$11,$B$37:$B$85,0),MATCH($F$11,$BD$36:$BG$36,0))</f>
        <v>#N/A</v>
      </c>
      <c r="BB15" s="397" t="e">
        <f>INDEX($BH$37:$BK$79,MATCH($C$11,$B$37:$B$85,0),MATCH($F$11,$BH$36:$BK$36,0))</f>
        <v>#N/A</v>
      </c>
      <c r="BC15" s="397" t="e">
        <f>INDEX($BL$37:$BO$79,MATCH($C$11,$B$37:$B$85,0),MATCH($F$11,$BL$36:$BO$36,0))</f>
        <v>#N/A</v>
      </c>
      <c r="BD15" s="397" t="e">
        <f>INDEX($BP$37:$BS$79,MATCH($C$11,$B$37:$B$85,0),MATCH($F$11,$BP$36:$BS$36,0))</f>
        <v>#N/A</v>
      </c>
      <c r="BE15" s="397" t="e">
        <f>INDEX($BT$37:$BW$79,MATCH($C$11,$B$37:$B$85,0),MATCH($F$11,$BT$36:$BW$36,0))</f>
        <v>#N/A</v>
      </c>
      <c r="BF15" s="397" t="e">
        <f>INDEX($BX$37:$CA$79,MATCH($C$11,$B$37:$B$85,0),MATCH($F$11,$BX$36:$CA$36,0))</f>
        <v>#N/A</v>
      </c>
      <c r="BG15" s="397" t="e">
        <f>INDEX($CB$37:$CE$79,MATCH($C$11,$B$37:$B$85,0),MATCH($F$11,$CB$36:$CE$36,0))</f>
        <v>#N/A</v>
      </c>
      <c r="BH15" s="397" t="e">
        <f>INDEX($CF$37:$CI$79,MATCH($C$11,$B$37:$B$85,0),MATCH($F$11,$CF$36:$CI$36,0))</f>
        <v>#N/A</v>
      </c>
      <c r="BI15" s="397" t="e">
        <f>INDEX($CJ$37:$CM$79,MATCH($C$11,$B$37:$B$85,0),MATCH($F$11,$CJ$36:$CM$36,0))</f>
        <v>#N/A</v>
      </c>
      <c r="BJ15" s="397" t="e">
        <f>INDEX($CN$37:$CQ$79,MATCH($C$11,$B$37:$B$85,0),MATCH($F$11,$CN$36:$CQ$36,0))</f>
        <v>#N/A</v>
      </c>
      <c r="BK15" s="397" t="e">
        <f>INDEX($CR$37:$CU$79,MATCH($C$11,$B$37:$B$85,0),MATCH($F$11,$CR$36:$CU$36,0))</f>
        <v>#N/A</v>
      </c>
    </row>
    <row r="16" spans="2:108" x14ac:dyDescent="0.3">
      <c r="B16" s="204" t="s">
        <v>655</v>
      </c>
      <c r="C16" s="204" t="s">
        <v>656</v>
      </c>
      <c r="D16" s="204" t="s">
        <v>657</v>
      </c>
      <c r="E16" s="346" t="s">
        <v>658</v>
      </c>
      <c r="F16" s="346" t="s">
        <v>659</v>
      </c>
      <c r="G16" s="347" t="s">
        <v>660</v>
      </c>
      <c r="H16" s="346" t="s">
        <v>661</v>
      </c>
      <c r="I16" s="204" t="s">
        <v>662</v>
      </c>
      <c r="J16" s="204" t="s">
        <v>663</v>
      </c>
      <c r="K16" s="204" t="s">
        <v>664</v>
      </c>
      <c r="L16" s="204" t="s">
        <v>665</v>
      </c>
      <c r="M16" s="204" t="s">
        <v>666</v>
      </c>
    </row>
    <row r="17" spans="2:13" x14ac:dyDescent="0.3">
      <c r="B17" s="431">
        <f>VLOOKUP($C$11,$B$37:$N$85,2,0)</f>
        <v>10.955294117647059</v>
      </c>
      <c r="C17" s="431">
        <f>VLOOKUP($C$11,$B$37:$N$85,3,0)</f>
        <v>12.484210526315788</v>
      </c>
      <c r="D17" s="431">
        <f>VLOOKUP($C$11,$B$37:$N$85,4,0)</f>
        <v>9.8047619047619055</v>
      </c>
      <c r="E17" s="431">
        <f>VLOOKUP($C$11,$B$37:$N$85,5,0)</f>
        <v>13.026315789473685</v>
      </c>
      <c r="F17" s="431">
        <f>VLOOKUP($C$11,$B$37:$N$85,6,0)</f>
        <v>11.055</v>
      </c>
      <c r="G17" s="431">
        <f>VLOOKUP($C$11,$B$37:$N$85,7,0)</f>
        <v>8.52</v>
      </c>
      <c r="H17" s="431">
        <f>VLOOKUP($C$11,$B$37:$N$85,8,0)</f>
        <v>7.9333333333333336</v>
      </c>
      <c r="I17" s="431">
        <f>VLOOKUP($C$11,$B$37:$N$85,9,0)</f>
        <v>7.4576923076923078</v>
      </c>
      <c r="J17" s="431">
        <f>VLOOKUP($C$11,$B$37:$N$85,10,0)</f>
        <v>8.5214285714285705</v>
      </c>
      <c r="K17" s="431">
        <f>VLOOKUP($C$11,$B$37:$N$85,11,0)</f>
        <v>8.9304347826086961</v>
      </c>
      <c r="L17" s="431">
        <f>VLOOKUP($C$11,$B$37:$N$85,12,0)</f>
        <v>0</v>
      </c>
      <c r="M17" s="431">
        <f>VLOOKUP($C$11,$B$37:$N$85,13,0)</f>
        <v>0</v>
      </c>
    </row>
    <row r="18" spans="2:13" x14ac:dyDescent="0.3">
      <c r="B18" s="555">
        <f>RegularHours_type1[[#Totals],[Jan]]/Regular_cases_jan[[#Totals],[EOM Cases]]</f>
        <v>8.6062316176470581</v>
      </c>
      <c r="C18" s="555">
        <f>RegularHours_type1[[#Totals],[Feb]]/Regular_cases_feb[[#Totals],[EOM Cases]]</f>
        <v>9.2623869801084986</v>
      </c>
      <c r="D18" s="555">
        <f>RegularHours_type1[[#Totals],[Mar]]/Regular_cases_mar[[#Totals],[EOM Cases]]</f>
        <v>8.8749551166965901</v>
      </c>
      <c r="E18" s="555">
        <f>RegularHours_type1[[#Totals],[Apr]]/Regular_cases_apr[[#Totals],[EOM Cases]]</f>
        <v>9.5782500000000024</v>
      </c>
      <c r="F18" s="555">
        <f>IFERROR(RegularHours_type1[[#Totals],[May]]/Regular_cases_may[[#Totals],[EOM Cases]],0)</f>
        <v>9.7105924596050279</v>
      </c>
      <c r="G18" s="555">
        <f>IFERROR(RegularHours_type1[[#Totals],[Jun]]/Regular_cases_jun[[#Totals],[EOM Cases]],0)</f>
        <v>9.1563922942206659</v>
      </c>
      <c r="H18" s="555">
        <f>IFERROR(RegularHours_type1[[#Totals],[July]]/Regular_cases_jul[[#Totals],[EOM Cases]],0)</f>
        <v>9.9159661016949148</v>
      </c>
      <c r="I18" s="555">
        <f>IFERROR(RegularHours_type1[[#Totals],[Aug]]/Regular_cases_Aug[[#Totals],[EOM Cases]],0)</f>
        <v>9.5173841059602626</v>
      </c>
      <c r="J18" s="555">
        <f>IFERROR(RegularHours_type1[[#Totals],[Sep]]/Regular_cases_Sep[[#Totals],[EOM Cases]],0)</f>
        <v>9.2441898527004884</v>
      </c>
      <c r="K18" s="555">
        <f>IFERROR(RegularHours_type1[[#Totals],[Oct]]/Regular_cases_Oct[[#Totals],[EOM Cases]],0)</f>
        <v>9.787974683544304</v>
      </c>
      <c r="L18" s="555">
        <f>IFERROR(RegularHours_type1[[#Totals],[Nov]]/Regular_cases_Nov[[#Totals],[EOM Cases]],0)</f>
        <v>0</v>
      </c>
      <c r="M18" s="555">
        <f>IFERROR(RegularHours_type1[[#Totals],[Dec]]/Regular_cases_Dec[[#Totals],[EOM Cases]],0)</f>
        <v>0</v>
      </c>
    </row>
    <row r="19" spans="2:13" x14ac:dyDescent="0.3">
      <c r="B19" s="204"/>
      <c r="C19" s="346"/>
      <c r="D19" s="346"/>
      <c r="E19" s="347"/>
      <c r="G19" s="204"/>
      <c r="H19" s="204"/>
      <c r="I19" s="204"/>
      <c r="K19" s="204"/>
      <c r="L19" s="204"/>
      <c r="M19" s="204"/>
    </row>
    <row r="20" spans="2:13" x14ac:dyDescent="0.3">
      <c r="B20" s="204"/>
      <c r="C20" s="204"/>
      <c r="D20" s="346"/>
      <c r="E20" s="346"/>
      <c r="F20" s="347"/>
      <c r="H20" s="204"/>
      <c r="I20" s="28"/>
      <c r="J20" s="28"/>
    </row>
    <row r="35" spans="2:99" ht="18" x14ac:dyDescent="0.35">
      <c r="B35" s="992" t="s">
        <v>868</v>
      </c>
      <c r="C35" s="992"/>
      <c r="D35" s="992"/>
      <c r="E35" s="992"/>
      <c r="F35" s="992"/>
      <c r="G35" s="992"/>
      <c r="H35" s="992"/>
      <c r="I35" s="992"/>
      <c r="J35" s="992"/>
      <c r="K35" s="992"/>
      <c r="L35" s="992"/>
      <c r="M35" s="992"/>
      <c r="N35" s="992"/>
      <c r="O35" s="991"/>
      <c r="P35" s="991"/>
      <c r="Q35" s="991"/>
      <c r="R35" s="991"/>
      <c r="S35" s="991"/>
      <c r="T35" s="991"/>
      <c r="U35" s="991"/>
      <c r="V35" s="991"/>
      <c r="W35" s="991"/>
      <c r="X35" s="991"/>
      <c r="Y35" s="991"/>
      <c r="Z35" s="991"/>
      <c r="AA35" s="991"/>
      <c r="AB35" s="991"/>
      <c r="AC35" s="991"/>
      <c r="AD35" s="991"/>
      <c r="AE35" s="991"/>
      <c r="AF35" s="991"/>
      <c r="AG35" s="991"/>
      <c r="AH35" s="991"/>
      <c r="AI35" s="991"/>
      <c r="AJ35" s="991"/>
      <c r="AK35" s="991"/>
      <c r="AL35" s="991"/>
      <c r="AM35" s="991"/>
      <c r="AN35" s="991"/>
      <c r="AO35" s="991"/>
      <c r="AP35" s="991"/>
      <c r="AQ35" s="991"/>
      <c r="AR35" s="991"/>
      <c r="AS35" s="991"/>
      <c r="AT35" s="991"/>
      <c r="AU35" s="991"/>
      <c r="AV35" s="991"/>
      <c r="AW35" s="991"/>
      <c r="AX35" s="991"/>
      <c r="AZ35" s="991"/>
      <c r="BA35" s="991"/>
      <c r="BB35" s="991"/>
      <c r="BC35" s="991"/>
      <c r="BD35" s="991"/>
      <c r="BE35" s="991"/>
      <c r="BF35" s="991"/>
      <c r="BG35" s="991"/>
      <c r="BH35" s="991"/>
      <c r="BI35" s="991"/>
      <c r="BJ35" s="991"/>
      <c r="BK35" s="991"/>
      <c r="BL35" s="991"/>
      <c r="BM35" s="991"/>
      <c r="BN35" s="991"/>
      <c r="BO35" s="991"/>
      <c r="BP35" s="991"/>
      <c r="BQ35" s="991"/>
      <c r="BR35" s="991"/>
      <c r="BS35" s="991"/>
      <c r="BT35" s="991"/>
      <c r="BU35" s="991"/>
      <c r="BV35" s="991"/>
      <c r="BW35" s="991"/>
      <c r="BX35" s="991"/>
      <c r="BY35" s="991"/>
      <c r="BZ35" s="991"/>
      <c r="CA35" s="991"/>
      <c r="CB35" s="991"/>
      <c r="CC35" s="991"/>
      <c r="CD35" s="991"/>
      <c r="CE35" s="991"/>
      <c r="CF35" s="991"/>
      <c r="CG35" s="991"/>
      <c r="CH35" s="991"/>
      <c r="CI35" s="991"/>
      <c r="CJ35" s="991"/>
      <c r="CK35" s="991"/>
      <c r="CL35" s="991"/>
      <c r="CM35" s="991"/>
      <c r="CN35" s="991"/>
      <c r="CO35" s="991"/>
      <c r="CP35" s="991"/>
      <c r="CQ35" s="991"/>
      <c r="CR35" s="991"/>
      <c r="CS35" s="991"/>
      <c r="CT35" s="991"/>
      <c r="CU35" s="991"/>
    </row>
    <row r="36" spans="2:99" ht="14.5" x14ac:dyDescent="0.35">
      <c r="B36" s="633" t="s">
        <v>725</v>
      </c>
      <c r="C36" s="633" t="s">
        <v>655</v>
      </c>
      <c r="D36" s="633" t="s">
        <v>656</v>
      </c>
      <c r="E36" s="633" t="s">
        <v>657</v>
      </c>
      <c r="F36" s="633" t="s">
        <v>658</v>
      </c>
      <c r="G36" s="633" t="s">
        <v>659</v>
      </c>
      <c r="H36" s="633" t="s">
        <v>660</v>
      </c>
      <c r="I36" s="633" t="s">
        <v>661</v>
      </c>
      <c r="J36" s="633" t="s">
        <v>662</v>
      </c>
      <c r="K36" s="633" t="s">
        <v>869</v>
      </c>
      <c r="L36" s="633" t="s">
        <v>664</v>
      </c>
      <c r="M36" s="633" t="s">
        <v>665</v>
      </c>
      <c r="N36" s="633" t="s">
        <v>666</v>
      </c>
      <c r="O36" s="554"/>
      <c r="P36" s="554"/>
      <c r="Q36" s="554"/>
      <c r="R36" s="554"/>
      <c r="S36" s="554"/>
      <c r="T36" s="554"/>
      <c r="U36" s="554"/>
      <c r="V36" s="554"/>
      <c r="W36" s="554"/>
      <c r="X36" s="554"/>
      <c r="Y36" s="554"/>
      <c r="Z36" s="554"/>
      <c r="AA36" s="554"/>
      <c r="AB36" s="554"/>
      <c r="AC36" s="554"/>
      <c r="AD36" s="554"/>
      <c r="AE36" s="554"/>
      <c r="AF36" s="554"/>
      <c r="AG36" s="554"/>
      <c r="AH36" s="554"/>
      <c r="AI36" s="554"/>
      <c r="AJ36" s="554"/>
      <c r="AK36" s="554"/>
      <c r="AL36" s="554"/>
      <c r="AM36" s="554"/>
      <c r="AN36" s="554"/>
      <c r="AO36" s="554"/>
      <c r="AP36" s="554"/>
      <c r="AQ36" s="554"/>
      <c r="AR36" s="554"/>
      <c r="AS36" s="554"/>
      <c r="AT36" s="554"/>
      <c r="AU36" s="554"/>
      <c r="AV36" s="554"/>
      <c r="AW36" s="554"/>
      <c r="AX36" s="554"/>
      <c r="AZ36" s="554"/>
      <c r="BA36" s="554"/>
      <c r="BB36" s="554"/>
      <c r="BC36" s="554"/>
      <c r="BD36" s="554"/>
      <c r="BE36" s="554"/>
      <c r="BF36" s="554"/>
      <c r="BG36" s="554"/>
      <c r="BH36" s="554"/>
      <c r="BI36" s="554"/>
      <c r="BJ36" s="554"/>
      <c r="BK36" s="554"/>
      <c r="BL36" s="554"/>
      <c r="BM36" s="554"/>
      <c r="BN36" s="554"/>
      <c r="BO36" s="554"/>
      <c r="BP36" s="554"/>
      <c r="BQ36" s="554"/>
      <c r="BR36" s="554"/>
      <c r="BS36" s="554"/>
      <c r="BT36" s="554"/>
      <c r="BU36" s="554"/>
      <c r="BV36" s="554"/>
      <c r="BW36" s="554"/>
      <c r="BX36" s="554"/>
      <c r="BY36" s="554"/>
      <c r="BZ36" s="554"/>
      <c r="CA36" s="554"/>
      <c r="CB36" s="554"/>
      <c r="CC36" s="554"/>
      <c r="CD36" s="554"/>
      <c r="CE36" s="554"/>
      <c r="CF36" s="554"/>
      <c r="CG36" s="554"/>
      <c r="CH36" s="554"/>
      <c r="CI36" s="554"/>
      <c r="CJ36" s="554"/>
      <c r="CK36" s="554"/>
      <c r="CL36" s="554"/>
      <c r="CM36" s="554"/>
      <c r="CN36" s="554"/>
      <c r="CO36" s="554"/>
      <c r="CP36" s="554"/>
      <c r="CQ36" s="554"/>
      <c r="CR36" s="554"/>
      <c r="CS36" s="554"/>
      <c r="CT36" s="554"/>
      <c r="CU36" s="554"/>
    </row>
    <row r="37" spans="2:99" ht="15.5" x14ac:dyDescent="0.35">
      <c r="B37" s="634" t="str">
        <f>'Nurse Hours'!B38</f>
        <v>Adkins, Molly</v>
      </c>
      <c r="C37" s="727">
        <f>IFERROR(VLOOKUP($B37,RegularHours_type1[[Nurse]:[Dec]],5,0)/VLOOKUP($B37,'Nurse Cases'!$B$37:$AX$76,5,0),0)</f>
        <v>8.3583333333333325</v>
      </c>
      <c r="D37" s="727">
        <f>IFERROR(VLOOKUP($B37,RegularHours_type1[[Nurse]:[Dec]],6,0)/VLOOKUP($B37,'Nurse Cases'!$B$37:$AX$76,9,0),0)</f>
        <v>6.5</v>
      </c>
      <c r="E37" s="727">
        <f>IFERROR(VLOOKUP($B37,RegularHours_type1[[Nurse]:[Dec]],7,0)/VLOOKUP($B37,'Nurse Cases'!$B$37:$AX$76,13,0),0)</f>
        <v>5.5181818181818185</v>
      </c>
      <c r="F37" s="727">
        <f>IFERROR(VLOOKUP($B37,RegularHours_type1[[Nurse]:[Dec]],8,0)/VLOOKUP($B37,'Nurse Cases'!$B$37:$AX$76,17,0),0)</f>
        <v>0</v>
      </c>
      <c r="G37" s="727">
        <f>IFERROR(VLOOKUP($B37,RegularHours_type1[[Nurse]:[Dec]],9,0)/VLOOKUP($B37,'Nurse Cases'!$B$37:$AX$76,21,0),0)</f>
        <v>0</v>
      </c>
      <c r="H37" s="727">
        <f>IFERROR(VLOOKUP($B37,RegularHours_type1[[Nurse]:[Dec]],10,0)/VLOOKUP($B37,'Nurse Cases'!$B$37:$AX$76,25,0),0)</f>
        <v>0</v>
      </c>
      <c r="I37" s="727">
        <f>IFERROR(VLOOKUP($B37,RegularHours_type1[[Nurse]:[Dec]],11,0)/VLOOKUP($B37,'Nurse Cases'!$B$37:$AX$76,29,0),0)</f>
        <v>0</v>
      </c>
      <c r="J37" s="727">
        <f>IFERROR(VLOOKUP($B37,RegularHours_type1[[Nurse]:[Dec]],12,0)/VLOOKUP($B37,'Nurse Cases'!$B$37:$AX$76,33,0),0)</f>
        <v>0</v>
      </c>
      <c r="K37" s="727">
        <f>IFERROR(VLOOKUP($B37,RegularHours_type1[[Nurse]:[Dec]],13,0)/VLOOKUP($B37,'Nurse Cases'!$B$37:$AX$76,37,0),0)</f>
        <v>0</v>
      </c>
      <c r="L37" s="727">
        <f>IFERROR(VLOOKUP($B37,RegularHours_type1[[Nurse]:[Dec]],14,0)/VLOOKUP($B37,'Nurse Cases'!$B$37:$AX$76,41,0),0)</f>
        <v>0</v>
      </c>
      <c r="M37" s="727">
        <f>IFERROR(VLOOKUP($B37,RegularHours_type1[[Nurse]:[Dec]],15,0)/VLOOKUP($B37,'Nurse Cases'!$B$37:$AX$76,45,0),0)</f>
        <v>0</v>
      </c>
      <c r="N37" s="727">
        <f>IFERROR(VLOOKUP($B37,RegularHours_type1[[Nurse]:[Dec]],16,0)/VLOOKUP($B37,'Nurse Cases'!$B$37:$AX$76,49,0),0)</f>
        <v>0</v>
      </c>
      <c r="O37" s="448"/>
      <c r="P37" s="403"/>
      <c r="Q37" s="448"/>
      <c r="R37" s="543"/>
      <c r="S37" s="448"/>
      <c r="T37" s="403"/>
      <c r="U37" s="448"/>
      <c r="V37" s="403"/>
      <c r="W37" s="448"/>
      <c r="X37" s="403"/>
      <c r="Y37" s="448"/>
      <c r="Z37" s="403"/>
      <c r="AA37" s="448"/>
      <c r="AB37" s="403"/>
      <c r="AC37" s="448"/>
      <c r="AD37" s="403"/>
      <c r="AE37" s="448"/>
      <c r="AF37" s="403"/>
      <c r="AG37" s="448"/>
      <c r="AH37" s="549"/>
      <c r="AI37" s="448"/>
      <c r="AJ37" s="403"/>
      <c r="AK37" s="448"/>
      <c r="AL37" s="549"/>
      <c r="AM37" s="448"/>
      <c r="AN37" s="403"/>
      <c r="AO37" s="448"/>
      <c r="AP37" s="403"/>
      <c r="AQ37" s="448"/>
      <c r="AR37" s="403"/>
      <c r="AS37" s="448"/>
      <c r="AT37" s="549"/>
      <c r="AU37" s="448"/>
      <c r="AV37" s="403"/>
      <c r="AW37" s="448"/>
      <c r="AX37" s="403"/>
      <c r="AZ37" s="550"/>
      <c r="BA37" s="550"/>
      <c r="BB37" s="448"/>
      <c r="BC37" s="551"/>
      <c r="BD37" s="551"/>
      <c r="BE37" s="550"/>
      <c r="BF37" s="448"/>
      <c r="BG37" s="551"/>
      <c r="BH37" s="552"/>
      <c r="BI37" s="550"/>
      <c r="BJ37" s="448"/>
      <c r="BK37" s="551"/>
      <c r="BL37" s="552"/>
      <c r="BM37" s="550"/>
      <c r="BN37" s="448"/>
      <c r="BO37" s="551"/>
      <c r="BP37" s="552"/>
      <c r="BQ37" s="550"/>
      <c r="BR37" s="448"/>
      <c r="BS37" s="551"/>
      <c r="BT37" s="552"/>
      <c r="BU37" s="550"/>
      <c r="BV37" s="448"/>
      <c r="BW37" s="551"/>
      <c r="BX37" s="552"/>
      <c r="BY37" s="550"/>
      <c r="BZ37" s="448"/>
      <c r="CA37" s="551"/>
      <c r="CB37" s="552"/>
      <c r="CC37" s="550"/>
      <c r="CD37" s="448"/>
      <c r="CE37" s="551"/>
      <c r="CF37" s="552"/>
      <c r="CG37" s="550"/>
      <c r="CH37" s="448"/>
      <c r="CI37" s="551"/>
      <c r="CJ37" s="552"/>
      <c r="CK37" s="550"/>
      <c r="CL37" s="448"/>
      <c r="CM37" s="551"/>
      <c r="CN37" s="552"/>
      <c r="CO37" s="550"/>
      <c r="CP37" s="448"/>
      <c r="CQ37" s="551"/>
      <c r="CR37" s="552"/>
      <c r="CS37" s="550"/>
      <c r="CT37" s="448"/>
      <c r="CU37" s="551"/>
    </row>
    <row r="38" spans="2:99" ht="15.5" x14ac:dyDescent="0.35">
      <c r="B38" s="634" t="str">
        <f>'Nurse Hours'!B39</f>
        <v>Aguayo, Madeline</v>
      </c>
      <c r="C38" s="727">
        <f>IFERROR(VLOOKUP($B38,RegularHours_type1[[Nurse]:[Dec]],5,0)/VLOOKUP($B38,'Nurse Cases'!$B$37:$AX$76,5,0),0)</f>
        <v>8.0519999999999996</v>
      </c>
      <c r="D38" s="727">
        <f>IFERROR(VLOOKUP($B38,RegularHours_type1[[Nurse]:[Dec]],6,0)/VLOOKUP($B38,'Nurse Cases'!$B$37:$N$76,9,0),0)</f>
        <v>7.4620689655172416</v>
      </c>
      <c r="E38" s="727">
        <f>IFERROR(VLOOKUP($B38,RegularHours_type1[[Nurse]:[Dec]],7,0)/VLOOKUP($B38,'Nurse Cases'!$B$37:$N$76,13,0),0)</f>
        <v>7.1741935483870973</v>
      </c>
      <c r="F38" s="727">
        <f>IFERROR(VLOOKUP($B38,RegularHours_type1[[Nurse]:[Dec]],8,0)/VLOOKUP($B38,'Nurse Cases'!$B$37:$AX$76,17,0),0)</f>
        <v>7.6722580645161296</v>
      </c>
      <c r="G38" s="727">
        <f>IFERROR(VLOOKUP($B38,RegularHours_type1[[Nurse]:[Dec]],9,0)/VLOOKUP($B38,'Nurse Cases'!$B$37:$AX$76,21,0),0)</f>
        <v>7.8647058823529408</v>
      </c>
      <c r="H38" s="727">
        <f>IFERROR(VLOOKUP($B38,RegularHours_type1[[Nurse]:[Dec]],10,0)/VLOOKUP($B38,'Nurse Cases'!$B$37:$AX$76,25,0),0)</f>
        <v>7.3620689655172411</v>
      </c>
      <c r="I38" s="727">
        <f>IFERROR(VLOOKUP($B38,RegularHours_type1[[Nurse]:[Dec]],11,0)/VLOOKUP($B38,'Nurse Cases'!$B$37:$AX$76,29,0),0)</f>
        <v>9.9192592592592597</v>
      </c>
      <c r="J38" s="727">
        <f>IFERROR(VLOOKUP($B38,RegularHours_type1[[Nurse]:[Dec]],12,0)/VLOOKUP($B38,'Nurse Cases'!$B$37:$AX$76,33,0),0)</f>
        <v>8.2249999999999996</v>
      </c>
      <c r="K38" s="727">
        <f>IFERROR(VLOOKUP($B38,RegularHours_type1[[Nurse]:[Dec]],13,0)/VLOOKUP($B38,'Nurse Cases'!$B$37:$AX$76,37,0),0)</f>
        <v>8.1592592592592599</v>
      </c>
      <c r="L38" s="727">
        <f>IFERROR(VLOOKUP($B38,RegularHours_type1[[Nurse]:[Dec]],14,0)/VLOOKUP($B38,'Nurse Cases'!$B$37:$AX$76,41,0),0)</f>
        <v>9.3142857142857149</v>
      </c>
      <c r="M38" s="727">
        <f>IFERROR(VLOOKUP($B38,RegularHours_type1[[Nurse]:[Dec]],15,0)/VLOOKUP($B38,'Nurse Cases'!$B$37:$AX$76,45,0),0)</f>
        <v>0</v>
      </c>
      <c r="N38" s="727">
        <f>IFERROR(VLOOKUP($B38,RegularHours_type1[[Nurse]:[Dec]],16,0)/VLOOKUP($B38,'Nurse Cases'!$B$37:$AX$76,49,0),0)</f>
        <v>0</v>
      </c>
      <c r="O38" s="448"/>
      <c r="P38" s="403"/>
      <c r="Q38" s="448"/>
      <c r="R38" s="543"/>
      <c r="S38" s="448"/>
      <c r="T38" s="403"/>
      <c r="U38" s="448"/>
      <c r="V38" s="403"/>
      <c r="W38" s="448"/>
      <c r="X38" s="403"/>
      <c r="Y38" s="448"/>
      <c r="Z38" s="403"/>
      <c r="AA38" s="448"/>
      <c r="AB38" s="403"/>
      <c r="AC38" s="448"/>
      <c r="AD38" s="403"/>
      <c r="AE38" s="448"/>
      <c r="AF38" s="403"/>
      <c r="AG38" s="448"/>
      <c r="AH38" s="549"/>
      <c r="AI38" s="448"/>
      <c r="AJ38" s="403"/>
      <c r="AK38" s="448"/>
      <c r="AL38" s="549"/>
      <c r="AM38" s="448"/>
      <c r="AN38" s="403"/>
      <c r="AO38" s="448"/>
      <c r="AP38" s="403"/>
      <c r="AQ38" s="448"/>
      <c r="AR38" s="403"/>
      <c r="AS38" s="448"/>
      <c r="AT38" s="549"/>
      <c r="AU38" s="448"/>
      <c r="AV38" s="403"/>
      <c r="AW38" s="448"/>
      <c r="AX38" s="403"/>
      <c r="AZ38" s="550"/>
      <c r="BA38" s="550"/>
      <c r="BB38" s="448"/>
      <c r="BC38" s="551"/>
      <c r="BD38" s="550"/>
      <c r="BE38" s="550"/>
      <c r="BF38" s="448"/>
      <c r="BG38" s="551"/>
      <c r="BH38" s="553"/>
      <c r="BI38" s="550"/>
      <c r="BJ38" s="448"/>
      <c r="BK38" s="551"/>
      <c r="BL38" s="553"/>
      <c r="BM38" s="550"/>
      <c r="BN38" s="448"/>
      <c r="BO38" s="551"/>
      <c r="BP38" s="553"/>
      <c r="BQ38" s="550"/>
      <c r="BR38" s="448"/>
      <c r="BS38" s="551"/>
      <c r="BT38" s="553"/>
      <c r="BU38" s="550"/>
      <c r="BV38" s="448"/>
      <c r="BW38" s="551"/>
      <c r="BX38" s="553"/>
      <c r="BY38" s="550"/>
      <c r="BZ38" s="448"/>
      <c r="CA38" s="551"/>
      <c r="CB38" s="553"/>
      <c r="CC38" s="550"/>
      <c r="CD38" s="448"/>
      <c r="CE38" s="551"/>
      <c r="CF38" s="553"/>
      <c r="CG38" s="550"/>
      <c r="CH38" s="448"/>
      <c r="CI38" s="551"/>
      <c r="CJ38" s="553"/>
      <c r="CK38" s="550"/>
      <c r="CL38" s="448"/>
      <c r="CM38" s="551"/>
      <c r="CN38" s="553"/>
      <c r="CO38" s="550"/>
      <c r="CP38" s="448"/>
      <c r="CQ38" s="551"/>
      <c r="CR38" s="553"/>
      <c r="CS38" s="550"/>
      <c r="CT38" s="448"/>
      <c r="CU38" s="551"/>
    </row>
    <row r="39" spans="2:99" ht="15.5" x14ac:dyDescent="0.35">
      <c r="B39" s="852" t="str">
        <f>'Nurse Hours'!B40</f>
        <v>Alejo, Marahi</v>
      </c>
      <c r="C39" s="853">
        <f>IFERROR(VLOOKUP($B39,RegularHours_type1[[Nurse]:[Dec]],5,0)/VLOOKUP($B39,'Nurse Cases'!$B$37:$AX$76,5,0),0)</f>
        <v>0</v>
      </c>
      <c r="D39" s="853"/>
      <c r="E39" s="853"/>
      <c r="F39" s="853">
        <f>IFERROR(VLOOKUP($B39,RegularHours_type1[[Nurse]:[Dec]],8,0)/VLOOKUP($B39,'Nurse Cases'!$B$37:$AX$76,17,0),0)</f>
        <v>0</v>
      </c>
      <c r="G39" s="853">
        <f>IFERROR(VLOOKUP($B39,RegularHours_type1[[Nurse]:[Dec]],9,0)/VLOOKUP($B39,'Nurse Cases'!$B$37:$AX$76,21,0),0)</f>
        <v>0</v>
      </c>
      <c r="H39" s="853">
        <f>IFERROR(VLOOKUP($B39,RegularHours_type1[[Nurse]:[Dec]],10,0)/VLOOKUP($B39,'Nurse Cases'!$B$37:$AX$76,25,0),0)</f>
        <v>0</v>
      </c>
      <c r="I39" s="853">
        <f>IFERROR(VLOOKUP($B39,RegularHours_type1[[Nurse]:[Dec]],11,0)/VLOOKUP($B39,'Nurse Cases'!$B$37:$AX$76,29,0),0)</f>
        <v>0</v>
      </c>
      <c r="J39" s="853">
        <f>IFERROR(VLOOKUP($B39,RegularHours_type1[[Nurse]:[Dec]],12,0)/VLOOKUP($B39,'Nurse Cases'!$B$37:$AX$76,33,0),0)</f>
        <v>0</v>
      </c>
      <c r="K39" s="853">
        <f>IFERROR(VLOOKUP($B39,RegularHours_type1[[Nurse]:[Dec]],13,0)/VLOOKUP($B39,'Nurse Cases'!$B$37:$AX$76,37,0),0)</f>
        <v>3.54</v>
      </c>
      <c r="L39" s="853">
        <f>IFERROR(VLOOKUP($B39,RegularHours_type1[[Nurse]:[Dec]],14,0)/VLOOKUP($B39,'Nurse Cases'!$B$37:$AX$76,41,0),0)</f>
        <v>7.6400000000000006</v>
      </c>
      <c r="M39" s="853">
        <f>IFERROR(VLOOKUP($B39,RegularHours_type1[[Nurse]:[Dec]],15,0)/VLOOKUP($B39,'Nurse Cases'!$B$37:$AX$76,45,0),0)</f>
        <v>0</v>
      </c>
      <c r="N39" s="853">
        <f>IFERROR(VLOOKUP($B39,RegularHours_type1[[Nurse]:[Dec]],16,0)/VLOOKUP($B39,'Nurse Cases'!$B$37:$AX$76,49,0),0)</f>
        <v>0</v>
      </c>
      <c r="O39" s="448"/>
      <c r="P39" s="403"/>
      <c r="Q39" s="448"/>
      <c r="R39" s="543"/>
      <c r="S39" s="448"/>
      <c r="T39" s="403"/>
      <c r="U39" s="448"/>
      <c r="V39" s="403"/>
      <c r="W39" s="448"/>
      <c r="X39" s="403"/>
      <c r="Y39" s="448"/>
      <c r="Z39" s="403"/>
      <c r="AA39" s="448"/>
      <c r="AB39" s="403"/>
      <c r="AC39" s="448"/>
      <c r="AD39" s="403"/>
      <c r="AE39" s="448"/>
      <c r="AF39" s="403"/>
      <c r="AG39" s="448"/>
      <c r="AH39" s="549"/>
      <c r="AI39" s="448"/>
      <c r="AJ39" s="403"/>
      <c r="AK39" s="448"/>
      <c r="AL39" s="549"/>
      <c r="AM39" s="448"/>
      <c r="AN39" s="403"/>
      <c r="AO39" s="448"/>
      <c r="AP39" s="403"/>
      <c r="AQ39" s="448"/>
      <c r="AR39" s="403"/>
      <c r="AS39" s="448"/>
      <c r="AT39" s="549"/>
      <c r="AU39" s="448"/>
      <c r="AV39" s="403"/>
      <c r="AW39" s="448"/>
      <c r="AX39" s="403"/>
      <c r="AZ39" s="550"/>
      <c r="BA39" s="550"/>
      <c r="BB39" s="448"/>
      <c r="BC39" s="551"/>
      <c r="BD39" s="550"/>
      <c r="BE39" s="550"/>
      <c r="BF39" s="448"/>
      <c r="BG39" s="551"/>
      <c r="BH39" s="553"/>
      <c r="BI39" s="550"/>
      <c r="BJ39" s="448"/>
      <c r="BK39" s="551"/>
      <c r="BL39" s="553"/>
      <c r="BM39" s="550"/>
      <c r="BN39" s="448"/>
      <c r="BO39" s="551"/>
      <c r="BP39" s="553"/>
      <c r="BQ39" s="550"/>
      <c r="BR39" s="448"/>
      <c r="BS39" s="551"/>
      <c r="BT39" s="553"/>
      <c r="BU39" s="550"/>
      <c r="BV39" s="448"/>
      <c r="BW39" s="551"/>
      <c r="BX39" s="553"/>
      <c r="BY39" s="550"/>
      <c r="BZ39" s="448"/>
      <c r="CA39" s="551"/>
      <c r="CB39" s="553"/>
      <c r="CC39" s="550"/>
      <c r="CD39" s="448"/>
      <c r="CE39" s="551"/>
      <c r="CF39" s="553"/>
      <c r="CG39" s="550"/>
      <c r="CH39" s="448"/>
      <c r="CI39" s="551"/>
      <c r="CJ39" s="553"/>
      <c r="CK39" s="550"/>
      <c r="CL39" s="448"/>
      <c r="CM39" s="551"/>
      <c r="CN39" s="553"/>
      <c r="CO39" s="550"/>
      <c r="CP39" s="448"/>
      <c r="CQ39" s="551"/>
      <c r="CR39" s="553"/>
      <c r="CS39" s="550"/>
      <c r="CT39" s="448"/>
      <c r="CU39" s="551"/>
    </row>
    <row r="40" spans="2:99" ht="15.5" x14ac:dyDescent="0.35">
      <c r="B40" s="634" t="str">
        <f>'Nurse Hours'!B41</f>
        <v>Aquino, Vanessa</v>
      </c>
      <c r="C40" s="727">
        <f>IFERROR(VLOOKUP($B40,RegularHours_type1[[Nurse]:[Dec]],5,0)/VLOOKUP($B40,'Nurse Cases'!$B$37:$AX$76,5,0),0)</f>
        <v>14.112500000000001</v>
      </c>
      <c r="D40" s="727">
        <f>IFERROR(VLOOKUP($B40,RegularHours_type1[[Nurse]:[Dec]],6,0)/VLOOKUP($B40,'Nurse Cases'!$B$37:$N$76,9,0),0)</f>
        <v>16.05</v>
      </c>
      <c r="E40" s="727">
        <f>IFERROR(VLOOKUP($B40,RegularHours_type1[[Nurse]:[Dec]],7,0)/VLOOKUP($B40,'Nurse Cases'!$B$37:$N$76,13,0),0)</f>
        <v>10.93125</v>
      </c>
      <c r="F40" s="727">
        <f>IFERROR(VLOOKUP($B40,RegularHours_type1[[Nurse]:[Dec]],8,0)/VLOOKUP($B40,'Nurse Cases'!$B$37:$AX$76,17,0),0)</f>
        <v>13.593333333333334</v>
      </c>
      <c r="G40" s="727">
        <f>IFERROR(VLOOKUP($B40,RegularHours_type1[[Nurse]:[Dec]],9,0)/VLOOKUP($B40,'Nurse Cases'!$B$37:$AX$76,21,0),0)</f>
        <v>12</v>
      </c>
      <c r="H40" s="727">
        <f>IFERROR(VLOOKUP($B40,RegularHours_type1[[Nurse]:[Dec]],10,0)/VLOOKUP($B40,'Nurse Cases'!$B$37:$AX$76,25,0),0)</f>
        <v>12.37857142857143</v>
      </c>
      <c r="I40" s="727">
        <f>IFERROR(VLOOKUP($B40,RegularHours_type1[[Nurse]:[Dec]],11,0)/VLOOKUP($B40,'Nurse Cases'!$B$37:$AX$76,29,0),0)</f>
        <v>11.471428571428572</v>
      </c>
      <c r="J40" s="727">
        <f>IFERROR(VLOOKUP($B40,RegularHours_type1[[Nurse]:[Dec]],12,0)/VLOOKUP($B40,'Nurse Cases'!$B$37:$AX$76,33,0),0)</f>
        <v>10.141176470588235</v>
      </c>
      <c r="K40" s="727">
        <f>IFERROR(VLOOKUP($B40,RegularHours_type1[[Nurse]:[Dec]],13,0)/VLOOKUP($B40,'Nurse Cases'!$B$37:$AX$76,37,0),0)</f>
        <v>10.6875</v>
      </c>
      <c r="L40" s="727">
        <f>IFERROR(VLOOKUP($B40,RegularHours_type1[[Nurse]:[Dec]],14,0)/VLOOKUP($B40,'Nurse Cases'!$B$37:$AX$76,41,0),0)</f>
        <v>8.8125</v>
      </c>
      <c r="M40" s="727">
        <f>IFERROR(VLOOKUP($B40,RegularHours_type1[[Nurse]:[Dec]],15,0)/VLOOKUP($B40,'Nurse Cases'!$B$37:$AX$76,45,0),0)</f>
        <v>0</v>
      </c>
      <c r="N40" s="727">
        <f>IFERROR(VLOOKUP($B40,RegularHours_type1[[Nurse]:[Dec]],16,0)/VLOOKUP($B40,'Nurse Cases'!$B$37:$AX$76,49,0),0)</f>
        <v>0</v>
      </c>
      <c r="O40" s="448"/>
      <c r="P40" s="403"/>
      <c r="Q40" s="448"/>
      <c r="R40" s="543"/>
      <c r="S40" s="448"/>
      <c r="T40" s="403"/>
      <c r="U40" s="448"/>
      <c r="V40" s="403"/>
      <c r="W40" s="448"/>
      <c r="X40" s="403"/>
      <c r="Y40" s="448"/>
      <c r="Z40" s="403"/>
      <c r="AA40" s="448"/>
      <c r="AB40" s="403"/>
      <c r="AC40" s="448"/>
      <c r="AD40" s="403"/>
      <c r="AE40" s="448"/>
      <c r="AF40" s="403"/>
      <c r="AG40" s="448"/>
      <c r="AH40" s="549"/>
      <c r="AI40" s="448"/>
      <c r="AJ40" s="403"/>
      <c r="AK40" s="448"/>
      <c r="AL40" s="549"/>
      <c r="AM40" s="448"/>
      <c r="AN40" s="403"/>
      <c r="AO40" s="448"/>
      <c r="AP40" s="403"/>
      <c r="AQ40" s="448"/>
      <c r="AR40" s="403"/>
      <c r="AS40" s="448"/>
      <c r="AT40" s="549"/>
      <c r="AU40" s="448"/>
      <c r="AV40" s="403"/>
      <c r="AW40" s="448"/>
      <c r="AX40" s="403"/>
      <c r="AZ40" s="550"/>
      <c r="BA40" s="550"/>
      <c r="BB40" s="448"/>
      <c r="BC40" s="551"/>
      <c r="BD40" s="550"/>
      <c r="BE40" s="550"/>
      <c r="BF40" s="448"/>
      <c r="BG40" s="551"/>
      <c r="BH40" s="553"/>
      <c r="BI40" s="550"/>
      <c r="BJ40" s="448"/>
      <c r="BK40" s="551"/>
      <c r="BL40" s="553"/>
      <c r="BM40" s="550"/>
      <c r="BN40" s="448"/>
      <c r="BO40" s="551"/>
      <c r="BP40" s="553"/>
      <c r="BQ40" s="550"/>
      <c r="BR40" s="448"/>
      <c r="BS40" s="551"/>
      <c r="BT40" s="553"/>
      <c r="BU40" s="550"/>
      <c r="BV40" s="448"/>
      <c r="BW40" s="551"/>
      <c r="BX40" s="553"/>
      <c r="BY40" s="550"/>
      <c r="BZ40" s="448"/>
      <c r="CA40" s="551"/>
      <c r="CB40" s="553"/>
      <c r="CC40" s="550"/>
      <c r="CD40" s="448"/>
      <c r="CE40" s="551"/>
      <c r="CF40" s="553"/>
      <c r="CG40" s="550"/>
      <c r="CH40" s="448"/>
      <c r="CI40" s="551"/>
      <c r="CJ40" s="553"/>
      <c r="CK40" s="550"/>
      <c r="CL40" s="448"/>
      <c r="CM40" s="551"/>
      <c r="CN40" s="553"/>
      <c r="CO40" s="550"/>
      <c r="CP40" s="448"/>
      <c r="CQ40" s="551"/>
      <c r="CR40" s="553"/>
      <c r="CS40" s="550"/>
      <c r="CT40" s="448"/>
      <c r="CU40" s="551"/>
    </row>
    <row r="41" spans="2:99" ht="15.5" x14ac:dyDescent="0.35">
      <c r="B41" s="634" t="str">
        <f>'Nurse Hours'!B42</f>
        <v xml:space="preserve">Benson, Tammy </v>
      </c>
      <c r="C41" s="727">
        <f>IFERROR(VLOOKUP($B41,RegularHours_type1[[Nurse]:[Dec]],5,0)/VLOOKUP($B41,'Nurse Cases'!$B$37:$AX$76,5,0),0)</f>
        <v>7.0965517241379317</v>
      </c>
      <c r="D41" s="727">
        <f>IFERROR(VLOOKUP($B41,RegularHours_type1[[Nurse]:[Dec]],6,0)/VLOOKUP($B41,'Nurse Cases'!$B$37:$N$76,9,0),0)</f>
        <v>6.6592592592592599</v>
      </c>
      <c r="E41" s="727">
        <f>IFERROR(VLOOKUP($B41,RegularHours_type1[[Nurse]:[Dec]],7,0)/VLOOKUP($B41,'Nurse Cases'!$B$37:$N$76,13,0),0)</f>
        <v>6.1</v>
      </c>
      <c r="F41" s="727">
        <f>IFERROR(VLOOKUP($B41,RegularHours_type1[[Nurse]:[Dec]],8,0)/VLOOKUP($B41,'Nurse Cases'!$B$37:$AX$76,17,0),0)</f>
        <v>7.0518518518518523</v>
      </c>
      <c r="G41" s="727">
        <f>IFERROR(VLOOKUP($B41,RegularHours_type1[[Nurse]:[Dec]],9,0)/VLOOKUP($B41,'Nurse Cases'!$B$37:$AX$76,21,0),0)</f>
        <v>7.5740740740740744</v>
      </c>
      <c r="H41" s="727">
        <f>IFERROR(VLOOKUP($B41,RegularHours_type1[[Nurse]:[Dec]],10,0)/VLOOKUP($B41,'Nurse Cases'!$B$37:$AX$76,25,0),0)</f>
        <v>6.3192307692307699</v>
      </c>
      <c r="I41" s="727">
        <f>IFERROR(VLOOKUP($B41,RegularHours_type1[[Nurse]:[Dec]],11,0)/VLOOKUP($B41,'Nurse Cases'!$B$37:$AX$76,29,0),0)</f>
        <v>7.8</v>
      </c>
      <c r="J41" s="727">
        <f>IFERROR(VLOOKUP($B41,RegularHours_type1[[Nurse]:[Dec]],12,0)/VLOOKUP($B41,'Nurse Cases'!$B$37:$AX$76,33,0),0)</f>
        <v>7.5839999999999996</v>
      </c>
      <c r="K41" s="727">
        <f>IFERROR(VLOOKUP($B41,RegularHours_type1[[Nurse]:[Dec]],13,0)/VLOOKUP($B41,'Nurse Cases'!$B$37:$AX$76,37,0),0)</f>
        <v>6.1392857142857142</v>
      </c>
      <c r="L41" s="727">
        <f>IFERROR(VLOOKUP($B41,RegularHours_type1[[Nurse]:[Dec]],14,0)/VLOOKUP($B41,'Nurse Cases'!$B$37:$AX$76,41,0),0)</f>
        <v>7.5758620689655167</v>
      </c>
      <c r="M41" s="727">
        <f>IFERROR(VLOOKUP($B41,RegularHours_type1[[Nurse]:[Dec]],15,0)/VLOOKUP($B41,'Nurse Cases'!$B$37:$AX$76,45,0),0)</f>
        <v>0</v>
      </c>
      <c r="N41" s="727">
        <f>IFERROR(VLOOKUP($B41,RegularHours_type1[[Nurse]:[Dec]],16,0)/VLOOKUP($B41,'Nurse Cases'!$B$37:$AX$76,49,0),0)</f>
        <v>0</v>
      </c>
      <c r="O41" s="448"/>
      <c r="P41" s="403"/>
      <c r="Q41" s="448"/>
      <c r="R41" s="543"/>
      <c r="S41" s="448"/>
      <c r="T41" s="403"/>
      <c r="U41" s="448"/>
      <c r="V41" s="403"/>
      <c r="W41" s="448"/>
      <c r="X41" s="403"/>
      <c r="Y41" s="448"/>
      <c r="Z41" s="403"/>
      <c r="AA41" s="448"/>
      <c r="AB41" s="403"/>
      <c r="AC41" s="448"/>
      <c r="AD41" s="403"/>
      <c r="AE41" s="448"/>
      <c r="AF41" s="403"/>
      <c r="AG41" s="448"/>
      <c r="AH41" s="549"/>
      <c r="AI41" s="448"/>
      <c r="AJ41" s="403"/>
      <c r="AK41" s="448"/>
      <c r="AL41" s="549"/>
      <c r="AM41" s="448"/>
      <c r="AN41" s="403"/>
      <c r="AO41" s="448"/>
      <c r="AP41" s="403"/>
      <c r="AQ41" s="448"/>
      <c r="AR41" s="403"/>
      <c r="AS41" s="448"/>
      <c r="AT41" s="549"/>
      <c r="AU41" s="448"/>
      <c r="AV41" s="403"/>
      <c r="AW41" s="448"/>
      <c r="AX41" s="403"/>
      <c r="AY41" s="375"/>
      <c r="AZ41" s="550"/>
      <c r="BA41" s="550"/>
      <c r="BB41" s="448"/>
      <c r="BC41" s="551"/>
      <c r="BD41" s="550"/>
      <c r="BE41" s="550"/>
      <c r="BF41" s="448"/>
      <c r="BG41" s="551"/>
      <c r="BH41" s="553"/>
      <c r="BI41" s="550"/>
      <c r="BJ41" s="448"/>
      <c r="BK41" s="551"/>
      <c r="BL41" s="553"/>
      <c r="BM41" s="550"/>
      <c r="BN41" s="448"/>
      <c r="BO41" s="551"/>
      <c r="BP41" s="553"/>
      <c r="BQ41" s="550"/>
      <c r="BR41" s="448"/>
      <c r="BS41" s="551"/>
      <c r="BT41" s="553"/>
      <c r="BU41" s="550"/>
      <c r="BV41" s="448"/>
      <c r="BW41" s="551"/>
      <c r="BX41" s="553"/>
      <c r="BY41" s="550"/>
      <c r="BZ41" s="448"/>
      <c r="CA41" s="551"/>
      <c r="CB41" s="553"/>
      <c r="CC41" s="550"/>
      <c r="CD41" s="448"/>
      <c r="CE41" s="551"/>
      <c r="CF41" s="553"/>
      <c r="CG41" s="550"/>
      <c r="CH41" s="448"/>
      <c r="CI41" s="551"/>
      <c r="CJ41" s="553"/>
      <c r="CK41" s="550"/>
      <c r="CL41" s="448"/>
      <c r="CM41" s="551"/>
      <c r="CN41" s="553"/>
      <c r="CO41" s="550"/>
      <c r="CP41" s="448"/>
      <c r="CQ41" s="551"/>
      <c r="CR41" s="553"/>
      <c r="CS41" s="550"/>
      <c r="CT41" s="448"/>
      <c r="CU41" s="551"/>
    </row>
    <row r="42" spans="2:99" ht="15.5" x14ac:dyDescent="0.35">
      <c r="B42" s="634" t="str">
        <f>'Nurse Hours'!B43</f>
        <v>Boulger, Becky</v>
      </c>
      <c r="C42" s="727">
        <f>IFERROR(VLOOKUP($B42,RegularHours_type1[[Nurse]:[Dec]],5,0)/VLOOKUP($B42,'Nurse Cases'!$B$37:$AX$76,5,0),0)</f>
        <v>0</v>
      </c>
      <c r="D42" s="727">
        <f>IFERROR(VLOOKUP($B42,RegularHours_type1[[Nurse]:[Dec]],6,0)/VLOOKUP($B42,'Nurse Cases'!$B$37:$N$76,9,0),0)</f>
        <v>0</v>
      </c>
      <c r="E42" s="727">
        <f>IFERROR(VLOOKUP($B42,RegularHours_type1[[Nurse]:[Dec]],7,0)/VLOOKUP($B42,'Nurse Cases'!$B$37:$N$76,13,0),0)</f>
        <v>0</v>
      </c>
      <c r="F42" s="727">
        <f>IFERROR(VLOOKUP($B42,RegularHours_type1[[Nurse]:[Dec]],8,0)/VLOOKUP($B42,'Nurse Cases'!$B$37:$AX$76,17,0),0)</f>
        <v>0</v>
      </c>
      <c r="G42" s="727">
        <f>IFERROR(VLOOKUP($B42,RegularHours_type1[[Nurse]:[Dec]],9,0)/VLOOKUP($B42,'Nurse Cases'!$B$37:$AX$76,21,0),0)</f>
        <v>9.1750000000000007</v>
      </c>
      <c r="H42" s="727">
        <f>IFERROR(VLOOKUP($B42,RegularHours_type1[[Nurse]:[Dec]],10,0)/VLOOKUP($B42,'Nurse Cases'!$B$37:$AX$76,25,0),0)</f>
        <v>9.0444444444444443</v>
      </c>
      <c r="I42" s="727">
        <f>IFERROR(VLOOKUP($B42,RegularHours_type1[[Nurse]:[Dec]],11,0)/VLOOKUP($B42,'Nurse Cases'!$B$37:$AX$76,29,0),0)</f>
        <v>10.637499999999999</v>
      </c>
      <c r="J42" s="727">
        <f>IFERROR(VLOOKUP($B42,RegularHours_type1[[Nurse]:[Dec]],12,0)/VLOOKUP($B42,'Nurse Cases'!$B$37:$AX$76,33,0),0)</f>
        <v>8.3166666666666664</v>
      </c>
      <c r="K42" s="727">
        <f>IFERROR(VLOOKUP($B42,RegularHours_type1[[Nurse]:[Dec]],13,0)/VLOOKUP($B42,'Nurse Cases'!$B$37:$AX$76,37,0),0)</f>
        <v>7.8181818181818183</v>
      </c>
      <c r="L42" s="727">
        <f>IFERROR(VLOOKUP($B42,RegularHours_type1[[Nurse]:[Dec]],14,0)/VLOOKUP($B42,'Nurse Cases'!$B$37:$AX$76,41,0),0)</f>
        <v>7.7785714285714294</v>
      </c>
      <c r="M42" s="727">
        <f>IFERROR(VLOOKUP($B42,RegularHours_type1[[Nurse]:[Dec]],15,0)/VLOOKUP($B42,'Nurse Cases'!$B$37:$AX$76,45,0),0)</f>
        <v>0</v>
      </c>
      <c r="N42" s="727">
        <f>IFERROR(VLOOKUP($B42,RegularHours_type1[[Nurse]:[Dec]],16,0)/VLOOKUP($B42,'Nurse Cases'!$B$37:$AX$76,49,0),0)</f>
        <v>0</v>
      </c>
      <c r="O42" s="448"/>
      <c r="P42" s="403"/>
      <c r="Q42" s="448"/>
      <c r="R42" s="543"/>
      <c r="S42" s="448"/>
      <c r="T42" s="403"/>
      <c r="U42" s="448"/>
      <c r="V42" s="403"/>
      <c r="W42" s="448"/>
      <c r="X42" s="403"/>
      <c r="Y42" s="448"/>
      <c r="Z42" s="403"/>
      <c r="AA42" s="448"/>
      <c r="AB42" s="403"/>
      <c r="AC42" s="448"/>
      <c r="AD42" s="403"/>
      <c r="AE42" s="448"/>
      <c r="AF42" s="403"/>
      <c r="AG42" s="448"/>
      <c r="AH42" s="549"/>
      <c r="AI42" s="448"/>
      <c r="AJ42" s="403"/>
      <c r="AK42" s="448"/>
      <c r="AL42" s="549"/>
      <c r="AM42" s="448"/>
      <c r="AN42" s="403"/>
      <c r="AO42" s="448"/>
      <c r="AP42" s="403"/>
      <c r="AQ42" s="448"/>
      <c r="AR42" s="403"/>
      <c r="AS42" s="448"/>
      <c r="AT42" s="549"/>
      <c r="AU42" s="448"/>
      <c r="AV42" s="403"/>
      <c r="AW42" s="448"/>
      <c r="AX42" s="403"/>
      <c r="AZ42" s="550"/>
      <c r="BA42" s="550"/>
      <c r="BB42" s="448"/>
      <c r="BC42" s="551"/>
      <c r="BD42" s="550"/>
      <c r="BE42" s="550"/>
      <c r="BF42" s="448"/>
      <c r="BG42" s="551"/>
      <c r="BH42" s="553"/>
      <c r="BI42" s="550"/>
      <c r="BJ42" s="448"/>
      <c r="BK42" s="551"/>
      <c r="BL42" s="553"/>
      <c r="BM42" s="550"/>
      <c r="BN42" s="448"/>
      <c r="BO42" s="551"/>
      <c r="BP42" s="553"/>
      <c r="BQ42" s="550"/>
      <c r="BR42" s="448"/>
      <c r="BS42" s="551"/>
      <c r="BT42" s="553"/>
      <c r="BU42" s="550"/>
      <c r="BV42" s="448"/>
      <c r="BW42" s="551"/>
      <c r="BX42" s="553"/>
      <c r="BY42" s="550"/>
      <c r="BZ42" s="448"/>
      <c r="CA42" s="551"/>
      <c r="CB42" s="553"/>
      <c r="CC42" s="550"/>
      <c r="CD42" s="448"/>
      <c r="CE42" s="551"/>
      <c r="CF42" s="553"/>
      <c r="CG42" s="550"/>
      <c r="CH42" s="448"/>
      <c r="CI42" s="551"/>
      <c r="CJ42" s="553"/>
      <c r="CK42" s="550"/>
      <c r="CL42" s="448"/>
      <c r="CM42" s="551"/>
      <c r="CN42" s="553"/>
      <c r="CO42" s="550"/>
      <c r="CP42" s="448"/>
      <c r="CQ42" s="551"/>
      <c r="CR42" s="553"/>
      <c r="CS42" s="550"/>
      <c r="CT42" s="448"/>
      <c r="CU42" s="551"/>
    </row>
    <row r="43" spans="2:99" ht="15.5" x14ac:dyDescent="0.35">
      <c r="B43" s="634" t="str">
        <f>'Nurse Hours'!B44</f>
        <v>Bowers, Sue</v>
      </c>
      <c r="C43" s="727">
        <f>IFERROR(VLOOKUP($B43,RegularHours_type1[[Nurse]:[Dec]],5,0)/VLOOKUP($B43,'Nurse Cases'!$B$37:$AX$76,5,0),0)</f>
        <v>0</v>
      </c>
      <c r="D43" s="727">
        <f>IFERROR(VLOOKUP($B43,RegularHours_type1[[Nurse]:[Dec]],6,0)/VLOOKUP($B43,'Nurse Cases'!$B$37:$N$76,9,0),0)</f>
        <v>0</v>
      </c>
      <c r="E43" s="727">
        <f>IFERROR(VLOOKUP($B43,RegularHours_type1[[Nurse]:[Dec]],7,0)/VLOOKUP($B43,'Nurse Cases'!$B$37:$N$76,13,0),0)</f>
        <v>0</v>
      </c>
      <c r="F43" s="727">
        <f>IFERROR(VLOOKUP($B43,RegularHours_type1[[Nurse]:[Dec]],8,0)/VLOOKUP($B43,'Nurse Cases'!$B$37:$AX$76,17,0),0)</f>
        <v>0</v>
      </c>
      <c r="G43" s="727">
        <f>IFERROR(VLOOKUP($B43,RegularHours_type1[[Nurse]:[Dec]],9,0)/VLOOKUP($B43,'Nurse Cases'!$B$37:$AX$76,21,0),0)</f>
        <v>0</v>
      </c>
      <c r="H43" s="727">
        <f>IFERROR(VLOOKUP($B43,RegularHours_type1[[Nurse]:[Dec]],10,0)/VLOOKUP($B43,'Nurse Cases'!$B$37:$AX$76,25,0),0)</f>
        <v>0</v>
      </c>
      <c r="I43" s="727">
        <f>IFERROR(VLOOKUP($B43,RegularHours_type1[[Nurse]:[Dec]],11,0)/VLOOKUP($B43,'Nurse Cases'!$B$37:$AX$76,29,0),0)</f>
        <v>0</v>
      </c>
      <c r="J43" s="727">
        <f>IFERROR(VLOOKUP($B43,RegularHours_type1[[Nurse]:[Dec]],12,0)/VLOOKUP($B43,'Nurse Cases'!$B$37:$AX$76,33,0),0)</f>
        <v>0</v>
      </c>
      <c r="K43" s="727">
        <f>IFERROR(VLOOKUP($B43,RegularHours_type1[[Nurse]:[Dec]],13,0)/VLOOKUP($B43,'Nurse Cases'!$B$37:$AX$76,37,0),0)</f>
        <v>0</v>
      </c>
      <c r="L43" s="727">
        <f>IFERROR(VLOOKUP($B43,RegularHours_type1[[Nurse]:[Dec]],14,0)/VLOOKUP($B43,'Nurse Cases'!$B$37:$AX$76,41,0),0)</f>
        <v>0</v>
      </c>
      <c r="M43" s="727">
        <f>IFERROR(VLOOKUP($B43,RegularHours_type1[[Nurse]:[Dec]],15,0)/VLOOKUP($B43,'Nurse Cases'!$B$37:$AX$76,45,0),0)</f>
        <v>0</v>
      </c>
      <c r="N43" s="727">
        <f>IFERROR(VLOOKUP($B43,RegularHours_type1[[Nurse]:[Dec]],16,0)/VLOOKUP($B43,'Nurse Cases'!$B$37:$AX$76,49,0),0)</f>
        <v>0</v>
      </c>
      <c r="O43" s="448"/>
      <c r="P43" s="403"/>
      <c r="Q43" s="448"/>
      <c r="R43" s="543"/>
      <c r="S43" s="448"/>
      <c r="T43" s="403"/>
      <c r="U43" s="448"/>
      <c r="V43" s="403"/>
      <c r="W43" s="448"/>
      <c r="X43" s="403"/>
      <c r="Y43" s="448"/>
      <c r="Z43" s="403"/>
      <c r="AA43" s="448"/>
      <c r="AB43" s="403"/>
      <c r="AC43" s="448"/>
      <c r="AD43" s="403"/>
      <c r="AE43" s="448"/>
      <c r="AF43" s="403"/>
      <c r="AG43" s="448"/>
      <c r="AH43" s="549"/>
      <c r="AI43" s="448"/>
      <c r="AJ43" s="403"/>
      <c r="AK43" s="448"/>
      <c r="AL43" s="549"/>
      <c r="AM43" s="448"/>
      <c r="AN43" s="403"/>
      <c r="AO43" s="448"/>
      <c r="AP43" s="403"/>
      <c r="AQ43" s="448"/>
      <c r="AR43" s="403"/>
      <c r="AS43" s="448"/>
      <c r="AT43" s="549"/>
      <c r="AU43" s="448"/>
      <c r="AV43" s="403"/>
      <c r="AW43" s="448"/>
      <c r="AX43" s="403"/>
      <c r="AZ43" s="550"/>
      <c r="BA43" s="550"/>
      <c r="BB43" s="448"/>
      <c r="BC43" s="551"/>
      <c r="BD43" s="550"/>
      <c r="BE43" s="550"/>
      <c r="BF43" s="448"/>
      <c r="BG43" s="551"/>
      <c r="BH43" s="553"/>
      <c r="BI43" s="550"/>
      <c r="BJ43" s="448"/>
      <c r="BK43" s="551"/>
      <c r="BL43" s="553"/>
      <c r="BM43" s="550"/>
      <c r="BN43" s="448"/>
      <c r="BO43" s="551"/>
      <c r="BP43" s="553"/>
      <c r="BQ43" s="550"/>
      <c r="BR43" s="448"/>
      <c r="BS43" s="551"/>
      <c r="BT43" s="553"/>
      <c r="BU43" s="550"/>
      <c r="BV43" s="448"/>
      <c r="BW43" s="551"/>
      <c r="BX43" s="553"/>
      <c r="BY43" s="550"/>
      <c r="BZ43" s="448"/>
      <c r="CA43" s="551"/>
      <c r="CB43" s="553"/>
      <c r="CC43" s="550"/>
      <c r="CD43" s="448"/>
      <c r="CE43" s="551"/>
      <c r="CF43" s="553"/>
      <c r="CG43" s="550"/>
      <c r="CH43" s="448"/>
      <c r="CI43" s="551"/>
      <c r="CJ43" s="553"/>
      <c r="CK43" s="550"/>
      <c r="CL43" s="448"/>
      <c r="CM43" s="551"/>
      <c r="CN43" s="553"/>
      <c r="CO43" s="550"/>
      <c r="CP43" s="448"/>
      <c r="CQ43" s="551"/>
      <c r="CR43" s="553"/>
      <c r="CS43" s="550"/>
      <c r="CT43" s="448"/>
      <c r="CU43" s="551"/>
    </row>
    <row r="44" spans="2:99" ht="15.5" x14ac:dyDescent="0.35">
      <c r="B44" s="634" t="str">
        <f>'Nurse Hours'!B45</f>
        <v>Brassfield, Amber</v>
      </c>
      <c r="C44" s="727">
        <f>IFERROR(VLOOKUP($B44,RegularHours_type1[[Nurse]:[Dec]],5,0)/VLOOKUP($B44,'Nurse Cases'!$B$37:$AX$76,5,0),0)</f>
        <v>9.6666666666666661</v>
      </c>
      <c r="D44" s="727">
        <f>IFERROR(VLOOKUP($B44,RegularHours_type1[[Nurse]:[Dec]],6,0)/VLOOKUP($B44,'Nurse Cases'!$B$37:$N$76,9,0),0)</f>
        <v>7.8354838709677423</v>
      </c>
      <c r="E44" s="727">
        <f>IFERROR(VLOOKUP($B44,RegularHours_type1[[Nurse]:[Dec]],7,0)/VLOOKUP($B44,'Nurse Cases'!$B$37:$N$76,13,0),0)</f>
        <v>7.3531250000000004</v>
      </c>
      <c r="F44" s="727">
        <f>IFERROR(VLOOKUP($B44,RegularHours_type1[[Nurse]:[Dec]],8,0)/VLOOKUP($B44,'Nurse Cases'!$B$37:$AX$76,17,0),0)</f>
        <v>7.3566666666666665</v>
      </c>
      <c r="G44" s="727">
        <f>IFERROR(VLOOKUP($B44,RegularHours_type1[[Nurse]:[Dec]],9,0)/VLOOKUP($B44,'Nurse Cases'!$B$37:$AX$76,21,0),0)</f>
        <v>8.2620689655172406</v>
      </c>
      <c r="H44" s="727">
        <f>IFERROR(VLOOKUP($B44,RegularHours_type1[[Nurse]:[Dec]],10,0)/VLOOKUP($B44,'Nurse Cases'!$B$37:$AX$76,25,0),0)</f>
        <v>8.0848484848484858</v>
      </c>
      <c r="I44" s="727">
        <f>IFERROR(VLOOKUP($B44,RegularHours_type1[[Nurse]:[Dec]],11,0)/VLOOKUP($B44,'Nurse Cases'!$B$37:$AX$76,29,0),0)</f>
        <v>7.1432432432432433</v>
      </c>
      <c r="J44" s="727">
        <f>IFERROR(VLOOKUP($B44,RegularHours_type1[[Nurse]:[Dec]],12,0)/VLOOKUP($B44,'Nurse Cases'!$B$37:$AX$76,33,0),0)</f>
        <v>7.84375</v>
      </c>
      <c r="K44" s="727">
        <f>IFERROR(VLOOKUP($B44,RegularHours_type1[[Nurse]:[Dec]],13,0)/VLOOKUP($B44,'Nurse Cases'!$B$37:$AX$76,37,0),0)</f>
        <v>7.205405405405406</v>
      </c>
      <c r="L44" s="727">
        <f>IFERROR(VLOOKUP($B44,RegularHours_type1[[Nurse]:[Dec]],14,0)/VLOOKUP($B44,'Nurse Cases'!$B$37:$AX$76,41,0),0)</f>
        <v>7.2555555555555555</v>
      </c>
      <c r="M44" s="727">
        <f>IFERROR(VLOOKUP($B44,RegularHours_type1[[Nurse]:[Dec]],15,0)/VLOOKUP($B44,'Nurse Cases'!$B$37:$AX$76,45,0),0)</f>
        <v>0</v>
      </c>
      <c r="N44" s="727">
        <f>IFERROR(VLOOKUP($B44,RegularHours_type1[[Nurse]:[Dec]],16,0)/VLOOKUP($B44,'Nurse Cases'!$B$37:$AX$76,49,0),0)</f>
        <v>0</v>
      </c>
      <c r="O44" s="448"/>
      <c r="P44" s="403"/>
      <c r="Q44" s="448"/>
      <c r="R44" s="543"/>
      <c r="S44" s="448"/>
      <c r="T44" s="403"/>
      <c r="U44" s="448"/>
      <c r="V44" s="403"/>
      <c r="W44" s="448"/>
      <c r="X44" s="403"/>
      <c r="Y44" s="448"/>
      <c r="Z44" s="403"/>
      <c r="AA44" s="448"/>
      <c r="AB44" s="403"/>
      <c r="AC44" s="448"/>
      <c r="AD44" s="403"/>
      <c r="AE44" s="448"/>
      <c r="AF44" s="403"/>
      <c r="AG44" s="448"/>
      <c r="AH44" s="549"/>
      <c r="AI44" s="448"/>
      <c r="AJ44" s="403"/>
      <c r="AK44" s="448"/>
      <c r="AL44" s="549"/>
      <c r="AM44" s="448"/>
      <c r="AN44" s="403"/>
      <c r="AO44" s="448"/>
      <c r="AP44" s="403"/>
      <c r="AQ44" s="448"/>
      <c r="AR44" s="403"/>
      <c r="AS44" s="448"/>
      <c r="AT44" s="549"/>
      <c r="AU44" s="448"/>
      <c r="AV44" s="403"/>
      <c r="AW44" s="448"/>
      <c r="AX44" s="403"/>
      <c r="AZ44" s="550"/>
      <c r="BA44" s="550"/>
      <c r="BB44" s="448"/>
      <c r="BC44" s="551"/>
      <c r="BD44" s="550"/>
      <c r="BE44" s="550"/>
      <c r="BF44" s="448"/>
      <c r="BG44" s="551"/>
      <c r="BH44" s="553"/>
      <c r="BI44" s="550"/>
      <c r="BJ44" s="448"/>
      <c r="BK44" s="551"/>
      <c r="BL44" s="553"/>
      <c r="BM44" s="550"/>
      <c r="BN44" s="448"/>
      <c r="BO44" s="551"/>
      <c r="BP44" s="553"/>
      <c r="BQ44" s="550"/>
      <c r="BR44" s="448"/>
      <c r="BS44" s="551"/>
      <c r="BT44" s="553"/>
      <c r="BU44" s="550"/>
      <c r="BV44" s="448"/>
      <c r="BW44" s="551"/>
      <c r="BX44" s="553"/>
      <c r="BY44" s="550"/>
      <c r="BZ44" s="448"/>
      <c r="CA44" s="551"/>
      <c r="CB44" s="553"/>
      <c r="CC44" s="550"/>
      <c r="CD44" s="448"/>
      <c r="CE44" s="551"/>
      <c r="CF44" s="553"/>
      <c r="CG44" s="550"/>
      <c r="CH44" s="448"/>
      <c r="CI44" s="551"/>
      <c r="CJ44" s="553"/>
      <c r="CK44" s="550"/>
      <c r="CL44" s="448"/>
      <c r="CM44" s="551"/>
      <c r="CN44" s="553"/>
      <c r="CO44" s="550"/>
      <c r="CP44" s="448"/>
      <c r="CQ44" s="551"/>
      <c r="CR44" s="553"/>
      <c r="CS44" s="550"/>
      <c r="CT44" s="448"/>
      <c r="CU44" s="551"/>
    </row>
    <row r="45" spans="2:99" ht="15.5" x14ac:dyDescent="0.35">
      <c r="B45" s="634" t="str">
        <f>'Nurse Hours'!B46</f>
        <v>Breitenbucher, Brett</v>
      </c>
      <c r="C45" s="727">
        <f>IFERROR(VLOOKUP($B45,RegularHours_type1[[Nurse]:[Dec]],5,0)/VLOOKUP($B45,'Nurse Cases'!$B$37:$AX$76,5,0),0)</f>
        <v>0</v>
      </c>
      <c r="D45" s="727">
        <f>IFERROR(VLOOKUP($B45,RegularHours_type1[[Nurse]:[Dec]],6,0)/VLOOKUP($B45,'Nurse Cases'!$B$37:$N$76,9,0),0)</f>
        <v>0</v>
      </c>
      <c r="E45" s="727">
        <f>IFERROR(VLOOKUP($B45,RegularHours_type1[[Nurse]:[Dec]],7,0)/VLOOKUP($B45,'Nurse Cases'!$B$37:$N$76,13,0),0)</f>
        <v>0</v>
      </c>
      <c r="F45" s="727">
        <f>IFERROR(VLOOKUP($B45,RegularHours_type1[[Nurse]:[Dec]],8,0)/VLOOKUP($B45,'Nurse Cases'!$B$37:$AX$76,17,0),0)</f>
        <v>0</v>
      </c>
      <c r="G45" s="727">
        <f>IFERROR(VLOOKUP($B45,RegularHours_type1[[Nurse]:[Dec]],9,0)/VLOOKUP($B45,'Nurse Cases'!$B$37:$AX$76,21,0),0)</f>
        <v>0</v>
      </c>
      <c r="H45" s="727">
        <f>IFERROR(VLOOKUP($B45,RegularHours_type1[[Nurse]:[Dec]],10,0)/VLOOKUP($B45,'Nurse Cases'!$B$37:$AX$76,25,0),0)</f>
        <v>0</v>
      </c>
      <c r="I45" s="727">
        <f>IFERROR(VLOOKUP($B45,RegularHours_type1[[Nurse]:[Dec]],11,0)/VLOOKUP($B45,'Nurse Cases'!$B$37:$AX$76,29,0),0)</f>
        <v>0</v>
      </c>
      <c r="J45" s="727">
        <f>IFERROR(VLOOKUP($B45,RegularHours_type1[[Nurse]:[Dec]],12,0)/VLOOKUP($B45,'Nurse Cases'!$B$37:$AX$76,33,0),0)</f>
        <v>0</v>
      </c>
      <c r="K45" s="727">
        <f>IFERROR(VLOOKUP($B45,RegularHours_type1[[Nurse]:[Dec]],13,0)/VLOOKUP($B45,'Nurse Cases'!$B$37:$AX$76,37,0),0)</f>
        <v>0</v>
      </c>
      <c r="L45" s="727">
        <f>IFERROR(VLOOKUP($B45,RegularHours_type1[[Nurse]:[Dec]],14,0)/VLOOKUP($B45,'Nurse Cases'!$B$37:$AX$76,41,0),0)</f>
        <v>0</v>
      </c>
      <c r="M45" s="727">
        <f>IFERROR(VLOOKUP($B45,RegularHours_type1[[Nurse]:[Dec]],15,0)/VLOOKUP($B45,'Nurse Cases'!$B$37:$AX$76,45,0),0)</f>
        <v>0</v>
      </c>
      <c r="N45" s="727">
        <f>IFERROR(VLOOKUP($B45,RegularHours_type1[[Nurse]:[Dec]],16,0)/VLOOKUP($B45,'Nurse Cases'!$B$37:$AX$76,49,0),0)</f>
        <v>0</v>
      </c>
      <c r="O45" s="448"/>
      <c r="P45" s="403"/>
      <c r="Q45" s="448"/>
      <c r="R45" s="543"/>
      <c r="S45" s="448"/>
      <c r="T45" s="403"/>
      <c r="U45" s="448"/>
      <c r="V45" s="403"/>
      <c r="W45" s="448"/>
      <c r="X45" s="403"/>
      <c r="Y45" s="448"/>
      <c r="Z45" s="403"/>
      <c r="AA45" s="448"/>
      <c r="AB45" s="403"/>
      <c r="AC45" s="448"/>
      <c r="AD45" s="403"/>
      <c r="AE45" s="448"/>
      <c r="AF45" s="403"/>
      <c r="AG45" s="448"/>
      <c r="AH45" s="549"/>
      <c r="AI45" s="448"/>
      <c r="AJ45" s="403"/>
      <c r="AK45" s="448"/>
      <c r="AL45" s="549"/>
      <c r="AM45" s="448"/>
      <c r="AN45" s="403"/>
      <c r="AO45" s="448"/>
      <c r="AP45" s="403"/>
      <c r="AQ45" s="448"/>
      <c r="AR45" s="403"/>
      <c r="AS45" s="448"/>
      <c r="AT45" s="549"/>
      <c r="AU45" s="448"/>
      <c r="AV45" s="403"/>
      <c r="AW45" s="448"/>
      <c r="AX45" s="403"/>
      <c r="AZ45" s="550"/>
      <c r="BA45" s="550"/>
      <c r="BB45" s="448"/>
      <c r="BC45" s="551"/>
      <c r="BD45" s="550"/>
      <c r="BE45" s="550"/>
      <c r="BF45" s="448"/>
      <c r="BG45" s="551"/>
      <c r="BH45" s="553"/>
      <c r="BI45" s="550"/>
      <c r="BJ45" s="448"/>
      <c r="BK45" s="551"/>
      <c r="BL45" s="553"/>
      <c r="BM45" s="550"/>
      <c r="BN45" s="448"/>
      <c r="BO45" s="551"/>
      <c r="BP45" s="553"/>
      <c r="BQ45" s="550"/>
      <c r="BR45" s="448"/>
      <c r="BS45" s="551"/>
      <c r="BT45" s="553"/>
      <c r="BU45" s="550"/>
      <c r="BV45" s="448"/>
      <c r="BW45" s="551"/>
      <c r="BX45" s="553"/>
      <c r="BY45" s="550"/>
      <c r="BZ45" s="448"/>
      <c r="CA45" s="551"/>
      <c r="CB45" s="553"/>
      <c r="CC45" s="550"/>
      <c r="CD45" s="448"/>
      <c r="CE45" s="551"/>
      <c r="CF45" s="553"/>
      <c r="CG45" s="550"/>
      <c r="CH45" s="448"/>
      <c r="CI45" s="551"/>
      <c r="CJ45" s="553"/>
      <c r="CK45" s="550"/>
      <c r="CL45" s="448"/>
      <c r="CM45" s="551"/>
      <c r="CN45" s="553"/>
      <c r="CO45" s="550"/>
      <c r="CP45" s="448"/>
      <c r="CQ45" s="551"/>
      <c r="CR45" s="553"/>
      <c r="CS45" s="550"/>
      <c r="CT45" s="448"/>
      <c r="CU45" s="551"/>
    </row>
    <row r="46" spans="2:99" ht="15.5" x14ac:dyDescent="0.35">
      <c r="B46" s="634" t="str">
        <f>'Nurse Hours'!B47</f>
        <v>Brogdon, Stephanie</v>
      </c>
      <c r="C46" s="727">
        <f>IFERROR(VLOOKUP($B46,RegularHours_type1[[Nurse]:[Dec]],5,0)/VLOOKUP($B46,'Nurse Cases'!$B$37:$AX$76,5,0),0)</f>
        <v>7.6076923076923082</v>
      </c>
      <c r="D46" s="727">
        <f>IFERROR(VLOOKUP($B46,RegularHours_type1[[Nurse]:[Dec]],6,0)/VLOOKUP($B46,'Nurse Cases'!$B$37:$N$76,9,0),0)</f>
        <v>7.208333333333333</v>
      </c>
      <c r="E46" s="727">
        <f>IFERROR(VLOOKUP($B46,RegularHours_type1[[Nurse]:[Dec]],7,0)/VLOOKUP($B46,'Nurse Cases'!$B$37:$N$76,13,0),0)</f>
        <v>8.879999999999999</v>
      </c>
      <c r="F46" s="727">
        <f>IFERROR(VLOOKUP($B46,RegularHours_type1[[Nurse]:[Dec]],8,0)/VLOOKUP($B46,'Nurse Cases'!$B$37:$AX$76,17,0),0)</f>
        <v>8.2227272727272727</v>
      </c>
      <c r="G46" s="727">
        <f>IFERROR(VLOOKUP($B46,RegularHours_type1[[Nurse]:[Dec]],9,0)/VLOOKUP($B46,'Nurse Cases'!$B$37:$AX$76,21,0),0)</f>
        <v>7.3520000000000003</v>
      </c>
      <c r="H46" s="727">
        <f>IFERROR(VLOOKUP($B46,RegularHours_type1[[Nurse]:[Dec]],10,0)/VLOOKUP($B46,'Nurse Cases'!$B$37:$AX$76,25,0),0)</f>
        <v>7.1708333333333334</v>
      </c>
      <c r="I46" s="727">
        <f>IFERROR(VLOOKUP($B46,RegularHours_type1[[Nurse]:[Dec]],11,0)/VLOOKUP($B46,'Nurse Cases'!$B$37:$AX$76,29,0),0)</f>
        <v>8.4045454545454543</v>
      </c>
      <c r="J46" s="727">
        <f>IFERROR(VLOOKUP($B46,RegularHours_type1[[Nurse]:[Dec]],12,0)/VLOOKUP($B46,'Nurse Cases'!$B$37:$AX$76,33,0),0)</f>
        <v>9.276190476190477</v>
      </c>
      <c r="K46" s="727">
        <f>IFERROR(VLOOKUP($B46,RegularHours_type1[[Nurse]:[Dec]],13,0)/VLOOKUP($B46,'Nurse Cases'!$B$37:$AX$76,37,0),0)</f>
        <v>9.1444444444444439</v>
      </c>
      <c r="L46" s="727">
        <f>IFERROR(VLOOKUP($B46,RegularHours_type1[[Nurse]:[Dec]],14,0)/VLOOKUP($B46,'Nurse Cases'!$B$37:$AX$76,41,0),0)</f>
        <v>7.8523809523809529</v>
      </c>
      <c r="M46" s="727">
        <f>IFERROR(VLOOKUP($B46,RegularHours_type1[[Nurse]:[Dec]],15,0)/VLOOKUP($B46,'Nurse Cases'!$B$37:$AX$76,45,0),0)</f>
        <v>0</v>
      </c>
      <c r="N46" s="727">
        <f>IFERROR(VLOOKUP($B46,RegularHours_type1[[Nurse]:[Dec]],16,0)/VLOOKUP($B46,'Nurse Cases'!$B$37:$AX$76,49,0),0)</f>
        <v>0</v>
      </c>
      <c r="O46" s="448"/>
      <c r="P46" s="403"/>
      <c r="Q46" s="448"/>
      <c r="R46" s="543"/>
      <c r="S46" s="448"/>
      <c r="T46" s="403"/>
      <c r="U46" s="448"/>
      <c r="V46" s="403"/>
      <c r="W46" s="448"/>
      <c r="X46" s="403"/>
      <c r="Y46" s="448"/>
      <c r="Z46" s="403"/>
      <c r="AA46" s="448"/>
      <c r="AB46" s="403"/>
      <c r="AC46" s="448"/>
      <c r="AD46" s="403"/>
      <c r="AE46" s="448"/>
      <c r="AF46" s="403"/>
      <c r="AG46" s="448"/>
      <c r="AH46" s="549"/>
      <c r="AI46" s="448"/>
      <c r="AJ46" s="403"/>
      <c r="AK46" s="448"/>
      <c r="AL46" s="549"/>
      <c r="AM46" s="448"/>
      <c r="AN46" s="403"/>
      <c r="AO46" s="448"/>
      <c r="AP46" s="403"/>
      <c r="AQ46" s="448"/>
      <c r="AR46" s="403"/>
      <c r="AS46" s="448"/>
      <c r="AT46" s="549"/>
      <c r="AU46" s="448"/>
      <c r="AV46" s="403"/>
      <c r="AW46" s="448"/>
      <c r="AX46" s="403"/>
      <c r="AZ46" s="550"/>
      <c r="BA46" s="550"/>
      <c r="BB46" s="448"/>
      <c r="BC46" s="551"/>
      <c r="BD46" s="550"/>
      <c r="BE46" s="550"/>
      <c r="BF46" s="448"/>
      <c r="BG46" s="551"/>
      <c r="BH46" s="553"/>
      <c r="BI46" s="550"/>
      <c r="BJ46" s="448"/>
      <c r="BK46" s="551"/>
      <c r="BL46" s="553"/>
      <c r="BM46" s="550"/>
      <c r="BN46" s="448"/>
      <c r="BO46" s="551"/>
      <c r="BP46" s="553"/>
      <c r="BQ46" s="550"/>
      <c r="BR46" s="448"/>
      <c r="BS46" s="551"/>
      <c r="BT46" s="553"/>
      <c r="BU46" s="550"/>
      <c r="BV46" s="448"/>
      <c r="BW46" s="551"/>
      <c r="BX46" s="553"/>
      <c r="BY46" s="550"/>
      <c r="BZ46" s="448"/>
      <c r="CA46" s="551"/>
      <c r="CB46" s="553"/>
      <c r="CC46" s="550"/>
      <c r="CD46" s="448"/>
      <c r="CE46" s="551"/>
      <c r="CF46" s="553"/>
      <c r="CG46" s="550"/>
      <c r="CH46" s="448"/>
      <c r="CI46" s="551"/>
      <c r="CJ46" s="553"/>
      <c r="CK46" s="550"/>
      <c r="CL46" s="448"/>
      <c r="CM46" s="551"/>
      <c r="CN46" s="553"/>
      <c r="CO46" s="550"/>
      <c r="CP46" s="448"/>
      <c r="CQ46" s="551"/>
      <c r="CR46" s="553"/>
      <c r="CS46" s="550"/>
      <c r="CT46" s="448"/>
      <c r="CU46" s="551"/>
    </row>
    <row r="47" spans="2:99" ht="15.5" x14ac:dyDescent="0.35">
      <c r="B47" s="634" t="str">
        <f>'Nurse Hours'!B48</f>
        <v>Cabral, Wendy</v>
      </c>
      <c r="C47" s="727">
        <f>IFERROR(VLOOKUP($B47,RegularHours_type1[[Nurse]:[Dec]],5,0)/VLOOKUP($B47,'Nurse Cases'!$B$37:$AX$76,5,0),0)</f>
        <v>10.955294117647059</v>
      </c>
      <c r="D47" s="727">
        <f>IFERROR(VLOOKUP($B47,RegularHours_type1[[Nurse]:[Dec]],6,0)/VLOOKUP($B47,'Nurse Cases'!$B$37:$N$76,9,0),0)</f>
        <v>12.484210526315788</v>
      </c>
      <c r="E47" s="727">
        <f>IFERROR(VLOOKUP($B47,RegularHours_type1[[Nurse]:[Dec]],7,0)/VLOOKUP($B47,'Nurse Cases'!$B$37:$N$76,13,0),0)</f>
        <v>9.8047619047619055</v>
      </c>
      <c r="F47" s="727">
        <f>IFERROR(VLOOKUP($B47,RegularHours_type1[[Nurse]:[Dec]],8,0)/VLOOKUP($B47,'Nurse Cases'!$B$37:$AX$76,17,0),0)</f>
        <v>13.026315789473685</v>
      </c>
      <c r="G47" s="727">
        <f>IFERROR(VLOOKUP($B47,RegularHours_type1[[Nurse]:[Dec]],9,0)/VLOOKUP($B47,'Nurse Cases'!$B$37:$AX$76,21,0),0)</f>
        <v>11.055</v>
      </c>
      <c r="H47" s="727">
        <f>IFERROR(VLOOKUP($B47,RegularHours_type1[[Nurse]:[Dec]],10,0)/VLOOKUP($B47,'Nurse Cases'!$B$37:$AX$76,25,0),0)</f>
        <v>8.52</v>
      </c>
      <c r="I47" s="727">
        <f>IFERROR(VLOOKUP($B47,RegularHours_type1[[Nurse]:[Dec]],11,0)/VLOOKUP($B47,'Nurse Cases'!$B$37:$AX$76,29,0),0)</f>
        <v>7.9333333333333336</v>
      </c>
      <c r="J47" s="727">
        <f>IFERROR(VLOOKUP($B47,RegularHours_type1[[Nurse]:[Dec]],12,0)/VLOOKUP($B47,'Nurse Cases'!$B$37:$AX$76,33,0),0)</f>
        <v>7.4576923076923078</v>
      </c>
      <c r="K47" s="727">
        <f>IFERROR(VLOOKUP($B47,RegularHours_type1[[Nurse]:[Dec]],13,0)/VLOOKUP($B47,'Nurse Cases'!$B$37:$AX$76,37,0),0)</f>
        <v>8.5214285714285705</v>
      </c>
      <c r="L47" s="727">
        <f>IFERROR(VLOOKUP($B47,RegularHours_type1[[Nurse]:[Dec]],14,0)/VLOOKUP($B47,'Nurse Cases'!$B$37:$AX$76,41,0),0)</f>
        <v>8.9304347826086961</v>
      </c>
      <c r="M47" s="727">
        <f>IFERROR(VLOOKUP($B47,RegularHours_type1[[Nurse]:[Dec]],15,0)/VLOOKUP($B47,'Nurse Cases'!$B$37:$AX$76,45,0),0)</f>
        <v>0</v>
      </c>
      <c r="N47" s="727">
        <f>IFERROR(VLOOKUP($B47,RegularHours_type1[[Nurse]:[Dec]],16,0)/VLOOKUP($B47,'Nurse Cases'!$B$37:$AX$76,49,0),0)</f>
        <v>0</v>
      </c>
      <c r="O47" s="448"/>
      <c r="P47" s="403"/>
      <c r="Q47" s="448"/>
      <c r="R47" s="543"/>
      <c r="S47" s="448"/>
      <c r="T47" s="403"/>
      <c r="U47" s="448"/>
      <c r="V47" s="403"/>
      <c r="W47" s="448"/>
      <c r="X47" s="403"/>
      <c r="Y47" s="448"/>
      <c r="Z47" s="403"/>
      <c r="AA47" s="448"/>
      <c r="AB47" s="403"/>
      <c r="AC47" s="448"/>
      <c r="AD47" s="403"/>
      <c r="AE47" s="448"/>
      <c r="AF47" s="403"/>
      <c r="AG47" s="448"/>
      <c r="AH47" s="549"/>
      <c r="AI47" s="448"/>
      <c r="AJ47" s="403"/>
      <c r="AK47" s="448"/>
      <c r="AL47" s="549"/>
      <c r="AM47" s="448"/>
      <c r="AN47" s="403"/>
      <c r="AO47" s="448"/>
      <c r="AP47" s="403"/>
      <c r="AQ47" s="448"/>
      <c r="AR47" s="403"/>
      <c r="AS47" s="448"/>
      <c r="AT47" s="549"/>
      <c r="AU47" s="448"/>
      <c r="AV47" s="403"/>
      <c r="AW47" s="448"/>
      <c r="AX47" s="403"/>
      <c r="AZ47" s="550"/>
      <c r="BA47" s="550"/>
      <c r="BB47" s="448"/>
      <c r="BC47" s="551"/>
      <c r="BD47" s="550"/>
      <c r="BE47" s="550"/>
      <c r="BF47" s="448"/>
      <c r="BG47" s="551"/>
      <c r="BH47" s="553"/>
      <c r="BI47" s="550"/>
      <c r="BJ47" s="448"/>
      <c r="BK47" s="551"/>
      <c r="BL47" s="553"/>
      <c r="BM47" s="550"/>
      <c r="BN47" s="448"/>
      <c r="BO47" s="551"/>
      <c r="BP47" s="553"/>
      <c r="BQ47" s="550"/>
      <c r="BR47" s="448"/>
      <c r="BS47" s="551"/>
      <c r="BT47" s="553"/>
      <c r="BU47" s="550"/>
      <c r="BV47" s="448"/>
      <c r="BW47" s="551"/>
      <c r="BX47" s="553"/>
      <c r="BY47" s="550"/>
      <c r="BZ47" s="448"/>
      <c r="CA47" s="551"/>
      <c r="CB47" s="553"/>
      <c r="CC47" s="550"/>
      <c r="CD47" s="448"/>
      <c r="CE47" s="551"/>
      <c r="CF47" s="553"/>
      <c r="CG47" s="550"/>
      <c r="CH47" s="448"/>
      <c r="CI47" s="551"/>
      <c r="CJ47" s="553"/>
      <c r="CK47" s="550"/>
      <c r="CL47" s="448"/>
      <c r="CM47" s="551"/>
      <c r="CN47" s="553"/>
      <c r="CO47" s="550"/>
      <c r="CP47" s="448"/>
      <c r="CQ47" s="551"/>
      <c r="CR47" s="553"/>
      <c r="CS47" s="550"/>
      <c r="CT47" s="448"/>
      <c r="CU47" s="551"/>
    </row>
    <row r="48" spans="2:99" ht="15.5" x14ac:dyDescent="0.35">
      <c r="B48" s="634" t="str">
        <f>'Nurse Hours'!B49</f>
        <v>Caldera, Rosa</v>
      </c>
      <c r="C48" s="727">
        <f>IFERROR(VLOOKUP($B48,RegularHours_type1[[Nurse]:[Dec]],5,0)/VLOOKUP($B48,'Nurse Cases'!$B$37:$AX$76,5,0),0)</f>
        <v>0</v>
      </c>
      <c r="D48" s="727">
        <f>IFERROR(VLOOKUP($B48,RegularHours_type1[[Nurse]:[Dec]],6,0)/VLOOKUP($B48,'Nurse Cases'!$B$37:$N$76,9,0),0)</f>
        <v>0</v>
      </c>
      <c r="E48" s="727">
        <f>IFERROR(VLOOKUP($B48,RegularHours_type1[[Nurse]:[Dec]],7,0)/VLOOKUP($B48,'Nurse Cases'!$B$37:$N$76,13,0),0)</f>
        <v>0</v>
      </c>
      <c r="F48" s="727">
        <f>IFERROR(VLOOKUP($B48,RegularHours_type1[[Nurse]:[Dec]],8,0)/VLOOKUP($B48,'Nurse Cases'!$B$37:$AX$76,17,0),0)</f>
        <v>0</v>
      </c>
      <c r="G48" s="727">
        <f>IFERROR(VLOOKUP($B48,RegularHours_type1[[Nurse]:[Dec]],9,0)/VLOOKUP($B48,'Nurse Cases'!$B$37:$AX$76,21,0),0)</f>
        <v>0</v>
      </c>
      <c r="H48" s="727">
        <f>IFERROR(VLOOKUP($B48,RegularHours_type1[[Nurse]:[Dec]],10,0)/VLOOKUP($B48,'Nurse Cases'!$B$37:$AX$76,25,0),0)</f>
        <v>0</v>
      </c>
      <c r="I48" s="727">
        <f>IFERROR(VLOOKUP($B48,RegularHours_type1[[Nurse]:[Dec]],11,0)/VLOOKUP($B48,'Nurse Cases'!$B$37:$AX$76,29,0),0)</f>
        <v>9.6999999999999993</v>
      </c>
      <c r="J48" s="727">
        <f>IFERROR(VLOOKUP($B48,RegularHours_type1[[Nurse]:[Dec]],12,0)/VLOOKUP($B48,'Nurse Cases'!$B$37:$AX$76,33,0),0)</f>
        <v>23.7</v>
      </c>
      <c r="K48" s="727">
        <f>IFERROR(VLOOKUP($B48,RegularHours_type1[[Nurse]:[Dec]],13,0)/VLOOKUP($B48,'Nurse Cases'!$B$37:$AX$76,37,0),0)</f>
        <v>15.785714285714286</v>
      </c>
      <c r="L48" s="727">
        <f>IFERROR(VLOOKUP($B48,RegularHours_type1[[Nurse]:[Dec]],14,0)/VLOOKUP($B48,'Nurse Cases'!$B$37:$AX$76,41,0),0)</f>
        <v>10.5</v>
      </c>
      <c r="M48" s="727">
        <f>IFERROR(VLOOKUP($B48,RegularHours_type1[[Nurse]:[Dec]],15,0)/VLOOKUP($B48,'Nurse Cases'!$B$37:$AX$76,45,0),0)</f>
        <v>0</v>
      </c>
      <c r="N48" s="727">
        <f>IFERROR(VLOOKUP($B48,RegularHours_type1[[Nurse]:[Dec]],16,0)/VLOOKUP($B48,'Nurse Cases'!$B$37:$AX$76,49,0),0)</f>
        <v>0</v>
      </c>
      <c r="O48" s="448"/>
      <c r="P48" s="403"/>
      <c r="Q48" s="448"/>
      <c r="R48" s="543"/>
      <c r="S48" s="448"/>
      <c r="T48" s="403"/>
      <c r="U48" s="448"/>
      <c r="V48" s="403"/>
      <c r="W48" s="448"/>
      <c r="X48" s="403"/>
      <c r="Y48" s="448"/>
      <c r="Z48" s="403"/>
      <c r="AA48" s="448"/>
      <c r="AB48" s="403"/>
      <c r="AC48" s="448"/>
      <c r="AD48" s="403"/>
      <c r="AE48" s="448"/>
      <c r="AF48" s="403"/>
      <c r="AG48" s="448"/>
      <c r="AH48" s="549"/>
      <c r="AI48" s="448"/>
      <c r="AJ48" s="403"/>
      <c r="AK48" s="448"/>
      <c r="AL48" s="549"/>
      <c r="AM48" s="448"/>
      <c r="AN48" s="403"/>
      <c r="AO48" s="448"/>
      <c r="AP48" s="403"/>
      <c r="AQ48" s="448"/>
      <c r="AR48" s="403"/>
      <c r="AS48" s="448"/>
      <c r="AT48" s="549"/>
      <c r="AU48" s="448"/>
      <c r="AV48" s="403"/>
      <c r="AW48" s="448"/>
      <c r="AX48" s="403"/>
      <c r="AZ48" s="550"/>
      <c r="BA48" s="550"/>
      <c r="BB48" s="448"/>
      <c r="BC48" s="551"/>
      <c r="BD48" s="550"/>
      <c r="BE48" s="550"/>
      <c r="BF48" s="448"/>
      <c r="BG48" s="551"/>
      <c r="BH48" s="553"/>
      <c r="BI48" s="550"/>
      <c r="BJ48" s="448"/>
      <c r="BK48" s="551"/>
      <c r="BL48" s="553"/>
      <c r="BM48" s="550"/>
      <c r="BN48" s="448"/>
      <c r="BO48" s="551"/>
      <c r="BP48" s="553"/>
      <c r="BQ48" s="550"/>
      <c r="BR48" s="448"/>
      <c r="BS48" s="551"/>
      <c r="BT48" s="553"/>
      <c r="BU48" s="550"/>
      <c r="BV48" s="448"/>
      <c r="BW48" s="551"/>
      <c r="BX48" s="553"/>
      <c r="BY48" s="550"/>
      <c r="BZ48" s="448"/>
      <c r="CA48" s="551"/>
      <c r="CB48" s="553"/>
      <c r="CC48" s="550"/>
      <c r="CD48" s="448"/>
      <c r="CE48" s="551"/>
      <c r="CF48" s="553"/>
      <c r="CG48" s="550"/>
      <c r="CH48" s="448"/>
      <c r="CI48" s="551"/>
      <c r="CJ48" s="553"/>
      <c r="CK48" s="550"/>
      <c r="CL48" s="448"/>
      <c r="CM48" s="551"/>
      <c r="CN48" s="553"/>
      <c r="CO48" s="550"/>
      <c r="CP48" s="448"/>
      <c r="CQ48" s="551"/>
      <c r="CR48" s="553"/>
      <c r="CS48" s="550"/>
      <c r="CT48" s="448"/>
      <c r="CU48" s="551"/>
    </row>
    <row r="49" spans="2:99" ht="15.5" x14ac:dyDescent="0.35">
      <c r="B49" s="634" t="str">
        <f>'Nurse Hours'!B50</f>
        <v>Chau, Shawna</v>
      </c>
      <c r="C49" s="727">
        <f>IFERROR(VLOOKUP($B49,RegularHours_type1[[Nurse]:[Dec]],5,0)/VLOOKUP($B49,'Nurse Cases'!$B$37:$AX$76,5,0),0)</f>
        <v>5.9692307692307685</v>
      </c>
      <c r="D49" s="727">
        <f>IFERROR(VLOOKUP($B49,RegularHours_type1[[Nurse]:[Dec]],6,0)/VLOOKUP($B49,'Nurse Cases'!$B$37:$N$76,9,0),0)</f>
        <v>5.7272727272727275</v>
      </c>
      <c r="E49" s="727">
        <f>IFERROR(VLOOKUP($B49,RegularHours_type1[[Nurse]:[Dec]],7,0)/VLOOKUP($B49,'Nurse Cases'!$B$37:$N$76,13,0),0)</f>
        <v>6.1083333333333334</v>
      </c>
      <c r="F49" s="727">
        <f>IFERROR(VLOOKUP($B49,RegularHours_type1[[Nurse]:[Dec]],8,0)/VLOOKUP($B49,'Nurse Cases'!$B$37:$AX$76,17,0),0)</f>
        <v>6.338461538461539</v>
      </c>
      <c r="G49" s="727">
        <f>IFERROR(VLOOKUP($B49,RegularHours_type1[[Nurse]:[Dec]],9,0)/VLOOKUP($B49,'Nurse Cases'!$B$37:$AX$76,21,0),0)</f>
        <v>6.418181818181818</v>
      </c>
      <c r="H49" s="727">
        <f>IFERROR(VLOOKUP($B49,RegularHours_type1[[Nurse]:[Dec]],10,0)/VLOOKUP($B49,'Nurse Cases'!$B$37:$AX$76,25,0),0)</f>
        <v>4.1399999999999997</v>
      </c>
      <c r="I49" s="727">
        <f>IFERROR(VLOOKUP($B49,RegularHours_type1[[Nurse]:[Dec]],11,0)/VLOOKUP($B49,'Nurse Cases'!$B$37:$AX$76,29,0),0)</f>
        <v>2.3000000000000003</v>
      </c>
      <c r="J49" s="727">
        <f>IFERROR(VLOOKUP($B49,RegularHours_type1[[Nurse]:[Dec]],12,0)/VLOOKUP($B49,'Nurse Cases'!$B$37:$AX$76,33,0),0)</f>
        <v>4.7363636363636363</v>
      </c>
      <c r="K49" s="727">
        <f>IFERROR(VLOOKUP($B49,RegularHours_type1[[Nurse]:[Dec]],13,0)/VLOOKUP($B49,'Nurse Cases'!$B$37:$AX$76,37,0),0)</f>
        <v>4.8666666666666663</v>
      </c>
      <c r="L49" s="727">
        <f>IFERROR(VLOOKUP($B49,RegularHours_type1[[Nurse]:[Dec]],14,0)/VLOOKUP($B49,'Nurse Cases'!$B$37:$AX$76,41,0),0)</f>
        <v>5.95</v>
      </c>
      <c r="M49" s="727">
        <f>IFERROR(VLOOKUP($B49,RegularHours_type1[[Nurse]:[Dec]],15,0)/VLOOKUP($B49,'Nurse Cases'!$B$37:$AX$76,45,0),0)</f>
        <v>0</v>
      </c>
      <c r="N49" s="727">
        <f>IFERROR(VLOOKUP($B49,RegularHours_type1[[Nurse]:[Dec]],16,0)/VLOOKUP($B49,'Nurse Cases'!$B$37:$AX$76,49,0),0)</f>
        <v>0</v>
      </c>
      <c r="O49" s="448"/>
      <c r="P49" s="403"/>
      <c r="Q49" s="448"/>
      <c r="R49" s="543"/>
      <c r="S49" s="448"/>
      <c r="T49" s="403"/>
      <c r="U49" s="448"/>
      <c r="V49" s="403"/>
      <c r="W49" s="448"/>
      <c r="X49" s="403"/>
      <c r="Y49" s="448"/>
      <c r="Z49" s="403"/>
      <c r="AA49" s="448"/>
      <c r="AB49" s="403"/>
      <c r="AC49" s="448"/>
      <c r="AD49" s="403"/>
      <c r="AE49" s="448"/>
      <c r="AF49" s="403"/>
      <c r="AG49" s="448"/>
      <c r="AH49" s="549"/>
      <c r="AI49" s="448"/>
      <c r="AJ49" s="403"/>
      <c r="AK49" s="448"/>
      <c r="AL49" s="549"/>
      <c r="AM49" s="448"/>
      <c r="AN49" s="403"/>
      <c r="AO49" s="448"/>
      <c r="AP49" s="403"/>
      <c r="AQ49" s="448"/>
      <c r="AR49" s="403"/>
      <c r="AS49" s="448"/>
      <c r="AT49" s="549"/>
      <c r="AU49" s="448"/>
      <c r="AV49" s="403"/>
      <c r="AW49" s="448"/>
      <c r="AX49" s="403"/>
      <c r="AZ49" s="550"/>
      <c r="BA49" s="550"/>
      <c r="BB49" s="448"/>
      <c r="BC49" s="551"/>
      <c r="BD49" s="550"/>
      <c r="BE49" s="550"/>
      <c r="BF49" s="448"/>
      <c r="BG49" s="551"/>
      <c r="BH49" s="553"/>
      <c r="BI49" s="550"/>
      <c r="BJ49" s="448"/>
      <c r="BK49" s="551"/>
      <c r="BL49" s="553"/>
      <c r="BM49" s="550"/>
      <c r="BN49" s="448"/>
      <c r="BO49" s="551"/>
      <c r="BP49" s="553"/>
      <c r="BQ49" s="550"/>
      <c r="BR49" s="448"/>
      <c r="BS49" s="551"/>
      <c r="BT49" s="553"/>
      <c r="BU49" s="550"/>
      <c r="BV49" s="448"/>
      <c r="BW49" s="551"/>
      <c r="BX49" s="553"/>
      <c r="BY49" s="550"/>
      <c r="BZ49" s="448"/>
      <c r="CA49" s="551"/>
      <c r="CB49" s="553"/>
      <c r="CC49" s="550"/>
      <c r="CD49" s="448"/>
      <c r="CE49" s="551"/>
      <c r="CF49" s="553"/>
      <c r="CG49" s="550"/>
      <c r="CH49" s="448"/>
      <c r="CI49" s="551"/>
      <c r="CJ49" s="553"/>
      <c r="CK49" s="550"/>
      <c r="CL49" s="448"/>
      <c r="CM49" s="551"/>
      <c r="CN49" s="553"/>
      <c r="CO49" s="550"/>
      <c r="CP49" s="448"/>
      <c r="CQ49" s="551"/>
      <c r="CR49" s="553"/>
      <c r="CS49" s="550"/>
      <c r="CT49" s="448"/>
      <c r="CU49" s="551"/>
    </row>
    <row r="50" spans="2:99" ht="15.5" x14ac:dyDescent="0.35">
      <c r="B50" s="634" t="str">
        <f>'Nurse Hours'!B51</f>
        <v>Delgado, David</v>
      </c>
      <c r="C50" s="727">
        <f>IFERROR(VLOOKUP($B50,RegularHours_type1[[Nurse]:[Dec]],5,0)/VLOOKUP($B50,'Nurse Cases'!$B$37:$AX$76,5,0),0)</f>
        <v>5.8666666666666671</v>
      </c>
      <c r="D50" s="727">
        <f>IFERROR(VLOOKUP($B50,RegularHours_type1[[Nurse]:[Dec]],6,0)/VLOOKUP($B50,'Nurse Cases'!$B$37:$N$76,9,0),0)</f>
        <v>6.988888888888888</v>
      </c>
      <c r="E50" s="727">
        <f>IFERROR(VLOOKUP($B50,RegularHours_type1[[Nurse]:[Dec]],7,0)/VLOOKUP($B50,'Nurse Cases'!$B$37:$N$76,13,0),0)</f>
        <v>6.95</v>
      </c>
      <c r="F50" s="727">
        <f>IFERROR(VLOOKUP($B50,RegularHours_type1[[Nurse]:[Dec]],8,0)/VLOOKUP($B50,'Nurse Cases'!$B$37:$AX$76,17,0),0)</f>
        <v>6.7107142857142863</v>
      </c>
      <c r="G50" s="727">
        <f>IFERROR(VLOOKUP($B50,RegularHours_type1[[Nurse]:[Dec]],9,0)/VLOOKUP($B50,'Nurse Cases'!$B$37:$AX$76,21,0),0)</f>
        <v>7.4730769230769232</v>
      </c>
      <c r="H50" s="727">
        <f>IFERROR(VLOOKUP($B50,RegularHours_type1[[Nurse]:[Dec]],10,0)/VLOOKUP($B50,'Nurse Cases'!$B$37:$AX$76,25,0),0)</f>
        <v>6.4592592592592597</v>
      </c>
      <c r="I50" s="727">
        <f>IFERROR(VLOOKUP($B50,RegularHours_type1[[Nurse]:[Dec]],11,0)/VLOOKUP($B50,'Nurse Cases'!$B$37:$AX$76,29,0),0)</f>
        <v>8.032</v>
      </c>
      <c r="J50" s="727">
        <f>IFERROR(VLOOKUP($B50,RegularHours_type1[[Nurse]:[Dec]],12,0)/VLOOKUP($B50,'Nurse Cases'!$B$37:$AX$76,33,0),0)</f>
        <v>7.0321428571428575</v>
      </c>
      <c r="K50" s="727">
        <f>IFERROR(VLOOKUP($B50,RegularHours_type1[[Nurse]:[Dec]],13,0)/VLOOKUP($B50,'Nurse Cases'!$B$37:$AX$76,37,0),0)</f>
        <v>6.2279999999999998</v>
      </c>
      <c r="L50" s="727">
        <f>IFERROR(VLOOKUP($B50,RegularHours_type1[[Nurse]:[Dec]],14,0)/VLOOKUP($B50,'Nurse Cases'!$B$37:$AX$76,41,0),0)</f>
        <v>8.7181818181818187</v>
      </c>
      <c r="M50" s="727">
        <f>IFERROR(VLOOKUP($B50,RegularHours_type1[[Nurse]:[Dec]],15,0)/VLOOKUP($B50,'Nurse Cases'!$B$37:$AX$76,45,0),0)</f>
        <v>0</v>
      </c>
      <c r="N50" s="727">
        <f>IFERROR(VLOOKUP($B50,RegularHours_type1[[Nurse]:[Dec]],16,0)/VLOOKUP($B50,'Nurse Cases'!$B$37:$AX$76,49,0),0)</f>
        <v>0</v>
      </c>
      <c r="O50" s="448"/>
      <c r="P50" s="403"/>
      <c r="Q50" s="448"/>
      <c r="R50" s="543"/>
      <c r="S50" s="448"/>
      <c r="T50" s="403"/>
      <c r="U50" s="448"/>
      <c r="V50" s="403"/>
      <c r="W50" s="448"/>
      <c r="X50" s="403"/>
      <c r="Y50" s="448"/>
      <c r="Z50" s="403"/>
      <c r="AA50" s="448"/>
      <c r="AB50" s="403"/>
      <c r="AC50" s="448"/>
      <c r="AD50" s="403"/>
      <c r="AE50" s="448"/>
      <c r="AF50" s="403"/>
      <c r="AG50" s="448"/>
      <c r="AH50" s="549"/>
      <c r="AI50" s="448"/>
      <c r="AJ50" s="403"/>
      <c r="AK50" s="448"/>
      <c r="AL50" s="549"/>
      <c r="AM50" s="448"/>
      <c r="AN50" s="403"/>
      <c r="AO50" s="448"/>
      <c r="AP50" s="403"/>
      <c r="AQ50" s="448"/>
      <c r="AR50" s="403"/>
      <c r="AS50" s="448"/>
      <c r="AT50" s="549"/>
      <c r="AU50" s="448"/>
      <c r="AV50" s="403"/>
      <c r="AW50" s="448"/>
      <c r="AX50" s="403"/>
      <c r="AZ50" s="550"/>
      <c r="BA50" s="550"/>
      <c r="BB50" s="448"/>
      <c r="BC50" s="551"/>
      <c r="BD50" s="550"/>
      <c r="BE50" s="550"/>
      <c r="BF50" s="448"/>
      <c r="BG50" s="551"/>
      <c r="BH50" s="553"/>
      <c r="BI50" s="550"/>
      <c r="BJ50" s="448"/>
      <c r="BK50" s="551"/>
      <c r="BL50" s="553"/>
      <c r="BM50" s="550"/>
      <c r="BN50" s="448"/>
      <c r="BO50" s="551"/>
      <c r="BP50" s="553"/>
      <c r="BQ50" s="550"/>
      <c r="BR50" s="448"/>
      <c r="BS50" s="551"/>
      <c r="BT50" s="553"/>
      <c r="BU50" s="550"/>
      <c r="BV50" s="448"/>
      <c r="BW50" s="551"/>
      <c r="BX50" s="553"/>
      <c r="BY50" s="550"/>
      <c r="BZ50" s="448"/>
      <c r="CA50" s="551"/>
      <c r="CB50" s="553"/>
      <c r="CC50" s="550"/>
      <c r="CD50" s="448"/>
      <c r="CE50" s="551"/>
      <c r="CF50" s="553"/>
      <c r="CG50" s="550"/>
      <c r="CH50" s="448"/>
      <c r="CI50" s="551"/>
      <c r="CJ50" s="553"/>
      <c r="CK50" s="550"/>
      <c r="CL50" s="448"/>
      <c r="CM50" s="551"/>
      <c r="CN50" s="553"/>
      <c r="CO50" s="550"/>
      <c r="CP50" s="448"/>
      <c r="CQ50" s="551"/>
      <c r="CR50" s="553"/>
      <c r="CS50" s="550"/>
      <c r="CT50" s="448"/>
      <c r="CU50" s="551"/>
    </row>
    <row r="51" spans="2:99" ht="15.5" x14ac:dyDescent="0.35">
      <c r="B51" s="634" t="str">
        <f>'Nurse Hours'!B52</f>
        <v>Delgado, Virgie</v>
      </c>
      <c r="C51" s="727">
        <f>IFERROR(VLOOKUP($B51,RegularHours_type1[[Nurse]:[Dec]],5,0)/VLOOKUP($B51,'Nurse Cases'!$B$37:$AX$76,5,0),0)</f>
        <v>0</v>
      </c>
      <c r="D51" s="727"/>
      <c r="E51" s="727"/>
      <c r="F51" s="727">
        <f>IFERROR(VLOOKUP($B51,RegularHours_type1[[Nurse]:[Dec]],8,0)/VLOOKUP($B51,'Nurse Cases'!$B$37:$AX$76,17,0),0)</f>
        <v>0</v>
      </c>
      <c r="G51" s="727">
        <f>IFERROR(VLOOKUP($B51,RegularHours_type1[[Nurse]:[Dec]],9,0)/VLOOKUP($B51,'Nurse Cases'!$B$37:$AX$76,21,0),0)</f>
        <v>0</v>
      </c>
      <c r="H51" s="727">
        <f>IFERROR(VLOOKUP($B51,RegularHours_type1[[Nurse]:[Dec]],10,0)/VLOOKUP($B51,'Nurse Cases'!$B$37:$AX$76,25,0),0)</f>
        <v>0</v>
      </c>
      <c r="I51" s="727">
        <f>IFERROR(VLOOKUP($B51,RegularHours_type1[[Nurse]:[Dec]],11,0)/VLOOKUP($B51,'Nurse Cases'!$B$37:$AX$76,29,0),0)</f>
        <v>0</v>
      </c>
      <c r="J51" s="727">
        <f>IFERROR(VLOOKUP($B51,RegularHours_type1[[Nurse]:[Dec]],12,0)/VLOOKUP($B51,'Nurse Cases'!$B$37:$AX$76,33,0),0)</f>
        <v>0</v>
      </c>
      <c r="K51" s="727">
        <f>IFERROR(VLOOKUP($B51,RegularHours_type1[[Nurse]:[Dec]],13,0)/VLOOKUP($B51,'Nurse Cases'!$B$37:$AX$76,37,0),0)</f>
        <v>0</v>
      </c>
      <c r="L51" s="727">
        <f>IFERROR(VLOOKUP($B51,RegularHours_type1[[Nurse]:[Dec]],14,0)/VLOOKUP($B51,'Nurse Cases'!$B$37:$AX$76,41,0),0)</f>
        <v>25.283333333333331</v>
      </c>
      <c r="M51" s="727">
        <f>IFERROR(VLOOKUP($B51,RegularHours_type1[[Nurse]:[Dec]],15,0)/VLOOKUP($B51,'Nurse Cases'!$B$37:$AX$76,45,0),0)</f>
        <v>0</v>
      </c>
      <c r="N51" s="727">
        <f>IFERROR(VLOOKUP($B51,RegularHours_type1[[Nurse]:[Dec]],16,0)/VLOOKUP($B51,'Nurse Cases'!$B$37:$AX$76,49,0),0)</f>
        <v>0</v>
      </c>
      <c r="O51" s="448"/>
      <c r="P51" s="403"/>
      <c r="Q51" s="448"/>
      <c r="R51" s="543"/>
      <c r="S51" s="448"/>
      <c r="T51" s="403"/>
      <c r="U51" s="448"/>
      <c r="V51" s="403"/>
      <c r="W51" s="448"/>
      <c r="X51" s="403"/>
      <c r="Y51" s="448"/>
      <c r="Z51" s="403"/>
      <c r="AA51" s="448"/>
      <c r="AB51" s="403"/>
      <c r="AC51" s="448"/>
      <c r="AD51" s="403"/>
      <c r="AE51" s="448"/>
      <c r="AF51" s="403"/>
      <c r="AG51" s="448"/>
      <c r="AH51" s="549"/>
      <c r="AI51" s="448"/>
      <c r="AJ51" s="403"/>
      <c r="AK51" s="448"/>
      <c r="AL51" s="549"/>
      <c r="AM51" s="448"/>
      <c r="AN51" s="403"/>
      <c r="AO51" s="448"/>
      <c r="AP51" s="403"/>
      <c r="AQ51" s="448"/>
      <c r="AR51" s="403"/>
      <c r="AS51" s="448"/>
      <c r="AT51" s="549"/>
      <c r="AU51" s="448"/>
      <c r="AV51" s="403"/>
      <c r="AW51" s="448"/>
      <c r="AX51" s="403"/>
      <c r="AZ51" s="550"/>
      <c r="BA51" s="550"/>
      <c r="BB51" s="448"/>
      <c r="BC51" s="551"/>
      <c r="BD51" s="550"/>
      <c r="BE51" s="550"/>
      <c r="BF51" s="448"/>
      <c r="BG51" s="551"/>
      <c r="BH51" s="553"/>
      <c r="BI51" s="550"/>
      <c r="BJ51" s="448"/>
      <c r="BK51" s="551"/>
      <c r="BL51" s="553"/>
      <c r="BM51" s="550"/>
      <c r="BN51" s="448"/>
      <c r="BO51" s="551"/>
      <c r="BP51" s="553"/>
      <c r="BQ51" s="550"/>
      <c r="BR51" s="448"/>
      <c r="BS51" s="551"/>
      <c r="BT51" s="553"/>
      <c r="BU51" s="550"/>
      <c r="BV51" s="448"/>
      <c r="BW51" s="551"/>
      <c r="BX51" s="553"/>
      <c r="BY51" s="550"/>
      <c r="BZ51" s="448"/>
      <c r="CA51" s="551"/>
      <c r="CB51" s="553"/>
      <c r="CC51" s="550"/>
      <c r="CD51" s="448"/>
      <c r="CE51" s="551"/>
      <c r="CF51" s="553"/>
      <c r="CG51" s="550"/>
      <c r="CH51" s="448"/>
      <c r="CI51" s="551"/>
      <c r="CJ51" s="553"/>
      <c r="CK51" s="550"/>
      <c r="CL51" s="448"/>
      <c r="CM51" s="551"/>
      <c r="CN51" s="553"/>
      <c r="CO51" s="550"/>
      <c r="CP51" s="448"/>
      <c r="CQ51" s="551"/>
      <c r="CR51" s="553"/>
      <c r="CS51" s="550"/>
      <c r="CT51" s="448"/>
      <c r="CU51" s="551"/>
    </row>
    <row r="52" spans="2:99" ht="15.5" x14ac:dyDescent="0.35">
      <c r="B52" s="634" t="str">
        <f>'Nurse Hours'!B53</f>
        <v>deLuna, Peggy</v>
      </c>
      <c r="C52" s="727">
        <f>IFERROR(VLOOKUP($B52,RegularHours_type1[[Nurse]:[Dec]],5,0)/VLOOKUP($B52,'Nurse Cases'!$B$37:$AX$76,5,0),0)</f>
        <v>7.8239999999999998</v>
      </c>
      <c r="D52" s="727">
        <f>IFERROR(VLOOKUP($B52,RegularHours_type1[[Nurse]:[Dec]],6,0)/VLOOKUP($B52,'Nurse Cases'!$B$37:$N$76,9,0),0)</f>
        <v>9.8217391304347821</v>
      </c>
      <c r="E52" s="727">
        <f>IFERROR(VLOOKUP($B52,RegularHours_type1[[Nurse]:[Dec]],7,0)/VLOOKUP($B52,'Nurse Cases'!$B$37:$N$76,13,0),0)</f>
        <v>8.0333333333333332</v>
      </c>
      <c r="F52" s="727">
        <f>IFERROR(VLOOKUP($B52,RegularHours_type1[[Nurse]:[Dec]],8,0)/VLOOKUP($B52,'Nurse Cases'!$B$37:$AX$76,17,0),0)</f>
        <v>9.2636363636363637</v>
      </c>
      <c r="G52" s="727">
        <f>IFERROR(VLOOKUP($B52,RegularHours_type1[[Nurse]:[Dec]],9,0)/VLOOKUP($B52,'Nurse Cases'!$B$37:$AX$76,21,0),0)</f>
        <v>8.1050000000000004</v>
      </c>
      <c r="H52" s="727">
        <f>IFERROR(VLOOKUP($B52,RegularHours_type1[[Nurse]:[Dec]],10,0)/VLOOKUP($B52,'Nurse Cases'!$B$37:$AX$76,25,0),0)</f>
        <v>7.6545454545454552</v>
      </c>
      <c r="I52" s="727">
        <f>IFERROR(VLOOKUP($B52,RegularHours_type1[[Nurse]:[Dec]],11,0)/VLOOKUP($B52,'Nurse Cases'!$B$37:$AX$76,29,0),0)</f>
        <v>9.2095238095238106</v>
      </c>
      <c r="J52" s="727">
        <f>IFERROR(VLOOKUP($B52,RegularHours_type1[[Nurse]:[Dec]],12,0)/VLOOKUP($B52,'Nurse Cases'!$B$37:$AX$76,33,0),0)</f>
        <v>6.2217391304347824</v>
      </c>
      <c r="K52" s="727">
        <f>IFERROR(VLOOKUP($B52,RegularHours_type1[[Nurse]:[Dec]],13,0)/VLOOKUP($B52,'Nurse Cases'!$B$37:$AX$76,37,0),0)</f>
        <v>8.6708333333333325</v>
      </c>
      <c r="L52" s="727">
        <f>IFERROR(VLOOKUP($B52,RegularHours_type1[[Nurse]:[Dec]],14,0)/VLOOKUP($B52,'Nurse Cases'!$B$37:$AX$76,41,0),0)</f>
        <v>8.6565217391304348</v>
      </c>
      <c r="M52" s="727">
        <f>IFERROR(VLOOKUP($B52,RegularHours_type1[[Nurse]:[Dec]],15,0)/VLOOKUP($B52,'Nurse Cases'!$B$37:$AX$76,45,0),0)</f>
        <v>0</v>
      </c>
      <c r="N52" s="727">
        <f>IFERROR(VLOOKUP($B52,RegularHours_type1[[Nurse]:[Dec]],16,0)/VLOOKUP($B52,'Nurse Cases'!$B$37:$AX$76,49,0),0)</f>
        <v>0</v>
      </c>
      <c r="O52" s="448"/>
      <c r="P52" s="403"/>
      <c r="Q52" s="448"/>
      <c r="R52" s="543"/>
      <c r="S52" s="448"/>
      <c r="T52" s="403"/>
      <c r="U52" s="448"/>
      <c r="V52" s="403"/>
      <c r="W52" s="448"/>
      <c r="X52" s="403"/>
      <c r="Y52" s="448"/>
      <c r="Z52" s="403"/>
      <c r="AA52" s="448"/>
      <c r="AB52" s="403"/>
      <c r="AC52" s="448"/>
      <c r="AD52" s="403"/>
      <c r="AE52" s="448"/>
      <c r="AF52" s="403"/>
      <c r="AG52" s="448"/>
      <c r="AH52" s="549"/>
      <c r="AI52" s="448"/>
      <c r="AJ52" s="403"/>
      <c r="AK52" s="448"/>
      <c r="AL52" s="549"/>
      <c r="AM52" s="448"/>
      <c r="AN52" s="403"/>
      <c r="AO52" s="448"/>
      <c r="AP52" s="403"/>
      <c r="AQ52" s="448"/>
      <c r="AR52" s="403"/>
      <c r="AS52" s="448"/>
      <c r="AT52" s="549"/>
      <c r="AU52" s="448"/>
      <c r="AV52" s="403"/>
      <c r="AW52" s="448"/>
      <c r="AX52" s="403"/>
      <c r="AZ52" s="550"/>
      <c r="BA52" s="550"/>
      <c r="BB52" s="448"/>
      <c r="BC52" s="551"/>
      <c r="BD52" s="550"/>
      <c r="BE52" s="550"/>
      <c r="BF52" s="448"/>
      <c r="BG52" s="551"/>
      <c r="BH52" s="553"/>
      <c r="BI52" s="550"/>
      <c r="BJ52" s="448"/>
      <c r="BK52" s="551"/>
      <c r="BL52" s="553"/>
      <c r="BM52" s="550"/>
      <c r="BN52" s="448"/>
      <c r="BO52" s="551"/>
      <c r="BP52" s="553"/>
      <c r="BQ52" s="550"/>
      <c r="BR52" s="448"/>
      <c r="BS52" s="551"/>
      <c r="BT52" s="553"/>
      <c r="BU52" s="550"/>
      <c r="BV52" s="448"/>
      <c r="BW52" s="551"/>
      <c r="BX52" s="553"/>
      <c r="BY52" s="550"/>
      <c r="BZ52" s="448"/>
      <c r="CA52" s="551"/>
      <c r="CB52" s="553"/>
      <c r="CC52" s="550"/>
      <c r="CD52" s="448"/>
      <c r="CE52" s="551"/>
      <c r="CF52" s="553"/>
      <c r="CG52" s="550"/>
      <c r="CH52" s="448"/>
      <c r="CI52" s="551"/>
      <c r="CJ52" s="553"/>
      <c r="CK52" s="550"/>
      <c r="CL52" s="448"/>
      <c r="CM52" s="551"/>
      <c r="CN52" s="553"/>
      <c r="CO52" s="550"/>
      <c r="CP52" s="448"/>
      <c r="CQ52" s="551"/>
      <c r="CR52" s="553"/>
      <c r="CS52" s="550"/>
      <c r="CT52" s="448"/>
      <c r="CU52" s="551"/>
    </row>
    <row r="53" spans="2:99" ht="15.5" x14ac:dyDescent="0.35">
      <c r="B53" s="634" t="str">
        <f>'Nurse Hours'!B54</f>
        <v>Deogny, Linda</v>
      </c>
      <c r="C53" s="727">
        <f>IFERROR(VLOOKUP($B53,RegularHours_type1[[Nurse]:[Dec]],5,0)/VLOOKUP($B53,'Nurse Cases'!$B$37:$AX$76,5,0),0)</f>
        <v>0</v>
      </c>
      <c r="D53" s="727">
        <f>IFERROR(VLOOKUP($B53,RegularHours_type1[[Nurse]:[Dec]],6,0)/VLOOKUP($B53,'Nurse Cases'!$B$37:$N$76,9,0),0)</f>
        <v>18.823076923076922</v>
      </c>
      <c r="E53" s="727">
        <f>IFERROR(VLOOKUP($B53,RegularHours_type1[[Nurse]:[Dec]],7,0)/VLOOKUP($B53,'Nurse Cases'!$B$37:$N$76,13,0),0)</f>
        <v>15.530769230769231</v>
      </c>
      <c r="F53" s="727">
        <f>IFERROR(VLOOKUP($B53,RegularHours_type1[[Nurse]:[Dec]],8,0)/VLOOKUP($B53,'Nurse Cases'!$B$37:$AX$76,17,0),0)</f>
        <v>21.96153846153846</v>
      </c>
      <c r="G53" s="727">
        <f>IFERROR(VLOOKUP($B53,RegularHours_type1[[Nurse]:[Dec]],9,0)/VLOOKUP($B53,'Nurse Cases'!$B$37:$AX$76,21,0),0)</f>
        <v>18.45</v>
      </c>
      <c r="H53" s="727">
        <f>IFERROR(VLOOKUP($B53,RegularHours_type1[[Nurse]:[Dec]],10,0)/VLOOKUP($B53,'Nurse Cases'!$B$37:$AX$76,25,0),0)</f>
        <v>15.012499999999999</v>
      </c>
      <c r="I53" s="727">
        <f>IFERROR(VLOOKUP($B53,RegularHours_type1[[Nurse]:[Dec]],11,0)/VLOOKUP($B53,'Nurse Cases'!$B$37:$AX$76,29,0),0)</f>
        <v>18.226666666666667</v>
      </c>
      <c r="J53" s="727">
        <f>IFERROR(VLOOKUP($B53,RegularHours_type1[[Nurse]:[Dec]],12,0)/VLOOKUP($B53,'Nurse Cases'!$B$37:$AX$76,33,0),0)</f>
        <v>15.926666666666668</v>
      </c>
      <c r="K53" s="727">
        <f>IFERROR(VLOOKUP($B53,RegularHours_type1[[Nurse]:[Dec]],13,0)/VLOOKUP($B53,'Nurse Cases'!$B$37:$AX$76,37,0),0)</f>
        <v>12.738888888888889</v>
      </c>
      <c r="L53" s="727">
        <f>IFERROR(VLOOKUP($B53,RegularHours_type1[[Nurse]:[Dec]],14,0)/VLOOKUP($B53,'Nurse Cases'!$B$37:$AX$76,41,0),0)</f>
        <v>11.566666666666666</v>
      </c>
      <c r="M53" s="727">
        <f>IFERROR(VLOOKUP($B53,RegularHours_type1[[Nurse]:[Dec]],15,0)/VLOOKUP($B53,'Nurse Cases'!$B$37:$AX$76,45,0),0)</f>
        <v>0</v>
      </c>
      <c r="N53" s="727">
        <f>IFERROR(VLOOKUP($B53,RegularHours_type1[[Nurse]:[Dec]],16,0)/VLOOKUP($B53,'Nurse Cases'!$B$37:$AX$76,49,0),0)</f>
        <v>0</v>
      </c>
      <c r="O53" s="448"/>
      <c r="P53" s="403"/>
      <c r="Q53" s="448"/>
      <c r="R53" s="543"/>
      <c r="S53" s="448"/>
      <c r="T53" s="403"/>
      <c r="U53" s="448"/>
      <c r="V53" s="403"/>
      <c r="W53" s="448"/>
      <c r="X53" s="403"/>
      <c r="Y53" s="448"/>
      <c r="Z53" s="403"/>
      <c r="AA53" s="448"/>
      <c r="AB53" s="403"/>
      <c r="AC53" s="448"/>
      <c r="AD53" s="403"/>
      <c r="AE53" s="448"/>
      <c r="AF53" s="403"/>
      <c r="AG53" s="448"/>
      <c r="AH53" s="549"/>
      <c r="AI53" s="448"/>
      <c r="AJ53" s="403"/>
      <c r="AK53" s="448"/>
      <c r="AL53" s="549"/>
      <c r="AM53" s="448"/>
      <c r="AN53" s="403"/>
      <c r="AO53" s="448"/>
      <c r="AP53" s="403"/>
      <c r="AQ53" s="448"/>
      <c r="AR53" s="403"/>
      <c r="AS53" s="448"/>
      <c r="AT53" s="549"/>
      <c r="AU53" s="448"/>
      <c r="AV53" s="403"/>
      <c r="AW53" s="448"/>
      <c r="AX53" s="403"/>
      <c r="AZ53" s="550"/>
      <c r="BA53" s="550"/>
      <c r="BB53" s="448"/>
      <c r="BC53" s="551"/>
      <c r="BD53" s="550"/>
      <c r="BE53" s="550"/>
      <c r="BF53" s="448"/>
      <c r="BG53" s="551"/>
      <c r="BH53" s="553"/>
      <c r="BI53" s="550"/>
      <c r="BJ53" s="448"/>
      <c r="BK53" s="551"/>
      <c r="BL53" s="553"/>
      <c r="BM53" s="550"/>
      <c r="BN53" s="448"/>
      <c r="BO53" s="551"/>
      <c r="BP53" s="553"/>
      <c r="BQ53" s="550"/>
      <c r="BR53" s="448"/>
      <c r="BS53" s="551"/>
      <c r="BT53" s="553"/>
      <c r="BU53" s="550"/>
      <c r="BV53" s="448"/>
      <c r="BW53" s="551"/>
      <c r="BX53" s="553"/>
      <c r="BY53" s="550"/>
      <c r="BZ53" s="448"/>
      <c r="CA53" s="551"/>
      <c r="CB53" s="553"/>
      <c r="CC53" s="550"/>
      <c r="CD53" s="448"/>
      <c r="CE53" s="551"/>
      <c r="CF53" s="553"/>
      <c r="CG53" s="550"/>
      <c r="CH53" s="448"/>
      <c r="CI53" s="551"/>
      <c r="CJ53" s="553"/>
      <c r="CK53" s="550"/>
      <c r="CL53" s="448"/>
      <c r="CM53" s="551"/>
      <c r="CN53" s="553"/>
      <c r="CO53" s="550"/>
      <c r="CP53" s="448"/>
      <c r="CQ53" s="551"/>
      <c r="CR53" s="553"/>
      <c r="CS53" s="550"/>
      <c r="CT53" s="448"/>
      <c r="CU53" s="551"/>
    </row>
    <row r="54" spans="2:99" ht="15.5" x14ac:dyDescent="0.35">
      <c r="B54" s="634" t="str">
        <f>'Nurse Hours'!B55</f>
        <v>Erno, Susan</v>
      </c>
      <c r="C54" s="727">
        <f>IFERROR(VLOOKUP($B54,RegularHours_type1[[Nurse]:[Dec]],5,0)/VLOOKUP($B54,'Nurse Cases'!$B$37:$AX$76,5,0),0)</f>
        <v>135.27500000000001</v>
      </c>
      <c r="D54" s="727">
        <f>IFERROR(VLOOKUP($B54,RegularHours_type1[[Nurse]:[Dec]],6,0)/VLOOKUP($B54,'Nurse Cases'!$B$37:$N$76,9,0),0)</f>
        <v>120.6</v>
      </c>
      <c r="E54" s="727">
        <f>IFERROR(VLOOKUP($B54,RegularHours_type1[[Nurse]:[Dec]],7,0)/VLOOKUP($B54,'Nurse Cases'!$B$37:$N$76,13,0),0)</f>
        <v>201.9</v>
      </c>
      <c r="F54" s="727">
        <f>IFERROR(VLOOKUP($B54,RegularHours_type1[[Nurse]:[Dec]],8,0)/VLOOKUP($B54,'Nurse Cases'!$B$37:$AX$76,17,0),0)</f>
        <v>142.75</v>
      </c>
      <c r="G54" s="727">
        <f>IFERROR(VLOOKUP($B54,RegularHours_type1[[Nurse]:[Dec]],9,0)/VLOOKUP($B54,'Nurse Cases'!$B$37:$AX$76,21,0),0)</f>
        <v>226.3</v>
      </c>
      <c r="H54" s="727">
        <f>IFERROR(VLOOKUP($B54,RegularHours_type1[[Nurse]:[Dec]],10,0)/VLOOKUP($B54,'Nurse Cases'!$B$37:$AX$76,25,0),0)</f>
        <v>174.9</v>
      </c>
      <c r="I54" s="727">
        <f>IFERROR(VLOOKUP($B54,RegularHours_type1[[Nurse]:[Dec]],11,0)/VLOOKUP($B54,'Nurse Cases'!$B$37:$AX$76,29,0),0)</f>
        <v>185.4</v>
      </c>
      <c r="J54" s="727">
        <f>IFERROR(VLOOKUP($B54,RegularHours_type1[[Nurse]:[Dec]],12,0)/VLOOKUP($B54,'Nurse Cases'!$B$37:$AX$76,33,0),0)</f>
        <v>0</v>
      </c>
      <c r="K54" s="727">
        <f>IFERROR(VLOOKUP($B54,RegularHours_type1[[Nurse]:[Dec]],13,0)/VLOOKUP($B54,'Nurse Cases'!$B$37:$AX$76,37,0),0)</f>
        <v>0</v>
      </c>
      <c r="L54" s="727">
        <f>IFERROR(VLOOKUP($B54,RegularHours_type1[[Nurse]:[Dec]],14,0)/VLOOKUP($B54,'Nurse Cases'!$B$37:$AX$76,41,0),0)</f>
        <v>0</v>
      </c>
      <c r="M54" s="727">
        <f>IFERROR(VLOOKUP($B54,RegularHours_type1[[Nurse]:[Dec]],15,0)/VLOOKUP($B54,'Nurse Cases'!$B$37:$AX$76,45,0),0)</f>
        <v>0</v>
      </c>
      <c r="N54" s="727">
        <f>IFERROR(VLOOKUP($B54,RegularHours_type1[[Nurse]:[Dec]],16,0)/VLOOKUP($B54,'Nurse Cases'!$B$37:$AX$76,49,0),0)</f>
        <v>0</v>
      </c>
      <c r="O54" s="448"/>
      <c r="P54" s="403"/>
      <c r="Q54" s="448"/>
      <c r="R54" s="543"/>
      <c r="S54" s="448"/>
      <c r="T54" s="403"/>
      <c r="U54" s="448"/>
      <c r="V54" s="403"/>
      <c r="W54" s="448"/>
      <c r="X54" s="403"/>
      <c r="Y54" s="448"/>
      <c r="Z54" s="403"/>
      <c r="AA54" s="448"/>
      <c r="AB54" s="403"/>
      <c r="AC54" s="448"/>
      <c r="AD54" s="403"/>
      <c r="AE54" s="448"/>
      <c r="AF54" s="403"/>
      <c r="AG54" s="448"/>
      <c r="AH54" s="549"/>
      <c r="AI54" s="448"/>
      <c r="AJ54" s="403"/>
      <c r="AK54" s="448"/>
      <c r="AL54" s="549"/>
      <c r="AM54" s="448"/>
      <c r="AN54" s="403"/>
      <c r="AO54" s="448"/>
      <c r="AP54" s="403"/>
      <c r="AQ54" s="448"/>
      <c r="AR54" s="403"/>
      <c r="AS54" s="448"/>
      <c r="AT54" s="549"/>
      <c r="AU54" s="448"/>
      <c r="AV54" s="403"/>
      <c r="AW54" s="448"/>
      <c r="AX54" s="403"/>
      <c r="AZ54" s="550"/>
      <c r="BA54" s="550"/>
      <c r="BB54" s="448"/>
      <c r="BC54" s="551"/>
      <c r="BD54" s="550"/>
      <c r="BE54" s="550"/>
      <c r="BF54" s="448"/>
      <c r="BG54" s="551"/>
      <c r="BH54" s="553"/>
      <c r="BI54" s="550"/>
      <c r="BJ54" s="448"/>
      <c r="BK54" s="551"/>
      <c r="BL54" s="553"/>
      <c r="BM54" s="550"/>
      <c r="BN54" s="448"/>
      <c r="BO54" s="551"/>
      <c r="BP54" s="553"/>
      <c r="BQ54" s="550"/>
      <c r="BR54" s="448"/>
      <c r="BS54" s="551"/>
      <c r="BT54" s="553"/>
      <c r="BU54" s="550"/>
      <c r="BV54" s="448"/>
      <c r="BW54" s="551"/>
      <c r="BX54" s="553"/>
      <c r="BY54" s="550"/>
      <c r="BZ54" s="448"/>
      <c r="CA54" s="551"/>
      <c r="CB54" s="553"/>
      <c r="CC54" s="550"/>
      <c r="CD54" s="448"/>
      <c r="CE54" s="551"/>
      <c r="CF54" s="553"/>
      <c r="CG54" s="550"/>
      <c r="CH54" s="448"/>
      <c r="CI54" s="551"/>
      <c r="CJ54" s="553"/>
      <c r="CK54" s="550"/>
      <c r="CL54" s="448"/>
      <c r="CM54" s="551"/>
      <c r="CN54" s="553"/>
      <c r="CO54" s="550"/>
      <c r="CP54" s="448"/>
      <c r="CQ54" s="551"/>
      <c r="CR54" s="553"/>
      <c r="CS54" s="550"/>
      <c r="CT54" s="448"/>
      <c r="CU54" s="551"/>
    </row>
    <row r="55" spans="2:99" ht="15.5" x14ac:dyDescent="0.35">
      <c r="B55" s="634" t="str">
        <f>'Nurse Hours'!B56</f>
        <v xml:space="preserve">Fortner, Jared </v>
      </c>
      <c r="C55" s="727">
        <f>IFERROR(VLOOKUP($B55,RegularHours_type1[[Nurse]:[Dec]],5,0)/VLOOKUP($B55,'Nurse Cases'!$B$37:$AX$76,5,0),0)</f>
        <v>0</v>
      </c>
      <c r="D55" s="727">
        <f>IFERROR(VLOOKUP($B55,RegularHours_type1[[Nurse]:[Dec]],6,0)/VLOOKUP($B55,'Nurse Cases'!$B$37:$N$76,9,0),0)</f>
        <v>0</v>
      </c>
      <c r="E55" s="727">
        <f>IFERROR(VLOOKUP($B55,RegularHours_type1[[Nurse]:[Dec]],7,0)/VLOOKUP($B55,'Nurse Cases'!$B$37:$N$76,13,0),0)</f>
        <v>0</v>
      </c>
      <c r="F55" s="727">
        <f>IFERROR(VLOOKUP($B55,RegularHours_type1[[Nurse]:[Dec]],8,0)/VLOOKUP($B55,'Nurse Cases'!$B$37:$AX$76,17,0),0)</f>
        <v>0</v>
      </c>
      <c r="G55" s="727">
        <f>IFERROR(VLOOKUP($B55,RegularHours_type1[[Nurse]:[Dec]],9,0)/VLOOKUP($B55,'Nurse Cases'!$B$37:$AX$76,21,0),0)</f>
        <v>0</v>
      </c>
      <c r="H55" s="727">
        <f>IFERROR(VLOOKUP($B55,RegularHours_type1[[Nurse]:[Dec]],10,0)/VLOOKUP($B55,'Nurse Cases'!$B$37:$AX$76,25,0),0)</f>
        <v>6.5555555555555554</v>
      </c>
      <c r="I55" s="727">
        <f>IFERROR(VLOOKUP($B55,RegularHours_type1[[Nurse]:[Dec]],11,0)/VLOOKUP($B55,'Nurse Cases'!$B$37:$AX$76,29,0),0)</f>
        <v>7.6916666666666664</v>
      </c>
      <c r="J55" s="727">
        <f>IFERROR(VLOOKUP($B55,RegularHours_type1[[Nurse]:[Dec]],12,0)/VLOOKUP($B55,'Nurse Cases'!$B$37:$AX$76,33,0),0)</f>
        <v>8</v>
      </c>
      <c r="K55" s="727">
        <f>IFERROR(VLOOKUP($B55,RegularHours_type1[[Nurse]:[Dec]],13,0)/VLOOKUP($B55,'Nurse Cases'!$B$37:$AX$76,37,0),0)</f>
        <v>7.3363636363636369</v>
      </c>
      <c r="L55" s="727">
        <f>IFERROR(VLOOKUP($B55,RegularHours_type1[[Nurse]:[Dec]],14,0)/VLOOKUP($B55,'Nurse Cases'!$B$37:$AX$76,41,0),0)</f>
        <v>6.1368421052631579</v>
      </c>
      <c r="M55" s="727">
        <f>IFERROR(VLOOKUP($B55,RegularHours_type1[[Nurse]:[Dec]],15,0)/VLOOKUP($B55,'Nurse Cases'!$B$37:$AX$76,45,0),0)</f>
        <v>0</v>
      </c>
      <c r="N55" s="727">
        <f>IFERROR(VLOOKUP($B55,RegularHours_type1[[Nurse]:[Dec]],16,0)/VLOOKUP($B55,'Nurse Cases'!$B$37:$AX$76,49,0),0)</f>
        <v>0</v>
      </c>
      <c r="O55" s="448"/>
      <c r="P55" s="403"/>
      <c r="Q55" s="448"/>
      <c r="R55" s="543"/>
      <c r="S55" s="448"/>
      <c r="T55" s="403"/>
      <c r="U55" s="448"/>
      <c r="V55" s="403"/>
      <c r="W55" s="448"/>
      <c r="X55" s="403"/>
      <c r="Y55" s="448"/>
      <c r="Z55" s="403"/>
      <c r="AA55" s="448"/>
      <c r="AB55" s="403"/>
      <c r="AC55" s="448"/>
      <c r="AD55" s="403"/>
      <c r="AE55" s="448"/>
      <c r="AF55" s="403"/>
      <c r="AG55" s="448"/>
      <c r="AH55" s="549"/>
      <c r="AI55" s="448"/>
      <c r="AJ55" s="403"/>
      <c r="AK55" s="448"/>
      <c r="AL55" s="549"/>
      <c r="AM55" s="448"/>
      <c r="AN55" s="403"/>
      <c r="AO55" s="448"/>
      <c r="AP55" s="403"/>
      <c r="AQ55" s="448"/>
      <c r="AR55" s="403"/>
      <c r="AS55" s="448"/>
      <c r="AT55" s="549"/>
      <c r="AU55" s="448"/>
      <c r="AV55" s="403"/>
      <c r="AW55" s="448"/>
      <c r="AX55" s="403"/>
      <c r="AZ55" s="550"/>
      <c r="BA55" s="550"/>
      <c r="BB55" s="448"/>
      <c r="BC55" s="551"/>
      <c r="BD55" s="550"/>
      <c r="BE55" s="550"/>
      <c r="BF55" s="448"/>
      <c r="BG55" s="551"/>
      <c r="BH55" s="553"/>
      <c r="BI55" s="550"/>
      <c r="BJ55" s="448"/>
      <c r="BK55" s="551"/>
      <c r="BL55" s="553"/>
      <c r="BM55" s="550"/>
      <c r="BN55" s="448"/>
      <c r="BO55" s="551"/>
      <c r="BP55" s="553"/>
      <c r="BQ55" s="550"/>
      <c r="BR55" s="448"/>
      <c r="BS55" s="551"/>
      <c r="BT55" s="553"/>
      <c r="BU55" s="550"/>
      <c r="BV55" s="448"/>
      <c r="BW55" s="551"/>
      <c r="BX55" s="553"/>
      <c r="BY55" s="550"/>
      <c r="BZ55" s="448"/>
      <c r="CA55" s="551"/>
      <c r="CB55" s="553"/>
      <c r="CC55" s="550"/>
      <c r="CD55" s="448"/>
      <c r="CE55" s="551"/>
      <c r="CF55" s="553"/>
      <c r="CG55" s="550"/>
      <c r="CH55" s="448"/>
      <c r="CI55" s="551"/>
      <c r="CJ55" s="553"/>
      <c r="CK55" s="550"/>
      <c r="CL55" s="448"/>
      <c r="CM55" s="551"/>
      <c r="CN55" s="553"/>
      <c r="CO55" s="550"/>
      <c r="CP55" s="448"/>
      <c r="CQ55" s="551"/>
      <c r="CR55" s="553"/>
      <c r="CS55" s="550"/>
      <c r="CT55" s="448"/>
      <c r="CU55" s="551"/>
    </row>
    <row r="56" spans="2:99" ht="15.5" x14ac:dyDescent="0.35">
      <c r="B56" s="634" t="str">
        <f>'Nurse Hours'!B57</f>
        <v>Fortner, Michael</v>
      </c>
      <c r="C56" s="727">
        <f>IFERROR(VLOOKUP($B56,RegularHours_type1[[Nurse]:[Dec]],5,0)/VLOOKUP($B56,'Nurse Cases'!$B$37:$AX$76,5,0),0)</f>
        <v>9.9</v>
      </c>
      <c r="D56" s="727">
        <f>IFERROR(VLOOKUP($B56,RegularHours_type1[[Nurse]:[Dec]],6,0)/VLOOKUP($B56,'Nurse Cases'!$B$37:$N$76,9,0),0)</f>
        <v>10.16</v>
      </c>
      <c r="E56" s="727">
        <f>IFERROR(VLOOKUP($B56,RegularHours_type1[[Nurse]:[Dec]],7,0)/VLOOKUP($B56,'Nurse Cases'!$B$37:$N$76,13,0),0)</f>
        <v>12.304347826086957</v>
      </c>
      <c r="F56" s="727">
        <f>IFERROR(VLOOKUP($B56,RegularHours_type1[[Nurse]:[Dec]],8,0)/VLOOKUP($B56,'Nurse Cases'!$B$37:$AX$76,17,0),0)</f>
        <v>13.023809523809524</v>
      </c>
      <c r="G56" s="727">
        <f>IFERROR(VLOOKUP($B56,RegularHours_type1[[Nurse]:[Dec]],9,0)/VLOOKUP($B56,'Nurse Cases'!$B$37:$AX$76,21,0),0)</f>
        <v>12.9</v>
      </c>
      <c r="H56" s="727">
        <f>IFERROR(VLOOKUP($B56,RegularHours_type1[[Nurse]:[Dec]],10,0)/VLOOKUP($B56,'Nurse Cases'!$B$37:$AX$76,25,0),0)</f>
        <v>9.9272727272727277</v>
      </c>
      <c r="I56" s="727">
        <f>IFERROR(VLOOKUP($B56,RegularHours_type1[[Nurse]:[Dec]],11,0)/VLOOKUP($B56,'Nurse Cases'!$B$37:$AX$76,29,0),0)</f>
        <v>11.540909090909091</v>
      </c>
      <c r="J56" s="727">
        <f>IFERROR(VLOOKUP($B56,RegularHours_type1[[Nurse]:[Dec]],12,0)/VLOOKUP($B56,'Nurse Cases'!$B$37:$AX$76,33,0),0)</f>
        <v>10.791304347826086</v>
      </c>
      <c r="K56" s="727">
        <f>IFERROR(VLOOKUP($B56,RegularHours_type1[[Nurse]:[Dec]],13,0)/VLOOKUP($B56,'Nurse Cases'!$B$37:$AX$76,37,0),0)</f>
        <v>11.225</v>
      </c>
      <c r="L56" s="727">
        <f>IFERROR(VLOOKUP($B56,RegularHours_type1[[Nurse]:[Dec]],14,0)/VLOOKUP($B56,'Nurse Cases'!$B$37:$AX$76,41,0),0)</f>
        <v>13.4</v>
      </c>
      <c r="M56" s="727">
        <f>IFERROR(VLOOKUP($B56,RegularHours_type1[[Nurse]:[Dec]],15,0)/VLOOKUP($B56,'Nurse Cases'!$B$37:$AX$76,45,0),0)</f>
        <v>0</v>
      </c>
      <c r="N56" s="727">
        <f>IFERROR(VLOOKUP($B56,RegularHours_type1[[Nurse]:[Dec]],16,0)/VLOOKUP($B56,'Nurse Cases'!$B$37:$AX$76,49,0),0)</f>
        <v>0</v>
      </c>
      <c r="O56" s="448"/>
      <c r="P56" s="403"/>
      <c r="Q56" s="448"/>
      <c r="R56" s="543"/>
      <c r="S56" s="448"/>
      <c r="T56" s="403"/>
      <c r="U56" s="448"/>
      <c r="V56" s="403"/>
      <c r="W56" s="448"/>
      <c r="X56" s="403"/>
      <c r="Y56" s="448"/>
      <c r="Z56" s="403"/>
      <c r="AA56" s="448"/>
      <c r="AB56" s="403"/>
      <c r="AC56" s="448"/>
      <c r="AD56" s="403"/>
      <c r="AE56" s="448"/>
      <c r="AF56" s="403"/>
      <c r="AG56" s="448"/>
      <c r="AH56" s="549"/>
      <c r="AI56" s="448"/>
      <c r="AJ56" s="403"/>
      <c r="AK56" s="448"/>
      <c r="AL56" s="549"/>
      <c r="AM56" s="448"/>
      <c r="AN56" s="403"/>
      <c r="AO56" s="448"/>
      <c r="AP56" s="403"/>
      <c r="AQ56" s="448"/>
      <c r="AR56" s="403"/>
      <c r="AS56" s="448"/>
      <c r="AT56" s="549"/>
      <c r="AU56" s="448"/>
      <c r="AV56" s="403"/>
      <c r="AW56" s="448"/>
      <c r="AX56" s="403"/>
      <c r="AZ56" s="550"/>
      <c r="BA56" s="550"/>
      <c r="BB56" s="448"/>
      <c r="BC56" s="551"/>
      <c r="BD56" s="550"/>
      <c r="BE56" s="550"/>
      <c r="BF56" s="448"/>
      <c r="BG56" s="551"/>
      <c r="BH56" s="553"/>
      <c r="BI56" s="550"/>
      <c r="BJ56" s="448"/>
      <c r="BK56" s="551"/>
      <c r="BL56" s="553"/>
      <c r="BM56" s="550"/>
      <c r="BN56" s="448"/>
      <c r="BO56" s="551"/>
      <c r="BP56" s="553"/>
      <c r="BQ56" s="550"/>
      <c r="BR56" s="448"/>
      <c r="BS56" s="551"/>
      <c r="BT56" s="553"/>
      <c r="BU56" s="550"/>
      <c r="BV56" s="448"/>
      <c r="BW56" s="551"/>
      <c r="BX56" s="553"/>
      <c r="BY56" s="550"/>
      <c r="BZ56" s="448"/>
      <c r="CA56" s="551"/>
      <c r="CB56" s="553"/>
      <c r="CC56" s="550"/>
      <c r="CD56" s="448"/>
      <c r="CE56" s="551"/>
      <c r="CF56" s="553"/>
      <c r="CG56" s="550"/>
      <c r="CH56" s="448"/>
      <c r="CI56" s="551"/>
      <c r="CJ56" s="553"/>
      <c r="CK56" s="550"/>
      <c r="CL56" s="448"/>
      <c r="CM56" s="551"/>
      <c r="CN56" s="553"/>
      <c r="CO56" s="550"/>
      <c r="CP56" s="448"/>
      <c r="CQ56" s="551"/>
      <c r="CR56" s="553"/>
      <c r="CS56" s="550"/>
      <c r="CT56" s="448"/>
      <c r="CU56" s="551"/>
    </row>
    <row r="57" spans="2:99" ht="15.5" x14ac:dyDescent="0.35">
      <c r="B57" s="634" t="str">
        <f>'Nurse Hours'!B58</f>
        <v>Garrett, Holly</v>
      </c>
      <c r="C57" s="727">
        <f>IFERROR(VLOOKUP($B57,RegularHours_type1[[Nurse]:[Dec]],5,0)/VLOOKUP($B57,'Nurse Cases'!$B$37:$AX$76,5,0),0)</f>
        <v>12.129999999999999</v>
      </c>
      <c r="D57" s="727">
        <f>IFERROR(VLOOKUP($B57,RegularHours_type1[[Nurse]:[Dec]],6,0)/VLOOKUP($B57,'Nurse Cases'!$B$37:$N$76,9,0),0)</f>
        <v>13.235714285714286</v>
      </c>
      <c r="E57" s="727">
        <f>IFERROR(VLOOKUP($B57,RegularHours_type1[[Nurse]:[Dec]],7,0)/VLOOKUP($B57,'Nurse Cases'!$B$37:$N$76,13,0),0)</f>
        <v>14.392307692307693</v>
      </c>
      <c r="F57" s="727">
        <f>IFERROR(VLOOKUP($B57,RegularHours_type1[[Nurse]:[Dec]],8,0)/VLOOKUP($B57,'Nurse Cases'!$B$37:$AX$76,17,0),0)</f>
        <v>16.646153846153847</v>
      </c>
      <c r="G57" s="727">
        <f>IFERROR(VLOOKUP($B57,RegularHours_type1[[Nurse]:[Dec]],9,0)/VLOOKUP($B57,'Nurse Cases'!$B$37:$AX$76,21,0),0)</f>
        <v>16.574999999999999</v>
      </c>
      <c r="H57" s="727">
        <f>IFERROR(VLOOKUP($B57,RegularHours_type1[[Nurse]:[Dec]],10,0)/VLOOKUP($B57,'Nurse Cases'!$B$37:$AX$76,25,0),0)</f>
        <v>10.533333333333333</v>
      </c>
      <c r="I57" s="727">
        <f>IFERROR(VLOOKUP($B57,RegularHours_type1[[Nurse]:[Dec]],11,0)/VLOOKUP($B57,'Nurse Cases'!$B$37:$AX$76,29,0),0)</f>
        <v>9.8571428571428577</v>
      </c>
      <c r="J57" s="727">
        <f>IFERROR(VLOOKUP($B57,RegularHours_type1[[Nurse]:[Dec]],12,0)/VLOOKUP($B57,'Nurse Cases'!$B$37:$AX$76,33,0),0)</f>
        <v>7.8190476190476188</v>
      </c>
      <c r="K57" s="727">
        <f>IFERROR(VLOOKUP($B57,RegularHours_type1[[Nurse]:[Dec]],13,0)/VLOOKUP($B57,'Nurse Cases'!$B$37:$AX$76,37,0),0)</f>
        <v>9.6999999999999993</v>
      </c>
      <c r="L57" s="727">
        <f>IFERROR(VLOOKUP($B57,RegularHours_type1[[Nurse]:[Dec]],14,0)/VLOOKUP($B57,'Nurse Cases'!$B$37:$AX$76,41,0),0)</f>
        <v>0</v>
      </c>
      <c r="M57" s="727">
        <f>IFERROR(VLOOKUP($B57,RegularHours_type1[[Nurse]:[Dec]],15,0)/VLOOKUP($B57,'Nurse Cases'!$B$37:$AX$76,45,0),0)</f>
        <v>0</v>
      </c>
      <c r="N57" s="727">
        <f>IFERROR(VLOOKUP($B57,RegularHours_type1[[Nurse]:[Dec]],16,0)/VLOOKUP($B57,'Nurse Cases'!$B$37:$AX$76,49,0),0)</f>
        <v>0</v>
      </c>
      <c r="O57" s="448"/>
      <c r="P57" s="403"/>
      <c r="Q57" s="448"/>
      <c r="R57" s="543"/>
      <c r="S57" s="448"/>
      <c r="T57" s="403"/>
      <c r="U57" s="448"/>
      <c r="V57" s="403"/>
      <c r="W57" s="448"/>
      <c r="X57" s="403"/>
      <c r="Y57" s="448"/>
      <c r="Z57" s="403"/>
      <c r="AA57" s="448"/>
      <c r="AB57" s="403"/>
      <c r="AC57" s="448"/>
      <c r="AD57" s="403"/>
      <c r="AE57" s="448"/>
      <c r="AF57" s="403"/>
      <c r="AG57" s="448"/>
      <c r="AH57" s="549"/>
      <c r="AI57" s="448"/>
      <c r="AJ57" s="403"/>
      <c r="AK57" s="448"/>
      <c r="AL57" s="549"/>
      <c r="AM57" s="448"/>
      <c r="AN57" s="403"/>
      <c r="AO57" s="448"/>
      <c r="AP57" s="403"/>
      <c r="AQ57" s="448"/>
      <c r="AR57" s="403"/>
      <c r="AS57" s="448"/>
      <c r="AT57" s="549"/>
      <c r="AU57" s="448"/>
      <c r="AV57" s="403"/>
      <c r="AW57" s="448"/>
      <c r="AX57" s="403"/>
      <c r="AZ57" s="550"/>
      <c r="BA57" s="550"/>
      <c r="BB57" s="448"/>
      <c r="BC57" s="551"/>
      <c r="BD57" s="550"/>
      <c r="BE57" s="550"/>
      <c r="BF57" s="448"/>
      <c r="BG57" s="551"/>
      <c r="BH57" s="553"/>
      <c r="BI57" s="550"/>
      <c r="BJ57" s="448"/>
      <c r="BK57" s="551"/>
      <c r="BL57" s="553"/>
      <c r="BM57" s="550"/>
      <c r="BN57" s="448"/>
      <c r="BO57" s="551"/>
      <c r="BP57" s="553"/>
      <c r="BQ57" s="550"/>
      <c r="BR57" s="448"/>
      <c r="BS57" s="551"/>
      <c r="BT57" s="553"/>
      <c r="BU57" s="550"/>
      <c r="BV57" s="448"/>
      <c r="BW57" s="551"/>
      <c r="BX57" s="553"/>
      <c r="BY57" s="550"/>
      <c r="BZ57" s="448"/>
      <c r="CA57" s="551"/>
      <c r="CB57" s="553"/>
      <c r="CC57" s="550"/>
      <c r="CD57" s="448"/>
      <c r="CE57" s="551"/>
      <c r="CF57" s="553"/>
      <c r="CG57" s="550"/>
      <c r="CH57" s="448"/>
      <c r="CI57" s="551"/>
      <c r="CJ57" s="553"/>
      <c r="CK57" s="550"/>
      <c r="CL57" s="448"/>
      <c r="CM57" s="551"/>
      <c r="CN57" s="553"/>
      <c r="CO57" s="550"/>
      <c r="CP57" s="448"/>
      <c r="CQ57" s="551"/>
      <c r="CR57" s="553"/>
      <c r="CS57" s="550"/>
      <c r="CT57" s="448"/>
      <c r="CU57" s="551"/>
    </row>
    <row r="58" spans="2:99" ht="15.5" x14ac:dyDescent="0.35">
      <c r="B58" s="634" t="str">
        <f>'Nurse Hours'!B59</f>
        <v>Gietzen, Shelby</v>
      </c>
      <c r="C58" s="727">
        <f>IFERROR(VLOOKUP($B58,RegularHours_type1[[Nurse]:[Dec]],5,0)/VLOOKUP($B58,'Nurse Cases'!$B$37:$AX$76,5,0),0)</f>
        <v>12.085714285714285</v>
      </c>
      <c r="D58" s="727">
        <f>IFERROR(VLOOKUP($B58,RegularHours_type1[[Nurse]:[Dec]],6,0)/VLOOKUP($B58,'Nurse Cases'!$B$37:$N$76,9,0),0)</f>
        <v>8.980952380952381</v>
      </c>
      <c r="E58" s="727">
        <f>IFERROR(VLOOKUP($B58,RegularHours_type1[[Nurse]:[Dec]],7,0)/VLOOKUP($B58,'Nurse Cases'!$B$37:$N$76,13,0),0)</f>
        <v>9.9235294117647044</v>
      </c>
      <c r="F58" s="727">
        <f>IFERROR(VLOOKUP($B58,RegularHours_type1[[Nurse]:[Dec]],8,0)/VLOOKUP($B58,'Nurse Cases'!$B$37:$AX$76,17,0),0)</f>
        <v>8.5062499999999996</v>
      </c>
      <c r="G58" s="727">
        <f>IFERROR(VLOOKUP($B58,RegularHours_type1[[Nurse]:[Dec]],9,0)/VLOOKUP($B58,'Nurse Cases'!$B$37:$AX$76,21,0),0)</f>
        <v>11.414285714285715</v>
      </c>
      <c r="H58" s="727">
        <f>IFERROR(VLOOKUP($B58,RegularHours_type1[[Nurse]:[Dec]],10,0)/VLOOKUP($B58,'Nurse Cases'!$B$37:$AX$76,25,0),0)</f>
        <v>9.7083333333333339</v>
      </c>
      <c r="I58" s="727">
        <f>IFERROR(VLOOKUP($B58,RegularHours_type1[[Nurse]:[Dec]],11,0)/VLOOKUP($B58,'Nurse Cases'!$B$37:$AX$76,29,0),0)</f>
        <v>10.45</v>
      </c>
      <c r="J58" s="727">
        <f>IFERROR(VLOOKUP($B58,RegularHours_type1[[Nurse]:[Dec]],12,0)/VLOOKUP($B58,'Nurse Cases'!$B$37:$AX$76,33,0),0)</f>
        <v>6.5333333333333341</v>
      </c>
      <c r="K58" s="727">
        <f>IFERROR(VLOOKUP($B58,RegularHours_type1[[Nurse]:[Dec]],13,0)/VLOOKUP($B58,'Nurse Cases'!$B$37:$AX$76,37,0),0)</f>
        <v>7.4285714285714288</v>
      </c>
      <c r="L58" s="727">
        <f>IFERROR(VLOOKUP($B58,RegularHours_type1[[Nurse]:[Dec]],14,0)/VLOOKUP($B58,'Nurse Cases'!$B$37:$AX$76,41,0),0)</f>
        <v>8.2428571428571438</v>
      </c>
      <c r="M58" s="727">
        <f>IFERROR(VLOOKUP($B58,RegularHours_type1[[Nurse]:[Dec]],15,0)/VLOOKUP($B58,'Nurse Cases'!$B$37:$AX$76,45,0),0)</f>
        <v>0</v>
      </c>
      <c r="N58" s="727">
        <f>IFERROR(VLOOKUP($B58,RegularHours_type1[[Nurse]:[Dec]],16,0)/VLOOKUP($B58,'Nurse Cases'!$B$37:$AX$76,49,0),0)</f>
        <v>0</v>
      </c>
      <c r="O58" s="448"/>
      <c r="P58" s="403"/>
      <c r="Q58" s="448"/>
      <c r="R58" s="543"/>
      <c r="S58" s="448"/>
      <c r="T58" s="403"/>
      <c r="U58" s="448"/>
      <c r="V58" s="403"/>
      <c r="W58" s="448"/>
      <c r="X58" s="403"/>
      <c r="Y58" s="448"/>
      <c r="Z58" s="403"/>
      <c r="AA58" s="448"/>
      <c r="AB58" s="403"/>
      <c r="AC58" s="448"/>
      <c r="AD58" s="403"/>
      <c r="AE58" s="448"/>
      <c r="AF58" s="403"/>
      <c r="AG58" s="448"/>
      <c r="AH58" s="549"/>
      <c r="AI58" s="448"/>
      <c r="AJ58" s="403"/>
      <c r="AK58" s="448"/>
      <c r="AL58" s="549"/>
      <c r="AM58" s="448"/>
      <c r="AN58" s="403"/>
      <c r="AO58" s="448"/>
      <c r="AP58" s="403"/>
      <c r="AQ58" s="448"/>
      <c r="AR58" s="403"/>
      <c r="AS58" s="448"/>
      <c r="AT58" s="549"/>
      <c r="AU58" s="448"/>
      <c r="AV58" s="403"/>
      <c r="AW58" s="448"/>
      <c r="AX58" s="403"/>
      <c r="AZ58" s="550"/>
      <c r="BA58" s="550"/>
      <c r="BB58" s="448"/>
      <c r="BC58" s="551"/>
      <c r="BD58" s="550"/>
      <c r="BE58" s="550"/>
      <c r="BF58" s="448"/>
      <c r="BG58" s="551"/>
      <c r="BH58" s="553"/>
      <c r="BI58" s="550"/>
      <c r="BJ58" s="448"/>
      <c r="BK58" s="551"/>
      <c r="BL58" s="553"/>
      <c r="BM58" s="550"/>
      <c r="BN58" s="448"/>
      <c r="BO58" s="551"/>
      <c r="BP58" s="553"/>
      <c r="BQ58" s="550"/>
      <c r="BR58" s="448"/>
      <c r="BS58" s="551"/>
      <c r="BT58" s="553"/>
      <c r="BU58" s="550"/>
      <c r="BV58" s="448"/>
      <c r="BW58" s="551"/>
      <c r="BX58" s="553"/>
      <c r="BY58" s="550"/>
      <c r="BZ58" s="448"/>
      <c r="CA58" s="551"/>
      <c r="CB58" s="553"/>
      <c r="CC58" s="550"/>
      <c r="CD58" s="448"/>
      <c r="CE58" s="551"/>
      <c r="CF58" s="553"/>
      <c r="CG58" s="550"/>
      <c r="CH58" s="448"/>
      <c r="CI58" s="551"/>
      <c r="CJ58" s="553"/>
      <c r="CK58" s="550"/>
      <c r="CL58" s="448"/>
      <c r="CM58" s="551"/>
      <c r="CN58" s="553"/>
      <c r="CO58" s="550"/>
      <c r="CP58" s="448"/>
      <c r="CQ58" s="551"/>
      <c r="CR58" s="553"/>
      <c r="CS58" s="550"/>
      <c r="CT58" s="448"/>
      <c r="CU58" s="551"/>
    </row>
    <row r="59" spans="2:99" ht="15.5" x14ac:dyDescent="0.35">
      <c r="B59" s="634" t="str">
        <f>'Nurse Hours'!B60</f>
        <v>Gill, Manpreet</v>
      </c>
      <c r="C59" s="727">
        <f>IFERROR(VLOOKUP($B59,RegularHours_type1[[Nurse]:[Dec]],5,0)/VLOOKUP($B59,'Nurse Cases'!$B$37:$AX$76,5,0),0)</f>
        <v>10.095833333333333</v>
      </c>
      <c r="D59" s="727">
        <f>IFERROR(VLOOKUP($B59,RegularHours_type1[[Nurse]:[Dec]],6,0)/VLOOKUP($B59,'Nurse Cases'!$B$37:$N$76,9,0),0)</f>
        <v>8.5120000000000005</v>
      </c>
      <c r="E59" s="727">
        <f>IFERROR(VLOOKUP($B59,RegularHours_type1[[Nurse]:[Dec]],7,0)/VLOOKUP($B59,'Nurse Cases'!$B$37:$N$76,13,0),0)</f>
        <v>9.8583333333333325</v>
      </c>
      <c r="F59" s="727">
        <f>IFERROR(VLOOKUP($B59,RegularHours_type1[[Nurse]:[Dec]],8,0)/VLOOKUP($B59,'Nurse Cases'!$B$37:$AX$76,17,0),0)</f>
        <v>8.7739130434782613</v>
      </c>
      <c r="G59" s="727">
        <f>IFERROR(VLOOKUP($B59,RegularHours_type1[[Nurse]:[Dec]],9,0)/VLOOKUP($B59,'Nurse Cases'!$B$37:$AX$76,21,0),0)</f>
        <v>10.372727272727273</v>
      </c>
      <c r="H59" s="727">
        <f>IFERROR(VLOOKUP($B59,RegularHours_type1[[Nurse]:[Dec]],10,0)/VLOOKUP($B59,'Nurse Cases'!$B$37:$AX$76,25,0),0)</f>
        <v>9.8904761904761891</v>
      </c>
      <c r="I59" s="727">
        <f>IFERROR(VLOOKUP($B59,RegularHours_type1[[Nurse]:[Dec]],11,0)/VLOOKUP($B59,'Nurse Cases'!$B$37:$AX$76,29,0),0)</f>
        <v>10.160869565217391</v>
      </c>
      <c r="J59" s="727">
        <f>IFERROR(VLOOKUP($B59,RegularHours_type1[[Nurse]:[Dec]],12,0)/VLOOKUP($B59,'Nurse Cases'!$B$37:$AX$76,33,0),0)</f>
        <v>10.540909090909091</v>
      </c>
      <c r="K59" s="727">
        <f>IFERROR(VLOOKUP($B59,RegularHours_type1[[Nurse]:[Dec]],13,0)/VLOOKUP($B59,'Nurse Cases'!$B$37:$AX$76,37,0),0)</f>
        <v>11.555555555555555</v>
      </c>
      <c r="L59" s="727">
        <f>IFERROR(VLOOKUP($B59,RegularHours_type1[[Nurse]:[Dec]],14,0)/VLOOKUP($B59,'Nurse Cases'!$B$37:$AX$76,41,0),0)</f>
        <v>14.866666666666667</v>
      </c>
      <c r="M59" s="727">
        <f>IFERROR(VLOOKUP($B59,RegularHours_type1[[Nurse]:[Dec]],15,0)/VLOOKUP($B59,'Nurse Cases'!$B$37:$AX$76,45,0),0)</f>
        <v>0</v>
      </c>
      <c r="N59" s="727">
        <f>IFERROR(VLOOKUP($B59,RegularHours_type1[[Nurse]:[Dec]],16,0)/VLOOKUP($B59,'Nurse Cases'!$B$37:$AX$76,49,0),0)</f>
        <v>0</v>
      </c>
      <c r="O59" s="448"/>
      <c r="P59" s="403"/>
      <c r="Q59" s="448"/>
      <c r="R59" s="543"/>
      <c r="S59" s="448"/>
      <c r="T59" s="403"/>
      <c r="U59" s="448"/>
      <c r="V59" s="403"/>
      <c r="W59" s="448"/>
      <c r="X59" s="403"/>
      <c r="Y59" s="448"/>
      <c r="Z59" s="403"/>
      <c r="AA59" s="448"/>
      <c r="AB59" s="403"/>
      <c r="AC59" s="448"/>
      <c r="AD59" s="403"/>
      <c r="AE59" s="448"/>
      <c r="AF59" s="403"/>
      <c r="AG59" s="448"/>
      <c r="AH59" s="549"/>
      <c r="AI59" s="448"/>
      <c r="AJ59" s="403"/>
      <c r="AK59" s="448"/>
      <c r="AL59" s="549"/>
      <c r="AM59" s="448"/>
      <c r="AN59" s="403"/>
      <c r="AO59" s="448"/>
      <c r="AP59" s="403"/>
      <c r="AQ59" s="448"/>
      <c r="AR59" s="403"/>
      <c r="AS59" s="448"/>
      <c r="AT59" s="549"/>
      <c r="AU59" s="448"/>
      <c r="AV59" s="403"/>
      <c r="AW59" s="448"/>
      <c r="AX59" s="403"/>
      <c r="AZ59" s="550"/>
      <c r="BA59" s="550"/>
      <c r="BB59" s="448"/>
      <c r="BC59" s="551"/>
      <c r="BD59" s="550"/>
      <c r="BE59" s="550"/>
      <c r="BF59" s="448"/>
      <c r="BG59" s="551"/>
      <c r="BH59" s="553"/>
      <c r="BI59" s="550"/>
      <c r="BJ59" s="448"/>
      <c r="BK59" s="551"/>
      <c r="BL59" s="553"/>
      <c r="BM59" s="550"/>
      <c r="BN59" s="448"/>
      <c r="BO59" s="551"/>
      <c r="BP59" s="553"/>
      <c r="BQ59" s="550"/>
      <c r="BR59" s="448"/>
      <c r="BS59" s="551"/>
      <c r="BT59" s="553"/>
      <c r="BU59" s="550"/>
      <c r="BV59" s="448"/>
      <c r="BW59" s="551"/>
      <c r="BX59" s="553"/>
      <c r="BY59" s="550"/>
      <c r="BZ59" s="448"/>
      <c r="CA59" s="551"/>
      <c r="CB59" s="553"/>
      <c r="CC59" s="550"/>
      <c r="CD59" s="448"/>
      <c r="CE59" s="551"/>
      <c r="CF59" s="553"/>
      <c r="CG59" s="550"/>
      <c r="CH59" s="448"/>
      <c r="CI59" s="551"/>
      <c r="CJ59" s="553"/>
      <c r="CK59" s="550"/>
      <c r="CL59" s="448"/>
      <c r="CM59" s="551"/>
      <c r="CN59" s="553"/>
      <c r="CO59" s="550"/>
      <c r="CP59" s="448"/>
      <c r="CQ59" s="551"/>
      <c r="CR59" s="553"/>
      <c r="CS59" s="550"/>
      <c r="CT59" s="448"/>
      <c r="CU59" s="551"/>
    </row>
    <row r="60" spans="2:99" ht="15.5" x14ac:dyDescent="0.35">
      <c r="B60" s="634" t="str">
        <f>'Nurse Hours'!B61</f>
        <v>Grant, Scotti</v>
      </c>
      <c r="C60" s="727">
        <f>IFERROR(VLOOKUP($B60,RegularHours_type1[[Nurse]:[Dec]],5,0)/VLOOKUP($B60,'Nurse Cases'!$B$37:$AX$76,5,0),0)</f>
        <v>42.8</v>
      </c>
      <c r="D60" s="727">
        <f>IFERROR(VLOOKUP($B60,RegularHours_type1[[Nurse]:[Dec]],6,0)/VLOOKUP($B60,'Nurse Cases'!$B$37:$N$76,9,0),0)</f>
        <v>22.4375</v>
      </c>
      <c r="E60" s="727">
        <f>IFERROR(VLOOKUP($B60,RegularHours_type1[[Nurse]:[Dec]],7,0)/VLOOKUP($B60,'Nurse Cases'!$B$37:$N$76,13,0),0)</f>
        <v>15.857142857142858</v>
      </c>
      <c r="F60" s="727">
        <f>IFERROR(VLOOKUP($B60,RegularHours_type1[[Nurse]:[Dec]],8,0)/VLOOKUP($B60,'Nurse Cases'!$B$37:$AX$76,17,0),0)</f>
        <v>11.675000000000001</v>
      </c>
      <c r="G60" s="727">
        <f>IFERROR(VLOOKUP($B60,RegularHours_type1[[Nurse]:[Dec]],9,0)/VLOOKUP($B60,'Nurse Cases'!$B$37:$AX$76,21,0),0)</f>
        <v>48.233333333333327</v>
      </c>
      <c r="H60" s="727">
        <f>IFERROR(VLOOKUP($B60,RegularHours_type1[[Nurse]:[Dec]],10,0)/VLOOKUP($B60,'Nurse Cases'!$B$37:$AX$76,25,0),0)</f>
        <v>20.05</v>
      </c>
      <c r="I60" s="727">
        <f>IFERROR(VLOOKUP($B60,RegularHours_type1[[Nurse]:[Dec]],11,0)/VLOOKUP($B60,'Nurse Cases'!$B$37:$AX$76,29,0),0)</f>
        <v>17.883333333333333</v>
      </c>
      <c r="J60" s="727">
        <f>IFERROR(VLOOKUP($B60,RegularHours_type1[[Nurse]:[Dec]],12,0)/VLOOKUP($B60,'Nurse Cases'!$B$37:$AX$76,33,0),0)</f>
        <v>23.533333333333331</v>
      </c>
      <c r="K60" s="727">
        <f>IFERROR(VLOOKUP($B60,RegularHours_type1[[Nurse]:[Dec]],13,0)/VLOOKUP($B60,'Nurse Cases'!$B$37:$AX$76,37,0),0)</f>
        <v>58.3</v>
      </c>
      <c r="L60" s="727">
        <f>IFERROR(VLOOKUP($B60,RegularHours_type1[[Nurse]:[Dec]],14,0)/VLOOKUP($B60,'Nurse Cases'!$B$37:$AX$76,41,0),0)</f>
        <v>0</v>
      </c>
      <c r="M60" s="727">
        <f>IFERROR(VLOOKUP($B60,RegularHours_type1[[Nurse]:[Dec]],15,0)/VLOOKUP($B60,'Nurse Cases'!$B$37:$AX$76,45,0),0)</f>
        <v>0</v>
      </c>
      <c r="N60" s="727">
        <f>IFERROR(VLOOKUP($B60,RegularHours_type1[[Nurse]:[Dec]],16,0)/VLOOKUP($B60,'Nurse Cases'!$B$37:$AX$76,49,0),0)</f>
        <v>0</v>
      </c>
      <c r="O60" s="448"/>
      <c r="P60" s="403"/>
      <c r="Q60" s="448"/>
      <c r="R60" s="543"/>
      <c r="S60" s="448"/>
      <c r="T60" s="403"/>
      <c r="U60" s="448"/>
      <c r="V60" s="403"/>
      <c r="W60" s="448"/>
      <c r="X60" s="403"/>
      <c r="Y60" s="448"/>
      <c r="Z60" s="403"/>
      <c r="AA60" s="448"/>
      <c r="AB60" s="403"/>
      <c r="AC60" s="448"/>
      <c r="AD60" s="403"/>
      <c r="AE60" s="448"/>
      <c r="AF60" s="403"/>
      <c r="AG60" s="448"/>
      <c r="AH60" s="549"/>
      <c r="AI60" s="448"/>
      <c r="AJ60" s="403"/>
      <c r="AK60" s="448"/>
      <c r="AL60" s="549"/>
      <c r="AM60" s="448"/>
      <c r="AN60" s="403"/>
      <c r="AO60" s="448"/>
      <c r="AP60" s="403"/>
      <c r="AQ60" s="448"/>
      <c r="AR60" s="403"/>
      <c r="AS60" s="448"/>
      <c r="AT60" s="549"/>
      <c r="AU60" s="448"/>
      <c r="AV60" s="403"/>
      <c r="AW60" s="448"/>
      <c r="AX60" s="403"/>
      <c r="AZ60" s="550"/>
      <c r="BA60" s="550"/>
      <c r="BB60" s="448"/>
      <c r="BC60" s="551"/>
      <c r="BD60" s="550"/>
      <c r="BE60" s="550"/>
      <c r="BF60" s="448"/>
      <c r="BG60" s="551"/>
      <c r="BH60" s="553"/>
      <c r="BI60" s="550"/>
      <c r="BJ60" s="448"/>
      <c r="BK60" s="551"/>
      <c r="BL60" s="553"/>
      <c r="BM60" s="550"/>
      <c r="BN60" s="448"/>
      <c r="BO60" s="551"/>
      <c r="BP60" s="553"/>
      <c r="BQ60" s="550"/>
      <c r="BR60" s="448"/>
      <c r="BS60" s="551"/>
      <c r="BT60" s="553"/>
      <c r="BU60" s="550"/>
      <c r="BV60" s="448"/>
      <c r="BW60" s="551"/>
      <c r="BX60" s="553"/>
      <c r="BY60" s="550"/>
      <c r="BZ60" s="448"/>
      <c r="CA60" s="551"/>
      <c r="CB60" s="553"/>
      <c r="CC60" s="550"/>
      <c r="CD60" s="448"/>
      <c r="CE60" s="551"/>
      <c r="CF60" s="553"/>
      <c r="CG60" s="550"/>
      <c r="CH60" s="448"/>
      <c r="CI60" s="551"/>
      <c r="CJ60" s="553"/>
      <c r="CK60" s="550"/>
      <c r="CL60" s="448"/>
      <c r="CM60" s="551"/>
      <c r="CN60" s="553"/>
      <c r="CO60" s="550"/>
      <c r="CP60" s="448"/>
      <c r="CQ60" s="551"/>
      <c r="CR60" s="553"/>
      <c r="CS60" s="550"/>
      <c r="CT60" s="448"/>
      <c r="CU60" s="551"/>
    </row>
    <row r="61" spans="2:99" ht="15.5" x14ac:dyDescent="0.35">
      <c r="B61" s="634" t="str">
        <f>'Nurse Hours'!B62</f>
        <v>Habra, Cecilia</v>
      </c>
      <c r="C61" s="727">
        <f>IFERROR(VLOOKUP($B61,RegularHours_type1[[Nurse]:[Dec]],5,0)/VLOOKUP($B61,'Nurse Cases'!$B$37:$AX$76,5,0),0)</f>
        <v>0</v>
      </c>
      <c r="D61" s="727">
        <f>IFERROR(VLOOKUP($B61,RegularHours_type1[[Nurse]:[Dec]],6,0)/VLOOKUP($B61,'Nurse Cases'!$B$37:$N$76,9,0),0)</f>
        <v>0</v>
      </c>
      <c r="E61" s="727">
        <f>IFERROR(VLOOKUP($B61,RegularHours_type1[[Nurse]:[Dec]],7,0)/VLOOKUP($B61,'Nurse Cases'!$B$37:$N$76,13,0),0)</f>
        <v>0</v>
      </c>
      <c r="F61" s="727">
        <f>IFERROR(VLOOKUP($B61,RegularHours_type1[[Nurse]:[Dec]],8,0)/VLOOKUP($B61,'Nurse Cases'!$B$37:$AX$76,17,0),0)</f>
        <v>0</v>
      </c>
      <c r="G61" s="727">
        <f>IFERROR(VLOOKUP($B61,RegularHours_type1[[Nurse]:[Dec]],9,0)/VLOOKUP($B61,'Nurse Cases'!$B$37:$AX$76,21,0),0)</f>
        <v>0</v>
      </c>
      <c r="H61" s="727">
        <f>IFERROR(VLOOKUP($B61,RegularHours_type1[[Nurse]:[Dec]],10,0)/VLOOKUP($B61,'Nurse Cases'!$B$37:$AX$76,25,0),0)</f>
        <v>0</v>
      </c>
      <c r="I61" s="727">
        <f>IFERROR(VLOOKUP($B61,RegularHours_type1[[Nurse]:[Dec]],11,0)/VLOOKUP($B61,'Nurse Cases'!$B$37:$AX$76,29,0),0)</f>
        <v>0</v>
      </c>
      <c r="J61" s="727">
        <f>IFERROR(VLOOKUP($B61,RegularHours_type1[[Nurse]:[Dec]],12,0)/VLOOKUP($B61,'Nurse Cases'!$B$37:$AX$76,33,0),0)</f>
        <v>0</v>
      </c>
      <c r="K61" s="727">
        <f>IFERROR(VLOOKUP($B61,RegularHours_type1[[Nurse]:[Dec]],13,0)/VLOOKUP($B61,'Nurse Cases'!$B$37:$AX$76,37,0),0)</f>
        <v>0</v>
      </c>
      <c r="L61" s="727">
        <f>IFERROR(VLOOKUP($B61,RegularHours_type1[[Nurse]:[Dec]],14,0)/VLOOKUP($B61,'Nurse Cases'!$B$37:$AX$76,41,0),0)</f>
        <v>280.60000000000002</v>
      </c>
      <c r="M61" s="727">
        <f>IFERROR(VLOOKUP($B61,RegularHours_type1[[Nurse]:[Dec]],15,0)/VLOOKUP($B61,'Nurse Cases'!$B$37:$AX$76,45,0),0)</f>
        <v>0</v>
      </c>
      <c r="N61" s="727">
        <f>IFERROR(VLOOKUP($B61,RegularHours_type1[[Nurse]:[Dec]],16,0)/VLOOKUP($B61,'Nurse Cases'!$B$37:$AX$76,49,0),0)</f>
        <v>0</v>
      </c>
      <c r="O61" s="448"/>
      <c r="P61" s="403"/>
      <c r="Q61" s="448"/>
      <c r="R61" s="543"/>
      <c r="S61" s="448"/>
      <c r="T61" s="403"/>
      <c r="U61" s="448"/>
      <c r="V61" s="403"/>
      <c r="W61" s="448"/>
      <c r="X61" s="403"/>
      <c r="Y61" s="448"/>
      <c r="Z61" s="403"/>
      <c r="AA61" s="448"/>
      <c r="AB61" s="403"/>
      <c r="AC61" s="448"/>
      <c r="AD61" s="403"/>
      <c r="AE61" s="448"/>
      <c r="AF61" s="403"/>
      <c r="AG61" s="448"/>
      <c r="AH61" s="549"/>
      <c r="AI61" s="448"/>
      <c r="AJ61" s="403"/>
      <c r="AK61" s="448"/>
      <c r="AL61" s="549"/>
      <c r="AM61" s="448"/>
      <c r="AN61" s="403"/>
      <c r="AO61" s="448"/>
      <c r="AP61" s="403"/>
      <c r="AQ61" s="448"/>
      <c r="AR61" s="403"/>
      <c r="AS61" s="448"/>
      <c r="AT61" s="549"/>
      <c r="AU61" s="448"/>
      <c r="AV61" s="403"/>
      <c r="AW61" s="448"/>
      <c r="AX61" s="403"/>
      <c r="AZ61" s="550"/>
      <c r="BA61" s="550"/>
      <c r="BB61" s="448"/>
      <c r="BC61" s="551"/>
      <c r="BD61" s="550"/>
      <c r="BE61" s="550"/>
      <c r="BF61" s="448"/>
      <c r="BG61" s="551"/>
      <c r="BH61" s="553"/>
      <c r="BI61" s="550"/>
      <c r="BJ61" s="448"/>
      <c r="BK61" s="551"/>
      <c r="BL61" s="553"/>
      <c r="BM61" s="550"/>
      <c r="BN61" s="448"/>
      <c r="BO61" s="551"/>
      <c r="BP61" s="553"/>
      <c r="BQ61" s="550"/>
      <c r="BR61" s="448"/>
      <c r="BS61" s="551"/>
      <c r="BT61" s="553"/>
      <c r="BU61" s="550"/>
      <c r="BV61" s="448"/>
      <c r="BW61" s="551"/>
      <c r="BX61" s="553"/>
      <c r="BY61" s="550"/>
      <c r="BZ61" s="448"/>
      <c r="CA61" s="551"/>
      <c r="CB61" s="553"/>
      <c r="CC61" s="550"/>
      <c r="CD61" s="448"/>
      <c r="CE61" s="551"/>
      <c r="CF61" s="553"/>
      <c r="CG61" s="550"/>
      <c r="CH61" s="448"/>
      <c r="CI61" s="551"/>
      <c r="CJ61" s="553"/>
      <c r="CK61" s="550"/>
      <c r="CL61" s="448"/>
      <c r="CM61" s="551"/>
      <c r="CN61" s="553"/>
      <c r="CO61" s="550"/>
      <c r="CP61" s="448"/>
      <c r="CQ61" s="551"/>
      <c r="CR61" s="553"/>
      <c r="CS61" s="550"/>
      <c r="CT61" s="448"/>
      <c r="CU61" s="551"/>
    </row>
    <row r="62" spans="2:99" ht="15.5" x14ac:dyDescent="0.35">
      <c r="B62" s="634" t="str">
        <f>'Nurse Hours'!B63</f>
        <v>Ind Contractors</v>
      </c>
      <c r="C62" s="727">
        <f>IFERROR(VLOOKUP($B62,RegularHours_type1[[Nurse]:[Dec]],5,0)/VLOOKUP($B62,'Nurse Cases'!$B$37:$AX$76,5,0),0)</f>
        <v>0</v>
      </c>
      <c r="D62" s="727">
        <f>IFERROR(VLOOKUP($B62,RegularHours_type1[[Nurse]:[Dec]],6,0)/VLOOKUP($B62,'Nurse Cases'!$B$37:$N$76,9,0),0)</f>
        <v>0</v>
      </c>
      <c r="E62" s="727">
        <f>IFERROR(VLOOKUP($B62,RegularHours_type1[[Nurse]:[Dec]],7,0)/VLOOKUP($B62,'Nurse Cases'!$B$37:$N$76,13,0),0)</f>
        <v>0</v>
      </c>
      <c r="F62" s="727">
        <f>IFERROR(VLOOKUP($B62,RegularHours_type1[[Nurse]:[Dec]],8,0)/VLOOKUP($B62,'Nurse Cases'!$B$37:$AX$76,17,0),0)</f>
        <v>0</v>
      </c>
      <c r="G62" s="727">
        <f>IFERROR(VLOOKUP($B62,RegularHours_type1[[Nurse]:[Dec]],9,0)/VLOOKUP($B62,'Nurse Cases'!$B$37:$AX$76,21,0),0)</f>
        <v>0</v>
      </c>
      <c r="H62" s="727">
        <f>IFERROR(VLOOKUP($B62,RegularHours_type1[[Nurse]:[Dec]],10,0)/VLOOKUP($B62,'Nurse Cases'!$B$37:$AX$76,25,0),0)</f>
        <v>0</v>
      </c>
      <c r="I62" s="727">
        <f>IFERROR(VLOOKUP($B62,RegularHours_type1[[Nurse]:[Dec]],11,0)/VLOOKUP($B62,'Nurse Cases'!$B$37:$AX$76,29,0),0)</f>
        <v>0</v>
      </c>
      <c r="J62" s="727">
        <f>IFERROR(VLOOKUP($B62,RegularHours_type1[[Nurse]:[Dec]],12,0)/VLOOKUP($B62,'Nurse Cases'!$B$37:$AX$76,33,0),0)</f>
        <v>0</v>
      </c>
      <c r="K62" s="727">
        <f>IFERROR(VLOOKUP($B62,RegularHours_type1[[Nurse]:[Dec]],13,0)/VLOOKUP($B62,'Nurse Cases'!$B$37:$AX$76,37,0),0)</f>
        <v>0</v>
      </c>
      <c r="L62" s="727">
        <f>IFERROR(VLOOKUP($B62,RegularHours_type1[[Nurse]:[Dec]],14,0)/VLOOKUP($B62,'Nurse Cases'!$B$37:$AX$76,41,0),0)</f>
        <v>0</v>
      </c>
      <c r="M62" s="727">
        <f>IFERROR(VLOOKUP($B62,RegularHours_type1[[Nurse]:[Dec]],15,0)/VLOOKUP($B62,'Nurse Cases'!$B$37:$AX$76,45,0),0)</f>
        <v>0</v>
      </c>
      <c r="N62" s="727">
        <f>IFERROR(VLOOKUP($B62,RegularHours_type1[[Nurse]:[Dec]],16,0)/VLOOKUP($B62,'Nurse Cases'!$B$37:$AX$76,49,0),0)</f>
        <v>0</v>
      </c>
      <c r="O62" s="448"/>
      <c r="P62" s="403"/>
      <c r="Q62" s="448"/>
      <c r="R62" s="543"/>
      <c r="S62" s="448"/>
      <c r="T62" s="403"/>
      <c r="U62" s="448"/>
      <c r="V62" s="403"/>
      <c r="W62" s="448"/>
      <c r="X62" s="403"/>
      <c r="Y62" s="448"/>
      <c r="Z62" s="403"/>
      <c r="AA62" s="448"/>
      <c r="AB62" s="403"/>
      <c r="AC62" s="448"/>
      <c r="AD62" s="403"/>
      <c r="AE62" s="448"/>
      <c r="AF62" s="403"/>
      <c r="AG62" s="448"/>
      <c r="AH62" s="549"/>
      <c r="AI62" s="448"/>
      <c r="AJ62" s="403"/>
      <c r="AK62" s="448"/>
      <c r="AL62" s="549"/>
      <c r="AM62" s="448"/>
      <c r="AN62" s="403"/>
      <c r="AO62" s="448"/>
      <c r="AP62" s="403"/>
      <c r="AQ62" s="448"/>
      <c r="AR62" s="403"/>
      <c r="AS62" s="448"/>
      <c r="AT62" s="549"/>
      <c r="AU62" s="448"/>
      <c r="AV62" s="403"/>
      <c r="AW62" s="448"/>
      <c r="AX62" s="403"/>
      <c r="AZ62" s="550"/>
      <c r="BA62" s="550"/>
      <c r="BB62" s="448"/>
      <c r="BC62" s="551"/>
      <c r="BD62" s="550"/>
      <c r="BE62" s="550"/>
      <c r="BF62" s="448"/>
      <c r="BG62" s="551"/>
      <c r="BH62" s="553"/>
      <c r="BI62" s="550"/>
      <c r="BJ62" s="448"/>
      <c r="BK62" s="551"/>
      <c r="BL62" s="553"/>
      <c r="BM62" s="550"/>
      <c r="BN62" s="448"/>
      <c r="BO62" s="551"/>
      <c r="BP62" s="553"/>
      <c r="BQ62" s="550"/>
      <c r="BR62" s="448"/>
      <c r="BS62" s="551"/>
      <c r="BT62" s="553"/>
      <c r="BU62" s="550"/>
      <c r="BV62" s="448"/>
      <c r="BW62" s="551"/>
      <c r="BX62" s="553"/>
      <c r="BY62" s="550"/>
      <c r="BZ62" s="448"/>
      <c r="CA62" s="551"/>
      <c r="CB62" s="553"/>
      <c r="CC62" s="550"/>
      <c r="CD62" s="448"/>
      <c r="CE62" s="551"/>
      <c r="CF62" s="553"/>
      <c r="CG62" s="550"/>
      <c r="CH62" s="448"/>
      <c r="CI62" s="551"/>
      <c r="CJ62" s="553"/>
      <c r="CK62" s="550"/>
      <c r="CL62" s="448"/>
      <c r="CM62" s="551"/>
      <c r="CN62" s="553"/>
      <c r="CO62" s="550"/>
      <c r="CP62" s="448"/>
      <c r="CQ62" s="551"/>
      <c r="CR62" s="553"/>
      <c r="CS62" s="550"/>
      <c r="CT62" s="448"/>
      <c r="CU62" s="551"/>
    </row>
    <row r="63" spans="2:99" ht="15.5" x14ac:dyDescent="0.35">
      <c r="B63" s="634" t="str">
        <f>'Nurse Hours'!B64</f>
        <v>Jeng, Jinny</v>
      </c>
      <c r="C63" s="727">
        <f>IFERROR(VLOOKUP($B63,RegularHours_type1[[Nurse]:[Dec]],5,0)/VLOOKUP($B63,'Nurse Cases'!$B$37:$AX$76,5,0),0)</f>
        <v>9.3782608695652172</v>
      </c>
      <c r="D63" s="727">
        <f>IFERROR(VLOOKUP($B63,RegularHours_type1[[Nurse]:[Dec]],6,0)/VLOOKUP($B63,'Nurse Cases'!$B$37:$N$76,9,0),0)</f>
        <v>11.505882352941176</v>
      </c>
      <c r="E63" s="727">
        <f>IFERROR(VLOOKUP($B63,RegularHours_type1[[Nurse]:[Dec]],7,0)/VLOOKUP($B63,'Nurse Cases'!$B$37:$N$76,13,0),0)</f>
        <v>9.1136363636363633</v>
      </c>
      <c r="F63" s="727">
        <f>IFERROR(VLOOKUP($B63,RegularHours_type1[[Nurse]:[Dec]],8,0)/VLOOKUP($B63,'Nurse Cases'!$B$37:$AX$76,17,0),0)</f>
        <v>8</v>
      </c>
      <c r="G63" s="727">
        <f>IFERROR(VLOOKUP($B63,RegularHours_type1[[Nurse]:[Dec]],9,0)/VLOOKUP($B63,'Nurse Cases'!$B$37:$AX$76,21,0),0)</f>
        <v>8.48</v>
      </c>
      <c r="H63" s="727">
        <f>IFERROR(VLOOKUP($B63,RegularHours_type1[[Nurse]:[Dec]],10,0)/VLOOKUP($B63,'Nurse Cases'!$B$37:$AX$76,25,0),0)</f>
        <v>7.9520000000000008</v>
      </c>
      <c r="I63" s="727">
        <f>IFERROR(VLOOKUP($B63,RegularHours_type1[[Nurse]:[Dec]],11,0)/VLOOKUP($B63,'Nurse Cases'!$B$37:$AX$76,29,0),0)</f>
        <v>9.5727272727272723</v>
      </c>
      <c r="J63" s="727">
        <f>IFERROR(VLOOKUP($B63,RegularHours_type1[[Nurse]:[Dec]],12,0)/VLOOKUP($B63,'Nurse Cases'!$B$37:$AX$76,33,0),0)</f>
        <v>7.8879999999999999</v>
      </c>
      <c r="K63" s="727">
        <f>IFERROR(VLOOKUP($B63,RegularHours_type1[[Nurse]:[Dec]],13,0)/VLOOKUP($B63,'Nurse Cases'!$B$37:$AX$76,37,0),0)</f>
        <v>7.9260869565217398</v>
      </c>
      <c r="L63" s="727">
        <f>IFERROR(VLOOKUP($B63,RegularHours_type1[[Nurse]:[Dec]],14,0)/VLOOKUP($B63,'Nurse Cases'!$B$37:$AX$76,41,0),0)</f>
        <v>8.375</v>
      </c>
      <c r="M63" s="727">
        <f>IFERROR(VLOOKUP($B63,RegularHours_type1[[Nurse]:[Dec]],15,0)/VLOOKUP($B63,'Nurse Cases'!$B$37:$AX$76,45,0),0)</f>
        <v>0</v>
      </c>
      <c r="N63" s="727">
        <f>IFERROR(VLOOKUP($B63,RegularHours_type1[[Nurse]:[Dec]],16,0)/VLOOKUP($B63,'Nurse Cases'!$B$37:$AX$76,49,0),0)</f>
        <v>0</v>
      </c>
      <c r="O63" s="448"/>
      <c r="P63" s="403"/>
      <c r="Q63" s="448"/>
      <c r="R63" s="543"/>
      <c r="S63" s="448"/>
      <c r="T63" s="403"/>
      <c r="U63" s="448"/>
      <c r="V63" s="403"/>
      <c r="W63" s="448"/>
      <c r="X63" s="403"/>
      <c r="Y63" s="448"/>
      <c r="Z63" s="403"/>
      <c r="AA63" s="448"/>
      <c r="AB63" s="403"/>
      <c r="AC63" s="448"/>
      <c r="AD63" s="403"/>
      <c r="AE63" s="448"/>
      <c r="AF63" s="403"/>
      <c r="AG63" s="448"/>
      <c r="AH63" s="549"/>
      <c r="AI63" s="448"/>
      <c r="AJ63" s="403"/>
      <c r="AK63" s="448"/>
      <c r="AL63" s="549"/>
      <c r="AM63" s="448"/>
      <c r="AN63" s="403"/>
      <c r="AO63" s="448"/>
      <c r="AP63" s="403"/>
      <c r="AQ63" s="448"/>
      <c r="AR63" s="403"/>
      <c r="AS63" s="448"/>
      <c r="AT63" s="549"/>
      <c r="AU63" s="448"/>
      <c r="AV63" s="403"/>
      <c r="AW63" s="448"/>
      <c r="AX63" s="403"/>
      <c r="AZ63" s="550"/>
      <c r="BA63" s="550"/>
      <c r="BB63" s="448"/>
      <c r="BC63" s="551"/>
      <c r="BD63" s="550"/>
      <c r="BE63" s="550"/>
      <c r="BF63" s="448"/>
      <c r="BG63" s="551"/>
      <c r="BH63" s="553"/>
      <c r="BI63" s="550"/>
      <c r="BJ63" s="448"/>
      <c r="BK63" s="551"/>
      <c r="BL63" s="553"/>
      <c r="BM63" s="550"/>
      <c r="BN63" s="448"/>
      <c r="BO63" s="551"/>
      <c r="BP63" s="553"/>
      <c r="BQ63" s="550"/>
      <c r="BR63" s="448"/>
      <c r="BS63" s="551"/>
      <c r="BT63" s="553"/>
      <c r="BU63" s="550"/>
      <c r="BV63" s="448"/>
      <c r="BW63" s="551"/>
      <c r="BX63" s="553"/>
      <c r="BY63" s="550"/>
      <c r="BZ63" s="448"/>
      <c r="CA63" s="551"/>
      <c r="CB63" s="553"/>
      <c r="CC63" s="550"/>
      <c r="CD63" s="448"/>
      <c r="CE63" s="551"/>
      <c r="CF63" s="553"/>
      <c r="CG63" s="550"/>
      <c r="CH63" s="448"/>
      <c r="CI63" s="551"/>
      <c r="CJ63" s="553"/>
      <c r="CK63" s="550"/>
      <c r="CL63" s="448"/>
      <c r="CM63" s="551"/>
      <c r="CN63" s="553"/>
      <c r="CO63" s="550"/>
      <c r="CP63" s="448"/>
      <c r="CQ63" s="551"/>
      <c r="CR63" s="553"/>
      <c r="CS63" s="550"/>
      <c r="CT63" s="448"/>
      <c r="CU63" s="551"/>
    </row>
    <row r="64" spans="2:99" ht="15.5" x14ac:dyDescent="0.35">
      <c r="B64" s="634" t="str">
        <f>'Nurse Hours'!B65</f>
        <v xml:space="preserve">Kaur, Gursimron </v>
      </c>
      <c r="C64" s="727">
        <f>IFERROR(VLOOKUP($B64,RegularHours_type1[[Nurse]:[Dec]],5,0)/VLOOKUP($B64,'Nurse Cases'!$B$37:$AX$76,5,0),0)</f>
        <v>0</v>
      </c>
      <c r="D64" s="727">
        <f>IFERROR(VLOOKUP($B64,RegularHours_type1[[Nurse]:[Dec]],6,0)/VLOOKUP($B64,'Nurse Cases'!$B$37:$N$76,9,0),0)</f>
        <v>0</v>
      </c>
      <c r="E64" s="727">
        <f>IFERROR(VLOOKUP($B64,RegularHours_type1[[Nurse]:[Dec]],7,0)/VLOOKUP($B64,'Nurse Cases'!$B$37:$N$76,13,0),0)</f>
        <v>0</v>
      </c>
      <c r="F64" s="727">
        <f>IFERROR(VLOOKUP($B64,RegularHours_type1[[Nurse]:[Dec]],8,0)/VLOOKUP($B64,'Nurse Cases'!$B$37:$AX$76,17,0),0)</f>
        <v>0</v>
      </c>
      <c r="G64" s="727">
        <f>IFERROR(VLOOKUP($B64,RegularHours_type1[[Nurse]:[Dec]],9,0)/VLOOKUP($B64,'Nurse Cases'!$B$37:$AX$76,21,0),0)</f>
        <v>0</v>
      </c>
      <c r="H64" s="727">
        <f>IFERROR(VLOOKUP($B64,RegularHours_type1[[Nurse]:[Dec]],10,0)/VLOOKUP($B64,'Nurse Cases'!$B$37:$AX$76,25,0),0)</f>
        <v>0</v>
      </c>
      <c r="I64" s="727">
        <f>IFERROR(VLOOKUP($B64,RegularHours_type1[[Nurse]:[Dec]],11,0)/VLOOKUP($B64,'Nurse Cases'!$B$37:$AX$76,29,0),0)</f>
        <v>33.200000000000003</v>
      </c>
      <c r="J64" s="727">
        <f>IFERROR(VLOOKUP($B64,RegularHours_type1[[Nurse]:[Dec]],12,0)/VLOOKUP($B64,'Nurse Cases'!$B$37:$AX$76,33,0),0)</f>
        <v>30.9</v>
      </c>
      <c r="K64" s="727">
        <f>IFERROR(VLOOKUP($B64,RegularHours_type1[[Nurse]:[Dec]],13,0)/VLOOKUP($B64,'Nurse Cases'!$B$37:$AX$76,37,0),0)</f>
        <v>21.866666666666664</v>
      </c>
      <c r="L64" s="727">
        <f>IFERROR(VLOOKUP($B64,RegularHours_type1[[Nurse]:[Dec]],14,0)/VLOOKUP($B64,'Nurse Cases'!$B$37:$AX$76,41,0),0)</f>
        <v>15.527272727272729</v>
      </c>
      <c r="M64" s="727">
        <f>IFERROR(VLOOKUP($B64,RegularHours_type1[[Nurse]:[Dec]],15,0)/VLOOKUP($B64,'Nurse Cases'!$B$37:$AX$76,45,0),0)</f>
        <v>0</v>
      </c>
      <c r="N64" s="727">
        <f>IFERROR(VLOOKUP($B64,RegularHours_type1[[Nurse]:[Dec]],16,0)/VLOOKUP($B64,'Nurse Cases'!$B$37:$AX$76,49,0),0)</f>
        <v>0</v>
      </c>
      <c r="O64" s="448"/>
      <c r="P64" s="403"/>
      <c r="Q64" s="448"/>
      <c r="R64" s="543"/>
      <c r="S64" s="448"/>
      <c r="T64" s="403"/>
      <c r="U64" s="448"/>
      <c r="V64" s="403"/>
      <c r="W64" s="448"/>
      <c r="X64" s="403"/>
      <c r="Y64" s="448"/>
      <c r="Z64" s="403"/>
      <c r="AA64" s="448"/>
      <c r="AB64" s="403"/>
      <c r="AC64" s="448"/>
      <c r="AD64" s="403"/>
      <c r="AE64" s="448"/>
      <c r="AF64" s="403"/>
      <c r="AG64" s="448"/>
      <c r="AH64" s="549"/>
      <c r="AI64" s="448"/>
      <c r="AJ64" s="403"/>
      <c r="AK64" s="448"/>
      <c r="AL64" s="549"/>
      <c r="AM64" s="448"/>
      <c r="AN64" s="403"/>
      <c r="AO64" s="448"/>
      <c r="AP64" s="403"/>
      <c r="AQ64" s="448"/>
      <c r="AR64" s="403"/>
      <c r="AS64" s="448"/>
      <c r="AT64" s="549"/>
      <c r="AU64" s="448"/>
      <c r="AV64" s="403"/>
      <c r="AW64" s="448"/>
      <c r="AX64" s="403"/>
      <c r="AZ64" s="550"/>
      <c r="BA64" s="550"/>
      <c r="BB64" s="448"/>
      <c r="BC64" s="551"/>
      <c r="BD64" s="550"/>
      <c r="BE64" s="550"/>
      <c r="BF64" s="448"/>
      <c r="BG64" s="551"/>
      <c r="BH64" s="553"/>
      <c r="BI64" s="550"/>
      <c r="BJ64" s="448"/>
      <c r="BK64" s="551"/>
      <c r="BL64" s="553"/>
      <c r="BM64" s="550"/>
      <c r="BN64" s="448"/>
      <c r="BO64" s="551"/>
      <c r="BP64" s="553"/>
      <c r="BQ64" s="550"/>
      <c r="BR64" s="448"/>
      <c r="BS64" s="551"/>
      <c r="BT64" s="553"/>
      <c r="BU64" s="550"/>
      <c r="BV64" s="448"/>
      <c r="BW64" s="551"/>
      <c r="BX64" s="553"/>
      <c r="BY64" s="550"/>
      <c r="BZ64" s="448"/>
      <c r="CA64" s="551"/>
      <c r="CB64" s="553"/>
      <c r="CC64" s="550"/>
      <c r="CD64" s="448"/>
      <c r="CE64" s="551"/>
      <c r="CF64" s="553"/>
      <c r="CG64" s="550"/>
      <c r="CH64" s="448"/>
      <c r="CI64" s="551"/>
      <c r="CJ64" s="553"/>
      <c r="CK64" s="550"/>
      <c r="CL64" s="448"/>
      <c r="CM64" s="551"/>
      <c r="CN64" s="553"/>
      <c r="CO64" s="550"/>
      <c r="CP64" s="448"/>
      <c r="CQ64" s="551"/>
      <c r="CR64" s="553"/>
      <c r="CS64" s="550"/>
      <c r="CT64" s="448"/>
      <c r="CU64" s="551"/>
    </row>
    <row r="65" spans="1:112" ht="15.5" x14ac:dyDescent="0.35">
      <c r="B65" s="634" t="str">
        <f>'Nurse Hours'!B66</f>
        <v>Kaur, Lapreet</v>
      </c>
      <c r="C65" s="727">
        <f>IFERROR(VLOOKUP($B65,RegularHours_type1[[Nurse]:[Dec]],5,0)/VLOOKUP($B65,'Nurse Cases'!$B$37:$AX$76,5,0),0)</f>
        <v>0</v>
      </c>
      <c r="D65" s="727"/>
      <c r="E65" s="727"/>
      <c r="F65" s="727">
        <f>IFERROR(VLOOKUP($B65,RegularHours_type1[[Nurse]:[Dec]],8,0)/VLOOKUP($B65,'Nurse Cases'!$B$37:$AX$76,17,0),0)</f>
        <v>0</v>
      </c>
      <c r="G65" s="727">
        <f>IFERROR(VLOOKUP($B65,RegularHours_type1[[Nurse]:[Dec]],9,0)/VLOOKUP($B65,'Nurse Cases'!$B$37:$AX$76,21,0),0)</f>
        <v>0</v>
      </c>
      <c r="H65" s="727">
        <f>IFERROR(VLOOKUP($B65,RegularHours_type1[[Nurse]:[Dec]],10,0)/VLOOKUP($B65,'Nurse Cases'!$B$37:$AX$76,25,0),0)</f>
        <v>0</v>
      </c>
      <c r="I65" s="727">
        <f>IFERROR(VLOOKUP($B65,RegularHours_type1[[Nurse]:[Dec]],11,0)/VLOOKUP($B65,'Nurse Cases'!$B$37:$AX$76,29,0),0)</f>
        <v>0</v>
      </c>
      <c r="J65" s="727">
        <f>IFERROR(VLOOKUP($B65,RegularHours_type1[[Nurse]:[Dec]],12,0)/VLOOKUP($B65,'Nurse Cases'!$B$37:$AX$76,33,0),0)</f>
        <v>0</v>
      </c>
      <c r="K65" s="727">
        <f>IFERROR(VLOOKUP($B65,RegularHours_type1[[Nurse]:[Dec]],13,0)/VLOOKUP($B65,'Nurse Cases'!$B$37:$AX$76,37,0),0)</f>
        <v>0</v>
      </c>
      <c r="L65" s="727">
        <f>IFERROR(VLOOKUP($B65,RegularHours_type1[[Nurse]:[Dec]],14,0)/VLOOKUP($B65,'Nurse Cases'!$B$37:$AX$76,41,0),0)</f>
        <v>9.4499999999999993</v>
      </c>
      <c r="M65" s="727">
        <f>IFERROR(VLOOKUP($B65,RegularHours_type1[[Nurse]:[Dec]],15,0)/VLOOKUP($B65,'Nurse Cases'!$B$37:$AX$76,45,0),0)</f>
        <v>0</v>
      </c>
      <c r="N65" s="727">
        <f>IFERROR(VLOOKUP($B65,RegularHours_type1[[Nurse]:[Dec]],16,0)/VLOOKUP($B65,'Nurse Cases'!$B$37:$AX$76,49,0),0)</f>
        <v>0</v>
      </c>
      <c r="O65" s="448"/>
      <c r="P65" s="403"/>
      <c r="Q65" s="448"/>
      <c r="R65" s="543"/>
      <c r="S65" s="448"/>
      <c r="T65" s="403"/>
      <c r="U65" s="448"/>
      <c r="V65" s="403"/>
      <c r="W65" s="448"/>
      <c r="X65" s="403"/>
      <c r="Y65" s="448"/>
      <c r="Z65" s="403"/>
      <c r="AA65" s="448"/>
      <c r="AB65" s="403"/>
      <c r="AC65" s="448"/>
      <c r="AD65" s="403"/>
      <c r="AE65" s="448"/>
      <c r="AF65" s="403"/>
      <c r="AG65" s="448"/>
      <c r="AH65" s="549"/>
      <c r="AI65" s="448"/>
      <c r="AJ65" s="403"/>
      <c r="AK65" s="448"/>
      <c r="AL65" s="549"/>
      <c r="AM65" s="448"/>
      <c r="AN65" s="403"/>
      <c r="AO65" s="448"/>
      <c r="AP65" s="403"/>
      <c r="AQ65" s="448"/>
      <c r="AR65" s="403"/>
      <c r="AS65" s="448"/>
      <c r="AT65" s="549"/>
      <c r="AU65" s="448"/>
      <c r="AV65" s="403"/>
      <c r="AW65" s="448"/>
      <c r="AX65" s="403"/>
      <c r="AZ65" s="550"/>
      <c r="BA65" s="550"/>
      <c r="BB65" s="448"/>
      <c r="BC65" s="551"/>
      <c r="BD65" s="550"/>
      <c r="BE65" s="550"/>
      <c r="BF65" s="448"/>
      <c r="BG65" s="551"/>
      <c r="BH65" s="553"/>
      <c r="BI65" s="550"/>
      <c r="BJ65" s="448"/>
      <c r="BK65" s="551"/>
      <c r="BL65" s="553"/>
      <c r="BM65" s="550"/>
      <c r="BN65" s="448"/>
      <c r="BO65" s="551"/>
      <c r="BP65" s="553"/>
      <c r="BQ65" s="550"/>
      <c r="BR65" s="448"/>
      <c r="BS65" s="551"/>
      <c r="BT65" s="553"/>
      <c r="BU65" s="550"/>
      <c r="BV65" s="448"/>
      <c r="BW65" s="551"/>
      <c r="BX65" s="553"/>
      <c r="BY65" s="550"/>
      <c r="BZ65" s="448"/>
      <c r="CA65" s="551"/>
      <c r="CB65" s="553"/>
      <c r="CC65" s="550"/>
      <c r="CD65" s="448"/>
      <c r="CE65" s="551"/>
      <c r="CF65" s="553"/>
      <c r="CG65" s="550"/>
      <c r="CH65" s="448"/>
      <c r="CI65" s="551"/>
      <c r="CJ65" s="553"/>
      <c r="CK65" s="550"/>
      <c r="CL65" s="448"/>
      <c r="CM65" s="551"/>
      <c r="CN65" s="553"/>
      <c r="CO65" s="550"/>
      <c r="CP65" s="448"/>
      <c r="CQ65" s="551"/>
      <c r="CR65" s="553"/>
      <c r="CS65" s="550"/>
      <c r="CT65" s="448"/>
      <c r="CU65" s="551"/>
    </row>
    <row r="66" spans="1:112" ht="15.5" x14ac:dyDescent="0.35">
      <c r="B66" s="634" t="str">
        <f>'Nurse Hours'!B67</f>
        <v>Kaur, Ravee</v>
      </c>
      <c r="C66" s="727">
        <f>IFERROR(VLOOKUP($B66,RegularHours_type1[[Nurse]:[Dec]],5,0)/VLOOKUP($B66,'Nurse Cases'!$B$37:$AX$76,5,0),0)</f>
        <v>8.6000000000000014</v>
      </c>
      <c r="D66" s="727">
        <f>IFERROR(VLOOKUP($B66,RegularHours_type1[[Nurse]:[Dec]],6,0)/VLOOKUP($B66,'Nurse Cases'!$B$37:$N$76,9,0),0)</f>
        <v>9.0166666666666675</v>
      </c>
      <c r="E66" s="727">
        <f>IFERROR(VLOOKUP($B66,RegularHours_type1[[Nurse]:[Dec]],7,0)/VLOOKUP($B66,'Nurse Cases'!$B$37:$N$76,13,0),0)</f>
        <v>8.9222222222222225</v>
      </c>
      <c r="F66" s="727">
        <f>IFERROR(VLOOKUP($B66,RegularHours_type1[[Nurse]:[Dec]],8,0)/VLOOKUP($B66,'Nurse Cases'!$B$37:$AX$76,17,0),0)</f>
        <v>9.2235294117647069</v>
      </c>
      <c r="G66" s="727">
        <f>IFERROR(VLOOKUP($B66,RegularHours_type1[[Nurse]:[Dec]],9,0)/VLOOKUP($B66,'Nurse Cases'!$B$37:$AX$76,21,0),0)</f>
        <v>9.4294117647058826</v>
      </c>
      <c r="H66" s="727">
        <f>IFERROR(VLOOKUP($B66,RegularHours_type1[[Nurse]:[Dec]],10,0)/VLOOKUP($B66,'Nurse Cases'!$B$37:$AX$76,25,0),0)</f>
        <v>9.7000000000000011</v>
      </c>
      <c r="I66" s="727">
        <f>IFERROR(VLOOKUP($B66,RegularHours_type1[[Nurse]:[Dec]],11,0)/VLOOKUP($B66,'Nurse Cases'!$B$37:$AX$76,29,0),0)</f>
        <v>7.5210526315789474</v>
      </c>
      <c r="J66" s="727">
        <f>IFERROR(VLOOKUP($B66,RegularHours_type1[[Nurse]:[Dec]],12,0)/VLOOKUP($B66,'Nurse Cases'!$B$37:$AX$76,33,0),0)</f>
        <v>7.7105263157894735</v>
      </c>
      <c r="K66" s="727">
        <f>IFERROR(VLOOKUP($B66,RegularHours_type1[[Nurse]:[Dec]],13,0)/VLOOKUP($B66,'Nurse Cases'!$B$37:$AX$76,37,0),0)</f>
        <v>8.3368421052631589</v>
      </c>
      <c r="L66" s="727">
        <f>IFERROR(VLOOKUP($B66,RegularHours_type1[[Nurse]:[Dec]],14,0)/VLOOKUP($B66,'Nurse Cases'!$B$37:$AX$76,41,0),0)</f>
        <v>9.6058823529411779</v>
      </c>
      <c r="M66" s="727">
        <f>IFERROR(VLOOKUP($B66,RegularHours_type1[[Nurse]:[Dec]],15,0)/VLOOKUP($B66,'Nurse Cases'!$B$37:$AX$76,45,0),0)</f>
        <v>0</v>
      </c>
      <c r="N66" s="727">
        <f>IFERROR(VLOOKUP($B66,RegularHours_type1[[Nurse]:[Dec]],16,0)/VLOOKUP($B66,'Nurse Cases'!$B$37:$AX$76,49,0),0)</f>
        <v>0</v>
      </c>
      <c r="O66" s="448"/>
      <c r="P66" s="403"/>
      <c r="Q66" s="448"/>
      <c r="R66" s="543"/>
      <c r="S66" s="448"/>
      <c r="T66" s="403"/>
      <c r="U66" s="448"/>
      <c r="V66" s="403"/>
      <c r="W66" s="448"/>
      <c r="X66" s="403"/>
      <c r="Y66" s="448"/>
      <c r="Z66" s="403"/>
      <c r="AA66" s="448"/>
      <c r="AB66" s="403"/>
      <c r="AC66" s="448"/>
      <c r="AD66" s="403"/>
      <c r="AE66" s="448"/>
      <c r="AF66" s="403"/>
      <c r="AG66" s="448"/>
      <c r="AH66" s="549"/>
      <c r="AI66" s="448"/>
      <c r="AJ66" s="403"/>
      <c r="AK66" s="448"/>
      <c r="AL66" s="549"/>
      <c r="AM66" s="448"/>
      <c r="AN66" s="403"/>
      <c r="AO66" s="448"/>
      <c r="AP66" s="403"/>
      <c r="AQ66" s="448"/>
      <c r="AR66" s="403"/>
      <c r="AS66" s="448"/>
      <c r="AT66" s="549"/>
      <c r="AU66" s="448"/>
      <c r="AV66" s="403"/>
      <c r="AW66" s="448"/>
      <c r="AX66" s="403"/>
      <c r="AZ66" s="550"/>
      <c r="BA66" s="550"/>
      <c r="BB66" s="448"/>
      <c r="BC66" s="551"/>
      <c r="BD66" s="550"/>
      <c r="BE66" s="550"/>
      <c r="BF66" s="448"/>
      <c r="BG66" s="551"/>
      <c r="BH66" s="553"/>
      <c r="BI66" s="550"/>
      <c r="BJ66" s="448"/>
      <c r="BK66" s="551"/>
      <c r="BL66" s="553"/>
      <c r="BM66" s="550"/>
      <c r="BN66" s="448"/>
      <c r="BO66" s="551"/>
      <c r="BP66" s="553"/>
      <c r="BQ66" s="550"/>
      <c r="BR66" s="448"/>
      <c r="BS66" s="551"/>
      <c r="BT66" s="553"/>
      <c r="BU66" s="550"/>
      <c r="BV66" s="448"/>
      <c r="BW66" s="551"/>
      <c r="BX66" s="553"/>
      <c r="BY66" s="550"/>
      <c r="BZ66" s="448"/>
      <c r="CA66" s="551"/>
      <c r="CB66" s="553"/>
      <c r="CC66" s="550"/>
      <c r="CD66" s="448"/>
      <c r="CE66" s="551"/>
      <c r="CF66" s="553"/>
      <c r="CG66" s="550"/>
      <c r="CH66" s="448"/>
      <c r="CI66" s="551"/>
      <c r="CJ66" s="553"/>
      <c r="CK66" s="550"/>
      <c r="CL66" s="448"/>
      <c r="CM66" s="551"/>
      <c r="CN66" s="553"/>
      <c r="CO66" s="550"/>
      <c r="CP66" s="448"/>
      <c r="CQ66" s="551"/>
      <c r="CR66" s="553"/>
      <c r="CS66" s="550"/>
      <c r="CT66" s="448"/>
      <c r="CU66" s="551"/>
    </row>
    <row r="67" spans="1:112" ht="15.5" x14ac:dyDescent="0.35">
      <c r="B67" s="634" t="str">
        <f>'Nurse Hours'!B68</f>
        <v>Kaur, Savreet</v>
      </c>
      <c r="C67" s="727">
        <f>IFERROR(VLOOKUP($B67,RegularHours_type1[[Nurse]:[Dec]],5,0)/VLOOKUP($B67,'Nurse Cases'!$B$37:$AX$76,5,0),0)</f>
        <v>12.02</v>
      </c>
      <c r="D67" s="727">
        <f>IFERROR(VLOOKUP($B67,RegularHours_type1[[Nurse]:[Dec]],6,0)/VLOOKUP($B67,'Nurse Cases'!$B$37:$N$76,9,0),0)</f>
        <v>13.434999999999999</v>
      </c>
      <c r="E67" s="727">
        <f>IFERROR(VLOOKUP($B67,RegularHours_type1[[Nurse]:[Dec]],7,0)/VLOOKUP($B67,'Nurse Cases'!$B$37:$N$76,13,0),0)</f>
        <v>9.4826086956521731</v>
      </c>
      <c r="F67" s="727">
        <f>IFERROR(VLOOKUP($B67,RegularHours_type1[[Nurse]:[Dec]],8,0)/VLOOKUP($B67,'Nurse Cases'!$B$37:$AX$76,17,0),0)</f>
        <v>12.476190476190476</v>
      </c>
      <c r="G67" s="727">
        <f>IFERROR(VLOOKUP($B67,RegularHours_type1[[Nurse]:[Dec]],9,0)/VLOOKUP($B67,'Nurse Cases'!$B$37:$AX$76,21,0),0)</f>
        <v>11.571428571428571</v>
      </c>
      <c r="H67" s="727">
        <f>IFERROR(VLOOKUP($B67,RegularHours_type1[[Nurse]:[Dec]],10,0)/VLOOKUP($B67,'Nurse Cases'!$B$37:$AX$76,25,0),0)</f>
        <v>10.021739130434783</v>
      </c>
      <c r="I67" s="727">
        <f>IFERROR(VLOOKUP($B67,RegularHours_type1[[Nurse]:[Dec]],11,0)/VLOOKUP($B67,'Nurse Cases'!$B$37:$AX$76,29,0),0)</f>
        <v>12.609090909090908</v>
      </c>
      <c r="J67" s="727">
        <f>IFERROR(VLOOKUP($B67,RegularHours_type1[[Nurse]:[Dec]],12,0)/VLOOKUP($B67,'Nurse Cases'!$B$37:$AX$76,33,0),0)</f>
        <v>12.191304347826087</v>
      </c>
      <c r="K67" s="727">
        <f>IFERROR(VLOOKUP($B67,RegularHours_type1[[Nurse]:[Dec]],13,0)/VLOOKUP($B67,'Nurse Cases'!$B$37:$AX$76,37,0),0)</f>
        <v>12.97142857142857</v>
      </c>
      <c r="L67" s="727">
        <f>IFERROR(VLOOKUP($B67,RegularHours_type1[[Nurse]:[Dec]],14,0)/VLOOKUP($B67,'Nurse Cases'!$B$37:$AX$76,41,0),0)</f>
        <v>13.113636363636363</v>
      </c>
      <c r="M67" s="727">
        <f>IFERROR(VLOOKUP($B67,RegularHours_type1[[Nurse]:[Dec]],15,0)/VLOOKUP($B67,'Nurse Cases'!$B$37:$AX$76,45,0),0)</f>
        <v>0</v>
      </c>
      <c r="N67" s="727">
        <f>IFERROR(VLOOKUP($B67,RegularHours_type1[[Nurse]:[Dec]],16,0)/VLOOKUP($B67,'Nurse Cases'!$B$37:$AX$76,49,0),0)</f>
        <v>0</v>
      </c>
      <c r="O67" s="448"/>
      <c r="P67" s="403"/>
      <c r="Q67" s="448"/>
      <c r="R67" s="543"/>
      <c r="S67" s="448"/>
      <c r="T67" s="403"/>
      <c r="U67" s="448"/>
      <c r="V67" s="403"/>
      <c r="W67" s="448"/>
      <c r="X67" s="403"/>
      <c r="Y67" s="448"/>
      <c r="Z67" s="403"/>
      <c r="AA67" s="448"/>
      <c r="AB67" s="403"/>
      <c r="AC67" s="448"/>
      <c r="AD67" s="403"/>
      <c r="AE67" s="448"/>
      <c r="AF67" s="403"/>
      <c r="AG67" s="448"/>
      <c r="AH67" s="549"/>
      <c r="AI67" s="448"/>
      <c r="AJ67" s="403"/>
      <c r="AK67" s="448"/>
      <c r="AL67" s="549"/>
      <c r="AM67" s="448"/>
      <c r="AN67" s="403"/>
      <c r="AO67" s="448"/>
      <c r="AP67" s="403"/>
      <c r="AQ67" s="448"/>
      <c r="AR67" s="403"/>
      <c r="AS67" s="448"/>
      <c r="AT67" s="549"/>
      <c r="AU67" s="448"/>
      <c r="AV67" s="403"/>
      <c r="AW67" s="448"/>
      <c r="AX67" s="403"/>
      <c r="AZ67" s="550"/>
      <c r="BA67" s="550"/>
      <c r="BB67" s="448"/>
      <c r="BC67" s="551"/>
      <c r="BD67" s="550"/>
      <c r="BE67" s="550"/>
      <c r="BF67" s="448"/>
      <c r="BG67" s="551"/>
      <c r="BH67" s="553"/>
      <c r="BI67" s="550"/>
      <c r="BJ67" s="448"/>
      <c r="BK67" s="551"/>
      <c r="BL67" s="553"/>
      <c r="BM67" s="550"/>
      <c r="BN67" s="448"/>
      <c r="BO67" s="551"/>
      <c r="BP67" s="553"/>
      <c r="BQ67" s="550"/>
      <c r="BR67" s="448"/>
      <c r="BS67" s="551"/>
      <c r="BT67" s="553"/>
      <c r="BU67" s="550"/>
      <c r="BV67" s="448"/>
      <c r="BW67" s="551"/>
      <c r="BX67" s="553"/>
      <c r="BY67" s="550"/>
      <c r="BZ67" s="448"/>
      <c r="CA67" s="551"/>
      <c r="CB67" s="553"/>
      <c r="CC67" s="550"/>
      <c r="CD67" s="448"/>
      <c r="CE67" s="551"/>
      <c r="CF67" s="553"/>
      <c r="CG67" s="550"/>
      <c r="CH67" s="448"/>
      <c r="CI67" s="551"/>
      <c r="CJ67" s="553"/>
      <c r="CK67" s="550"/>
      <c r="CL67" s="448"/>
      <c r="CM67" s="551"/>
      <c r="CN67" s="553"/>
      <c r="CO67" s="550"/>
      <c r="CP67" s="448"/>
      <c r="CQ67" s="551"/>
      <c r="CR67" s="553"/>
      <c r="CS67" s="550"/>
      <c r="CT67" s="448"/>
      <c r="CU67" s="551"/>
    </row>
    <row r="68" spans="1:112" ht="15.5" x14ac:dyDescent="0.35">
      <c r="B68" s="634" t="str">
        <f>'Nurse Hours'!B69</f>
        <v>Keefer, Tamryn</v>
      </c>
      <c r="C68" s="727">
        <f>IFERROR(VLOOKUP($B68,RegularHours_type1[[Nurse]:[Dec]],5,0)/VLOOKUP($B68,'Nurse Cases'!$B$37:$AX$76,5,0),0)</f>
        <v>10.353571428571428</v>
      </c>
      <c r="D68" s="727">
        <f>IFERROR(VLOOKUP($B68,RegularHours_type1[[Nurse]:[Dec]],6,0)/VLOOKUP($B68,'Nurse Cases'!$B$37:$N$76,9,0),0)</f>
        <v>9.3535714285714278</v>
      </c>
      <c r="E68" s="727">
        <f>IFERROR(VLOOKUP($B68,RegularHours_type1[[Nurse]:[Dec]],7,0)/VLOOKUP($B68,'Nurse Cases'!$B$37:$N$76,13,0),0)</f>
        <v>8.7838709677419367</v>
      </c>
      <c r="F68" s="727">
        <f>IFERROR(VLOOKUP($B68,RegularHours_type1[[Nurse]:[Dec]],8,0)/VLOOKUP($B68,'Nurse Cases'!$B$37:$AX$76,17,0),0)</f>
        <v>8.6545454545454561</v>
      </c>
      <c r="G68" s="727">
        <f>IFERROR(VLOOKUP($B68,RegularHours_type1[[Nurse]:[Dec]],9,0)/VLOOKUP($B68,'Nurse Cases'!$B$37:$AX$76,21,0),0)</f>
        <v>8.2121212121212128</v>
      </c>
      <c r="H68" s="727">
        <f>IFERROR(VLOOKUP($B68,RegularHours_type1[[Nurse]:[Dec]],10,0)/VLOOKUP($B68,'Nurse Cases'!$B$37:$AX$76,25,0),0)</f>
        <v>8.2303030303030305</v>
      </c>
      <c r="I68" s="727">
        <f>IFERROR(VLOOKUP($B68,RegularHours_type1[[Nurse]:[Dec]],11,0)/VLOOKUP($B68,'Nurse Cases'!$B$37:$AX$76,29,0),0)</f>
        <v>7.9399999999999995</v>
      </c>
      <c r="J68" s="727">
        <f>IFERROR(VLOOKUP($B68,RegularHours_type1[[Nurse]:[Dec]],12,0)/VLOOKUP($B68,'Nurse Cases'!$B$37:$AX$76,33,0),0)</f>
        <v>8.3451612903225811</v>
      </c>
      <c r="K68" s="727">
        <f>IFERROR(VLOOKUP($B68,RegularHours_type1[[Nurse]:[Dec]],13,0)/VLOOKUP($B68,'Nurse Cases'!$B$37:$AX$76,37,0),0)</f>
        <v>7.9516129032258061</v>
      </c>
      <c r="L68" s="727">
        <f>IFERROR(VLOOKUP($B68,RegularHours_type1[[Nurse]:[Dec]],14,0)/VLOOKUP($B68,'Nurse Cases'!$B$37:$AX$76,41,0),0)</f>
        <v>9.5193548387096776</v>
      </c>
      <c r="M68" s="727">
        <f>IFERROR(VLOOKUP($B68,RegularHours_type1[[Nurse]:[Dec]],15,0)/VLOOKUP($B68,'Nurse Cases'!$B$37:$AX$76,45,0),0)</f>
        <v>0</v>
      </c>
      <c r="N68" s="727">
        <f>IFERROR(VLOOKUP($B68,RegularHours_type1[[Nurse]:[Dec]],16,0)/VLOOKUP($B68,'Nurse Cases'!$B$37:$AX$76,49,0),0)</f>
        <v>0</v>
      </c>
      <c r="O68" s="448"/>
      <c r="P68" s="403"/>
      <c r="Q68" s="448"/>
      <c r="R68" s="543"/>
      <c r="S68" s="448"/>
      <c r="T68" s="403"/>
      <c r="U68" s="448"/>
      <c r="V68" s="403"/>
      <c r="W68" s="448"/>
      <c r="X68" s="403"/>
      <c r="Y68" s="448"/>
      <c r="Z68" s="403"/>
      <c r="AA68" s="448"/>
      <c r="AB68" s="403"/>
      <c r="AC68" s="448"/>
      <c r="AD68" s="403"/>
      <c r="AE68" s="448"/>
      <c r="AF68" s="403"/>
      <c r="AG68" s="448"/>
      <c r="AH68" s="549"/>
      <c r="AI68" s="448"/>
      <c r="AJ68" s="403"/>
      <c r="AK68" s="448"/>
      <c r="AL68" s="549"/>
      <c r="AM68" s="448"/>
      <c r="AN68" s="403"/>
      <c r="AO68" s="448"/>
      <c r="AP68" s="403"/>
      <c r="AQ68" s="448"/>
      <c r="AR68" s="403"/>
      <c r="AS68" s="448"/>
      <c r="AT68" s="549"/>
      <c r="AU68" s="448"/>
      <c r="AV68" s="403"/>
      <c r="AW68" s="448"/>
      <c r="AX68" s="403"/>
      <c r="AZ68" s="550"/>
      <c r="BA68" s="550"/>
      <c r="BB68" s="448"/>
      <c r="BC68" s="551"/>
      <c r="BD68" s="550"/>
      <c r="BE68" s="550"/>
      <c r="BF68" s="448"/>
      <c r="BG68" s="551"/>
      <c r="BH68" s="553"/>
      <c r="BI68" s="550"/>
      <c r="BJ68" s="448"/>
      <c r="BK68" s="551"/>
      <c r="BL68" s="553"/>
      <c r="BM68" s="550"/>
      <c r="BN68" s="448"/>
      <c r="BO68" s="551"/>
      <c r="BP68" s="553"/>
      <c r="BQ68" s="550"/>
      <c r="BR68" s="448"/>
      <c r="BS68" s="551"/>
      <c r="BT68" s="553"/>
      <c r="BU68" s="550"/>
      <c r="BV68" s="448"/>
      <c r="BW68" s="551"/>
      <c r="BX68" s="553"/>
      <c r="BY68" s="550"/>
      <c r="BZ68" s="448"/>
      <c r="CA68" s="551"/>
      <c r="CB68" s="553"/>
      <c r="CC68" s="550"/>
      <c r="CD68" s="448"/>
      <c r="CE68" s="551"/>
      <c r="CF68" s="553"/>
      <c r="CG68" s="550"/>
      <c r="CH68" s="448"/>
      <c r="CI68" s="551"/>
      <c r="CJ68" s="553"/>
      <c r="CK68" s="550"/>
      <c r="CL68" s="448"/>
      <c r="CM68" s="551"/>
      <c r="CN68" s="553"/>
      <c r="CO68" s="550"/>
      <c r="CP68" s="448"/>
      <c r="CQ68" s="551"/>
      <c r="CR68" s="553"/>
      <c r="CS68" s="550"/>
      <c r="CT68" s="448"/>
      <c r="CU68" s="551"/>
    </row>
    <row r="69" spans="1:112" ht="15.5" x14ac:dyDescent="0.35">
      <c r="B69" s="634" t="str">
        <f>'Nurse Hours'!B70</f>
        <v xml:space="preserve">Malone, Teresa </v>
      </c>
      <c r="C69" s="727">
        <f>IFERROR(VLOOKUP($B69,RegularHours_type1[[Nurse]:[Dec]],5,0)/VLOOKUP($B69,'Nurse Cases'!$B$37:$AX$76,5,0),0)</f>
        <v>0</v>
      </c>
      <c r="D69" s="727">
        <f>IFERROR(VLOOKUP($B69,RegularHours_type1[[Nurse]:[Dec]],6,0)/VLOOKUP($B69,'Nurse Cases'!$B$37:$N$76,9,0),0)</f>
        <v>0</v>
      </c>
      <c r="E69" s="727">
        <f>IFERROR(VLOOKUP($B69,RegularHours_type1[[Nurse]:[Dec]],7,0)/VLOOKUP($B69,'Nurse Cases'!$B$37:$N$76,13,0),0)</f>
        <v>0</v>
      </c>
      <c r="F69" s="727">
        <f>IFERROR(VLOOKUP($B69,RegularHours_type1[[Nurse]:[Dec]],8,0)/VLOOKUP($B69,'Nurse Cases'!$B$37:$AX$76,17,0),0)</f>
        <v>0</v>
      </c>
      <c r="G69" s="727">
        <f>IFERROR(VLOOKUP($B69,RegularHours_type1[[Nurse]:[Dec]],9,0)/VLOOKUP($B69,'Nurse Cases'!$B$37:$AX$76,21,0),0)</f>
        <v>0</v>
      </c>
      <c r="H69" s="727">
        <f>IFERROR(VLOOKUP($B69,RegularHours_type1[[Nurse]:[Dec]],10,0)/VLOOKUP($B69,'Nurse Cases'!$B$37:$AX$76,25,0),0)</f>
        <v>0</v>
      </c>
      <c r="I69" s="727">
        <f>IFERROR(VLOOKUP($B69,RegularHours_type1[[Nurse]:[Dec]],11,0)/VLOOKUP($B69,'Nurse Cases'!$B$37:$AX$76,29,0),0)</f>
        <v>0</v>
      </c>
      <c r="J69" s="727">
        <f>IFERROR(VLOOKUP($B69,RegularHours_type1[[Nurse]:[Dec]],12,0)/VLOOKUP($B69,'Nurse Cases'!$B$37:$AX$76,33,0),0)</f>
        <v>0</v>
      </c>
      <c r="K69" s="727">
        <f>IFERROR(VLOOKUP($B69,RegularHours_type1[[Nurse]:[Dec]],13,0)/VLOOKUP($B69,'Nurse Cases'!$B$37:$AX$76,37,0),0)</f>
        <v>0</v>
      </c>
      <c r="L69" s="727">
        <f>IFERROR(VLOOKUP($B69,RegularHours_type1[[Nurse]:[Dec]],14,0)/VLOOKUP($B69,'Nurse Cases'!$B$37:$AX$76,41,0),0)</f>
        <v>0</v>
      </c>
      <c r="M69" s="727">
        <f>IFERROR(VLOOKUP($B69,RegularHours_type1[[Nurse]:[Dec]],15,0)/VLOOKUP($B69,'Nurse Cases'!$B$37:$AX$76,45,0),0)</f>
        <v>0</v>
      </c>
      <c r="N69" s="727">
        <f>IFERROR(VLOOKUP($B69,RegularHours_type1[[Nurse]:[Dec]],16,0)/VLOOKUP($B69,'Nurse Cases'!$B$37:$AX$76,49,0),0)</f>
        <v>0</v>
      </c>
      <c r="O69" s="448"/>
      <c r="P69" s="403"/>
      <c r="Q69" s="448"/>
      <c r="R69" s="543"/>
      <c r="S69" s="448"/>
      <c r="T69" s="403"/>
      <c r="U69" s="448"/>
      <c r="V69" s="403"/>
      <c r="W69" s="448"/>
      <c r="X69" s="403"/>
      <c r="Y69" s="448"/>
      <c r="Z69" s="403"/>
      <c r="AA69" s="448"/>
      <c r="AB69" s="403"/>
      <c r="AC69" s="448"/>
      <c r="AD69" s="403"/>
      <c r="AE69" s="448"/>
      <c r="AF69" s="403"/>
      <c r="AG69" s="448"/>
      <c r="AH69" s="549"/>
      <c r="AI69" s="448"/>
      <c r="AJ69" s="403"/>
      <c r="AK69" s="448"/>
      <c r="AL69" s="549"/>
      <c r="AM69" s="448"/>
      <c r="AN69" s="403"/>
      <c r="AO69" s="448"/>
      <c r="AP69" s="403"/>
      <c r="AQ69" s="448"/>
      <c r="AR69" s="403"/>
      <c r="AS69" s="448"/>
      <c r="AT69" s="549"/>
      <c r="AU69" s="448"/>
      <c r="AV69" s="403"/>
      <c r="AW69" s="448"/>
      <c r="AX69" s="403"/>
      <c r="AZ69" s="550"/>
      <c r="BA69" s="550"/>
      <c r="BB69" s="448"/>
      <c r="BC69" s="551"/>
      <c r="BD69" s="550"/>
      <c r="BE69" s="550"/>
      <c r="BF69" s="448"/>
      <c r="BG69" s="551"/>
      <c r="BH69" s="553"/>
      <c r="BI69" s="550"/>
      <c r="BJ69" s="448"/>
      <c r="BK69" s="551"/>
      <c r="BL69" s="553"/>
      <c r="BM69" s="550"/>
      <c r="BN69" s="448"/>
      <c r="BO69" s="551"/>
      <c r="BP69" s="553"/>
      <c r="BQ69" s="550"/>
      <c r="BR69" s="448"/>
      <c r="BS69" s="551"/>
      <c r="BT69" s="553"/>
      <c r="BU69" s="550"/>
      <c r="BV69" s="448"/>
      <c r="BW69" s="551"/>
      <c r="BX69" s="553"/>
      <c r="BY69" s="550"/>
      <c r="BZ69" s="448"/>
      <c r="CA69" s="551"/>
      <c r="CB69" s="553"/>
      <c r="CC69" s="550"/>
      <c r="CD69" s="448"/>
      <c r="CE69" s="551"/>
      <c r="CF69" s="553"/>
      <c r="CG69" s="550"/>
      <c r="CH69" s="448"/>
      <c r="CI69" s="551"/>
      <c r="CJ69" s="553"/>
      <c r="CK69" s="550"/>
      <c r="CL69" s="448"/>
      <c r="CM69" s="551"/>
      <c r="CN69" s="553"/>
      <c r="CO69" s="550"/>
      <c r="CP69" s="448"/>
      <c r="CQ69" s="551"/>
      <c r="CR69" s="553"/>
      <c r="CS69" s="550"/>
      <c r="CT69" s="448"/>
      <c r="CU69" s="551"/>
    </row>
    <row r="70" spans="1:112" ht="15.5" x14ac:dyDescent="0.35">
      <c r="B70" s="634" t="str">
        <f>'Nurse Hours'!B71</f>
        <v>Miller, Alicia</v>
      </c>
      <c r="C70" s="727">
        <f>IFERROR(VLOOKUP($B70,RegularHours_type1[[Nurse]:[Dec]],5,0)/VLOOKUP($B70,'Nurse Cases'!$B$37:$AX$76,5,0),0)</f>
        <v>0</v>
      </c>
      <c r="D70" s="727"/>
      <c r="E70" s="727"/>
      <c r="F70" s="727">
        <f>IFERROR(VLOOKUP($B70,RegularHours_type1[[Nurse]:[Dec]],8,0)/VLOOKUP($B70,'Nurse Cases'!$B$37:$AX$76,17,0),0)</f>
        <v>0</v>
      </c>
      <c r="G70" s="727">
        <f>IFERROR(VLOOKUP($B70,RegularHours_type1[[Nurse]:[Dec]],9,0)/VLOOKUP($B70,'Nurse Cases'!$B$37:$AX$76,21,0),0)</f>
        <v>0</v>
      </c>
      <c r="H70" s="727">
        <f>IFERROR(VLOOKUP($B70,RegularHours_type1[[Nurse]:[Dec]],10,0)/VLOOKUP($B70,'Nurse Cases'!$B$37:$AX$76,25,0),0)</f>
        <v>0</v>
      </c>
      <c r="I70" s="727">
        <f>IFERROR(VLOOKUP($B70,RegularHours_type1[[Nurse]:[Dec]],11,0)/VLOOKUP($B70,'Nurse Cases'!$B$37:$AX$76,29,0),0)</f>
        <v>0</v>
      </c>
      <c r="J70" s="727">
        <f>IFERROR(VLOOKUP($B70,RegularHours_type1[[Nurse]:[Dec]],12,0)/VLOOKUP($B70,'Nurse Cases'!$B$37:$AX$76,33,0),0)</f>
        <v>0</v>
      </c>
      <c r="K70" s="727">
        <f>IFERROR(VLOOKUP($B70,RegularHours_type1[[Nurse]:[Dec]],13,0)/VLOOKUP($B70,'Nurse Cases'!$B$37:$AX$76,37,0),0)</f>
        <v>0</v>
      </c>
      <c r="L70" s="727">
        <f>IFERROR(VLOOKUP($B70,RegularHours_type1[[Nurse]:[Dec]],14,0)/VLOOKUP($B70,'Nurse Cases'!$B$37:$AX$76,41,0),0)</f>
        <v>1.9600000000000002</v>
      </c>
      <c r="M70" s="727">
        <f>IFERROR(VLOOKUP($B70,RegularHours_type1[[Nurse]:[Dec]],15,0)/VLOOKUP($B70,'Nurse Cases'!$B$37:$AX$76,45,0),0)</f>
        <v>0</v>
      </c>
      <c r="N70" s="727">
        <f>IFERROR(VLOOKUP($B70,RegularHours_type1[[Nurse]:[Dec]],16,0)/VLOOKUP($B70,'Nurse Cases'!$B$37:$AX$76,49,0),0)</f>
        <v>0</v>
      </c>
      <c r="O70" s="448"/>
      <c r="P70" s="403"/>
      <c r="Q70" s="448"/>
      <c r="R70" s="543"/>
      <c r="S70" s="448"/>
      <c r="T70" s="403"/>
      <c r="U70" s="448"/>
      <c r="V70" s="403"/>
      <c r="W70" s="448"/>
      <c r="X70" s="403"/>
      <c r="Y70" s="448"/>
      <c r="Z70" s="403"/>
      <c r="AA70" s="448"/>
      <c r="AB70" s="403"/>
      <c r="AC70" s="448"/>
      <c r="AD70" s="403"/>
      <c r="AE70" s="448"/>
      <c r="AF70" s="403"/>
      <c r="AG70" s="448"/>
      <c r="AH70" s="549"/>
      <c r="AI70" s="448"/>
      <c r="AJ70" s="403"/>
      <c r="AK70" s="448"/>
      <c r="AL70" s="549"/>
      <c r="AM70" s="448"/>
      <c r="AN70" s="403"/>
      <c r="AO70" s="448"/>
      <c r="AP70" s="403"/>
      <c r="AQ70" s="448"/>
      <c r="AR70" s="403"/>
      <c r="AS70" s="448"/>
      <c r="AT70" s="549"/>
      <c r="AU70" s="448"/>
      <c r="AV70" s="403"/>
      <c r="AW70" s="448"/>
      <c r="AX70" s="403"/>
      <c r="AZ70" s="550"/>
      <c r="BA70" s="550"/>
      <c r="BB70" s="448"/>
      <c r="BC70" s="551"/>
      <c r="BD70" s="550"/>
      <c r="BE70" s="550"/>
      <c r="BF70" s="448"/>
      <c r="BG70" s="551"/>
      <c r="BH70" s="553"/>
      <c r="BI70" s="550"/>
      <c r="BJ70" s="448"/>
      <c r="BK70" s="551"/>
      <c r="BL70" s="553"/>
      <c r="BM70" s="550"/>
      <c r="BN70" s="448"/>
      <c r="BO70" s="551"/>
      <c r="BP70" s="553"/>
      <c r="BQ70" s="550"/>
      <c r="BR70" s="448"/>
      <c r="BS70" s="551"/>
      <c r="BT70" s="553"/>
      <c r="BU70" s="550"/>
      <c r="BV70" s="448"/>
      <c r="BW70" s="551"/>
      <c r="BX70" s="553"/>
      <c r="BY70" s="550"/>
      <c r="BZ70" s="448"/>
      <c r="CA70" s="551"/>
      <c r="CB70" s="553"/>
      <c r="CC70" s="550"/>
      <c r="CD70" s="448"/>
      <c r="CE70" s="551"/>
      <c r="CF70" s="553"/>
      <c r="CG70" s="550"/>
      <c r="CH70" s="448"/>
      <c r="CI70" s="551"/>
      <c r="CJ70" s="553"/>
      <c r="CK70" s="550"/>
      <c r="CL70" s="448"/>
      <c r="CM70" s="551"/>
      <c r="CN70" s="553"/>
      <c r="CO70" s="550"/>
      <c r="CP70" s="448"/>
      <c r="CQ70" s="551"/>
      <c r="CR70" s="553"/>
      <c r="CS70" s="550"/>
      <c r="CT70" s="448"/>
      <c r="CU70" s="551"/>
    </row>
    <row r="71" spans="1:112" ht="15.5" x14ac:dyDescent="0.35">
      <c r="B71" s="634" t="str">
        <f>'Nurse Hours'!B72</f>
        <v>Moore, Falisha</v>
      </c>
      <c r="C71" s="727">
        <f>IFERROR(VLOOKUP($B71,RegularHours_type1[[Nurse]:[Dec]],5,0)/VLOOKUP($B71,'Nurse Cases'!$B$37:$AX$76,5,0),0)</f>
        <v>0</v>
      </c>
      <c r="D71" s="727">
        <f>IFERROR(VLOOKUP($B71,RegularHours_type1[[Nurse]:[Dec]],6,0)/VLOOKUP($B71,'Nurse Cases'!$B$37:$N$76,9,0),0)</f>
        <v>0</v>
      </c>
      <c r="E71" s="727">
        <f>IFERROR(VLOOKUP($B71,RegularHours_type1[[Nurse]:[Dec]],7,0)/VLOOKUP($B71,'Nurse Cases'!$B$37:$N$76,13,0),0)</f>
        <v>0</v>
      </c>
      <c r="F71" s="727">
        <f>IFERROR(VLOOKUP($B71,RegularHours_type1[[Nurse]:[Dec]],8,0)/VLOOKUP($B71,'Nurse Cases'!$B$37:$AX$76,17,0),0)</f>
        <v>0</v>
      </c>
      <c r="G71" s="727">
        <f>IFERROR(VLOOKUP($B71,RegularHours_type1[[Nurse]:[Dec]],9,0)/VLOOKUP($B71,'Nurse Cases'!$B$37:$AX$76,21,0),0)</f>
        <v>0</v>
      </c>
      <c r="H71" s="727">
        <f>IFERROR(VLOOKUP($B71,RegularHours_type1[[Nurse]:[Dec]],10,0)/VLOOKUP($B71,'Nurse Cases'!$B$37:$AX$76,25,0),0)</f>
        <v>0</v>
      </c>
      <c r="I71" s="727">
        <f>IFERROR(VLOOKUP($B71,RegularHours_type1[[Nurse]:[Dec]],11,0)/VLOOKUP($B71,'Nurse Cases'!$B$37:$AX$76,29,0),0)</f>
        <v>0</v>
      </c>
      <c r="J71" s="727">
        <f>IFERROR(VLOOKUP($B71,RegularHours_type1[[Nurse]:[Dec]],12,0)/VLOOKUP($B71,'Nurse Cases'!$B$37:$AX$76,33,0),0)</f>
        <v>0</v>
      </c>
      <c r="K71" s="727">
        <f>IFERROR(VLOOKUP($B71,RegularHours_type1[[Nurse]:[Dec]],13,0)/VLOOKUP($B71,'Nurse Cases'!$B$37:$AX$76,37,0),0)</f>
        <v>0</v>
      </c>
      <c r="L71" s="727">
        <f>IFERROR(VLOOKUP($B71,RegularHours_type1[[Nurse]:[Dec]],14,0)/VLOOKUP($B71,'Nurse Cases'!$B$37:$AX$76,41,0),0)</f>
        <v>0</v>
      </c>
      <c r="M71" s="727">
        <f>IFERROR(VLOOKUP($B71,RegularHours_type1[[Nurse]:[Dec]],15,0)/VLOOKUP($B71,'Nurse Cases'!$B$37:$AX$76,45,0),0)</f>
        <v>0</v>
      </c>
      <c r="N71" s="727">
        <f>IFERROR(VLOOKUP($B71,RegularHours_type1[[Nurse]:[Dec]],16,0)/VLOOKUP($B71,'Nurse Cases'!$B$37:$AX$76,49,0),0)</f>
        <v>0</v>
      </c>
      <c r="O71" s="448"/>
      <c r="P71" s="403"/>
      <c r="Q71" s="448"/>
      <c r="R71" s="543"/>
      <c r="S71" s="448"/>
      <c r="T71" s="403"/>
      <c r="U71" s="448"/>
      <c r="V71" s="403"/>
      <c r="W71" s="448"/>
      <c r="X71" s="403"/>
      <c r="Y71" s="448"/>
      <c r="Z71" s="403"/>
      <c r="AA71" s="448"/>
      <c r="AB71" s="403"/>
      <c r="AC71" s="448"/>
      <c r="AD71" s="403"/>
      <c r="AE71" s="448"/>
      <c r="AF71" s="403"/>
      <c r="AG71" s="448"/>
      <c r="AH71" s="549"/>
      <c r="AI71" s="448"/>
      <c r="AJ71" s="403"/>
      <c r="AK71" s="448"/>
      <c r="AL71" s="549"/>
      <c r="AM71" s="448"/>
      <c r="AN71" s="403"/>
      <c r="AO71" s="448"/>
      <c r="AP71" s="403"/>
      <c r="AQ71" s="448"/>
      <c r="AR71" s="403"/>
      <c r="AS71" s="448"/>
      <c r="AT71" s="549"/>
      <c r="AU71" s="448"/>
      <c r="AV71" s="403"/>
      <c r="AW71" s="448"/>
      <c r="AX71" s="403"/>
      <c r="AZ71" s="550"/>
      <c r="BA71" s="550"/>
      <c r="BB71" s="448"/>
      <c r="BC71" s="551"/>
      <c r="BD71" s="550"/>
      <c r="BE71" s="550"/>
      <c r="BF71" s="448"/>
      <c r="BG71" s="551"/>
      <c r="BH71" s="553"/>
      <c r="BI71" s="550"/>
      <c r="BJ71" s="448"/>
      <c r="BK71" s="551"/>
      <c r="BL71" s="553"/>
      <c r="BM71" s="550"/>
      <c r="BN71" s="448"/>
      <c r="BO71" s="551"/>
      <c r="BP71" s="553"/>
      <c r="BQ71" s="550"/>
      <c r="BR71" s="448"/>
      <c r="BS71" s="551"/>
      <c r="BT71" s="553"/>
      <c r="BU71" s="550"/>
      <c r="BV71" s="448"/>
      <c r="BW71" s="551"/>
      <c r="BX71" s="553"/>
      <c r="BY71" s="550"/>
      <c r="BZ71" s="448"/>
      <c r="CA71" s="551"/>
      <c r="CB71" s="553"/>
      <c r="CC71" s="550"/>
      <c r="CD71" s="448"/>
      <c r="CE71" s="551"/>
      <c r="CF71" s="553"/>
      <c r="CG71" s="550"/>
      <c r="CH71" s="448"/>
      <c r="CI71" s="551"/>
      <c r="CJ71" s="553"/>
      <c r="CK71" s="550"/>
      <c r="CL71" s="448"/>
      <c r="CM71" s="551"/>
      <c r="CN71" s="553"/>
      <c r="CO71" s="550"/>
      <c r="CP71" s="448"/>
      <c r="CQ71" s="551"/>
      <c r="CR71" s="553"/>
      <c r="CS71" s="550"/>
      <c r="CT71" s="448"/>
      <c r="CU71" s="551"/>
    </row>
    <row r="72" spans="1:112" ht="15.5" x14ac:dyDescent="0.35">
      <c r="B72" s="634" t="str">
        <f>'Nurse Hours'!B73</f>
        <v>Omoaholo, Roxanne</v>
      </c>
      <c r="C72" s="727">
        <f>IFERROR(VLOOKUP($B72,RegularHours_type1[[Nurse]:[Dec]],5,0)/VLOOKUP($B72,'Nurse Cases'!$B$37:$AX$76,5,0),0)</f>
        <v>9</v>
      </c>
      <c r="D72" s="727">
        <f>IFERROR(VLOOKUP($B72,RegularHours_type1[[Nurse]:[Dec]],6,0)/VLOOKUP($B72,'Nurse Cases'!$B$37:$N$76,9,0),0)</f>
        <v>8.3277777777777775</v>
      </c>
      <c r="E72" s="727">
        <f>IFERROR(VLOOKUP($B72,RegularHours_type1[[Nurse]:[Dec]],7,0)/VLOOKUP($B72,'Nurse Cases'!$B$37:$N$76,13,0),0)</f>
        <v>6.253333333333333</v>
      </c>
      <c r="F72" s="727">
        <f>IFERROR(VLOOKUP($B72,RegularHours_type1[[Nurse]:[Dec]],8,0)/VLOOKUP($B72,'Nurse Cases'!$B$37:$AX$76,17,0),0)</f>
        <v>0</v>
      </c>
      <c r="G72" s="727">
        <f>IFERROR(VLOOKUP($B72,RegularHours_type1[[Nurse]:[Dec]],9,0)/VLOOKUP($B72,'Nurse Cases'!$B$37:$AX$76,21,0),0)</f>
        <v>2.9571428571428569</v>
      </c>
      <c r="H72" s="727">
        <f>IFERROR(VLOOKUP($B72,RegularHours_type1[[Nurse]:[Dec]],10,0)/VLOOKUP($B72,'Nurse Cases'!$B$37:$AX$76,25,0),0)</f>
        <v>7.1624999999999996</v>
      </c>
      <c r="I72" s="727">
        <f>IFERROR(VLOOKUP($B72,RegularHours_type1[[Nurse]:[Dec]],11,0)/VLOOKUP($B72,'Nurse Cases'!$B$37:$AX$76,29,0),0)</f>
        <v>7.2125000000000004</v>
      </c>
      <c r="J72" s="727">
        <f>IFERROR(VLOOKUP($B72,RegularHours_type1[[Nurse]:[Dec]],12,0)/VLOOKUP($B72,'Nurse Cases'!$B$37:$AX$76,33,0),0)</f>
        <v>8.0285714285714285</v>
      </c>
      <c r="K72" s="727">
        <f>IFERROR(VLOOKUP($B72,RegularHours_type1[[Nurse]:[Dec]],13,0)/VLOOKUP($B72,'Nurse Cases'!$B$37:$AX$76,37,0),0)</f>
        <v>5.8999999999999995</v>
      </c>
      <c r="L72" s="727">
        <f>IFERROR(VLOOKUP($B72,RegularHours_type1[[Nurse]:[Dec]],14,0)/VLOOKUP($B72,'Nurse Cases'!$B$37:$AX$76,41,0),0)</f>
        <v>0</v>
      </c>
      <c r="M72" s="727">
        <f>IFERROR(VLOOKUP($B72,RegularHours_type1[[Nurse]:[Dec]],15,0)/VLOOKUP($B72,'Nurse Cases'!$B$37:$AX$76,45,0),0)</f>
        <v>0</v>
      </c>
      <c r="N72" s="727">
        <f>IFERROR(VLOOKUP($B72,RegularHours_type1[[Nurse]:[Dec]],16,0)/VLOOKUP($B72,'Nurse Cases'!$B$37:$AX$76,49,0),0)</f>
        <v>0</v>
      </c>
      <c r="O72" s="448"/>
      <c r="P72" s="403"/>
      <c r="Q72" s="448"/>
      <c r="R72" s="543"/>
      <c r="S72" s="448"/>
      <c r="T72" s="403"/>
      <c r="U72" s="448"/>
      <c r="V72" s="403"/>
      <c r="W72" s="448"/>
      <c r="X72" s="403"/>
      <c r="Y72" s="448"/>
      <c r="Z72" s="403"/>
      <c r="AA72" s="448"/>
      <c r="AB72" s="403"/>
      <c r="AC72" s="448"/>
      <c r="AD72" s="403"/>
      <c r="AE72" s="448"/>
      <c r="AF72" s="403"/>
      <c r="AG72" s="448"/>
      <c r="AH72" s="549"/>
      <c r="AI72" s="448"/>
      <c r="AJ72" s="403"/>
      <c r="AK72" s="448"/>
      <c r="AL72" s="549"/>
      <c r="AM72" s="448"/>
      <c r="AN72" s="403"/>
      <c r="AO72" s="448"/>
      <c r="AP72" s="403"/>
      <c r="AQ72" s="448"/>
      <c r="AR72" s="403"/>
      <c r="AS72" s="448"/>
      <c r="AT72" s="549"/>
      <c r="AU72" s="448"/>
      <c r="AV72" s="403"/>
      <c r="AW72" s="448"/>
      <c r="AX72" s="403"/>
      <c r="AZ72" s="550"/>
      <c r="BA72" s="550"/>
      <c r="BB72" s="448"/>
      <c r="BC72" s="551"/>
      <c r="BD72" s="550"/>
      <c r="BE72" s="550"/>
      <c r="BF72" s="448"/>
      <c r="BG72" s="551"/>
      <c r="BH72" s="553"/>
      <c r="BI72" s="550"/>
      <c r="BJ72" s="448"/>
      <c r="BK72" s="551"/>
      <c r="BL72" s="553"/>
      <c r="BM72" s="550"/>
      <c r="BN72" s="448"/>
      <c r="BO72" s="551"/>
      <c r="BP72" s="553"/>
      <c r="BQ72" s="550"/>
      <c r="BR72" s="448"/>
      <c r="BS72" s="551"/>
      <c r="BT72" s="553"/>
      <c r="BU72" s="550"/>
      <c r="BV72" s="448"/>
      <c r="BW72" s="551"/>
      <c r="BX72" s="553"/>
      <c r="BY72" s="550"/>
      <c r="BZ72" s="448"/>
      <c r="CA72" s="551"/>
      <c r="CB72" s="553"/>
      <c r="CC72" s="550"/>
      <c r="CD72" s="448"/>
      <c r="CE72" s="551"/>
      <c r="CF72" s="553"/>
      <c r="CG72" s="550"/>
      <c r="CH72" s="448"/>
      <c r="CI72" s="551"/>
      <c r="CJ72" s="553"/>
      <c r="CK72" s="550"/>
      <c r="CL72" s="448"/>
      <c r="CM72" s="551"/>
      <c r="CN72" s="553"/>
      <c r="CO72" s="550"/>
      <c r="CP72" s="448"/>
      <c r="CQ72" s="551"/>
      <c r="CR72" s="553"/>
      <c r="CS72" s="550"/>
      <c r="CT72" s="448"/>
      <c r="CU72" s="551"/>
    </row>
    <row r="73" spans="1:112" ht="15.5" x14ac:dyDescent="0.35">
      <c r="B73" s="634" t="str">
        <f>'Nurse Hours'!B74</f>
        <v>Pepito, Mabelene</v>
      </c>
      <c r="C73" s="727">
        <f>IFERROR(VLOOKUP($B73,RegularHours_type1[[Nurse]:[Dec]],5,0)/VLOOKUP($B73,'Nurse Cases'!$B$37:$AX$76,5,0),0)</f>
        <v>8.2959999999999994</v>
      </c>
      <c r="D73" s="727">
        <f>IFERROR(VLOOKUP($B73,RegularHours_type1[[Nurse]:[Dec]],6,0)/VLOOKUP($B73,'Nurse Cases'!$B$37:$N$76,9,0),0)</f>
        <v>6.5142857142857142</v>
      </c>
      <c r="E73" s="727">
        <f>IFERROR(VLOOKUP($B73,RegularHours_type1[[Nurse]:[Dec]],7,0)/VLOOKUP($B73,'Nurse Cases'!$B$37:$N$76,13,0),0)</f>
        <v>6.838461538461539</v>
      </c>
      <c r="F73" s="727">
        <f>IFERROR(VLOOKUP($B73,RegularHours_type1[[Nurse]:[Dec]],8,0)/VLOOKUP($B73,'Nurse Cases'!$B$37:$AX$76,17,0),0)</f>
        <v>6.9037037037037043</v>
      </c>
      <c r="G73" s="727">
        <f>IFERROR(VLOOKUP($B73,RegularHours_type1[[Nurse]:[Dec]],9,0)/VLOOKUP($B73,'Nurse Cases'!$B$37:$AX$76,21,0),0)</f>
        <v>7.4230769230769234</v>
      </c>
      <c r="H73" s="727">
        <f>IFERROR(VLOOKUP($B73,RegularHours_type1[[Nurse]:[Dec]],10,0)/VLOOKUP($B73,'Nurse Cases'!$B$37:$AX$76,25,0),0)</f>
        <v>6.4076923076923071</v>
      </c>
      <c r="I73" s="727">
        <f>IFERROR(VLOOKUP($B73,RegularHours_type1[[Nurse]:[Dec]],11,0)/VLOOKUP($B73,'Nurse Cases'!$B$37:$AX$76,29,0),0)</f>
        <v>7.1464285714285714</v>
      </c>
      <c r="J73" s="727">
        <f>IFERROR(VLOOKUP($B73,RegularHours_type1[[Nurse]:[Dec]],12,0)/VLOOKUP($B73,'Nurse Cases'!$B$37:$AX$76,33,0),0)</f>
        <v>7.1076923076923082</v>
      </c>
      <c r="K73" s="727">
        <f>IFERROR(VLOOKUP($B73,RegularHours_type1[[Nurse]:[Dec]],13,0)/VLOOKUP($B73,'Nurse Cases'!$B$37:$AX$76,37,0),0)</f>
        <v>6.5071428571428571</v>
      </c>
      <c r="L73" s="727">
        <f>IFERROR(VLOOKUP($B73,RegularHours_type1[[Nurse]:[Dec]],14,0)/VLOOKUP($B73,'Nurse Cases'!$B$37:$AX$76,41,0),0)</f>
        <v>7.2833333333333332</v>
      </c>
      <c r="M73" s="727">
        <f>IFERROR(VLOOKUP($B73,RegularHours_type1[[Nurse]:[Dec]],15,0)/VLOOKUP($B73,'Nurse Cases'!$B$37:$AX$76,45,0),0)</f>
        <v>0</v>
      </c>
      <c r="N73" s="727">
        <f>IFERROR(VLOOKUP($B73,RegularHours_type1[[Nurse]:[Dec]],16,0)/VLOOKUP($B73,'Nurse Cases'!$B$37:$AX$76,49,0),0)</f>
        <v>0</v>
      </c>
      <c r="O73" s="448"/>
      <c r="P73" s="403"/>
      <c r="Q73" s="448"/>
      <c r="R73" s="543"/>
      <c r="S73" s="448"/>
      <c r="T73" s="403"/>
      <c r="U73" s="448"/>
      <c r="V73" s="403"/>
      <c r="W73" s="448"/>
      <c r="X73" s="403"/>
      <c r="Y73" s="448"/>
      <c r="Z73" s="403"/>
      <c r="AA73" s="448"/>
      <c r="AB73" s="403"/>
      <c r="AC73" s="448"/>
      <c r="AD73" s="403"/>
      <c r="AE73" s="448"/>
      <c r="AF73" s="403"/>
      <c r="AG73" s="448"/>
      <c r="AH73" s="549"/>
      <c r="AI73" s="448"/>
      <c r="AJ73" s="403"/>
      <c r="AK73" s="448"/>
      <c r="AL73" s="549"/>
      <c r="AM73" s="448"/>
      <c r="AN73" s="403"/>
      <c r="AO73" s="448"/>
      <c r="AP73" s="403"/>
      <c r="AQ73" s="448"/>
      <c r="AR73" s="403"/>
      <c r="AS73" s="448"/>
      <c r="AT73" s="549"/>
      <c r="AU73" s="448"/>
      <c r="AV73" s="403"/>
      <c r="AW73" s="448"/>
      <c r="AX73" s="403"/>
      <c r="AZ73" s="550"/>
      <c r="BA73" s="550"/>
      <c r="BB73" s="448"/>
      <c r="BC73" s="551"/>
      <c r="BD73" s="550"/>
      <c r="BE73" s="550"/>
      <c r="BF73" s="448"/>
      <c r="BG73" s="551"/>
      <c r="BH73" s="553"/>
      <c r="BI73" s="550"/>
      <c r="BJ73" s="448"/>
      <c r="BK73" s="551"/>
      <c r="BL73" s="553"/>
      <c r="BM73" s="550"/>
      <c r="BN73" s="448"/>
      <c r="BO73" s="551"/>
      <c r="BP73" s="553"/>
      <c r="BQ73" s="550"/>
      <c r="BR73" s="448"/>
      <c r="BS73" s="551"/>
      <c r="BT73" s="553"/>
      <c r="BU73" s="550"/>
      <c r="BV73" s="448"/>
      <c r="BW73" s="551"/>
      <c r="BX73" s="553"/>
      <c r="BY73" s="550"/>
      <c r="BZ73" s="448"/>
      <c r="CA73" s="551"/>
      <c r="CB73" s="553"/>
      <c r="CC73" s="550"/>
      <c r="CD73" s="448"/>
      <c r="CE73" s="551"/>
      <c r="CF73" s="553"/>
      <c r="CG73" s="550"/>
      <c r="CH73" s="448"/>
      <c r="CI73" s="551"/>
      <c r="CJ73" s="553"/>
      <c r="CK73" s="550"/>
      <c r="CL73" s="448"/>
      <c r="CM73" s="551"/>
      <c r="CN73" s="553"/>
      <c r="CO73" s="550"/>
      <c r="CP73" s="448"/>
      <c r="CQ73" s="551"/>
      <c r="CR73" s="553"/>
      <c r="CS73" s="550"/>
      <c r="CT73" s="448"/>
      <c r="CU73" s="551"/>
    </row>
    <row r="74" spans="1:112" ht="15.5" x14ac:dyDescent="0.35">
      <c r="B74" s="634" t="str">
        <f>'Nurse Hours'!B75</f>
        <v>Pham, Michelle</v>
      </c>
      <c r="C74" s="727">
        <f>IFERROR(VLOOKUP($B74,RegularHours_type1[[Nurse]:[Dec]],5,0)/VLOOKUP($B74,'Nurse Cases'!$B$37:$AX$76,5,0),0)</f>
        <v>0</v>
      </c>
      <c r="D74" s="727">
        <f>IFERROR(VLOOKUP($B74,RegularHours_type1[[Nurse]:[Dec]],6,0)/VLOOKUP($B74,'Nurse Cases'!$B$37:$N$76,9,0),0)</f>
        <v>0</v>
      </c>
      <c r="E74" s="727">
        <f>IFERROR(VLOOKUP($B74,RegularHours_type1[[Nurse]:[Dec]],7,0)/VLOOKUP($B74,'Nurse Cases'!$B$37:$N$76,13,0),0)</f>
        <v>9.7363636363636363</v>
      </c>
      <c r="F74" s="727">
        <f>IFERROR(VLOOKUP($B74,RegularHours_type1[[Nurse]:[Dec]],8,0)/VLOOKUP($B74,'Nurse Cases'!$B$37:$AX$76,17,0),0)</f>
        <v>8.4499999999999993</v>
      </c>
      <c r="G74" s="727">
        <f>IFERROR(VLOOKUP($B74,RegularHours_type1[[Nurse]:[Dec]],9,0)/VLOOKUP($B74,'Nurse Cases'!$B$37:$AX$76,21,0),0)</f>
        <v>8.93888888888889</v>
      </c>
      <c r="H74" s="727">
        <f>IFERROR(VLOOKUP($B74,RegularHours_type1[[Nurse]:[Dec]],10,0)/VLOOKUP($B74,'Nurse Cases'!$B$37:$AX$76,25,0),0)</f>
        <v>8.473684210526315</v>
      </c>
      <c r="I74" s="727">
        <f>IFERROR(VLOOKUP($B74,RegularHours_type1[[Nurse]:[Dec]],11,0)/VLOOKUP($B74,'Nurse Cases'!$B$37:$AX$76,29,0),0)</f>
        <v>8.0391304347826082</v>
      </c>
      <c r="J74" s="727">
        <f>IFERROR(VLOOKUP($B74,RegularHours_type1[[Nurse]:[Dec]],12,0)/VLOOKUP($B74,'Nurse Cases'!$B$37:$AX$76,33,0),0)</f>
        <v>8.0086956521739125</v>
      </c>
      <c r="K74" s="727">
        <f>IFERROR(VLOOKUP($B74,RegularHours_type1[[Nurse]:[Dec]],13,0)/VLOOKUP($B74,'Nurse Cases'!$B$37:$AX$76,37,0),0)</f>
        <v>7.3500000000000005</v>
      </c>
      <c r="L74" s="727">
        <f>IFERROR(VLOOKUP($B74,RegularHours_type1[[Nurse]:[Dec]],14,0)/VLOOKUP($B74,'Nurse Cases'!$B$37:$AX$76,41,0),0)</f>
        <v>7.3576923076923082</v>
      </c>
      <c r="M74" s="727">
        <f>IFERROR(VLOOKUP($B74,RegularHours_type1[[Nurse]:[Dec]],15,0)/VLOOKUP($B74,'Nurse Cases'!$B$37:$AX$76,45,0),0)</f>
        <v>0</v>
      </c>
      <c r="N74" s="727">
        <f>IFERROR(VLOOKUP($B74,RegularHours_type1[[Nurse]:[Dec]],16,0)/VLOOKUP($B74,'Nurse Cases'!$B$37:$AX$76,49,0),0)</f>
        <v>0</v>
      </c>
      <c r="O74" s="448"/>
      <c r="P74" s="403"/>
      <c r="Q74" s="448"/>
      <c r="R74" s="543"/>
      <c r="S74" s="448"/>
      <c r="T74" s="403"/>
      <c r="U74" s="448"/>
      <c r="V74" s="403"/>
      <c r="W74" s="448"/>
      <c r="X74" s="403"/>
      <c r="Y74" s="448"/>
      <c r="Z74" s="403"/>
      <c r="AA74" s="448"/>
      <c r="AB74" s="403"/>
      <c r="AC74" s="448"/>
      <c r="AD74" s="403"/>
      <c r="AE74" s="448"/>
      <c r="AF74" s="403"/>
      <c r="AG74" s="448"/>
      <c r="AH74" s="549"/>
      <c r="AI74" s="448"/>
      <c r="AJ74" s="403"/>
      <c r="AK74" s="448"/>
      <c r="AL74" s="549"/>
      <c r="AM74" s="448"/>
      <c r="AN74" s="403"/>
      <c r="AO74" s="448"/>
      <c r="AP74" s="403"/>
      <c r="AQ74" s="448"/>
      <c r="AR74" s="403"/>
      <c r="AS74" s="448"/>
      <c r="AT74" s="549"/>
      <c r="AU74" s="448"/>
      <c r="AV74" s="403"/>
      <c r="AW74" s="448"/>
      <c r="AX74" s="403"/>
      <c r="AZ74" s="550"/>
      <c r="BA74" s="550"/>
      <c r="BB74" s="448"/>
      <c r="BC74" s="551"/>
      <c r="BD74" s="550"/>
      <c r="BE74" s="550"/>
      <c r="BF74" s="448"/>
      <c r="BG74" s="551"/>
      <c r="BH74" s="553"/>
      <c r="BI74" s="550"/>
      <c r="BJ74" s="448"/>
      <c r="BK74" s="551"/>
      <c r="BL74" s="553"/>
      <c r="BM74" s="550"/>
      <c r="BN74" s="448"/>
      <c r="BO74" s="551"/>
      <c r="BP74" s="553"/>
      <c r="BQ74" s="550"/>
      <c r="BR74" s="448"/>
      <c r="BS74" s="551"/>
      <c r="BT74" s="553"/>
      <c r="BU74" s="550"/>
      <c r="BV74" s="448"/>
      <c r="BW74" s="551"/>
      <c r="BX74" s="553"/>
      <c r="BY74" s="550"/>
      <c r="BZ74" s="448"/>
      <c r="CA74" s="551"/>
      <c r="CB74" s="553"/>
      <c r="CC74" s="550"/>
      <c r="CD74" s="448"/>
      <c r="CE74" s="551"/>
      <c r="CF74" s="553"/>
      <c r="CG74" s="550"/>
      <c r="CH74" s="448"/>
      <c r="CI74" s="551"/>
      <c r="CJ74" s="553"/>
      <c r="CK74" s="550"/>
      <c r="CL74" s="448"/>
      <c r="CM74" s="551"/>
      <c r="CN74" s="553"/>
      <c r="CO74" s="550"/>
      <c r="CP74" s="448"/>
      <c r="CQ74" s="551"/>
      <c r="CR74" s="553"/>
      <c r="CS74" s="550"/>
      <c r="CT74" s="448"/>
      <c r="CU74" s="551"/>
    </row>
    <row r="75" spans="1:112" ht="15.5" x14ac:dyDescent="0.35">
      <c r="B75" s="634" t="str">
        <f>'Nurse Hours'!B76</f>
        <v>Price, Nychole</v>
      </c>
      <c r="C75" s="727">
        <f>IFERROR(VLOOKUP($B75,RegularHours_type1[[Nurse]:[Dec]],5,0)/VLOOKUP($B75,'Nurse Cases'!$B$37:$AX$76,5,0),0)</f>
        <v>0</v>
      </c>
      <c r="D75" s="727">
        <f>IFERROR(VLOOKUP($B75,RegularHours_type1[[Nurse]:[Dec]],6,0)/VLOOKUP($B75,'Nurse Cases'!$B$37:$N$76,9,0),0)</f>
        <v>0</v>
      </c>
      <c r="E75" s="727">
        <f>IFERROR(VLOOKUP($B75,RegularHours_type1[[Nurse]:[Dec]],7,0)/VLOOKUP($B75,'Nurse Cases'!$B$37:$N$76,13,0),0)</f>
        <v>8.4821428571428577</v>
      </c>
      <c r="F75" s="727">
        <f>IFERROR(VLOOKUP($B75,RegularHours_type1[[Nurse]:[Dec]],8,0)/VLOOKUP($B75,'Nurse Cases'!$B$37:$AX$76,17,0),0)</f>
        <v>8.1999999999999993</v>
      </c>
      <c r="G75" s="727">
        <f>IFERROR(VLOOKUP($B75,RegularHours_type1[[Nurse]:[Dec]],9,0)/VLOOKUP($B75,'Nurse Cases'!$B$37:$AX$76,21,0),0)</f>
        <v>9.3157894736842106</v>
      </c>
      <c r="H75" s="727">
        <f>IFERROR(VLOOKUP($B75,RegularHours_type1[[Nurse]:[Dec]],10,0)/VLOOKUP($B75,'Nurse Cases'!$B$37:$AX$76,25,0),0)</f>
        <v>0</v>
      </c>
      <c r="I75" s="727">
        <f>IFERROR(VLOOKUP($B75,RegularHours_type1[[Nurse]:[Dec]],11,0)/VLOOKUP($B75,'Nurse Cases'!$B$37:$AX$76,29,0),0)</f>
        <v>0</v>
      </c>
      <c r="J75" s="727">
        <f>IFERROR(VLOOKUP($B75,RegularHours_type1[[Nurse]:[Dec]],12,0)/VLOOKUP($B75,'Nurse Cases'!$B$37:$AX$76,33,0),0)</f>
        <v>0</v>
      </c>
      <c r="K75" s="727">
        <f>IFERROR(VLOOKUP($B75,RegularHours_type1[[Nurse]:[Dec]],13,0)/VLOOKUP($B75,'Nurse Cases'!$B$37:$AX$76,37,0),0)</f>
        <v>0</v>
      </c>
      <c r="L75" s="727">
        <f>IFERROR(VLOOKUP($B75,RegularHours_type1[[Nurse]:[Dec]],14,0)/VLOOKUP($B75,'Nurse Cases'!$B$37:$AX$76,41,0),0)</f>
        <v>0</v>
      </c>
      <c r="M75" s="727">
        <f>IFERROR(VLOOKUP($B75,RegularHours_type1[[Nurse]:[Dec]],15,0)/VLOOKUP($B75,'Nurse Cases'!$B$37:$AX$76,45,0),0)</f>
        <v>0</v>
      </c>
      <c r="N75" s="727">
        <f>IFERROR(VLOOKUP($B75,RegularHours_type1[[Nurse]:[Dec]],16,0)/VLOOKUP($B75,'Nurse Cases'!$B$37:$AX$76,49,0),0)</f>
        <v>0</v>
      </c>
      <c r="O75" s="448"/>
      <c r="P75" s="403"/>
      <c r="Q75" s="448"/>
      <c r="R75" s="403"/>
      <c r="S75" s="448"/>
      <c r="T75" s="403"/>
      <c r="U75" s="448"/>
      <c r="V75" s="403"/>
      <c r="W75" s="448"/>
      <c r="X75" s="403"/>
      <c r="Y75" s="448"/>
      <c r="Z75" s="403"/>
      <c r="AA75" s="448"/>
      <c r="AB75" s="403"/>
      <c r="AC75" s="448"/>
      <c r="AD75" s="403"/>
      <c r="AE75" s="448"/>
      <c r="AF75" s="403"/>
      <c r="AG75" s="448"/>
      <c r="AH75" s="549"/>
      <c r="AI75" s="448"/>
      <c r="AJ75" s="403"/>
      <c r="AK75" s="448"/>
      <c r="AL75" s="549"/>
      <c r="AM75" s="448"/>
      <c r="AN75" s="403"/>
      <c r="AO75" s="448"/>
      <c r="AP75" s="403"/>
      <c r="AQ75" s="448"/>
      <c r="AR75" s="403"/>
      <c r="AS75" s="448"/>
      <c r="AT75" s="549"/>
      <c r="AU75" s="448"/>
      <c r="AV75" s="403"/>
      <c r="AW75" s="448"/>
      <c r="AX75" s="403"/>
      <c r="AZ75" s="403"/>
      <c r="BA75" s="403"/>
      <c r="BB75" s="403"/>
      <c r="BC75" s="403"/>
      <c r="BD75" s="403"/>
      <c r="BE75" s="403"/>
      <c r="BF75" s="403"/>
      <c r="BG75" s="403"/>
      <c r="BH75" s="403"/>
      <c r="BI75" s="544"/>
      <c r="BJ75" s="403"/>
      <c r="BK75" s="403"/>
      <c r="BL75" s="403"/>
      <c r="BM75" s="403"/>
      <c r="BN75" s="403"/>
      <c r="BO75" s="403"/>
      <c r="BP75" s="403"/>
      <c r="BQ75" s="403"/>
      <c r="BR75" s="403"/>
      <c r="BS75" s="403"/>
      <c r="BT75" s="403"/>
      <c r="BU75" s="403"/>
      <c r="BV75" s="403"/>
      <c r="BW75" s="403"/>
      <c r="BX75" s="403"/>
      <c r="BY75" s="544"/>
      <c r="BZ75" s="403"/>
      <c r="CA75" s="403"/>
      <c r="CB75" s="403"/>
      <c r="CC75" s="403"/>
      <c r="CD75" s="403"/>
      <c r="CE75" s="403"/>
      <c r="CF75" s="403"/>
      <c r="CG75" s="403"/>
      <c r="CH75" s="403"/>
      <c r="CI75" s="403"/>
      <c r="CJ75" s="403"/>
      <c r="CK75" s="403"/>
      <c r="CL75" s="403"/>
      <c r="CM75" s="403"/>
      <c r="CN75" s="403"/>
      <c r="CO75" s="544"/>
      <c r="CP75" s="403"/>
      <c r="CQ75" s="403"/>
      <c r="CR75" s="403"/>
      <c r="CS75" s="403"/>
      <c r="CT75" s="403"/>
      <c r="CU75" s="403"/>
      <c r="CY75" s="542"/>
      <c r="CZ75" s="403"/>
      <c r="DA75" s="403"/>
      <c r="DB75" s="448"/>
      <c r="DC75" s="543"/>
      <c r="DF75" s="448"/>
      <c r="DG75" s="403"/>
      <c r="DH75" s="448"/>
    </row>
    <row r="76" spans="1:112" ht="15.5" x14ac:dyDescent="0.35">
      <c r="B76" s="634" t="str">
        <f>'Nurse Hours'!B77</f>
        <v>Raimondi, Lisa</v>
      </c>
      <c r="C76" s="727">
        <f>IFERROR(VLOOKUP($B76,RegularHours_type1[[Nurse]:[Dec]],5,0)/VLOOKUP($B76,'Nurse Cases'!$B$37:$AX$76,5,0),0)</f>
        <v>9.3941176470588221</v>
      </c>
      <c r="D76" s="727">
        <f>IFERROR(VLOOKUP($B76,RegularHours_type1[[Nurse]:[Dec]],6,0)/VLOOKUP($B76,'Nurse Cases'!$B$37:$N$76,9,0),0)</f>
        <v>8.4764705882352942</v>
      </c>
      <c r="E76" s="727">
        <f>IFERROR(VLOOKUP($B76,RegularHours_type1[[Nurse]:[Dec]],7,0)/VLOOKUP($B76,'Nurse Cases'!$B$37:$N$76,13,0),0)</f>
        <v>6.8666666666666663</v>
      </c>
      <c r="F76" s="727">
        <f>IFERROR(VLOOKUP($B76,RegularHours_type1[[Nurse]:[Dec]],8,0)/VLOOKUP($B76,'Nurse Cases'!$B$37:$AX$76,17,0),0)</f>
        <v>11.12142857142857</v>
      </c>
      <c r="G76" s="727">
        <f>IFERROR(VLOOKUP($B76,RegularHours_type1[[Nurse]:[Dec]],9,0)/VLOOKUP($B76,'Nurse Cases'!$B$37:$AX$76,21,0),0)</f>
        <v>5.9733333333333327</v>
      </c>
      <c r="H76" s="727">
        <f>IFERROR(VLOOKUP($B76,RegularHours_type1[[Nurse]:[Dec]],10,0)/VLOOKUP($B76,'Nurse Cases'!$B$37:$AX$76,25,0),0)</f>
        <v>9.0384615384615383</v>
      </c>
      <c r="I76" s="727">
        <f>IFERROR(VLOOKUP($B76,RegularHours_type1[[Nurse]:[Dec]],11,0)/VLOOKUP($B76,'Nurse Cases'!$B$37:$AX$76,29,0),0)</f>
        <v>10.033333333333333</v>
      </c>
      <c r="J76" s="727">
        <f>IFERROR(VLOOKUP($B76,RegularHours_type1[[Nurse]:[Dec]],12,0)/VLOOKUP($B76,'Nurse Cases'!$B$37:$AX$76,33,0),0)</f>
        <v>9.6</v>
      </c>
      <c r="K76" s="727">
        <f>IFERROR(VLOOKUP($B76,RegularHours_type1[[Nurse]:[Dec]],13,0)/VLOOKUP($B76,'Nurse Cases'!$B$37:$AX$76,37,0),0)</f>
        <v>10.733333333333334</v>
      </c>
      <c r="L76" s="727">
        <f>IFERROR(VLOOKUP($B76,RegularHours_type1[[Nurse]:[Dec]],14,0)/VLOOKUP($B76,'Nurse Cases'!$B$37:$AX$76,41,0),0)</f>
        <v>10.726666666666667</v>
      </c>
      <c r="M76" s="727">
        <f>IFERROR(VLOOKUP($B76,RegularHours_type1[[Nurse]:[Dec]],15,0)/VLOOKUP($B76,'Nurse Cases'!$B$37:$AX$76,45,0),0)</f>
        <v>0</v>
      </c>
      <c r="N76" s="727">
        <f>IFERROR(VLOOKUP($B76,RegularHours_type1[[Nurse]:[Dec]],16,0)/VLOOKUP($B76,'Nurse Cases'!$B$37:$AX$76,49,0),0)</f>
        <v>0</v>
      </c>
      <c r="O76" s="448"/>
      <c r="P76" s="403"/>
      <c r="Q76" s="448"/>
      <c r="R76" s="403"/>
      <c r="S76" s="448"/>
      <c r="T76" s="403"/>
      <c r="U76" s="448"/>
      <c r="V76" s="403"/>
      <c r="W76" s="448"/>
      <c r="X76" s="403"/>
      <c r="Y76" s="448"/>
      <c r="Z76" s="403"/>
      <c r="AA76" s="448"/>
      <c r="AB76" s="403"/>
      <c r="AC76" s="448"/>
      <c r="AD76" s="403"/>
      <c r="AE76" s="448"/>
      <c r="AF76" s="403"/>
      <c r="AG76" s="448"/>
      <c r="AH76" s="549"/>
      <c r="AI76" s="448"/>
      <c r="AJ76" s="403"/>
      <c r="AK76" s="448"/>
      <c r="AL76" s="549"/>
      <c r="AM76" s="448"/>
      <c r="AN76" s="403"/>
      <c r="AO76" s="448"/>
      <c r="AP76" s="403"/>
      <c r="AQ76" s="448"/>
      <c r="AR76" s="403"/>
      <c r="AS76" s="448"/>
      <c r="AT76" s="549"/>
      <c r="AU76" s="448"/>
      <c r="AV76" s="403"/>
      <c r="AW76" s="448"/>
      <c r="AX76" s="403"/>
      <c r="AZ76" s="403"/>
      <c r="BA76" s="403"/>
      <c r="BB76" s="403"/>
      <c r="BC76" s="403"/>
      <c r="BD76" s="403"/>
      <c r="BE76" s="403"/>
      <c r="BF76" s="403"/>
      <c r="BG76" s="403"/>
      <c r="BH76" s="403"/>
      <c r="BI76" s="544"/>
      <c r="BJ76" s="403"/>
      <c r="BK76" s="403"/>
      <c r="BL76" s="403"/>
      <c r="BM76" s="403"/>
      <c r="BN76" s="403"/>
      <c r="BO76" s="403"/>
      <c r="BP76" s="403"/>
      <c r="BQ76" s="403"/>
      <c r="BR76" s="403"/>
      <c r="BS76" s="403"/>
      <c r="BT76" s="403"/>
      <c r="BU76" s="403"/>
      <c r="BV76" s="403"/>
      <c r="BW76" s="403"/>
      <c r="BX76" s="403"/>
      <c r="BY76" s="544"/>
      <c r="BZ76" s="403"/>
      <c r="CA76" s="403"/>
      <c r="CB76" s="403"/>
      <c r="CC76" s="403"/>
      <c r="CD76" s="403"/>
      <c r="CE76" s="403"/>
      <c r="CF76" s="403"/>
      <c r="CG76" s="403"/>
      <c r="CH76" s="403"/>
      <c r="CI76" s="403"/>
      <c r="CJ76" s="403"/>
      <c r="CK76" s="403"/>
      <c r="CL76" s="403"/>
      <c r="CM76" s="403"/>
      <c r="CN76" s="403"/>
      <c r="CO76" s="544"/>
      <c r="CP76" s="403"/>
      <c r="CQ76" s="403"/>
      <c r="CR76" s="403"/>
      <c r="CS76" s="403"/>
      <c r="CT76" s="403"/>
      <c r="CU76" s="403"/>
      <c r="CY76" s="542"/>
      <c r="CZ76" s="403"/>
      <c r="DA76" s="403"/>
      <c r="DB76" s="448"/>
      <c r="DC76" s="543"/>
      <c r="DF76" s="448"/>
      <c r="DG76" s="403"/>
      <c r="DH76" s="448"/>
    </row>
    <row r="77" spans="1:112" ht="15.5" x14ac:dyDescent="0.35">
      <c r="B77" s="634" t="str">
        <f>'Nurse Hours'!B78</f>
        <v>Regalado, Jeanette</v>
      </c>
      <c r="C77" s="727">
        <f>IFERROR(VLOOKUP($B77,RegularHours_type1[[Nurse]:[Dec]],5,0)/VLOOKUP($B77,'Nurse Cases'!$B$37:$AX$76,5,0),0)</f>
        <v>0</v>
      </c>
      <c r="D77" s="727">
        <f>IFERROR(VLOOKUP($B77,RegularHours_type1[[Nurse]:[Dec]],6,0)/VLOOKUP($B77,'Nurse Cases'!$B$37:$N$76,9,0),0)</f>
        <v>0</v>
      </c>
      <c r="E77" s="727">
        <f>IFERROR(VLOOKUP($B77,RegularHours_type1[[Nurse]:[Dec]],7,0)/VLOOKUP($B77,'Nurse Cases'!$B$37:$N$76,13,0),0)</f>
        <v>0</v>
      </c>
      <c r="F77" s="727">
        <f>IFERROR(VLOOKUP($B77,RegularHours_type1[[Nurse]:[Dec]],8,0)/VLOOKUP($B77,'Nurse Cases'!$B$37:$AX$76,17,0),0)</f>
        <v>0</v>
      </c>
      <c r="G77" s="727">
        <f>IFERROR(VLOOKUP($B77,RegularHours_type1[[Nurse]:[Dec]],9,0)/VLOOKUP($B77,'Nurse Cases'!$B$37:$AX$76,21,0),0)</f>
        <v>0</v>
      </c>
      <c r="H77" s="727">
        <f>IFERROR(VLOOKUP($B77,RegularHours_type1[[Nurse]:[Dec]],10,0)/VLOOKUP($B77,'Nurse Cases'!$B$37:$AX$76,25,0),0)</f>
        <v>0</v>
      </c>
      <c r="I77" s="727">
        <f>IFERROR(VLOOKUP($B77,RegularHours_type1[[Nurse]:[Dec]],11,0)/VLOOKUP($B77,'Nurse Cases'!$B$37:$AX$76,29,0),0)</f>
        <v>0</v>
      </c>
      <c r="J77" s="727">
        <f>IFERROR(VLOOKUP($B77,RegularHours_type1[[Nurse]:[Dec]],12,0)/VLOOKUP($B77,'Nurse Cases'!$B$37:$AX$76,33,0),0)</f>
        <v>0</v>
      </c>
      <c r="K77" s="727">
        <f>IFERROR(VLOOKUP($B77,RegularHours_type1[[Nurse]:[Dec]],13,0)/VLOOKUP($B77,'Nurse Cases'!$B$37:$AX$76,37,0),0)</f>
        <v>0</v>
      </c>
      <c r="L77" s="727">
        <f>IFERROR(VLOOKUP($B77,RegularHours_type1[[Nurse]:[Dec]],14,0)/VLOOKUP($B77,'Nurse Cases'!$B$37:$AX$76,41,0),0)</f>
        <v>0</v>
      </c>
      <c r="M77" s="727">
        <f>IFERROR(VLOOKUP($B77,RegularHours_type1[[Nurse]:[Dec]],15,0)/VLOOKUP($B77,'Nurse Cases'!$B$37:$AX$76,45,0),0)</f>
        <v>0</v>
      </c>
      <c r="N77" s="727">
        <f>IFERROR(VLOOKUP($B77,RegularHours_type1[[Nurse]:[Dec]],16,0)/VLOOKUP($B77,'Nurse Cases'!$B$37:$AX$76,49,0),0)</f>
        <v>0</v>
      </c>
      <c r="O77" s="448"/>
      <c r="P77" s="403"/>
      <c r="Q77" s="448"/>
      <c r="R77" s="403"/>
      <c r="S77" s="448"/>
      <c r="T77" s="403"/>
      <c r="U77" s="448"/>
      <c r="V77" s="403"/>
      <c r="W77" s="448"/>
      <c r="X77" s="403"/>
      <c r="Y77" s="448"/>
      <c r="Z77" s="403"/>
      <c r="AA77" s="448"/>
      <c r="AB77" s="403"/>
      <c r="AC77" s="448"/>
      <c r="AD77" s="403"/>
      <c r="AE77" s="448"/>
      <c r="AF77" s="403"/>
      <c r="AG77" s="448"/>
      <c r="AH77" s="549"/>
      <c r="AI77" s="448"/>
      <c r="AJ77" s="403"/>
      <c r="AK77" s="448"/>
      <c r="AL77" s="549"/>
      <c r="AM77" s="448"/>
      <c r="AN77" s="403"/>
      <c r="AO77" s="448"/>
      <c r="AP77" s="403"/>
      <c r="AQ77" s="448"/>
      <c r="AR77" s="403"/>
      <c r="AS77" s="448"/>
      <c r="AT77" s="549"/>
      <c r="AU77" s="448"/>
      <c r="AV77" s="403"/>
      <c r="AW77" s="448"/>
      <c r="AX77" s="403"/>
      <c r="AZ77" s="403"/>
      <c r="BA77" s="403"/>
      <c r="BB77" s="403"/>
      <c r="BC77" s="403"/>
      <c r="BD77" s="403"/>
      <c r="BE77" s="403"/>
      <c r="BF77" s="403"/>
      <c r="BG77" s="403"/>
      <c r="BH77" s="403"/>
      <c r="BI77" s="544"/>
      <c r="BJ77" s="403"/>
      <c r="BK77" s="403"/>
      <c r="BL77" s="403"/>
      <c r="BM77" s="403"/>
      <c r="BN77" s="403"/>
      <c r="BO77" s="403"/>
      <c r="BP77" s="403"/>
      <c r="BQ77" s="403"/>
      <c r="BR77" s="403"/>
      <c r="BS77" s="403"/>
      <c r="BT77" s="403"/>
      <c r="BU77" s="403"/>
      <c r="BV77" s="403"/>
      <c r="BW77" s="403"/>
      <c r="BX77" s="403"/>
      <c r="BY77" s="544"/>
      <c r="BZ77" s="403"/>
      <c r="CA77" s="403"/>
      <c r="CB77" s="403"/>
      <c r="CC77" s="403"/>
      <c r="CD77" s="403"/>
      <c r="CE77" s="403"/>
      <c r="CF77" s="403"/>
      <c r="CG77" s="403"/>
      <c r="CH77" s="403"/>
      <c r="CI77" s="403"/>
      <c r="CJ77" s="403"/>
      <c r="CK77" s="403"/>
      <c r="CL77" s="403"/>
      <c r="CM77" s="403"/>
      <c r="CN77" s="403"/>
      <c r="CO77" s="544"/>
      <c r="CP77" s="403"/>
      <c r="CQ77" s="403"/>
      <c r="CR77" s="403"/>
      <c r="CS77" s="403"/>
      <c r="CT77" s="403"/>
      <c r="CU77" s="403"/>
      <c r="CY77" s="542"/>
      <c r="DA77" s="403"/>
      <c r="DB77" s="448"/>
      <c r="DC77" s="543"/>
      <c r="DF77" s="448"/>
      <c r="DG77" s="403"/>
      <c r="DH77" s="448"/>
    </row>
    <row r="78" spans="1:112" ht="15.5" x14ac:dyDescent="0.35">
      <c r="B78" s="634" t="str">
        <f>'Nurse Hours'!B79</f>
        <v>Root, Gabrielle</v>
      </c>
      <c r="C78" s="727">
        <f>IFERROR(VLOOKUP($B78,RegularHours_type1[[Nurse]:[Dec]],5,0)/VLOOKUP($B78,'Nurse Cases'!$B$37:$AX$76,5,0),0)</f>
        <v>0</v>
      </c>
      <c r="D78" s="727"/>
      <c r="E78" s="727"/>
      <c r="F78" s="727">
        <f>IFERROR(VLOOKUP($B78,RegularHours_type1[[Nurse]:[Dec]],8,0)/VLOOKUP($B78,'Nurse Cases'!$B$37:$AX$76,17,0),0)</f>
        <v>0</v>
      </c>
      <c r="G78" s="727">
        <f>IFERROR(VLOOKUP($B78,RegularHours_type1[[Nurse]:[Dec]],9,0)/VLOOKUP($B78,'Nurse Cases'!$B$37:$AX$76,21,0),0)</f>
        <v>0</v>
      </c>
      <c r="H78" s="727">
        <f>IFERROR(VLOOKUP($B78,RegularHours_type1[[Nurse]:[Dec]],10,0)/VLOOKUP($B78,'Nurse Cases'!$B$37:$AX$76,25,0),0)</f>
        <v>0</v>
      </c>
      <c r="I78" s="727">
        <f>IFERROR(VLOOKUP($B78,RegularHours_type1[[Nurse]:[Dec]],11,0)/VLOOKUP($B78,'Nurse Cases'!$B$37:$AX$76,29,0),0)</f>
        <v>0</v>
      </c>
      <c r="J78" s="727">
        <f>IFERROR(VLOOKUP($B78,RegularHours_type1[[Nurse]:[Dec]],12,0)/VLOOKUP($B78,'Nurse Cases'!$B$37:$AX$76,33,0),0)</f>
        <v>0</v>
      </c>
      <c r="K78" s="727">
        <f>IFERROR(VLOOKUP($B78,RegularHours_type1[[Nurse]:[Dec]],13,0)/VLOOKUP($B78,'Nurse Cases'!$B$37:$AX$76,37,0),0)</f>
        <v>0</v>
      </c>
      <c r="L78" s="727">
        <f>IFERROR(VLOOKUP($B78,RegularHours_type1[[Nurse]:[Dec]],14,0)/VLOOKUP($B78,'Nurse Cases'!$B$37:$AX$76,41,0),0)</f>
        <v>0</v>
      </c>
      <c r="M78" s="727">
        <f>IFERROR(VLOOKUP($B78,RegularHours_type1[[Nurse]:[Dec]],15,0)/VLOOKUP($B78,'Nurse Cases'!$B$37:$AX$76,45,0),0)</f>
        <v>0</v>
      </c>
      <c r="N78" s="727">
        <f>IFERROR(VLOOKUP($B78,RegularHours_type1[[Nurse]:[Dec]],16,0)/VLOOKUP($B78,'Nurse Cases'!$B$37:$AX$76,49,0),0)</f>
        <v>0</v>
      </c>
      <c r="O78" s="448"/>
      <c r="P78" s="403"/>
      <c r="Q78" s="448"/>
      <c r="R78" s="403"/>
      <c r="S78" s="448"/>
      <c r="T78" s="403"/>
      <c r="U78" s="448"/>
      <c r="V78" s="403"/>
      <c r="W78" s="448"/>
      <c r="X78" s="403"/>
      <c r="Y78" s="448"/>
      <c r="Z78" s="403"/>
      <c r="AA78" s="448"/>
      <c r="AB78" s="403"/>
      <c r="AC78" s="448"/>
      <c r="AD78" s="403"/>
      <c r="AE78" s="448"/>
      <c r="AF78" s="403"/>
      <c r="AG78" s="448"/>
      <c r="AH78" s="549"/>
      <c r="AI78" s="448"/>
      <c r="AJ78" s="403"/>
      <c r="AK78" s="448"/>
      <c r="AL78" s="549"/>
      <c r="AM78" s="448"/>
      <c r="AN78" s="403"/>
      <c r="AO78" s="448"/>
      <c r="AP78" s="403"/>
      <c r="AQ78" s="448"/>
      <c r="AR78" s="403"/>
      <c r="AS78" s="448"/>
      <c r="AT78" s="549"/>
      <c r="AU78" s="448"/>
      <c r="AV78" s="403"/>
      <c r="AW78" s="448"/>
      <c r="AX78" s="403"/>
      <c r="AZ78" s="403"/>
      <c r="BA78" s="403"/>
      <c r="BB78" s="403"/>
      <c r="BC78" s="403"/>
      <c r="BD78" s="403"/>
      <c r="BE78" s="403"/>
      <c r="BF78" s="403"/>
      <c r="BG78" s="403"/>
      <c r="BH78" s="403"/>
      <c r="BI78" s="544"/>
      <c r="BJ78" s="403"/>
      <c r="BK78" s="403"/>
      <c r="BL78" s="403"/>
      <c r="BM78" s="403"/>
      <c r="BN78" s="403"/>
      <c r="BO78" s="403"/>
      <c r="BP78" s="403"/>
      <c r="BQ78" s="403"/>
      <c r="BR78" s="403"/>
      <c r="BS78" s="403"/>
      <c r="BT78" s="403"/>
      <c r="BU78" s="403"/>
      <c r="BV78" s="403"/>
      <c r="BW78" s="403"/>
      <c r="BX78" s="403"/>
      <c r="BY78" s="544"/>
      <c r="BZ78" s="403"/>
      <c r="CA78" s="403"/>
      <c r="CB78" s="403"/>
      <c r="CC78" s="403"/>
      <c r="CD78" s="403"/>
      <c r="CE78" s="403"/>
      <c r="CF78" s="403"/>
      <c r="CG78" s="403"/>
      <c r="CH78" s="403"/>
      <c r="CI78" s="403"/>
      <c r="CJ78" s="403"/>
      <c r="CK78" s="403"/>
      <c r="CL78" s="403"/>
      <c r="CM78" s="403"/>
      <c r="CN78" s="403"/>
      <c r="CO78" s="544"/>
      <c r="CP78" s="403"/>
      <c r="CQ78" s="403"/>
      <c r="CR78" s="403"/>
      <c r="CS78" s="403"/>
      <c r="CT78" s="403"/>
      <c r="CU78" s="403"/>
      <c r="CY78" s="542"/>
      <c r="CZ78" s="403"/>
      <c r="DA78" s="403"/>
      <c r="DB78" s="448"/>
      <c r="DC78" s="543"/>
      <c r="DF78" s="448"/>
      <c r="DG78" s="403"/>
      <c r="DH78" s="448"/>
    </row>
    <row r="79" spans="1:112" ht="14.5" x14ac:dyDescent="0.35">
      <c r="A79" s="448"/>
      <c r="B79" s="634" t="str">
        <f>'Nurse Hours'!B80</f>
        <v>Rost, Alison</v>
      </c>
      <c r="C79" s="727">
        <f>IFERROR(VLOOKUP($B79,RegularHours_type1[[Nurse]:[Dec]],5,0)/VLOOKUP($B79,'Nurse Cases'!$B$37:$AX$76,5,0),0)</f>
        <v>0</v>
      </c>
      <c r="D79" s="727">
        <f>IFERROR(VLOOKUP($B79,RegularHours_type1[[Nurse]:[Dec]],6,0)/VLOOKUP($B79,'Nurse Cases'!$B$37:$N$76,9,0),0)</f>
        <v>0</v>
      </c>
      <c r="E79" s="727">
        <f>IFERROR(VLOOKUP($B79,RegularHours_type1[[Nurse]:[Dec]],7,0)/VLOOKUP($B79,'Nurse Cases'!$B$37:$N$76,13,0),0)</f>
        <v>0</v>
      </c>
      <c r="F79" s="727">
        <f>IFERROR(VLOOKUP($B79,RegularHours_type1[[Nurse]:[Dec]],8,0)/VLOOKUP($B79,'Nurse Cases'!$B$37:$AX$76,17,0),0)</f>
        <v>0</v>
      </c>
      <c r="G79" s="727">
        <f>IFERROR(VLOOKUP($B79,RegularHours_type1[[Nurse]:[Dec]],9,0)/VLOOKUP($B79,'Nurse Cases'!$B$37:$AX$76,21,0),0)</f>
        <v>0</v>
      </c>
      <c r="H79" s="727">
        <f>IFERROR(VLOOKUP($B79,RegularHours_type1[[Nurse]:[Dec]],10,0)/VLOOKUP($B79,'Nurse Cases'!$B$37:$AX$76,25,0),0)</f>
        <v>0</v>
      </c>
      <c r="I79" s="727">
        <f>IFERROR(VLOOKUP($B79,RegularHours_type1[[Nurse]:[Dec]],11,0)/VLOOKUP($B79,'Nurse Cases'!$B$37:$AX$76,29,0),0)</f>
        <v>0</v>
      </c>
      <c r="J79" s="727">
        <f>IFERROR(VLOOKUP($B79,RegularHours_type1[[Nurse]:[Dec]],12,0)/VLOOKUP($B79,'Nurse Cases'!$B$37:$AX$76,33,0),0)</f>
        <v>0</v>
      </c>
      <c r="K79" s="727">
        <f>IFERROR(VLOOKUP($B79,RegularHours_type1[[Nurse]:[Dec]],13,0)/VLOOKUP($B79,'Nurse Cases'!$B$37:$AX$76,37,0),0)</f>
        <v>0</v>
      </c>
      <c r="L79" s="727">
        <f>IFERROR(VLOOKUP($B79,RegularHours_type1[[Nurse]:[Dec]],14,0)/VLOOKUP($B79,'Nurse Cases'!$B$37:$AX$76,41,0),0)</f>
        <v>0</v>
      </c>
      <c r="M79" s="727">
        <f>IFERROR(VLOOKUP($B79,RegularHours_type1[[Nurse]:[Dec]],15,0)/VLOOKUP($B79,'Nurse Cases'!$B$37:$AX$76,45,0),0)</f>
        <v>0</v>
      </c>
      <c r="N79" s="727">
        <f>IFERROR(VLOOKUP($B79,RegularHours_type1[[Nurse]:[Dec]],16,0)/VLOOKUP($B79,'Nurse Cases'!$B$37:$AX$76,49,0),0)</f>
        <v>0</v>
      </c>
      <c r="O79" s="448"/>
      <c r="P79" s="551"/>
      <c r="Q79" s="448"/>
      <c r="R79" s="551"/>
      <c r="S79" s="448"/>
      <c r="T79" s="551"/>
      <c r="U79" s="448"/>
      <c r="V79" s="551"/>
      <c r="W79" s="448"/>
      <c r="X79" s="551"/>
      <c r="Y79" s="448"/>
      <c r="Z79" s="551"/>
      <c r="AA79" s="448"/>
      <c r="AB79" s="551"/>
      <c r="AC79" s="448"/>
      <c r="AD79" s="551"/>
      <c r="AE79" s="448"/>
      <c r="AF79" s="551"/>
      <c r="AG79" s="448"/>
      <c r="AH79" s="551"/>
      <c r="AI79" s="448"/>
      <c r="AJ79" s="551"/>
      <c r="AK79" s="448"/>
      <c r="AL79" s="551"/>
      <c r="AM79" s="448"/>
      <c r="AN79" s="551"/>
      <c r="AO79" s="448"/>
      <c r="AP79" s="551"/>
      <c r="AQ79" s="448"/>
      <c r="AR79" s="551"/>
      <c r="AS79" s="448"/>
      <c r="AT79" s="551"/>
      <c r="AU79" s="448"/>
      <c r="AV79" s="551"/>
      <c r="AW79" s="448"/>
      <c r="AX79" s="551"/>
      <c r="AZ79" s="394"/>
      <c r="BA79" s="394"/>
      <c r="BB79" s="394"/>
      <c r="BC79" s="394"/>
      <c r="BD79" s="394"/>
      <c r="BE79" s="394"/>
      <c r="BF79" s="394"/>
      <c r="BG79" s="394"/>
      <c r="BH79" s="394"/>
      <c r="BI79" s="394"/>
      <c r="BJ79" s="394"/>
      <c r="BK79" s="394"/>
      <c r="BL79" s="394"/>
      <c r="BM79" s="394"/>
      <c r="BN79" s="394"/>
      <c r="BO79" s="394"/>
      <c r="BP79" s="394"/>
      <c r="BQ79" s="394"/>
      <c r="BR79" s="394"/>
      <c r="BS79" s="394"/>
      <c r="BT79" s="394"/>
      <c r="BU79" s="394"/>
      <c r="BV79" s="394"/>
      <c r="BW79" s="394"/>
      <c r="BX79" s="394"/>
      <c r="BY79" s="394"/>
      <c r="BZ79" s="394"/>
      <c r="CA79" s="394"/>
      <c r="CB79" s="394"/>
      <c r="CC79" s="394"/>
      <c r="CD79" s="394"/>
      <c r="CE79" s="394"/>
      <c r="CF79" s="394"/>
      <c r="CG79" s="394"/>
      <c r="CH79" s="394"/>
      <c r="CI79" s="394"/>
      <c r="CJ79" s="394"/>
      <c r="CK79" s="394"/>
      <c r="CL79" s="394"/>
      <c r="CM79" s="394"/>
      <c r="CN79" s="394"/>
      <c r="CO79" s="394"/>
      <c r="CP79" s="394"/>
      <c r="CQ79" s="394"/>
      <c r="CR79" s="394"/>
      <c r="CS79" s="394"/>
      <c r="CT79" s="394"/>
      <c r="CU79" s="394"/>
    </row>
    <row r="80" spans="1:112" ht="14.5" x14ac:dyDescent="0.35">
      <c r="A80" s="448"/>
      <c r="B80" s="634" t="str">
        <f>'Nurse Hours'!B81</f>
        <v xml:space="preserve">Sanchez, Armando </v>
      </c>
      <c r="C80" s="727">
        <f>IFERROR(VLOOKUP($B80,RegularHours_type1[[Nurse]:[Dec]],5,0)/VLOOKUP($B80,'Nurse Cases'!$B$37:$AX$76,5,0),0)</f>
        <v>0</v>
      </c>
      <c r="D80" s="727">
        <f>IFERROR(VLOOKUP($B80,RegularHours_type1[[Nurse]:[Dec]],6,0)/VLOOKUP($B80,'Nurse Cases'!$B$37:$N$76,9,0),0)</f>
        <v>0</v>
      </c>
      <c r="E80" s="727">
        <f>IFERROR(VLOOKUP($B80,RegularHours_type1[[Nurse]:[Dec]],7,0)/VLOOKUP($B80,'Nurse Cases'!$B$37:$N$76,13,0),0)</f>
        <v>0</v>
      </c>
      <c r="F80" s="727">
        <f>IFERROR(VLOOKUP($B80,RegularHours_type1[[Nurse]:[Dec]],8,0)/VLOOKUP($B80,'Nurse Cases'!$B$37:$AX$76,17,0),0)</f>
        <v>0</v>
      </c>
      <c r="G80" s="727">
        <f>IFERROR(VLOOKUP($B80,RegularHours_type1[[Nurse]:[Dec]],9,0)/VLOOKUP($B80,'Nurse Cases'!$B$37:$AX$76,21,0),0)</f>
        <v>0</v>
      </c>
      <c r="H80" s="727">
        <f>IFERROR(VLOOKUP($B80,RegularHours_type1[[Nurse]:[Dec]],10,0)/VLOOKUP($B80,'Nurse Cases'!$B$37:$AX$76,25,0),0)</f>
        <v>0</v>
      </c>
      <c r="I80" s="727">
        <f>IFERROR(VLOOKUP($B80,RegularHours_type1[[Nurse]:[Dec]],11,0)/VLOOKUP($B80,'Nurse Cases'!$B$37:$AX$76,29,0),0)</f>
        <v>0</v>
      </c>
      <c r="J80" s="727">
        <f>IFERROR(VLOOKUP($B80,RegularHours_type1[[Nurse]:[Dec]],12,0)/VLOOKUP($B80,'Nurse Cases'!$B$37:$AX$76,33,0),0)</f>
        <v>0</v>
      </c>
      <c r="K80" s="727">
        <f>IFERROR(VLOOKUP($B80,RegularHours_type1[[Nurse]:[Dec]],13,0)/VLOOKUP($B80,'Nurse Cases'!$B$37:$AX$76,37,0),0)</f>
        <v>0</v>
      </c>
      <c r="L80" s="727">
        <f>IFERROR(VLOOKUP($B80,RegularHours_type1[[Nurse]:[Dec]],14,0)/VLOOKUP($B80,'Nurse Cases'!$B$37:$AX$76,41,0),0)</f>
        <v>0</v>
      </c>
      <c r="M80" s="727">
        <f>IFERROR(VLOOKUP($B80,RegularHours_type1[[Nurse]:[Dec]],15,0)/VLOOKUP($B80,'Nurse Cases'!$B$37:$AX$76,45,0),0)</f>
        <v>0</v>
      </c>
      <c r="N80" s="727">
        <f>IFERROR(VLOOKUP($B80,RegularHours_type1[[Nurse]:[Dec]],16,0)/VLOOKUP($B80,'Nurse Cases'!$B$37:$AX$76,49,0),0)</f>
        <v>0</v>
      </c>
      <c r="O80" s="448"/>
      <c r="P80" s="551"/>
      <c r="Q80" s="448"/>
      <c r="R80" s="551"/>
      <c r="S80" s="448"/>
      <c r="T80" s="551"/>
      <c r="U80" s="448"/>
      <c r="V80" s="551"/>
      <c r="W80" s="448"/>
      <c r="X80" s="551"/>
      <c r="Y80" s="448"/>
      <c r="Z80" s="551"/>
      <c r="AA80" s="448"/>
      <c r="AB80" s="551"/>
      <c r="AC80" s="448"/>
      <c r="AD80" s="551"/>
      <c r="AE80" s="448"/>
      <c r="AF80" s="551"/>
      <c r="AG80" s="448"/>
      <c r="AH80" s="551"/>
      <c r="AI80" s="448"/>
      <c r="AJ80" s="551"/>
      <c r="AK80" s="448"/>
      <c r="AL80" s="551"/>
      <c r="AM80" s="448"/>
      <c r="AN80" s="551"/>
      <c r="AO80" s="448"/>
      <c r="AP80" s="551"/>
      <c r="AQ80" s="448"/>
      <c r="AR80" s="551"/>
      <c r="AS80" s="448"/>
      <c r="AT80" s="551"/>
      <c r="AU80" s="448"/>
      <c r="AV80" s="551"/>
      <c r="AW80" s="448"/>
      <c r="AX80" s="551"/>
      <c r="BP80" s="403"/>
      <c r="BQ80" s="542"/>
      <c r="BR80" s="403"/>
      <c r="BS80" s="403"/>
      <c r="BT80" s="448"/>
      <c r="BU80" s="543"/>
      <c r="BV80" s="403"/>
      <c r="BW80" s="403"/>
      <c r="BX80" s="448"/>
      <c r="BY80" s="403"/>
      <c r="BZ80" s="448"/>
      <c r="CA80" s="403"/>
      <c r="CB80" s="448"/>
      <c r="CC80" s="403"/>
      <c r="CD80" s="448"/>
      <c r="CE80" s="403"/>
      <c r="CF80" s="448"/>
      <c r="CG80" s="403"/>
      <c r="CH80" s="542"/>
      <c r="CI80" s="403"/>
      <c r="CJ80" s="403"/>
      <c r="CK80" s="448"/>
      <c r="CL80" s="543"/>
      <c r="CM80" s="403"/>
      <c r="CN80" s="403"/>
      <c r="CO80" s="448"/>
      <c r="CP80" s="403"/>
      <c r="CQ80" s="448"/>
      <c r="CR80" s="403"/>
      <c r="CS80" s="448"/>
      <c r="CT80" s="403"/>
      <c r="CU80" s="448"/>
    </row>
    <row r="81" spans="1:50" ht="14.5" x14ac:dyDescent="0.35">
      <c r="A81" s="448"/>
      <c r="B81" s="634" t="str">
        <f>'Nurse Hours'!B82</f>
        <v xml:space="preserve">Snyder, Collete </v>
      </c>
      <c r="C81" s="727">
        <f>IFERROR(VLOOKUP($B81,RegularHours_type1[[Nurse]:[Dec]],5,0)/VLOOKUP($B81,'Nurse Cases'!$B$37:$AX$76,5,0),0)</f>
        <v>0</v>
      </c>
      <c r="D81" s="727">
        <f>IFERROR(VLOOKUP($B81,RegularHours_type1[[Nurse]:[Dec]],6,0)/VLOOKUP($B81,'Nurse Cases'!$B$37:$N$76,9,0),0)</f>
        <v>0</v>
      </c>
      <c r="E81" s="727">
        <f>IFERROR(VLOOKUP($B81,RegularHours_type1[[Nurse]:[Dec]],7,0)/VLOOKUP($B81,'Nurse Cases'!$B$37:$N$76,13,0),0)</f>
        <v>0</v>
      </c>
      <c r="F81" s="727">
        <f>IFERROR(VLOOKUP($B81,RegularHours_type1[[Nurse]:[Dec]],8,0)/VLOOKUP($B81,'Nurse Cases'!$B$37:$AX$76,17,0),0)</f>
        <v>0</v>
      </c>
      <c r="G81" s="727">
        <f>IFERROR(VLOOKUP($B81,RegularHours_type1[[Nurse]:[Dec]],9,0)/VLOOKUP($B81,'Nurse Cases'!$B$37:$AX$76,21,0),0)</f>
        <v>0</v>
      </c>
      <c r="H81" s="727">
        <f>IFERROR(VLOOKUP($B81,RegularHours_type1[[Nurse]:[Dec]],10,0)/VLOOKUP($B81,'Nurse Cases'!$B$37:$AX$76,25,0),0)</f>
        <v>0</v>
      </c>
      <c r="I81" s="727">
        <f>IFERROR(VLOOKUP($B81,RegularHours_type1[[Nurse]:[Dec]],11,0)/VLOOKUP($B81,'Nurse Cases'!$B$37:$AX$76,29,0),0)</f>
        <v>0</v>
      </c>
      <c r="J81" s="727">
        <f>IFERROR(VLOOKUP($B81,RegularHours_type1[[Nurse]:[Dec]],12,0)/VLOOKUP($B81,'Nurse Cases'!$B$37:$AX$76,33,0),0)</f>
        <v>0</v>
      </c>
      <c r="K81" s="727">
        <f>IFERROR(VLOOKUP($B81,RegularHours_type1[[Nurse]:[Dec]],13,0)/VLOOKUP($B81,'Nurse Cases'!$B$37:$AX$76,37,0),0)</f>
        <v>0</v>
      </c>
      <c r="L81" s="727">
        <f>IFERROR(VLOOKUP($B81,RegularHours_type1[[Nurse]:[Dec]],14,0)/VLOOKUP($B81,'Nurse Cases'!$B$37:$AX$76,41,0),0)</f>
        <v>0</v>
      </c>
      <c r="M81" s="727">
        <f>IFERROR(VLOOKUP($B81,RegularHours_type1[[Nurse]:[Dec]],15,0)/VLOOKUP($B81,'Nurse Cases'!$B$37:$AX$76,45,0),0)</f>
        <v>0</v>
      </c>
      <c r="N81" s="727">
        <f>IFERROR(VLOOKUP($B81,RegularHours_type1[[Nurse]:[Dec]],16,0)/VLOOKUP($B81,'Nurse Cases'!$B$37:$AX$76,49,0),0)</f>
        <v>0</v>
      </c>
      <c r="O81" s="448"/>
      <c r="P81" s="551"/>
      <c r="Q81" s="448"/>
      <c r="R81" s="551"/>
      <c r="S81" s="448"/>
      <c r="T81" s="551"/>
      <c r="U81" s="448"/>
      <c r="V81" s="551"/>
      <c r="W81" s="448"/>
      <c r="X81" s="551"/>
      <c r="Y81" s="448"/>
      <c r="Z81" s="551"/>
      <c r="AA81" s="448"/>
      <c r="AB81" s="551"/>
      <c r="AC81" s="448"/>
      <c r="AD81" s="551"/>
      <c r="AE81" s="448"/>
      <c r="AF81" s="551"/>
      <c r="AG81" s="448"/>
      <c r="AH81" s="551"/>
      <c r="AI81" s="448"/>
      <c r="AJ81" s="551"/>
      <c r="AK81" s="448"/>
      <c r="AL81" s="551"/>
      <c r="AM81" s="448"/>
      <c r="AN81" s="551"/>
      <c r="AO81" s="448"/>
      <c r="AP81" s="551"/>
      <c r="AQ81" s="448"/>
      <c r="AR81" s="551"/>
      <c r="AS81" s="448"/>
      <c r="AT81" s="551"/>
      <c r="AU81" s="448"/>
      <c r="AV81" s="551"/>
      <c r="AW81" s="448"/>
      <c r="AX81" s="551"/>
    </row>
    <row r="82" spans="1:50" ht="14.5" x14ac:dyDescent="0.35">
      <c r="A82" s="448"/>
      <c r="B82" s="634" t="str">
        <f>'Nurse Hours'!B83</f>
        <v xml:space="preserve">Thieleman, Casandra </v>
      </c>
      <c r="C82" s="727">
        <f>IFERROR(VLOOKUP($B82,RegularHours_type1[[Nurse]:[Dec]],5,0)/VLOOKUP($B82,'Nurse Cases'!$B$37:$AX$76,5,0),0)</f>
        <v>0</v>
      </c>
      <c r="D82" s="727">
        <f>IFERROR(VLOOKUP($B82,RegularHours_type1[[Nurse]:[Dec]],6,0)/VLOOKUP($B82,'Nurse Cases'!$B$37:$N$76,9,0),0)</f>
        <v>0</v>
      </c>
      <c r="E82" s="727">
        <f>IFERROR(VLOOKUP($B82,RegularHours_type1[[Nurse]:[Dec]],7,0)/VLOOKUP($B82,'Nurse Cases'!$B$37:$N$76,13,0),0)</f>
        <v>0</v>
      </c>
      <c r="F82" s="727">
        <f>IFERROR(VLOOKUP($B82,RegularHours_type1[[Nurse]:[Dec]],8,0)/VLOOKUP($B82,'Nurse Cases'!$B$37:$AX$76,17,0),0)</f>
        <v>0</v>
      </c>
      <c r="G82" s="727">
        <f>IFERROR(VLOOKUP($B82,RegularHours_type1[[Nurse]:[Dec]],9,0)/VLOOKUP($B82,'Nurse Cases'!$B$37:$AX$76,21,0),0)</f>
        <v>0</v>
      </c>
      <c r="H82" s="727">
        <f>IFERROR(VLOOKUP($B82,RegularHours_type1[[Nurse]:[Dec]],10,0)/VLOOKUP($B82,'Nurse Cases'!$B$37:$AX$76,25,0),0)</f>
        <v>0</v>
      </c>
      <c r="I82" s="727">
        <f>IFERROR(VLOOKUP($B82,RegularHours_type1[[Nurse]:[Dec]],11,0)/VLOOKUP($B82,'Nurse Cases'!$B$37:$AX$76,29,0),0)</f>
        <v>0</v>
      </c>
      <c r="J82" s="727">
        <f>IFERROR(VLOOKUP($B82,RegularHours_type1[[Nurse]:[Dec]],12,0)/VLOOKUP($B82,'Nurse Cases'!$B$37:$AX$76,33,0),0)</f>
        <v>0</v>
      </c>
      <c r="K82" s="727">
        <f>IFERROR(VLOOKUP($B82,RegularHours_type1[[Nurse]:[Dec]],13,0)/VLOOKUP($B82,'Nurse Cases'!$B$37:$AX$76,37,0),0)</f>
        <v>0</v>
      </c>
      <c r="L82" s="727">
        <f>IFERROR(VLOOKUP($B82,RegularHours_type1[[Nurse]:[Dec]],14,0)/VLOOKUP($B82,'Nurse Cases'!$B$37:$AX$76,41,0),0)</f>
        <v>0</v>
      </c>
      <c r="M82" s="727">
        <f>IFERROR(VLOOKUP($B82,RegularHours_type1[[Nurse]:[Dec]],15,0)/VLOOKUP($B82,'Nurse Cases'!$B$37:$AX$76,45,0),0)</f>
        <v>0</v>
      </c>
      <c r="N82" s="727">
        <f>IFERROR(VLOOKUP($B82,RegularHours_type1[[Nurse]:[Dec]],16,0)/VLOOKUP($B82,'Nurse Cases'!$B$37:$AX$76,49,0),0)</f>
        <v>0</v>
      </c>
      <c r="O82" s="448"/>
      <c r="P82" s="551"/>
      <c r="Q82" s="448"/>
      <c r="R82" s="551"/>
      <c r="S82" s="448"/>
      <c r="T82" s="551"/>
      <c r="U82" s="448"/>
      <c r="V82" s="551"/>
      <c r="W82" s="448"/>
      <c r="X82" s="551"/>
      <c r="Y82" s="448"/>
      <c r="Z82" s="551"/>
      <c r="AA82" s="448"/>
      <c r="AB82" s="551"/>
      <c r="AC82" s="448"/>
      <c r="AD82" s="551"/>
      <c r="AE82" s="448"/>
      <c r="AF82" s="551"/>
      <c r="AG82" s="448"/>
      <c r="AH82" s="551"/>
      <c r="AI82" s="448"/>
      <c r="AJ82" s="551"/>
      <c r="AK82" s="448"/>
      <c r="AL82" s="551"/>
      <c r="AM82" s="448"/>
      <c r="AN82" s="551"/>
      <c r="AO82" s="448"/>
      <c r="AP82" s="551"/>
      <c r="AQ82" s="448"/>
      <c r="AR82" s="551"/>
      <c r="AS82" s="448"/>
      <c r="AT82" s="551"/>
      <c r="AU82" s="448"/>
      <c r="AV82" s="551"/>
      <c r="AW82" s="448"/>
      <c r="AX82" s="551"/>
    </row>
    <row r="83" spans="1:50" ht="14" x14ac:dyDescent="0.3">
      <c r="A83" s="448"/>
      <c r="B83" s="852" t="str">
        <f>'Nurse Hours'!B84</f>
        <v>Thomas, Tracy</v>
      </c>
      <c r="C83" s="853">
        <f>IFERROR(VLOOKUP($B83,RegularHours_type1[[Nurse]:[Dec]],5,0)/VLOOKUP($B83,'Nurse Cases'!$B$37:$AX$76,5,0),0)</f>
        <v>0</v>
      </c>
      <c r="D83" s="853"/>
      <c r="E83" s="853"/>
      <c r="F83" s="853">
        <f>IFERROR(VLOOKUP($B83,RegularHours_type1[[Nurse]:[Dec]],8,0)/VLOOKUP($B83,'Nurse Cases'!$B$37:$AX$76,17,0),0)</f>
        <v>0</v>
      </c>
      <c r="G83" s="853">
        <f>IFERROR(VLOOKUP($B83,RegularHours_type1[[Nurse]:[Dec]],9,0)/VLOOKUP($B83,'Nurse Cases'!$B$37:$AX$76,21,0),0)</f>
        <v>0</v>
      </c>
      <c r="H83" s="853">
        <f>IFERROR(VLOOKUP($B83,RegularHours_type1[[Nurse]:[Dec]],10,0)/VLOOKUP($B83,'Nurse Cases'!$B$37:$AX$76,25,0),0)</f>
        <v>0</v>
      </c>
      <c r="I83" s="853">
        <f>IFERROR(VLOOKUP($B83,RegularHours_type1[[Nurse]:[Dec]],11,0)/VLOOKUP($B83,'Nurse Cases'!$B$37:$AX$76,29,0),0)</f>
        <v>0</v>
      </c>
      <c r="J83" s="853">
        <f>IFERROR(VLOOKUP($B83,RegularHours_type1[[Nurse]:[Dec]],12,0)/VLOOKUP($B83,'Nurse Cases'!$B$37:$AX$76,33,0),0)</f>
        <v>0</v>
      </c>
      <c r="K83" s="853">
        <f>IFERROR(VLOOKUP($B83,RegularHours_type1[[Nurse]:[Dec]],13,0)/VLOOKUP($B83,'Nurse Cases'!$B$37:$AX$76,37,0),0)</f>
        <v>0</v>
      </c>
      <c r="L83" s="853">
        <f>IFERROR(VLOOKUP($B83,RegularHours_type1[[Nurse]:[Dec]],14,0)/VLOOKUP($B83,'Nurse Cases'!$B$37:$AX$76,41,0),0)</f>
        <v>0</v>
      </c>
      <c r="M83" s="853">
        <f>IFERROR(VLOOKUP($B83,RegularHours_type1[[Nurse]:[Dec]],15,0)/VLOOKUP($B83,'Nurse Cases'!$B$37:$AX$76,45,0),0)</f>
        <v>0</v>
      </c>
      <c r="N83" s="853">
        <f>IFERROR(VLOOKUP($B83,RegularHours_type1[[Nurse]:[Dec]],16,0)/VLOOKUP($B83,'Nurse Cases'!$B$37:$AX$76,49,0),0)</f>
        <v>0</v>
      </c>
      <c r="O83" s="448"/>
      <c r="P83" s="551"/>
      <c r="Q83" s="448"/>
      <c r="R83" s="551"/>
      <c r="S83" s="448"/>
      <c r="T83" s="551"/>
      <c r="U83" s="448"/>
      <c r="V83" s="551"/>
      <c r="W83" s="448"/>
      <c r="X83" s="551"/>
      <c r="Y83" s="448"/>
      <c r="Z83" s="551"/>
      <c r="AA83" s="448"/>
      <c r="AB83" s="551"/>
      <c r="AC83" s="448"/>
      <c r="AD83" s="551"/>
      <c r="AE83" s="448"/>
      <c r="AF83" s="551"/>
      <c r="AG83" s="448"/>
      <c r="AH83" s="551"/>
      <c r="AI83" s="448"/>
      <c r="AJ83" s="551"/>
      <c r="AK83" s="448"/>
      <c r="AL83" s="551"/>
      <c r="AM83" s="448"/>
      <c r="AN83" s="551"/>
      <c r="AO83" s="448"/>
      <c r="AP83" s="551"/>
      <c r="AQ83" s="448"/>
      <c r="AR83" s="551"/>
      <c r="AS83" s="448"/>
      <c r="AT83" s="551"/>
      <c r="AU83" s="448"/>
      <c r="AV83" s="551"/>
      <c r="AW83" s="448"/>
      <c r="AX83" s="551"/>
    </row>
    <row r="84" spans="1:50" ht="14.5" x14ac:dyDescent="0.35">
      <c r="A84" s="448"/>
      <c r="B84" s="634" t="str">
        <f>'Nurse Hours'!B85</f>
        <v>Veilleaux, Cheryl</v>
      </c>
      <c r="C84" s="727">
        <f>IFERROR(VLOOKUP($B84,RegularHours_type1[[Nurse]:[Dec]],5,0)/VLOOKUP($B84,'Nurse Cases'!$B$37:$AX$76,5,0),0)</f>
        <v>0</v>
      </c>
      <c r="D84" s="727">
        <f>IFERROR(VLOOKUP($B84,RegularHours_type1[[Nurse]:[Dec]],6,0)/VLOOKUP($B84,'Nurse Cases'!$B$37:$N$76,9,0),0)</f>
        <v>0</v>
      </c>
      <c r="E84" s="727">
        <f>IFERROR(VLOOKUP($B84,RegularHours_type1[[Nurse]:[Dec]],7,0)/VLOOKUP($B84,'Nurse Cases'!$B$37:$N$76,13,0),0)</f>
        <v>0</v>
      </c>
      <c r="F84" s="727">
        <f>IFERROR(VLOOKUP($B84,RegularHours_type1[[Nurse]:[Dec]],8,0)/VLOOKUP($B84,'Nurse Cases'!$B$37:$AX$76,17,0),0)</f>
        <v>0</v>
      </c>
      <c r="G84" s="727">
        <f>IFERROR(VLOOKUP($B84,RegularHours_type1[[Nurse]:[Dec]],9,0)/VLOOKUP($B84,'Nurse Cases'!$B$37:$AX$76,21,0),0)</f>
        <v>0</v>
      </c>
      <c r="H84" s="727">
        <f>IFERROR(VLOOKUP($B84,RegularHours_type1[[Nurse]:[Dec]],10,0)/VLOOKUP($B84,'Nurse Cases'!$B$37:$AX$76,25,0),0)</f>
        <v>0</v>
      </c>
      <c r="I84" s="727">
        <f>IFERROR(VLOOKUP($B84,RegularHours_type1[[Nurse]:[Dec]],11,0)/VLOOKUP($B84,'Nurse Cases'!$B$37:$AX$76,29,0),0)</f>
        <v>0</v>
      </c>
      <c r="J84" s="727">
        <f>IFERROR(VLOOKUP($B84,RegularHours_type1[[Nurse]:[Dec]],12,0)/VLOOKUP($B84,'Nurse Cases'!$B$37:$AX$76,33,0),0)</f>
        <v>0</v>
      </c>
      <c r="K84" s="727">
        <f>IFERROR(VLOOKUP($B84,RegularHours_type1[[Nurse]:[Dec]],13,0)/VLOOKUP($B84,'Nurse Cases'!$B$37:$AX$76,37,0),0)</f>
        <v>0</v>
      </c>
      <c r="L84" s="727">
        <f>IFERROR(VLOOKUP($B84,RegularHours_type1[[Nurse]:[Dec]],14,0)/VLOOKUP($B84,'Nurse Cases'!$B$37:$AX$76,41,0),0)</f>
        <v>0</v>
      </c>
      <c r="M84" s="727">
        <f>IFERROR(VLOOKUP($B84,RegularHours_type1[[Nurse]:[Dec]],15,0)/VLOOKUP($B84,'Nurse Cases'!$B$37:$AX$76,45,0),0)</f>
        <v>0</v>
      </c>
      <c r="N84" s="727">
        <f>IFERROR(VLOOKUP($B84,RegularHours_type1[[Nurse]:[Dec]],16,0)/VLOOKUP($B84,'Nurse Cases'!$B$37:$AX$76,49,0),0)</f>
        <v>0</v>
      </c>
      <c r="O84" s="448"/>
      <c r="P84" s="551"/>
      <c r="Q84" s="448"/>
      <c r="R84" s="551"/>
      <c r="S84" s="448"/>
      <c r="T84" s="551"/>
      <c r="U84" s="448"/>
      <c r="V84" s="551"/>
      <c r="W84" s="448"/>
      <c r="X84" s="551"/>
      <c r="Y84" s="448"/>
      <c r="Z84" s="551"/>
      <c r="AA84" s="448"/>
      <c r="AB84" s="551"/>
      <c r="AC84" s="448"/>
      <c r="AD84" s="551"/>
      <c r="AE84" s="448"/>
      <c r="AF84" s="551"/>
      <c r="AG84" s="448"/>
      <c r="AH84" s="551"/>
      <c r="AI84" s="448"/>
      <c r="AJ84" s="551"/>
      <c r="AK84" s="448"/>
      <c r="AL84" s="551"/>
      <c r="AM84" s="448"/>
      <c r="AN84" s="551"/>
      <c r="AO84" s="448"/>
      <c r="AP84" s="551"/>
      <c r="AQ84" s="448"/>
      <c r="AR84" s="551"/>
      <c r="AS84" s="448"/>
      <c r="AT84" s="551"/>
      <c r="AU84" s="448"/>
      <c r="AV84" s="551"/>
      <c r="AW84" s="448"/>
      <c r="AX84" s="551"/>
    </row>
    <row r="85" spans="1:50" ht="14.5" x14ac:dyDescent="0.35">
      <c r="A85" s="448"/>
      <c r="B85" s="634" t="str">
        <f>'Nurse Hours'!B86</f>
        <v>Vincente, Devanny</v>
      </c>
      <c r="C85" s="727">
        <f>IFERROR(VLOOKUP($B85,RegularHours_type1[[Nurse]:[Dec]],5,0)/VLOOKUP($B85,'Nurse Cases'!$B$37:$AX$76,5,0),0)</f>
        <v>0</v>
      </c>
      <c r="D85" s="727">
        <f>IFERROR(VLOOKUP($B85,RegularHours_type1[[Nurse]:[Dec]],6,0)/VLOOKUP($B85,'Nurse Cases'!$B$37:$N$76,9,0),0)</f>
        <v>0</v>
      </c>
      <c r="E85" s="727">
        <f>IFERROR(VLOOKUP($B85,RegularHours_type1[[Nurse]:[Dec]],7,0)/VLOOKUP($B85,'Nurse Cases'!$B$37:$N$76,13,0),0)</f>
        <v>0</v>
      </c>
      <c r="F85" s="727">
        <f>IFERROR(VLOOKUP($B85,RegularHours_type1[[Nurse]:[Dec]],8,0)/VLOOKUP($B85,'Nurse Cases'!$B$37:$AX$76,17,0),0)</f>
        <v>0</v>
      </c>
      <c r="G85" s="727">
        <f>IFERROR(VLOOKUP($B85,RegularHours_type1[[Nurse]:[Dec]],9,0)/VLOOKUP($B85,'Nurse Cases'!$B$37:$AX$76,21,0),0)</f>
        <v>0</v>
      </c>
      <c r="H85" s="727">
        <f>IFERROR(VLOOKUP($B85,RegularHours_type1[[Nurse]:[Dec]],10,0)/VLOOKUP($B85,'Nurse Cases'!$B$37:$AX$76,25,0),0)</f>
        <v>0</v>
      </c>
      <c r="I85" s="727">
        <f>IFERROR(VLOOKUP($B85,RegularHours_type1[[Nurse]:[Dec]],11,0)/VLOOKUP($B85,'Nurse Cases'!$B$37:$AX$76,29,0),0)</f>
        <v>0</v>
      </c>
      <c r="J85" s="727">
        <f>IFERROR(VLOOKUP($B85,RegularHours_type1[[Nurse]:[Dec]],12,0)/VLOOKUP($B85,'Nurse Cases'!$B$37:$AX$76,33,0),0)</f>
        <v>0</v>
      </c>
      <c r="K85" s="727">
        <f>IFERROR(VLOOKUP($B85,RegularHours_type1[[Nurse]:[Dec]],13,0)/VLOOKUP($B85,'Nurse Cases'!$B$37:$AX$76,37,0),0)</f>
        <v>0</v>
      </c>
      <c r="L85" s="727">
        <f>IFERROR(VLOOKUP($B85,RegularHours_type1[[Nurse]:[Dec]],14,0)/VLOOKUP($B85,'Nurse Cases'!$B$37:$AX$76,41,0),0)</f>
        <v>0</v>
      </c>
      <c r="M85" s="727">
        <f>IFERROR(VLOOKUP($B85,RegularHours_type1[[Nurse]:[Dec]],15,0)/VLOOKUP($B85,'Nurse Cases'!$B$37:$AX$76,45,0),0)</f>
        <v>0</v>
      </c>
      <c r="N85" s="727">
        <f>IFERROR(VLOOKUP($B85,RegularHours_type1[[Nurse]:[Dec]],16,0)/VLOOKUP($B85,'Nurse Cases'!$B$37:$AX$76,49,0),0)</f>
        <v>0</v>
      </c>
      <c r="O85" s="448"/>
      <c r="P85" s="551"/>
      <c r="Q85" s="448"/>
      <c r="R85" s="551"/>
      <c r="S85" s="448"/>
      <c r="T85" s="551"/>
      <c r="U85" s="448"/>
      <c r="V85" s="551"/>
      <c r="W85" s="448"/>
      <c r="X85" s="551"/>
      <c r="Y85" s="448"/>
      <c r="Z85" s="551"/>
      <c r="AA85" s="448"/>
      <c r="AB85" s="551"/>
      <c r="AC85" s="448"/>
      <c r="AD85" s="551"/>
      <c r="AE85" s="448"/>
      <c r="AF85" s="551"/>
      <c r="AG85" s="448"/>
      <c r="AH85" s="551"/>
      <c r="AI85" s="448"/>
      <c r="AJ85" s="551"/>
      <c r="AK85" s="448"/>
      <c r="AL85" s="551"/>
      <c r="AM85" s="448"/>
      <c r="AN85" s="551"/>
      <c r="AO85" s="448"/>
      <c r="AP85" s="551"/>
      <c r="AQ85" s="448"/>
      <c r="AR85" s="551"/>
      <c r="AS85" s="448"/>
      <c r="AT85" s="551"/>
      <c r="AU85" s="448"/>
      <c r="AV85" s="551"/>
      <c r="AW85" s="448"/>
      <c r="AX85" s="551"/>
    </row>
    <row r="86" spans="1:50" ht="14" x14ac:dyDescent="0.3">
      <c r="A86" s="448"/>
      <c r="B86" s="551"/>
      <c r="C86" s="448"/>
      <c r="D86" s="551"/>
      <c r="E86" s="448"/>
      <c r="F86" s="448"/>
      <c r="G86" s="448"/>
      <c r="H86" s="551"/>
      <c r="I86" s="448"/>
      <c r="J86" s="551"/>
      <c r="K86" s="448"/>
      <c r="L86" s="551"/>
      <c r="M86" s="448"/>
      <c r="N86" s="551"/>
      <c r="O86" s="448"/>
      <c r="P86" s="551"/>
      <c r="Q86" s="448"/>
      <c r="R86" s="551"/>
      <c r="S86" s="448"/>
      <c r="T86" s="551"/>
      <c r="U86" s="448"/>
      <c r="V86" s="551"/>
      <c r="W86" s="448"/>
      <c r="X86" s="551"/>
      <c r="Y86" s="448"/>
      <c r="Z86" s="551"/>
      <c r="AA86" s="448"/>
      <c r="AB86" s="551"/>
      <c r="AC86" s="448"/>
      <c r="AD86" s="551"/>
      <c r="AE86" s="448"/>
      <c r="AF86" s="551"/>
      <c r="AG86" s="448"/>
      <c r="AH86" s="551"/>
      <c r="AI86" s="448"/>
      <c r="AJ86" s="551"/>
      <c r="AK86" s="448"/>
      <c r="AL86" s="551"/>
      <c r="AM86" s="448"/>
      <c r="AN86" s="551"/>
      <c r="AO86" s="448"/>
      <c r="AP86" s="551"/>
      <c r="AQ86" s="448"/>
      <c r="AR86" s="551"/>
      <c r="AS86" s="448"/>
      <c r="AT86" s="551"/>
      <c r="AU86" s="448"/>
      <c r="AV86" s="551"/>
      <c r="AW86" s="448"/>
      <c r="AX86" s="551"/>
    </row>
    <row r="87" spans="1:50" ht="14" x14ac:dyDescent="0.3">
      <c r="A87" s="448"/>
      <c r="B87" s="551"/>
      <c r="C87" s="448"/>
      <c r="D87" s="551"/>
      <c r="E87" s="448"/>
      <c r="F87" s="551"/>
      <c r="G87" s="448"/>
      <c r="H87" s="551"/>
      <c r="I87" s="448"/>
      <c r="J87" s="551"/>
      <c r="K87" s="448"/>
      <c r="L87" s="551"/>
      <c r="M87" s="448"/>
      <c r="N87" s="551"/>
      <c r="O87" s="448"/>
      <c r="P87" s="551"/>
      <c r="Q87" s="448"/>
      <c r="R87" s="551"/>
      <c r="S87" s="448"/>
      <c r="T87" s="551"/>
      <c r="U87" s="448"/>
      <c r="V87" s="551"/>
      <c r="W87" s="448"/>
      <c r="X87" s="551"/>
      <c r="Y87" s="448"/>
      <c r="Z87" s="551"/>
      <c r="AA87" s="448"/>
      <c r="AB87" s="551"/>
      <c r="AC87" s="448"/>
      <c r="AD87" s="551"/>
      <c r="AE87" s="448"/>
      <c r="AF87" s="551"/>
      <c r="AG87" s="448"/>
      <c r="AH87" s="551"/>
      <c r="AI87" s="448"/>
      <c r="AJ87" s="551"/>
      <c r="AK87" s="448"/>
      <c r="AL87" s="551"/>
      <c r="AM87" s="448"/>
      <c r="AN87" s="551"/>
      <c r="AO87" s="448"/>
      <c r="AP87" s="551"/>
      <c r="AQ87" s="448"/>
      <c r="AR87" s="551"/>
      <c r="AS87" s="448"/>
      <c r="AT87" s="551"/>
      <c r="AU87" s="448"/>
      <c r="AV87" s="551"/>
      <c r="AW87" s="448"/>
      <c r="AX87" s="551"/>
    </row>
    <row r="88" spans="1:50" ht="14" x14ac:dyDescent="0.3">
      <c r="A88" s="448"/>
      <c r="B88" s="551"/>
      <c r="C88" s="448"/>
      <c r="D88" s="551"/>
      <c r="E88" s="448"/>
      <c r="F88" s="551"/>
      <c r="G88" s="448"/>
      <c r="H88" s="551"/>
      <c r="I88" s="448"/>
      <c r="J88" s="551"/>
      <c r="K88" s="448"/>
      <c r="L88" s="551"/>
      <c r="M88" s="448"/>
      <c r="N88" s="551"/>
      <c r="O88" s="448"/>
      <c r="P88" s="551"/>
      <c r="Q88" s="448"/>
      <c r="R88" s="551"/>
      <c r="S88" s="448"/>
      <c r="T88" s="551"/>
      <c r="U88" s="448"/>
      <c r="V88" s="551"/>
      <c r="W88" s="448"/>
      <c r="X88" s="551"/>
      <c r="Y88" s="448"/>
      <c r="Z88" s="551"/>
      <c r="AA88" s="448"/>
      <c r="AB88" s="551"/>
      <c r="AC88" s="448"/>
      <c r="AD88" s="551"/>
      <c r="AE88" s="448"/>
      <c r="AF88" s="551"/>
      <c r="AG88" s="448"/>
      <c r="AH88" s="551"/>
      <c r="AI88" s="448"/>
      <c r="AJ88" s="551"/>
      <c r="AK88" s="448"/>
      <c r="AL88" s="551"/>
      <c r="AM88" s="448"/>
      <c r="AN88" s="551"/>
      <c r="AO88" s="448"/>
      <c r="AP88" s="551"/>
      <c r="AQ88" s="448"/>
      <c r="AR88" s="551"/>
      <c r="AS88" s="448"/>
      <c r="AT88" s="551"/>
      <c r="AU88" s="448"/>
      <c r="AV88" s="551"/>
      <c r="AW88" s="448"/>
      <c r="AX88" s="551"/>
    </row>
    <row r="89" spans="1:50" ht="14" x14ac:dyDescent="0.3">
      <c r="A89" s="448"/>
      <c r="B89" s="551"/>
      <c r="C89" s="448"/>
      <c r="D89" s="551"/>
      <c r="E89" s="448"/>
      <c r="F89" s="551"/>
      <c r="G89" s="448"/>
      <c r="H89" s="551"/>
      <c r="I89" s="448"/>
      <c r="J89" s="551"/>
      <c r="K89" s="448"/>
      <c r="L89" s="551"/>
      <c r="M89" s="448"/>
      <c r="N89" s="551"/>
      <c r="O89" s="448"/>
      <c r="P89" s="551"/>
      <c r="Q89" s="448"/>
      <c r="R89" s="551"/>
      <c r="S89" s="448"/>
      <c r="T89" s="551"/>
      <c r="U89" s="448"/>
      <c r="V89" s="551"/>
      <c r="W89" s="448"/>
      <c r="X89" s="551"/>
      <c r="Y89" s="448"/>
      <c r="Z89" s="551"/>
      <c r="AA89" s="448"/>
      <c r="AB89" s="551"/>
      <c r="AC89" s="448"/>
      <c r="AD89" s="551"/>
      <c r="AE89" s="448"/>
      <c r="AF89" s="551"/>
      <c r="AG89" s="448"/>
      <c r="AH89" s="551"/>
      <c r="AI89" s="448"/>
      <c r="AJ89" s="551"/>
      <c r="AK89" s="448"/>
      <c r="AL89" s="551"/>
      <c r="AM89" s="448"/>
      <c r="AN89" s="551"/>
      <c r="AO89" s="448"/>
      <c r="AP89" s="551"/>
      <c r="AQ89" s="448"/>
      <c r="AR89" s="551"/>
      <c r="AS89" s="448"/>
      <c r="AT89" s="551"/>
      <c r="AU89" s="448"/>
      <c r="AV89" s="551"/>
      <c r="AW89" s="448"/>
      <c r="AX89" s="551"/>
    </row>
    <row r="90" spans="1:50" ht="14" x14ac:dyDescent="0.3">
      <c r="A90" s="448"/>
      <c r="B90" s="551"/>
      <c r="C90" s="448"/>
      <c r="D90" s="551"/>
      <c r="E90" s="448"/>
      <c r="F90" s="551"/>
      <c r="G90" s="448"/>
      <c r="H90" s="551"/>
      <c r="I90" s="448"/>
      <c r="J90" s="551"/>
      <c r="K90" s="448"/>
      <c r="L90" s="551"/>
      <c r="M90" s="448"/>
      <c r="N90" s="551"/>
      <c r="O90" s="448"/>
      <c r="P90" s="551"/>
      <c r="Q90" s="448"/>
      <c r="R90" s="551"/>
      <c r="S90" s="448"/>
      <c r="T90" s="551"/>
      <c r="U90" s="448"/>
      <c r="V90" s="551"/>
      <c r="W90" s="448"/>
      <c r="X90" s="551"/>
      <c r="Y90" s="448"/>
      <c r="Z90" s="551"/>
      <c r="AA90" s="448"/>
      <c r="AB90" s="551"/>
      <c r="AC90" s="448"/>
      <c r="AD90" s="551"/>
      <c r="AE90" s="448"/>
      <c r="AF90" s="551"/>
      <c r="AG90" s="448"/>
      <c r="AH90" s="551"/>
      <c r="AI90" s="448"/>
      <c r="AJ90" s="551"/>
      <c r="AK90" s="448"/>
      <c r="AL90" s="551"/>
      <c r="AM90" s="448"/>
      <c r="AN90" s="551"/>
      <c r="AO90" s="448"/>
      <c r="AP90" s="551"/>
      <c r="AQ90" s="448"/>
      <c r="AR90" s="551"/>
      <c r="AS90" s="448"/>
      <c r="AT90" s="551"/>
      <c r="AU90" s="448"/>
      <c r="AV90" s="551"/>
      <c r="AW90" s="448"/>
      <c r="AX90" s="551"/>
    </row>
    <row r="91" spans="1:50" ht="14" x14ac:dyDescent="0.3">
      <c r="A91" s="448"/>
      <c r="B91" s="551"/>
      <c r="C91" s="448"/>
      <c r="D91" s="551"/>
      <c r="E91" s="448"/>
      <c r="F91" s="551"/>
      <c r="G91" s="448"/>
      <c r="H91" s="551"/>
      <c r="I91" s="448"/>
      <c r="J91" s="551"/>
      <c r="K91" s="448"/>
      <c r="L91" s="551"/>
      <c r="M91" s="448"/>
      <c r="N91" s="551"/>
      <c r="O91" s="448"/>
      <c r="P91" s="551"/>
      <c r="Q91" s="448"/>
      <c r="R91" s="551"/>
      <c r="S91" s="448"/>
      <c r="T91" s="551"/>
      <c r="U91" s="448"/>
      <c r="V91" s="551"/>
      <c r="W91" s="448"/>
      <c r="X91" s="551"/>
      <c r="Y91" s="448"/>
      <c r="Z91" s="551"/>
      <c r="AA91" s="448"/>
      <c r="AB91" s="551"/>
      <c r="AC91" s="448"/>
      <c r="AD91" s="551"/>
      <c r="AE91" s="448"/>
      <c r="AF91" s="551"/>
      <c r="AG91" s="448"/>
      <c r="AH91" s="551"/>
      <c r="AI91" s="448"/>
      <c r="AJ91" s="551"/>
      <c r="AK91" s="448"/>
      <c r="AL91" s="551"/>
      <c r="AM91" s="448"/>
      <c r="AN91" s="551"/>
      <c r="AO91" s="448"/>
      <c r="AP91" s="551"/>
      <c r="AQ91" s="448"/>
      <c r="AR91" s="551"/>
      <c r="AS91" s="448"/>
      <c r="AT91" s="551"/>
      <c r="AU91" s="448"/>
      <c r="AV91" s="551"/>
      <c r="AW91" s="448"/>
      <c r="AX91" s="551"/>
    </row>
    <row r="92" spans="1:50" ht="14" x14ac:dyDescent="0.3">
      <c r="A92" s="448"/>
      <c r="B92" s="551"/>
      <c r="C92" s="448"/>
      <c r="D92" s="551"/>
      <c r="E92" s="448"/>
      <c r="F92" s="551"/>
      <c r="G92" s="448"/>
      <c r="H92" s="551"/>
      <c r="I92" s="448"/>
      <c r="J92" s="551"/>
      <c r="K92" s="448"/>
      <c r="L92" s="551"/>
      <c r="M92" s="448"/>
      <c r="N92" s="551"/>
      <c r="O92" s="448"/>
      <c r="P92" s="551"/>
      <c r="Q92" s="448"/>
      <c r="R92" s="551"/>
      <c r="S92" s="448"/>
      <c r="T92" s="551"/>
      <c r="U92" s="448"/>
      <c r="V92" s="551"/>
      <c r="W92" s="448"/>
      <c r="X92" s="551"/>
      <c r="Y92" s="448"/>
      <c r="Z92" s="551"/>
      <c r="AA92" s="448"/>
      <c r="AB92" s="551"/>
      <c r="AC92" s="448"/>
      <c r="AD92" s="551"/>
      <c r="AE92" s="448"/>
      <c r="AF92" s="551"/>
      <c r="AG92" s="448"/>
      <c r="AH92" s="551"/>
      <c r="AI92" s="448"/>
      <c r="AJ92" s="551"/>
      <c r="AK92" s="448"/>
      <c r="AL92" s="551"/>
      <c r="AM92" s="448"/>
      <c r="AN92" s="551"/>
      <c r="AO92" s="448"/>
      <c r="AP92" s="551"/>
      <c r="AQ92" s="448"/>
      <c r="AR92" s="551"/>
      <c r="AS92" s="448"/>
      <c r="AT92" s="551"/>
      <c r="AU92" s="448"/>
      <c r="AV92" s="551"/>
      <c r="AW92" s="448"/>
      <c r="AX92" s="551"/>
    </row>
    <row r="93" spans="1:50" ht="14" x14ac:dyDescent="0.3">
      <c r="A93" s="448"/>
      <c r="B93" s="551"/>
      <c r="C93" s="448"/>
      <c r="D93" s="551"/>
      <c r="E93" s="448"/>
      <c r="F93" s="551"/>
      <c r="G93" s="448"/>
      <c r="H93" s="551"/>
      <c r="I93" s="448"/>
      <c r="J93" s="551"/>
      <c r="K93" s="448"/>
      <c r="L93" s="551"/>
      <c r="M93" s="448"/>
      <c r="N93" s="551"/>
      <c r="O93" s="448"/>
      <c r="P93" s="551"/>
      <c r="Q93" s="448"/>
      <c r="R93" s="551"/>
      <c r="S93" s="448"/>
      <c r="T93" s="551"/>
      <c r="U93" s="448"/>
      <c r="V93" s="551"/>
      <c r="W93" s="448"/>
      <c r="X93" s="551"/>
      <c r="Y93" s="448"/>
      <c r="Z93" s="551"/>
      <c r="AA93" s="448"/>
      <c r="AB93" s="551"/>
      <c r="AC93" s="448"/>
      <c r="AD93" s="551"/>
      <c r="AE93" s="448"/>
      <c r="AF93" s="551"/>
      <c r="AG93" s="448"/>
      <c r="AH93" s="551"/>
      <c r="AI93" s="448"/>
      <c r="AJ93" s="551"/>
      <c r="AK93" s="448"/>
      <c r="AL93" s="551"/>
      <c r="AM93" s="448"/>
      <c r="AN93" s="551"/>
      <c r="AO93" s="448"/>
      <c r="AP93" s="551"/>
      <c r="AQ93" s="448"/>
      <c r="AR93" s="551"/>
      <c r="AS93" s="448"/>
      <c r="AT93" s="551"/>
      <c r="AU93" s="448"/>
      <c r="AV93" s="551"/>
      <c r="AW93" s="448"/>
      <c r="AX93" s="551"/>
    </row>
    <row r="94" spans="1:50" ht="14" x14ac:dyDescent="0.3">
      <c r="A94" s="448"/>
      <c r="B94" s="551"/>
      <c r="C94" s="448"/>
      <c r="D94" s="551"/>
      <c r="E94" s="448"/>
      <c r="F94" s="551"/>
      <c r="G94" s="448"/>
      <c r="H94" s="551"/>
      <c r="I94" s="448"/>
      <c r="J94" s="551"/>
      <c r="K94" s="448"/>
      <c r="L94" s="551"/>
      <c r="M94" s="448"/>
      <c r="N94" s="551"/>
      <c r="O94" s="448"/>
      <c r="P94" s="551"/>
      <c r="Q94" s="448"/>
      <c r="R94" s="551"/>
      <c r="S94" s="448"/>
      <c r="T94" s="551"/>
      <c r="U94" s="448"/>
      <c r="V94" s="551"/>
      <c r="W94" s="448"/>
      <c r="X94" s="551"/>
      <c r="Y94" s="448"/>
      <c r="Z94" s="551"/>
      <c r="AA94" s="448"/>
      <c r="AB94" s="551"/>
      <c r="AC94" s="448"/>
      <c r="AD94" s="551"/>
      <c r="AE94" s="448"/>
      <c r="AF94" s="551"/>
      <c r="AG94" s="448"/>
      <c r="AH94" s="551"/>
      <c r="AI94" s="448"/>
      <c r="AJ94" s="551"/>
      <c r="AK94" s="448"/>
      <c r="AL94" s="551"/>
      <c r="AM94" s="448"/>
      <c r="AN94" s="551"/>
      <c r="AO94" s="448"/>
      <c r="AP94" s="551"/>
      <c r="AQ94" s="448"/>
      <c r="AR94" s="551"/>
      <c r="AS94" s="448"/>
      <c r="AT94" s="551"/>
      <c r="AU94" s="448"/>
      <c r="AV94" s="551"/>
      <c r="AW94" s="448"/>
      <c r="AX94" s="551"/>
    </row>
    <row r="95" spans="1:50" ht="14" x14ac:dyDescent="0.3">
      <c r="A95" s="448"/>
      <c r="B95" s="551"/>
      <c r="C95" s="448"/>
      <c r="D95" s="551"/>
      <c r="E95" s="448"/>
      <c r="F95" s="551"/>
      <c r="G95" s="448"/>
      <c r="H95" s="551"/>
      <c r="I95" s="448"/>
      <c r="J95" s="551"/>
      <c r="K95" s="448"/>
      <c r="L95" s="551"/>
      <c r="M95" s="448"/>
      <c r="N95" s="551"/>
      <c r="O95" s="448"/>
      <c r="P95" s="551"/>
      <c r="Q95" s="448"/>
      <c r="R95" s="551"/>
      <c r="S95" s="448"/>
      <c r="T95" s="551"/>
      <c r="U95" s="448"/>
      <c r="V95" s="551"/>
      <c r="W95" s="448"/>
      <c r="X95" s="551"/>
      <c r="Y95" s="448"/>
      <c r="Z95" s="551"/>
      <c r="AA95" s="448"/>
      <c r="AB95" s="551"/>
      <c r="AC95" s="448"/>
      <c r="AD95" s="551"/>
      <c r="AE95" s="448"/>
      <c r="AF95" s="551"/>
      <c r="AG95" s="448"/>
      <c r="AH95" s="551"/>
      <c r="AI95" s="448"/>
      <c r="AJ95" s="551"/>
      <c r="AK95" s="448"/>
      <c r="AL95" s="551"/>
      <c r="AM95" s="448"/>
      <c r="AN95" s="551"/>
      <c r="AO95" s="448"/>
      <c r="AP95" s="551"/>
      <c r="AQ95" s="448"/>
      <c r="AR95" s="551"/>
      <c r="AS95" s="448"/>
      <c r="AT95" s="551"/>
      <c r="AU95" s="448"/>
      <c r="AV95" s="551"/>
      <c r="AW95" s="448"/>
      <c r="AX95" s="551"/>
    </row>
    <row r="96" spans="1:50" ht="14" x14ac:dyDescent="0.3">
      <c r="A96" s="448"/>
      <c r="B96" s="551"/>
      <c r="C96" s="448"/>
      <c r="D96" s="551"/>
      <c r="E96" s="448"/>
      <c r="F96" s="551"/>
      <c r="G96" s="448"/>
      <c r="H96" s="551"/>
      <c r="I96" s="448"/>
      <c r="J96" s="551"/>
      <c r="K96" s="448"/>
      <c r="L96" s="551"/>
      <c r="M96" s="448"/>
      <c r="N96" s="551"/>
      <c r="O96" s="448"/>
      <c r="P96" s="551"/>
      <c r="Q96" s="448"/>
      <c r="R96" s="551"/>
      <c r="S96" s="448"/>
      <c r="T96" s="551"/>
      <c r="U96" s="448"/>
      <c r="V96" s="551"/>
      <c r="W96" s="448"/>
      <c r="X96" s="551"/>
      <c r="Y96" s="448"/>
      <c r="Z96" s="551"/>
      <c r="AA96" s="448"/>
      <c r="AB96" s="551"/>
      <c r="AC96" s="448"/>
      <c r="AD96" s="551"/>
      <c r="AE96" s="448"/>
      <c r="AF96" s="551"/>
      <c r="AG96" s="448"/>
      <c r="AH96" s="551"/>
      <c r="AI96" s="448"/>
      <c r="AJ96" s="551"/>
      <c r="AK96" s="448"/>
      <c r="AL96" s="551"/>
      <c r="AM96" s="448"/>
      <c r="AN96" s="551"/>
      <c r="AO96" s="448"/>
      <c r="AP96" s="551"/>
      <c r="AQ96" s="448"/>
      <c r="AR96" s="551"/>
      <c r="AS96" s="448"/>
      <c r="AT96" s="551"/>
      <c r="AU96" s="448"/>
      <c r="AV96" s="551"/>
      <c r="AW96" s="448"/>
      <c r="AX96" s="551"/>
    </row>
    <row r="97" spans="1:50" ht="14" x14ac:dyDescent="0.3">
      <c r="A97" s="448"/>
      <c r="B97" s="551"/>
      <c r="C97" s="448"/>
      <c r="D97" s="551"/>
      <c r="E97" s="448"/>
      <c r="F97" s="551"/>
      <c r="G97" s="448"/>
      <c r="H97" s="551"/>
      <c r="I97" s="448"/>
      <c r="J97" s="551"/>
      <c r="K97" s="448"/>
      <c r="L97" s="551"/>
      <c r="M97" s="448"/>
      <c r="N97" s="551"/>
      <c r="O97" s="448"/>
      <c r="P97" s="551"/>
      <c r="Q97" s="448"/>
      <c r="R97" s="551"/>
      <c r="S97" s="448"/>
      <c r="T97" s="551"/>
      <c r="U97" s="448"/>
      <c r="V97" s="551"/>
      <c r="W97" s="448"/>
      <c r="X97" s="551"/>
      <c r="Y97" s="448"/>
      <c r="Z97" s="551"/>
      <c r="AA97" s="448"/>
      <c r="AB97" s="551"/>
      <c r="AC97" s="448"/>
      <c r="AD97" s="551"/>
      <c r="AE97" s="448"/>
      <c r="AF97" s="551"/>
      <c r="AG97" s="448"/>
      <c r="AH97" s="551"/>
      <c r="AI97" s="448"/>
      <c r="AJ97" s="551"/>
      <c r="AK97" s="448"/>
      <c r="AL97" s="551"/>
      <c r="AM97" s="448"/>
      <c r="AN97" s="551"/>
      <c r="AO97" s="448"/>
      <c r="AP97" s="551"/>
      <c r="AQ97" s="448"/>
      <c r="AR97" s="551"/>
      <c r="AS97" s="448"/>
      <c r="AT97" s="551"/>
      <c r="AU97" s="448"/>
      <c r="AV97" s="551"/>
      <c r="AW97" s="448"/>
      <c r="AX97" s="551"/>
    </row>
    <row r="98" spans="1:50" ht="14" x14ac:dyDescent="0.3">
      <c r="A98" s="448"/>
      <c r="B98" s="551"/>
      <c r="C98" s="448"/>
      <c r="D98" s="551"/>
      <c r="E98" s="448"/>
      <c r="F98" s="551"/>
      <c r="G98" s="448"/>
      <c r="H98" s="551"/>
      <c r="I98" s="448"/>
      <c r="J98" s="551"/>
      <c r="K98" s="448"/>
      <c r="L98" s="551"/>
      <c r="M98" s="448"/>
      <c r="N98" s="551"/>
      <c r="O98" s="448"/>
      <c r="P98" s="551"/>
      <c r="Q98" s="448"/>
      <c r="R98" s="551"/>
      <c r="S98" s="448"/>
      <c r="T98" s="551"/>
      <c r="U98" s="448"/>
      <c r="V98" s="551"/>
      <c r="W98" s="448"/>
      <c r="X98" s="551"/>
      <c r="Y98" s="448"/>
      <c r="Z98" s="551"/>
      <c r="AA98" s="448"/>
      <c r="AB98" s="551"/>
      <c r="AC98" s="448"/>
      <c r="AD98" s="551"/>
      <c r="AE98" s="448"/>
      <c r="AF98" s="551"/>
      <c r="AG98" s="448"/>
      <c r="AH98" s="551"/>
      <c r="AI98" s="448"/>
      <c r="AJ98" s="551"/>
      <c r="AK98" s="448"/>
      <c r="AL98" s="551"/>
      <c r="AM98" s="448"/>
      <c r="AN98" s="551"/>
      <c r="AO98" s="448"/>
      <c r="AP98" s="551"/>
      <c r="AQ98" s="448"/>
      <c r="AR98" s="551"/>
      <c r="AS98" s="448"/>
      <c r="AT98" s="551"/>
      <c r="AU98" s="448"/>
      <c r="AV98" s="551"/>
      <c r="AW98" s="448"/>
      <c r="AX98" s="551"/>
    </row>
    <row r="99" spans="1:50" ht="14" x14ac:dyDescent="0.3">
      <c r="A99" s="448"/>
      <c r="B99" s="551"/>
      <c r="C99" s="448"/>
      <c r="D99" s="551"/>
      <c r="E99" s="448"/>
      <c r="F99" s="551"/>
      <c r="G99" s="448"/>
      <c r="H99" s="551"/>
      <c r="I99" s="448"/>
      <c r="J99" s="551"/>
      <c r="K99" s="448"/>
      <c r="L99" s="551"/>
      <c r="M99" s="448"/>
      <c r="N99" s="551"/>
      <c r="O99" s="448"/>
      <c r="P99" s="551"/>
      <c r="Q99" s="448"/>
      <c r="R99" s="551"/>
      <c r="S99" s="448"/>
      <c r="T99" s="551"/>
      <c r="U99" s="448"/>
      <c r="V99" s="551"/>
      <c r="W99" s="448"/>
      <c r="X99" s="551"/>
      <c r="Y99" s="448"/>
      <c r="Z99" s="551"/>
      <c r="AA99" s="448"/>
      <c r="AB99" s="551"/>
      <c r="AC99" s="448"/>
      <c r="AD99" s="551"/>
      <c r="AE99" s="448"/>
      <c r="AF99" s="551"/>
      <c r="AG99" s="448"/>
      <c r="AH99" s="551"/>
      <c r="AI99" s="448"/>
      <c r="AJ99" s="551"/>
      <c r="AK99" s="448"/>
      <c r="AL99" s="551"/>
      <c r="AM99" s="448"/>
      <c r="AN99" s="551"/>
      <c r="AO99" s="448"/>
      <c r="AP99" s="551"/>
      <c r="AQ99" s="448"/>
      <c r="AR99" s="551"/>
      <c r="AS99" s="448"/>
      <c r="AT99" s="551"/>
      <c r="AU99" s="448"/>
      <c r="AV99" s="551"/>
      <c r="AW99" s="448"/>
      <c r="AX99" s="551"/>
    </row>
    <row r="100" spans="1:50" ht="14" x14ac:dyDescent="0.3">
      <c r="A100" s="448"/>
      <c r="B100" s="551"/>
      <c r="C100" s="448"/>
      <c r="D100" s="551"/>
      <c r="E100" s="448"/>
      <c r="F100" s="551"/>
      <c r="G100" s="448"/>
      <c r="H100" s="551"/>
      <c r="I100" s="448"/>
      <c r="J100" s="551"/>
      <c r="K100" s="448"/>
      <c r="L100" s="551"/>
      <c r="M100" s="448"/>
      <c r="N100" s="551"/>
      <c r="O100" s="448"/>
      <c r="P100" s="551"/>
      <c r="Q100" s="448"/>
      <c r="R100" s="551"/>
      <c r="S100" s="448"/>
      <c r="T100" s="551"/>
      <c r="U100" s="448"/>
      <c r="V100" s="551"/>
      <c r="W100" s="448"/>
      <c r="X100" s="551"/>
      <c r="Y100" s="448"/>
      <c r="Z100" s="551"/>
      <c r="AA100" s="448"/>
      <c r="AB100" s="551"/>
      <c r="AC100" s="448"/>
      <c r="AD100" s="551"/>
      <c r="AE100" s="448"/>
      <c r="AF100" s="551"/>
      <c r="AG100" s="448"/>
      <c r="AH100" s="551"/>
      <c r="AI100" s="448"/>
      <c r="AJ100" s="551"/>
      <c r="AK100" s="448"/>
      <c r="AL100" s="551"/>
      <c r="AM100" s="448"/>
      <c r="AN100" s="551"/>
      <c r="AO100" s="448"/>
      <c r="AP100" s="551"/>
      <c r="AQ100" s="448"/>
      <c r="AR100" s="551"/>
      <c r="AS100" s="448"/>
      <c r="AT100" s="551"/>
      <c r="AU100" s="448"/>
      <c r="AV100" s="551"/>
      <c r="AW100" s="448"/>
      <c r="AX100" s="551"/>
    </row>
    <row r="101" spans="1:50" ht="14" x14ac:dyDescent="0.3">
      <c r="A101" s="448"/>
      <c r="B101" s="551"/>
      <c r="C101" s="448"/>
      <c r="D101" s="551"/>
      <c r="E101" s="448"/>
      <c r="F101" s="551"/>
      <c r="G101" s="448"/>
      <c r="H101" s="551"/>
      <c r="I101" s="448"/>
      <c r="J101" s="551"/>
      <c r="K101" s="448"/>
      <c r="L101" s="551"/>
      <c r="M101" s="448"/>
      <c r="N101" s="551"/>
      <c r="O101" s="448"/>
      <c r="P101" s="551"/>
      <c r="Q101" s="448"/>
      <c r="R101" s="551"/>
      <c r="S101" s="448"/>
      <c r="T101" s="551"/>
      <c r="U101" s="448"/>
      <c r="V101" s="551"/>
      <c r="W101" s="448"/>
      <c r="X101" s="551"/>
      <c r="Y101" s="448"/>
      <c r="Z101" s="551"/>
      <c r="AA101" s="448"/>
      <c r="AB101" s="551"/>
      <c r="AC101" s="448"/>
      <c r="AD101" s="551"/>
      <c r="AE101" s="448"/>
      <c r="AF101" s="551"/>
      <c r="AG101" s="448"/>
      <c r="AH101" s="551"/>
      <c r="AI101" s="448"/>
      <c r="AJ101" s="551"/>
      <c r="AK101" s="448"/>
      <c r="AL101" s="551"/>
      <c r="AM101" s="448"/>
      <c r="AN101" s="551"/>
      <c r="AO101" s="448"/>
      <c r="AP101" s="551"/>
      <c r="AQ101" s="448"/>
      <c r="AR101" s="551"/>
      <c r="AS101" s="448"/>
      <c r="AT101" s="551"/>
      <c r="AU101" s="448"/>
      <c r="AV101" s="551"/>
      <c r="AW101" s="448"/>
      <c r="AX101" s="551"/>
    </row>
    <row r="102" spans="1:50" ht="14" x14ac:dyDescent="0.3">
      <c r="A102" s="448"/>
      <c r="B102" s="551"/>
      <c r="C102" s="448"/>
      <c r="D102" s="551"/>
      <c r="E102" s="448"/>
      <c r="F102" s="551"/>
      <c r="G102" s="448"/>
      <c r="H102" s="551"/>
      <c r="I102" s="448"/>
      <c r="J102" s="551"/>
      <c r="K102" s="448"/>
      <c r="L102" s="551"/>
      <c r="M102" s="448"/>
      <c r="N102" s="551"/>
      <c r="O102" s="448"/>
      <c r="P102" s="551"/>
      <c r="Q102" s="448"/>
      <c r="R102" s="551"/>
      <c r="S102" s="448"/>
      <c r="T102" s="551"/>
      <c r="U102" s="448"/>
      <c r="V102" s="551"/>
      <c r="W102" s="448"/>
      <c r="X102" s="551"/>
      <c r="Y102" s="448"/>
      <c r="Z102" s="551"/>
      <c r="AA102" s="448"/>
      <c r="AB102" s="551"/>
      <c r="AC102" s="448"/>
      <c r="AD102" s="551"/>
      <c r="AE102" s="448"/>
      <c r="AF102" s="551"/>
      <c r="AG102" s="448"/>
      <c r="AH102" s="551"/>
      <c r="AI102" s="448"/>
      <c r="AJ102" s="551"/>
      <c r="AK102" s="448"/>
      <c r="AL102" s="551"/>
      <c r="AM102" s="448"/>
      <c r="AN102" s="551"/>
      <c r="AO102" s="448"/>
      <c r="AP102" s="551"/>
      <c r="AQ102" s="448"/>
      <c r="AR102" s="551"/>
      <c r="AS102" s="448"/>
      <c r="AT102" s="551"/>
      <c r="AU102" s="448"/>
      <c r="AV102" s="551"/>
      <c r="AW102" s="448"/>
      <c r="AX102" s="551"/>
    </row>
    <row r="103" spans="1:50" ht="14" x14ac:dyDescent="0.3">
      <c r="A103" s="448"/>
      <c r="B103" s="551"/>
      <c r="C103" s="448"/>
      <c r="D103" s="551"/>
      <c r="E103" s="448"/>
      <c r="F103" s="551"/>
      <c r="G103" s="448"/>
      <c r="H103" s="551"/>
      <c r="I103" s="448"/>
      <c r="J103" s="551"/>
      <c r="K103" s="448"/>
      <c r="L103" s="551"/>
      <c r="M103" s="448"/>
      <c r="N103" s="551"/>
      <c r="O103" s="448"/>
      <c r="P103" s="551"/>
      <c r="Q103" s="448"/>
      <c r="R103" s="551"/>
      <c r="S103" s="448"/>
      <c r="T103" s="551"/>
      <c r="U103" s="448"/>
      <c r="V103" s="551"/>
      <c r="W103" s="448"/>
      <c r="X103" s="551"/>
      <c r="Y103" s="448"/>
      <c r="Z103" s="551"/>
      <c r="AA103" s="448"/>
      <c r="AB103" s="551"/>
      <c r="AC103" s="448"/>
      <c r="AD103" s="551"/>
      <c r="AE103" s="448"/>
      <c r="AF103" s="551"/>
      <c r="AG103" s="448"/>
      <c r="AH103" s="551"/>
      <c r="AI103" s="448"/>
      <c r="AJ103" s="551"/>
      <c r="AK103" s="448"/>
      <c r="AL103" s="551"/>
      <c r="AM103" s="448"/>
      <c r="AN103" s="551"/>
      <c r="AO103" s="448"/>
      <c r="AP103" s="551"/>
      <c r="AQ103" s="448"/>
      <c r="AR103" s="551"/>
      <c r="AS103" s="448"/>
      <c r="AT103" s="551"/>
      <c r="AU103" s="448"/>
      <c r="AV103" s="551"/>
      <c r="AW103" s="448"/>
      <c r="AX103" s="551"/>
    </row>
    <row r="104" spans="1:50" ht="14" x14ac:dyDescent="0.3">
      <c r="A104" s="448"/>
      <c r="B104" s="551"/>
      <c r="C104" s="448"/>
      <c r="D104" s="551"/>
      <c r="E104" s="448"/>
      <c r="F104" s="551"/>
      <c r="G104" s="448"/>
      <c r="H104" s="551"/>
      <c r="I104" s="448"/>
      <c r="J104" s="551"/>
      <c r="K104" s="448"/>
      <c r="L104" s="551"/>
      <c r="M104" s="448"/>
      <c r="N104" s="551"/>
      <c r="O104" s="448"/>
      <c r="P104" s="551"/>
      <c r="Q104" s="448"/>
      <c r="R104" s="551"/>
      <c r="S104" s="448"/>
      <c r="T104" s="551"/>
      <c r="U104" s="448"/>
      <c r="V104" s="551"/>
      <c r="W104" s="448"/>
      <c r="X104" s="551"/>
      <c r="Y104" s="448"/>
      <c r="Z104" s="551"/>
      <c r="AA104" s="448"/>
      <c r="AB104" s="551"/>
      <c r="AC104" s="448"/>
      <c r="AD104" s="551"/>
      <c r="AE104" s="448"/>
      <c r="AF104" s="551"/>
      <c r="AG104" s="448"/>
      <c r="AH104" s="551"/>
      <c r="AI104" s="448"/>
      <c r="AJ104" s="551"/>
      <c r="AK104" s="448"/>
      <c r="AL104" s="551"/>
      <c r="AM104" s="448"/>
      <c r="AN104" s="551"/>
      <c r="AO104" s="448"/>
      <c r="AP104" s="551"/>
      <c r="AQ104" s="448"/>
      <c r="AR104" s="551"/>
      <c r="AS104" s="448"/>
      <c r="AT104" s="551"/>
      <c r="AU104" s="448"/>
      <c r="AV104" s="551"/>
      <c r="AW104" s="448"/>
      <c r="AX104" s="551"/>
    </row>
    <row r="105" spans="1:50" ht="14" x14ac:dyDescent="0.3">
      <c r="A105" s="448"/>
      <c r="B105" s="551"/>
      <c r="C105" s="448"/>
      <c r="D105" s="551"/>
      <c r="E105" s="448"/>
      <c r="F105" s="551"/>
      <c r="G105" s="448"/>
      <c r="H105" s="551"/>
      <c r="I105" s="448"/>
      <c r="J105" s="551"/>
      <c r="K105" s="448"/>
      <c r="L105" s="551"/>
      <c r="M105" s="448"/>
      <c r="N105" s="551"/>
      <c r="O105" s="448"/>
      <c r="P105" s="551"/>
      <c r="Q105" s="448"/>
      <c r="R105" s="551"/>
      <c r="S105" s="448"/>
      <c r="T105" s="551"/>
      <c r="U105" s="448"/>
      <c r="V105" s="551"/>
      <c r="W105" s="448"/>
      <c r="X105" s="551"/>
      <c r="Y105" s="448"/>
      <c r="Z105" s="551"/>
      <c r="AA105" s="448"/>
      <c r="AB105" s="551"/>
      <c r="AC105" s="448"/>
      <c r="AD105" s="551"/>
      <c r="AE105" s="448"/>
      <c r="AF105" s="551"/>
      <c r="AG105" s="448"/>
      <c r="AH105" s="551"/>
      <c r="AI105" s="448"/>
      <c r="AJ105" s="551"/>
      <c r="AK105" s="448"/>
      <c r="AL105" s="551"/>
      <c r="AM105" s="448"/>
      <c r="AN105" s="551"/>
      <c r="AO105" s="448"/>
      <c r="AP105" s="551"/>
      <c r="AQ105" s="448"/>
      <c r="AR105" s="551"/>
      <c r="AS105" s="448"/>
      <c r="AT105" s="551"/>
      <c r="AU105" s="448"/>
      <c r="AV105" s="551"/>
      <c r="AW105" s="448"/>
      <c r="AX105" s="551"/>
    </row>
    <row r="106" spans="1:50" ht="14" x14ac:dyDescent="0.3">
      <c r="A106" s="448"/>
      <c r="B106" s="551"/>
      <c r="C106" s="448"/>
      <c r="D106" s="551"/>
      <c r="E106" s="448"/>
      <c r="F106" s="551"/>
      <c r="G106" s="448"/>
      <c r="H106" s="551"/>
      <c r="I106" s="448"/>
      <c r="J106" s="551"/>
      <c r="K106" s="448"/>
      <c r="L106" s="551"/>
      <c r="M106" s="448"/>
      <c r="N106" s="551"/>
      <c r="O106" s="448"/>
      <c r="P106" s="551"/>
      <c r="Q106" s="448"/>
      <c r="R106" s="551"/>
      <c r="S106" s="448"/>
      <c r="T106" s="551"/>
      <c r="U106" s="448"/>
      <c r="V106" s="551"/>
      <c r="W106" s="448"/>
      <c r="X106" s="551"/>
      <c r="Y106" s="448"/>
      <c r="Z106" s="551"/>
      <c r="AA106" s="448"/>
      <c r="AB106" s="551"/>
      <c r="AC106" s="448"/>
      <c r="AD106" s="551"/>
      <c r="AE106" s="448"/>
      <c r="AF106" s="551"/>
      <c r="AG106" s="448"/>
      <c r="AH106" s="551"/>
      <c r="AI106" s="448"/>
      <c r="AJ106" s="551"/>
      <c r="AK106" s="448"/>
      <c r="AL106" s="551"/>
      <c r="AM106" s="448"/>
      <c r="AN106" s="551"/>
      <c r="AO106" s="448"/>
      <c r="AP106" s="551"/>
      <c r="AQ106" s="448"/>
      <c r="AR106" s="551"/>
      <c r="AS106" s="448"/>
      <c r="AT106" s="551"/>
      <c r="AU106" s="448"/>
      <c r="AV106" s="551"/>
      <c r="AW106" s="448"/>
      <c r="AX106" s="551"/>
    </row>
    <row r="107" spans="1:50" ht="14" x14ac:dyDescent="0.3">
      <c r="A107" s="448"/>
      <c r="B107" s="551"/>
      <c r="C107" s="448"/>
      <c r="D107" s="551"/>
      <c r="E107" s="448"/>
      <c r="F107" s="551"/>
      <c r="G107" s="448"/>
      <c r="H107" s="551"/>
      <c r="I107" s="448"/>
      <c r="J107" s="551"/>
      <c r="K107" s="448"/>
      <c r="L107" s="551"/>
      <c r="M107" s="448"/>
      <c r="N107" s="551"/>
      <c r="O107" s="448"/>
      <c r="P107" s="551"/>
      <c r="Q107" s="448"/>
      <c r="R107" s="551"/>
      <c r="S107" s="448"/>
      <c r="T107" s="551"/>
      <c r="U107" s="448"/>
      <c r="V107" s="551"/>
      <c r="W107" s="448"/>
      <c r="X107" s="551"/>
      <c r="Y107" s="448"/>
      <c r="Z107" s="551"/>
      <c r="AA107" s="448"/>
      <c r="AB107" s="551"/>
      <c r="AC107" s="448"/>
      <c r="AD107" s="551"/>
      <c r="AE107" s="448"/>
      <c r="AF107" s="551"/>
      <c r="AG107" s="448"/>
      <c r="AH107" s="551"/>
      <c r="AI107" s="448"/>
      <c r="AJ107" s="551"/>
      <c r="AK107" s="448"/>
      <c r="AL107" s="551"/>
      <c r="AM107" s="448"/>
      <c r="AN107" s="551"/>
      <c r="AO107" s="448"/>
      <c r="AP107" s="551"/>
      <c r="AQ107" s="448"/>
      <c r="AR107" s="551"/>
      <c r="AS107" s="448"/>
      <c r="AT107" s="551"/>
      <c r="AU107" s="448"/>
      <c r="AV107" s="551"/>
      <c r="AW107" s="448"/>
      <c r="AX107" s="551"/>
    </row>
    <row r="108" spans="1:50" ht="14" x14ac:dyDescent="0.3">
      <c r="A108" s="448"/>
      <c r="B108" s="551"/>
      <c r="C108" s="448"/>
      <c r="D108" s="551"/>
      <c r="E108" s="448"/>
      <c r="F108" s="551"/>
      <c r="G108" s="448"/>
      <c r="H108" s="551"/>
      <c r="I108" s="448"/>
      <c r="J108" s="551"/>
      <c r="K108" s="448"/>
      <c r="L108" s="551"/>
      <c r="M108" s="448"/>
      <c r="N108" s="551"/>
      <c r="O108" s="448"/>
      <c r="P108" s="551"/>
      <c r="Q108" s="448"/>
      <c r="R108" s="551"/>
      <c r="S108" s="448"/>
      <c r="T108" s="551"/>
      <c r="U108" s="448"/>
      <c r="V108" s="551"/>
      <c r="W108" s="448"/>
      <c r="X108" s="551"/>
      <c r="Y108" s="448"/>
      <c r="Z108" s="551"/>
      <c r="AA108" s="448"/>
      <c r="AB108" s="551"/>
      <c r="AC108" s="448"/>
      <c r="AD108" s="551"/>
      <c r="AE108" s="448"/>
      <c r="AF108" s="551"/>
      <c r="AG108" s="448"/>
      <c r="AH108" s="551"/>
      <c r="AI108" s="448"/>
      <c r="AJ108" s="551"/>
      <c r="AK108" s="448"/>
      <c r="AL108" s="551"/>
      <c r="AM108" s="448"/>
      <c r="AN108" s="551"/>
      <c r="AO108" s="448"/>
      <c r="AP108" s="551"/>
      <c r="AQ108" s="448"/>
      <c r="AR108" s="551"/>
      <c r="AS108" s="448"/>
      <c r="AT108" s="551"/>
      <c r="AU108" s="448"/>
      <c r="AV108" s="551"/>
      <c r="AW108" s="448"/>
      <c r="AX108" s="551"/>
    </row>
    <row r="109" spans="1:50" ht="14" x14ac:dyDescent="0.3">
      <c r="A109" s="448"/>
      <c r="B109" s="551"/>
      <c r="C109" s="448"/>
      <c r="D109" s="551"/>
      <c r="E109" s="448"/>
      <c r="F109" s="551"/>
      <c r="G109" s="448"/>
      <c r="H109" s="551"/>
      <c r="I109" s="448"/>
      <c r="J109" s="551"/>
      <c r="K109" s="448"/>
      <c r="L109" s="551"/>
      <c r="M109" s="448"/>
      <c r="N109" s="551"/>
      <c r="O109" s="448"/>
      <c r="P109" s="551"/>
      <c r="Q109" s="448"/>
      <c r="R109" s="551"/>
      <c r="S109" s="448"/>
      <c r="T109" s="551"/>
      <c r="U109" s="448"/>
      <c r="V109" s="551"/>
      <c r="W109" s="448"/>
      <c r="X109" s="551"/>
      <c r="Y109" s="448"/>
      <c r="Z109" s="551"/>
      <c r="AA109" s="448"/>
      <c r="AB109" s="551"/>
      <c r="AC109" s="448"/>
      <c r="AD109" s="551"/>
      <c r="AE109" s="448"/>
      <c r="AF109" s="551"/>
      <c r="AG109" s="448"/>
      <c r="AH109" s="551"/>
      <c r="AI109" s="448"/>
      <c r="AJ109" s="551"/>
      <c r="AK109" s="448"/>
      <c r="AL109" s="551"/>
      <c r="AM109" s="448"/>
      <c r="AN109" s="551"/>
      <c r="AO109" s="448"/>
      <c r="AP109" s="551"/>
      <c r="AQ109" s="448"/>
      <c r="AR109" s="551"/>
      <c r="AS109" s="448"/>
      <c r="AT109" s="551"/>
      <c r="AU109" s="448"/>
      <c r="AV109" s="551"/>
      <c r="AW109" s="448"/>
      <c r="AX109" s="551"/>
    </row>
    <row r="110" spans="1:50" ht="14" x14ac:dyDescent="0.3">
      <c r="A110" s="448"/>
      <c r="B110" s="551"/>
      <c r="C110" s="448"/>
      <c r="D110" s="551"/>
      <c r="E110" s="448"/>
      <c r="F110" s="551"/>
      <c r="G110" s="448"/>
      <c r="H110" s="551"/>
      <c r="I110" s="448"/>
      <c r="J110" s="551"/>
      <c r="K110" s="448"/>
      <c r="L110" s="551"/>
      <c r="M110" s="448"/>
      <c r="N110" s="551"/>
      <c r="O110" s="448"/>
      <c r="P110" s="551"/>
      <c r="Q110" s="448"/>
      <c r="R110" s="551"/>
      <c r="S110" s="448"/>
      <c r="T110" s="551"/>
      <c r="U110" s="448"/>
      <c r="V110" s="551"/>
      <c r="W110" s="448"/>
      <c r="X110" s="551"/>
      <c r="Y110" s="448"/>
      <c r="Z110" s="551"/>
      <c r="AA110" s="448"/>
      <c r="AB110" s="551"/>
      <c r="AC110" s="448"/>
      <c r="AD110" s="551"/>
      <c r="AE110" s="448"/>
      <c r="AF110" s="551"/>
      <c r="AG110" s="448"/>
      <c r="AH110" s="551"/>
      <c r="AI110" s="448"/>
      <c r="AJ110" s="551"/>
      <c r="AK110" s="448"/>
      <c r="AL110" s="551"/>
      <c r="AM110" s="448"/>
      <c r="AN110" s="551"/>
      <c r="AO110" s="448"/>
      <c r="AP110" s="551"/>
      <c r="AQ110" s="448"/>
      <c r="AR110" s="551"/>
      <c r="AS110" s="448"/>
      <c r="AT110" s="551"/>
      <c r="AU110" s="448"/>
      <c r="AV110" s="551"/>
      <c r="AW110" s="448"/>
      <c r="AX110" s="551"/>
    </row>
    <row r="111" spans="1:50" ht="14" x14ac:dyDescent="0.3">
      <c r="A111" s="448"/>
      <c r="B111" s="551"/>
      <c r="C111" s="448"/>
      <c r="D111" s="551"/>
      <c r="E111" s="448"/>
      <c r="F111" s="551"/>
      <c r="G111" s="448"/>
      <c r="H111" s="551"/>
      <c r="I111" s="448"/>
      <c r="J111" s="551"/>
      <c r="K111" s="448"/>
      <c r="L111" s="551"/>
      <c r="M111" s="448"/>
      <c r="N111" s="551"/>
      <c r="O111" s="448"/>
      <c r="P111" s="551"/>
      <c r="Q111" s="448"/>
      <c r="R111" s="551"/>
      <c r="S111" s="448"/>
      <c r="T111" s="551"/>
      <c r="U111" s="448"/>
      <c r="V111" s="551"/>
      <c r="W111" s="448"/>
      <c r="X111" s="551"/>
      <c r="Y111" s="448"/>
      <c r="Z111" s="551"/>
      <c r="AA111" s="448"/>
      <c r="AB111" s="551"/>
      <c r="AC111" s="448"/>
      <c r="AD111" s="551"/>
      <c r="AE111" s="448"/>
      <c r="AF111" s="551"/>
      <c r="AG111" s="448"/>
      <c r="AH111" s="551"/>
      <c r="AI111" s="448"/>
      <c r="AJ111" s="551"/>
      <c r="AK111" s="448"/>
      <c r="AL111" s="551"/>
      <c r="AM111" s="448"/>
      <c r="AN111" s="551"/>
      <c r="AO111" s="448"/>
      <c r="AP111" s="551"/>
      <c r="AQ111" s="448"/>
      <c r="AR111" s="551"/>
      <c r="AS111" s="448"/>
      <c r="AT111" s="551"/>
      <c r="AU111" s="448"/>
      <c r="AV111" s="551"/>
      <c r="AW111" s="448"/>
      <c r="AX111" s="551"/>
    </row>
    <row r="112" spans="1:50" ht="14" x14ac:dyDescent="0.3">
      <c r="A112" s="448"/>
      <c r="B112" s="551"/>
      <c r="C112" s="448"/>
      <c r="D112" s="551"/>
      <c r="E112" s="448"/>
      <c r="F112" s="551"/>
      <c r="G112" s="448"/>
      <c r="H112" s="551"/>
      <c r="I112" s="448"/>
      <c r="J112" s="551"/>
      <c r="K112" s="448"/>
      <c r="L112" s="551"/>
      <c r="M112" s="448"/>
      <c r="N112" s="551"/>
      <c r="O112" s="448"/>
      <c r="P112" s="551"/>
      <c r="Q112" s="448"/>
      <c r="R112" s="551"/>
      <c r="S112" s="448"/>
      <c r="T112" s="551"/>
      <c r="U112" s="448"/>
      <c r="V112" s="551"/>
      <c r="W112" s="448"/>
      <c r="X112" s="551"/>
      <c r="Y112" s="448"/>
      <c r="Z112" s="551"/>
      <c r="AA112" s="448"/>
      <c r="AB112" s="551"/>
      <c r="AC112" s="448"/>
      <c r="AD112" s="551"/>
      <c r="AE112" s="448"/>
      <c r="AF112" s="551"/>
      <c r="AG112" s="448"/>
      <c r="AH112" s="551"/>
      <c r="AI112" s="448"/>
      <c r="AJ112" s="551"/>
      <c r="AK112" s="448"/>
      <c r="AL112" s="551"/>
      <c r="AM112" s="448"/>
      <c r="AN112" s="551"/>
      <c r="AO112" s="448"/>
      <c r="AP112" s="551"/>
      <c r="AQ112" s="448"/>
      <c r="AR112" s="551"/>
      <c r="AS112" s="448"/>
      <c r="AT112" s="551"/>
      <c r="AU112" s="448"/>
      <c r="AV112" s="551"/>
      <c r="AW112" s="448"/>
      <c r="AX112" s="551"/>
    </row>
    <row r="113" spans="1:50" ht="14" x14ac:dyDescent="0.3">
      <c r="A113" s="448"/>
      <c r="B113" s="551"/>
      <c r="C113" s="448"/>
      <c r="D113" s="551"/>
      <c r="E113" s="448"/>
      <c r="F113" s="551"/>
      <c r="G113" s="448"/>
      <c r="H113" s="551"/>
      <c r="I113" s="448"/>
      <c r="J113" s="551"/>
      <c r="K113" s="448"/>
      <c r="L113" s="551"/>
      <c r="M113" s="448"/>
      <c r="N113" s="551"/>
      <c r="O113" s="448"/>
      <c r="P113" s="551"/>
      <c r="Q113" s="448"/>
      <c r="R113" s="551"/>
      <c r="S113" s="448"/>
      <c r="T113" s="551"/>
      <c r="U113" s="448"/>
      <c r="V113" s="551"/>
      <c r="W113" s="448"/>
      <c r="X113" s="551"/>
      <c r="Y113" s="448"/>
      <c r="Z113" s="551"/>
      <c r="AA113" s="448"/>
      <c r="AB113" s="551"/>
      <c r="AC113" s="448"/>
      <c r="AD113" s="551"/>
      <c r="AE113" s="448"/>
      <c r="AF113" s="551"/>
      <c r="AG113" s="448"/>
      <c r="AH113" s="551"/>
      <c r="AI113" s="448"/>
      <c r="AJ113" s="551"/>
      <c r="AK113" s="448"/>
      <c r="AL113" s="551"/>
      <c r="AM113" s="448"/>
      <c r="AN113" s="551"/>
      <c r="AO113" s="448"/>
      <c r="AP113" s="551"/>
      <c r="AQ113" s="448"/>
      <c r="AR113" s="551"/>
      <c r="AS113" s="448"/>
      <c r="AT113" s="551"/>
      <c r="AU113" s="448"/>
      <c r="AV113" s="551"/>
      <c r="AW113" s="448"/>
      <c r="AX113" s="551"/>
    </row>
    <row r="114" spans="1:50" ht="14" x14ac:dyDescent="0.3">
      <c r="A114" s="448"/>
      <c r="B114" s="551"/>
      <c r="C114" s="448"/>
      <c r="D114" s="551"/>
      <c r="E114" s="448"/>
      <c r="F114" s="551"/>
      <c r="G114" s="448"/>
      <c r="H114" s="551"/>
      <c r="I114" s="448"/>
      <c r="J114" s="551"/>
      <c r="K114" s="448"/>
      <c r="L114" s="551"/>
      <c r="M114" s="448"/>
      <c r="N114" s="551"/>
      <c r="O114" s="448"/>
      <c r="P114" s="551"/>
      <c r="Q114" s="448"/>
      <c r="R114" s="551"/>
      <c r="S114" s="448"/>
      <c r="T114" s="551"/>
      <c r="U114" s="448"/>
      <c r="V114" s="551"/>
      <c r="W114" s="448"/>
      <c r="X114" s="551"/>
      <c r="Y114" s="448"/>
      <c r="Z114" s="551"/>
      <c r="AA114" s="448"/>
      <c r="AB114" s="551"/>
      <c r="AC114" s="448"/>
      <c r="AD114" s="551"/>
      <c r="AE114" s="448"/>
      <c r="AF114" s="551"/>
      <c r="AG114" s="448"/>
      <c r="AH114" s="551"/>
      <c r="AI114" s="448"/>
      <c r="AJ114" s="551"/>
      <c r="AK114" s="448"/>
      <c r="AL114" s="551"/>
      <c r="AM114" s="448"/>
      <c r="AN114" s="551"/>
      <c r="AO114" s="448"/>
      <c r="AP114" s="551"/>
      <c r="AQ114" s="448"/>
      <c r="AR114" s="551"/>
      <c r="AS114" s="448"/>
      <c r="AT114" s="551"/>
      <c r="AU114" s="448"/>
      <c r="AV114" s="551"/>
      <c r="AW114" s="448"/>
      <c r="AX114" s="551"/>
    </row>
    <row r="115" spans="1:50" ht="14" x14ac:dyDescent="0.3">
      <c r="A115" s="448"/>
      <c r="B115" s="551"/>
      <c r="C115" s="448"/>
      <c r="D115" s="551"/>
      <c r="E115" s="448"/>
      <c r="F115" s="551"/>
      <c r="G115" s="448"/>
      <c r="H115" s="551"/>
      <c r="I115" s="448"/>
      <c r="J115" s="551"/>
      <c r="K115" s="448"/>
      <c r="L115" s="551"/>
      <c r="M115" s="448"/>
      <c r="N115" s="551"/>
      <c r="O115" s="448"/>
      <c r="P115" s="551"/>
      <c r="Q115" s="448"/>
      <c r="R115" s="551"/>
      <c r="S115" s="448"/>
      <c r="T115" s="551"/>
      <c r="U115" s="448"/>
      <c r="V115" s="551"/>
      <c r="W115" s="448"/>
      <c r="X115" s="551"/>
      <c r="Y115" s="448"/>
      <c r="Z115" s="551"/>
      <c r="AA115" s="448"/>
      <c r="AB115" s="551"/>
      <c r="AC115" s="448"/>
      <c r="AD115" s="551"/>
      <c r="AE115" s="448"/>
      <c r="AF115" s="551"/>
      <c r="AG115" s="448"/>
      <c r="AH115" s="551"/>
      <c r="AI115" s="448"/>
      <c r="AJ115" s="551"/>
      <c r="AK115" s="448"/>
      <c r="AL115" s="551"/>
      <c r="AM115" s="448"/>
      <c r="AN115" s="551"/>
      <c r="AO115" s="448"/>
      <c r="AP115" s="551"/>
      <c r="AQ115" s="448"/>
      <c r="AR115" s="551"/>
      <c r="AS115" s="448"/>
      <c r="AT115" s="551"/>
      <c r="AU115" s="448"/>
      <c r="AV115" s="551"/>
      <c r="AW115" s="448"/>
      <c r="AX115" s="551"/>
    </row>
    <row r="116" spans="1:50" ht="14" x14ac:dyDescent="0.3">
      <c r="A116" s="448"/>
      <c r="B116" s="551"/>
      <c r="C116" s="448"/>
      <c r="D116" s="551"/>
      <c r="E116" s="448"/>
      <c r="F116" s="551"/>
      <c r="G116" s="448"/>
      <c r="H116" s="551"/>
      <c r="I116" s="448"/>
      <c r="J116" s="551"/>
      <c r="K116" s="448"/>
      <c r="L116" s="551"/>
      <c r="M116" s="448"/>
      <c r="N116" s="551"/>
      <c r="O116" s="448"/>
      <c r="P116" s="551"/>
      <c r="Q116" s="448"/>
      <c r="R116" s="551"/>
      <c r="S116" s="448"/>
      <c r="T116" s="551"/>
      <c r="U116" s="448"/>
      <c r="V116" s="551"/>
      <c r="W116" s="448"/>
      <c r="X116" s="551"/>
      <c r="Y116" s="448"/>
      <c r="Z116" s="551"/>
      <c r="AA116" s="448"/>
      <c r="AB116" s="551"/>
      <c r="AC116" s="448"/>
      <c r="AD116" s="551"/>
      <c r="AE116" s="448"/>
      <c r="AF116" s="551"/>
      <c r="AG116" s="448"/>
      <c r="AH116" s="551"/>
      <c r="AI116" s="448"/>
      <c r="AJ116" s="551"/>
      <c r="AK116" s="448"/>
      <c r="AL116" s="551"/>
      <c r="AM116" s="448"/>
      <c r="AN116" s="551"/>
      <c r="AO116" s="448"/>
      <c r="AP116" s="551"/>
      <c r="AQ116" s="448"/>
      <c r="AR116" s="551"/>
      <c r="AS116" s="448"/>
      <c r="AT116" s="551"/>
      <c r="AU116" s="448"/>
      <c r="AV116" s="551"/>
      <c r="AW116" s="448"/>
      <c r="AX116" s="551"/>
    </row>
    <row r="117" spans="1:50" ht="14" x14ac:dyDescent="0.3">
      <c r="A117" s="448"/>
      <c r="B117" s="551"/>
      <c r="C117" s="448"/>
      <c r="D117" s="551"/>
      <c r="E117" s="448"/>
      <c r="F117" s="551"/>
      <c r="G117" s="448"/>
      <c r="H117" s="551"/>
      <c r="I117" s="448"/>
      <c r="J117" s="551"/>
      <c r="K117" s="448"/>
      <c r="L117" s="551"/>
      <c r="M117" s="448"/>
      <c r="N117" s="551"/>
      <c r="O117" s="448"/>
      <c r="P117" s="551"/>
      <c r="Q117" s="448"/>
      <c r="R117" s="551"/>
      <c r="S117" s="448"/>
      <c r="T117" s="551"/>
      <c r="U117" s="448"/>
      <c r="V117" s="551"/>
      <c r="W117" s="448"/>
      <c r="X117" s="551"/>
      <c r="Y117" s="448"/>
      <c r="Z117" s="551"/>
      <c r="AA117" s="448"/>
      <c r="AB117" s="551"/>
      <c r="AC117" s="448"/>
      <c r="AD117" s="551"/>
      <c r="AE117" s="448"/>
      <c r="AF117" s="551"/>
      <c r="AG117" s="448"/>
      <c r="AH117" s="551"/>
      <c r="AI117" s="448"/>
      <c r="AJ117" s="551"/>
      <c r="AK117" s="448"/>
      <c r="AL117" s="551"/>
      <c r="AM117" s="448"/>
      <c r="AN117" s="551"/>
      <c r="AO117" s="448"/>
      <c r="AP117" s="551"/>
      <c r="AQ117" s="448"/>
      <c r="AR117" s="551"/>
      <c r="AS117" s="448"/>
      <c r="AT117" s="551"/>
      <c r="AU117" s="448"/>
      <c r="AV117" s="551"/>
      <c r="AW117" s="448"/>
      <c r="AX117" s="551"/>
    </row>
    <row r="118" spans="1:50" ht="14" x14ac:dyDescent="0.3">
      <c r="A118" s="448"/>
      <c r="B118" s="551"/>
      <c r="C118" s="448"/>
      <c r="D118" s="551"/>
      <c r="E118" s="448"/>
      <c r="F118" s="551"/>
      <c r="G118" s="448"/>
      <c r="H118" s="551"/>
      <c r="I118" s="448"/>
      <c r="J118" s="551"/>
      <c r="K118" s="448"/>
      <c r="L118" s="551"/>
      <c r="M118" s="448"/>
      <c r="N118" s="551"/>
      <c r="O118" s="448"/>
      <c r="P118" s="551"/>
      <c r="Q118" s="448"/>
      <c r="R118" s="551"/>
      <c r="S118" s="448"/>
      <c r="T118" s="551"/>
      <c r="U118" s="448"/>
      <c r="V118" s="551"/>
      <c r="W118" s="448"/>
      <c r="X118" s="551"/>
      <c r="Y118" s="448"/>
      <c r="Z118" s="551"/>
      <c r="AA118" s="448"/>
      <c r="AB118" s="551"/>
      <c r="AC118" s="448"/>
      <c r="AD118" s="551"/>
      <c r="AE118" s="448"/>
      <c r="AF118" s="551"/>
      <c r="AG118" s="448"/>
      <c r="AH118" s="551"/>
      <c r="AI118" s="448"/>
      <c r="AJ118" s="551"/>
      <c r="AK118" s="448"/>
      <c r="AL118" s="551"/>
      <c r="AM118" s="448"/>
      <c r="AN118" s="551"/>
      <c r="AO118" s="448"/>
      <c r="AP118" s="551"/>
      <c r="AQ118" s="448"/>
      <c r="AR118" s="551"/>
      <c r="AS118" s="448"/>
      <c r="AT118" s="551"/>
      <c r="AU118" s="448"/>
      <c r="AV118" s="551"/>
      <c r="AW118" s="448"/>
      <c r="AX118" s="551"/>
    </row>
    <row r="119" spans="1:50" ht="14" x14ac:dyDescent="0.3">
      <c r="A119" s="448"/>
      <c r="B119" s="551"/>
      <c r="C119" s="448"/>
      <c r="D119" s="551"/>
      <c r="E119" s="448"/>
      <c r="F119" s="551"/>
      <c r="G119" s="448"/>
      <c r="H119" s="551"/>
      <c r="I119" s="448"/>
      <c r="J119" s="551"/>
      <c r="K119" s="448"/>
      <c r="L119" s="551"/>
      <c r="M119" s="448"/>
      <c r="N119" s="551"/>
      <c r="O119" s="448"/>
      <c r="P119" s="551"/>
      <c r="Q119" s="448"/>
      <c r="R119" s="551"/>
      <c r="S119" s="448"/>
      <c r="T119" s="551"/>
      <c r="U119" s="448"/>
      <c r="V119" s="551"/>
      <c r="W119" s="448"/>
      <c r="X119" s="551"/>
      <c r="Y119" s="448"/>
      <c r="Z119" s="551"/>
      <c r="AA119" s="448"/>
      <c r="AB119" s="551"/>
      <c r="AC119" s="448"/>
      <c r="AD119" s="551"/>
      <c r="AE119" s="448"/>
      <c r="AF119" s="551"/>
      <c r="AG119" s="448"/>
      <c r="AH119" s="551"/>
      <c r="AI119" s="448"/>
      <c r="AJ119" s="551"/>
      <c r="AK119" s="448"/>
      <c r="AL119" s="551"/>
      <c r="AM119" s="448"/>
      <c r="AN119" s="551"/>
      <c r="AO119" s="448"/>
      <c r="AP119" s="551"/>
      <c r="AQ119" s="448"/>
      <c r="AR119" s="551"/>
      <c r="AS119" s="448"/>
      <c r="AT119" s="551"/>
      <c r="AU119" s="448"/>
      <c r="AV119" s="551"/>
      <c r="AW119" s="448"/>
      <c r="AX119" s="551"/>
    </row>
    <row r="120" spans="1:50" ht="14" x14ac:dyDescent="0.3">
      <c r="A120" s="448"/>
      <c r="B120" s="551"/>
      <c r="C120" s="448"/>
      <c r="D120" s="551"/>
      <c r="E120" s="448"/>
      <c r="F120" s="551"/>
      <c r="G120" s="448"/>
      <c r="H120" s="551"/>
      <c r="I120" s="448"/>
      <c r="J120" s="551"/>
      <c r="K120" s="448"/>
      <c r="L120" s="551"/>
      <c r="M120" s="448"/>
      <c r="N120" s="551"/>
      <c r="O120" s="448"/>
      <c r="P120" s="551"/>
      <c r="Q120" s="448"/>
      <c r="R120" s="551"/>
      <c r="S120" s="448"/>
      <c r="T120" s="551"/>
      <c r="U120" s="448"/>
      <c r="V120" s="551"/>
      <c r="W120" s="448"/>
      <c r="X120" s="551"/>
      <c r="Y120" s="448"/>
      <c r="Z120" s="551"/>
      <c r="AA120" s="448"/>
      <c r="AB120" s="551"/>
      <c r="AC120" s="448"/>
      <c r="AD120" s="551"/>
      <c r="AE120" s="448"/>
      <c r="AF120" s="551"/>
      <c r="AG120" s="448"/>
      <c r="AH120" s="551"/>
      <c r="AI120" s="448"/>
      <c r="AJ120" s="551"/>
      <c r="AK120" s="448"/>
      <c r="AL120" s="551"/>
      <c r="AM120" s="448"/>
      <c r="AN120" s="551"/>
      <c r="AO120" s="448"/>
      <c r="AP120" s="551"/>
      <c r="AQ120" s="448"/>
      <c r="AR120" s="551"/>
      <c r="AS120" s="448"/>
      <c r="AT120" s="551"/>
      <c r="AU120" s="448"/>
      <c r="AV120" s="551"/>
      <c r="AW120" s="448"/>
      <c r="AX120" s="551"/>
    </row>
    <row r="121" spans="1:50" ht="14" x14ac:dyDescent="0.3">
      <c r="A121" s="448"/>
      <c r="B121" s="551"/>
      <c r="C121" s="448"/>
      <c r="D121" s="551"/>
      <c r="E121" s="448"/>
      <c r="F121" s="551"/>
      <c r="G121" s="448"/>
      <c r="H121" s="551"/>
      <c r="I121" s="448"/>
      <c r="J121" s="551"/>
      <c r="K121" s="448"/>
      <c r="L121" s="551"/>
      <c r="M121" s="448"/>
      <c r="N121" s="551"/>
      <c r="O121" s="448"/>
      <c r="P121" s="551"/>
      <c r="Q121" s="448"/>
      <c r="R121" s="551"/>
      <c r="S121" s="448"/>
      <c r="T121" s="551"/>
      <c r="U121" s="448"/>
      <c r="V121" s="551"/>
      <c r="W121" s="448"/>
      <c r="X121" s="551"/>
      <c r="Y121" s="448"/>
      <c r="Z121" s="551"/>
      <c r="AA121" s="448"/>
      <c r="AB121" s="551"/>
      <c r="AC121" s="448"/>
      <c r="AD121" s="551"/>
      <c r="AE121" s="448"/>
      <c r="AF121" s="551"/>
      <c r="AG121" s="448"/>
      <c r="AH121" s="551"/>
      <c r="AI121" s="448"/>
      <c r="AJ121" s="551"/>
      <c r="AK121" s="448"/>
      <c r="AL121" s="551"/>
      <c r="AM121" s="448"/>
      <c r="AN121" s="551"/>
      <c r="AO121" s="448"/>
      <c r="AP121" s="551"/>
      <c r="AQ121" s="448"/>
      <c r="AR121" s="551"/>
      <c r="AS121" s="448"/>
      <c r="AT121" s="551"/>
      <c r="AU121" s="448"/>
      <c r="AV121" s="551"/>
      <c r="AW121" s="448"/>
      <c r="AX121" s="551"/>
    </row>
    <row r="122" spans="1:50" ht="14" x14ac:dyDescent="0.3">
      <c r="A122" s="448"/>
      <c r="B122" s="551"/>
      <c r="C122" s="448"/>
      <c r="D122" s="551"/>
      <c r="E122" s="448"/>
      <c r="F122" s="551"/>
      <c r="G122" s="448"/>
      <c r="H122" s="551"/>
      <c r="I122" s="448"/>
      <c r="J122" s="551"/>
      <c r="K122" s="448"/>
      <c r="L122" s="551"/>
      <c r="M122" s="448"/>
      <c r="N122" s="551"/>
      <c r="O122" s="448"/>
      <c r="P122" s="551"/>
      <c r="Q122" s="448"/>
      <c r="R122" s="551"/>
      <c r="S122" s="448"/>
      <c r="T122" s="551"/>
      <c r="U122" s="448"/>
      <c r="V122" s="551"/>
      <c r="W122" s="448"/>
      <c r="X122" s="551"/>
      <c r="Y122" s="448"/>
      <c r="Z122" s="551"/>
      <c r="AA122" s="448"/>
      <c r="AB122" s="551"/>
      <c r="AC122" s="448"/>
      <c r="AD122" s="551"/>
      <c r="AE122" s="448"/>
      <c r="AF122" s="551"/>
      <c r="AG122" s="448"/>
      <c r="AH122" s="551"/>
      <c r="AI122" s="448"/>
      <c r="AJ122" s="551"/>
      <c r="AK122" s="448"/>
      <c r="AL122" s="551"/>
      <c r="AM122" s="448"/>
      <c r="AN122" s="551"/>
      <c r="AO122" s="448"/>
      <c r="AP122" s="551"/>
      <c r="AQ122" s="448"/>
      <c r="AR122" s="551"/>
      <c r="AS122" s="448"/>
      <c r="AT122" s="551"/>
      <c r="AU122" s="448"/>
      <c r="AV122" s="551"/>
      <c r="AW122" s="448"/>
      <c r="AX122" s="551"/>
    </row>
    <row r="123" spans="1:50" ht="14" x14ac:dyDescent="0.3">
      <c r="A123" s="448"/>
      <c r="B123" s="551"/>
      <c r="C123" s="448"/>
      <c r="D123" s="551"/>
      <c r="E123" s="448"/>
      <c r="F123" s="551"/>
      <c r="G123" s="448"/>
      <c r="H123" s="551"/>
      <c r="I123" s="448"/>
      <c r="J123" s="551"/>
      <c r="K123" s="448"/>
      <c r="L123" s="551"/>
      <c r="M123" s="448"/>
      <c r="N123" s="551"/>
      <c r="O123" s="448"/>
      <c r="P123" s="551"/>
      <c r="Q123" s="448"/>
      <c r="R123" s="551"/>
      <c r="S123" s="448"/>
      <c r="T123" s="551"/>
      <c r="U123" s="448"/>
      <c r="V123" s="551"/>
      <c r="W123" s="448"/>
      <c r="X123" s="551"/>
      <c r="Y123" s="448"/>
      <c r="Z123" s="551"/>
      <c r="AA123" s="448"/>
      <c r="AB123" s="551"/>
      <c r="AC123" s="448"/>
      <c r="AD123" s="551"/>
      <c r="AE123" s="448"/>
      <c r="AF123" s="551"/>
      <c r="AG123" s="448"/>
      <c r="AH123" s="551"/>
      <c r="AI123" s="448"/>
      <c r="AJ123" s="551"/>
      <c r="AK123" s="448"/>
      <c r="AL123" s="551"/>
      <c r="AM123" s="448"/>
      <c r="AN123" s="551"/>
      <c r="AO123" s="448"/>
      <c r="AP123" s="551"/>
      <c r="AQ123" s="448"/>
      <c r="AR123" s="551"/>
      <c r="AS123" s="448"/>
      <c r="AT123" s="551"/>
      <c r="AU123" s="448"/>
      <c r="AV123" s="551"/>
      <c r="AW123" s="448"/>
      <c r="AX123" s="551"/>
    </row>
    <row r="124" spans="1:50" ht="14" x14ac:dyDescent="0.3">
      <c r="A124" s="448"/>
      <c r="B124" s="551"/>
      <c r="C124" s="448"/>
      <c r="D124" s="551"/>
      <c r="E124" s="448"/>
      <c r="F124" s="551"/>
      <c r="G124" s="448"/>
      <c r="H124" s="551"/>
      <c r="I124" s="448"/>
      <c r="J124" s="551"/>
      <c r="K124" s="448"/>
      <c r="L124" s="551"/>
      <c r="M124" s="448"/>
      <c r="N124" s="551"/>
      <c r="O124" s="448"/>
      <c r="P124" s="551"/>
      <c r="Q124" s="448"/>
      <c r="R124" s="551"/>
      <c r="S124" s="448"/>
      <c r="T124" s="551"/>
      <c r="U124" s="448"/>
      <c r="V124" s="551"/>
      <c r="W124" s="448"/>
      <c r="X124" s="551"/>
      <c r="Y124" s="448"/>
      <c r="Z124" s="551"/>
      <c r="AA124" s="448"/>
      <c r="AB124" s="551"/>
      <c r="AC124" s="448"/>
      <c r="AD124" s="551"/>
      <c r="AE124" s="448"/>
      <c r="AF124" s="551"/>
      <c r="AG124" s="448"/>
      <c r="AH124" s="551"/>
      <c r="AI124" s="448"/>
      <c r="AJ124" s="551"/>
      <c r="AK124" s="448"/>
      <c r="AL124" s="551"/>
      <c r="AM124" s="448"/>
      <c r="AN124" s="551"/>
      <c r="AO124" s="448"/>
      <c r="AP124" s="551"/>
      <c r="AQ124" s="448"/>
      <c r="AR124" s="551"/>
      <c r="AS124" s="448"/>
      <c r="AT124" s="551"/>
      <c r="AU124" s="448"/>
      <c r="AV124" s="551"/>
      <c r="AW124" s="448"/>
      <c r="AX124" s="551"/>
    </row>
    <row r="125" spans="1:50" ht="14" x14ac:dyDescent="0.3">
      <c r="A125" s="448"/>
      <c r="B125" s="551"/>
      <c r="C125" s="448"/>
      <c r="D125" s="551"/>
      <c r="E125" s="448"/>
      <c r="F125" s="551"/>
      <c r="G125" s="448"/>
      <c r="H125" s="551"/>
      <c r="I125" s="448"/>
      <c r="J125" s="551"/>
      <c r="K125" s="448"/>
      <c r="L125" s="551"/>
      <c r="M125" s="448"/>
      <c r="N125" s="551"/>
      <c r="O125" s="448"/>
      <c r="P125" s="551"/>
      <c r="Q125" s="448"/>
      <c r="R125" s="551"/>
      <c r="S125" s="448"/>
      <c r="T125" s="551"/>
      <c r="U125" s="448"/>
      <c r="V125" s="551"/>
      <c r="W125" s="448"/>
      <c r="X125" s="551"/>
      <c r="Y125" s="448"/>
      <c r="Z125" s="551"/>
      <c r="AA125" s="448"/>
      <c r="AB125" s="551"/>
      <c r="AC125" s="448"/>
      <c r="AD125" s="551"/>
      <c r="AE125" s="448"/>
      <c r="AF125" s="551"/>
      <c r="AG125" s="448"/>
      <c r="AH125" s="551"/>
      <c r="AI125" s="448"/>
      <c r="AJ125" s="551"/>
      <c r="AK125" s="448"/>
      <c r="AL125" s="551"/>
      <c r="AM125" s="448"/>
      <c r="AN125" s="551"/>
      <c r="AO125" s="448"/>
      <c r="AP125" s="551"/>
      <c r="AQ125" s="448"/>
      <c r="AR125" s="551"/>
      <c r="AS125" s="448"/>
      <c r="AT125" s="551"/>
      <c r="AU125" s="448"/>
      <c r="AV125" s="551"/>
      <c r="AW125" s="448"/>
      <c r="AX125" s="551"/>
    </row>
    <row r="126" spans="1:50" ht="14" x14ac:dyDescent="0.3">
      <c r="A126" s="448"/>
      <c r="B126" s="551"/>
      <c r="C126" s="448"/>
      <c r="D126" s="551"/>
      <c r="E126" s="448"/>
      <c r="F126" s="551"/>
      <c r="G126" s="448"/>
      <c r="H126" s="551"/>
      <c r="I126" s="448"/>
      <c r="J126" s="551"/>
      <c r="K126" s="448"/>
      <c r="L126" s="551"/>
      <c r="M126" s="448"/>
      <c r="N126" s="551"/>
      <c r="O126" s="448"/>
      <c r="P126" s="551"/>
      <c r="Q126" s="448"/>
      <c r="R126" s="551"/>
      <c r="S126" s="448"/>
      <c r="T126" s="551"/>
      <c r="U126" s="448"/>
      <c r="V126" s="551"/>
      <c r="W126" s="448"/>
      <c r="X126" s="551"/>
      <c r="Y126" s="448"/>
      <c r="Z126" s="551"/>
      <c r="AA126" s="448"/>
      <c r="AB126" s="551"/>
      <c r="AC126" s="448"/>
      <c r="AD126" s="551"/>
      <c r="AE126" s="448"/>
      <c r="AF126" s="551"/>
      <c r="AG126" s="448"/>
      <c r="AH126" s="551"/>
      <c r="AI126" s="448"/>
      <c r="AJ126" s="551"/>
      <c r="AK126" s="448"/>
      <c r="AL126" s="551"/>
      <c r="AM126" s="448"/>
      <c r="AN126" s="551"/>
      <c r="AO126" s="448"/>
      <c r="AP126" s="551"/>
      <c r="AQ126" s="448"/>
      <c r="AR126" s="551"/>
      <c r="AS126" s="448"/>
      <c r="AT126" s="551"/>
      <c r="AU126" s="448"/>
      <c r="AV126" s="551"/>
      <c r="AW126" s="448"/>
      <c r="AX126" s="551"/>
    </row>
    <row r="127" spans="1:50" ht="14" x14ac:dyDescent="0.3">
      <c r="A127" s="448"/>
      <c r="B127" s="551"/>
      <c r="C127" s="448"/>
      <c r="D127" s="551"/>
      <c r="E127" s="448"/>
      <c r="F127" s="551"/>
      <c r="G127" s="448"/>
      <c r="H127" s="551"/>
      <c r="I127" s="448"/>
      <c r="J127" s="551"/>
      <c r="K127" s="448"/>
      <c r="L127" s="551"/>
      <c r="M127" s="448"/>
      <c r="N127" s="551"/>
      <c r="O127" s="448"/>
      <c r="P127" s="551"/>
      <c r="Q127" s="448"/>
      <c r="R127" s="551"/>
      <c r="S127" s="448"/>
      <c r="T127" s="551"/>
      <c r="U127" s="448"/>
      <c r="V127" s="551"/>
      <c r="W127" s="448"/>
      <c r="X127" s="551"/>
      <c r="Y127" s="448"/>
      <c r="Z127" s="551"/>
      <c r="AA127" s="448"/>
      <c r="AB127" s="551"/>
      <c r="AC127" s="448"/>
      <c r="AD127" s="551"/>
      <c r="AE127" s="448"/>
      <c r="AF127" s="551"/>
      <c r="AG127" s="448"/>
      <c r="AH127" s="551"/>
      <c r="AI127" s="448"/>
      <c r="AJ127" s="551"/>
      <c r="AK127" s="448"/>
      <c r="AL127" s="551"/>
      <c r="AM127" s="448"/>
      <c r="AN127" s="551"/>
      <c r="AO127" s="448"/>
      <c r="AP127" s="551"/>
      <c r="AQ127" s="448"/>
      <c r="AR127" s="551"/>
      <c r="AS127" s="448"/>
      <c r="AT127" s="551"/>
      <c r="AU127" s="448"/>
      <c r="AV127" s="551"/>
      <c r="AW127" s="448"/>
      <c r="AX127" s="551"/>
    </row>
    <row r="128" spans="1:50" ht="14" x14ac:dyDescent="0.3">
      <c r="A128" s="448"/>
      <c r="B128" s="551"/>
      <c r="C128" s="448"/>
      <c r="D128" s="551"/>
      <c r="E128" s="448"/>
      <c r="F128" s="551"/>
      <c r="G128" s="448"/>
      <c r="H128" s="551"/>
      <c r="I128" s="448"/>
      <c r="J128" s="551"/>
      <c r="K128" s="448"/>
      <c r="L128" s="551"/>
      <c r="M128" s="448"/>
      <c r="N128" s="551"/>
      <c r="O128" s="448"/>
      <c r="P128" s="551"/>
      <c r="Q128" s="448"/>
      <c r="R128" s="551"/>
      <c r="S128" s="448"/>
      <c r="T128" s="551"/>
      <c r="U128" s="448"/>
      <c r="V128" s="551"/>
      <c r="W128" s="448"/>
      <c r="X128" s="551"/>
      <c r="Y128" s="448"/>
      <c r="Z128" s="551"/>
      <c r="AA128" s="448"/>
      <c r="AB128" s="551"/>
      <c r="AC128" s="448"/>
      <c r="AD128" s="551"/>
      <c r="AE128" s="448"/>
      <c r="AF128" s="551"/>
      <c r="AG128" s="448"/>
      <c r="AH128" s="551"/>
      <c r="AI128" s="448"/>
      <c r="AJ128" s="551"/>
      <c r="AK128" s="448"/>
      <c r="AL128" s="551"/>
      <c r="AM128" s="448"/>
      <c r="AN128" s="551"/>
      <c r="AO128" s="448"/>
      <c r="AP128" s="551"/>
      <c r="AQ128" s="448"/>
      <c r="AR128" s="551"/>
      <c r="AS128" s="448"/>
      <c r="AT128" s="551"/>
      <c r="AU128" s="448"/>
      <c r="AV128" s="551"/>
      <c r="AW128" s="448"/>
      <c r="AX128" s="551"/>
    </row>
    <row r="129" spans="1:50" ht="14" x14ac:dyDescent="0.3">
      <c r="A129" s="448"/>
      <c r="B129" s="551"/>
      <c r="C129" s="448"/>
      <c r="D129" s="551"/>
      <c r="E129" s="448"/>
      <c r="F129" s="551"/>
      <c r="G129" s="448"/>
      <c r="H129" s="551"/>
      <c r="I129" s="448"/>
      <c r="J129" s="551"/>
      <c r="K129" s="448"/>
      <c r="L129" s="551"/>
      <c r="M129" s="448"/>
      <c r="N129" s="551"/>
      <c r="O129" s="448"/>
      <c r="P129" s="551"/>
      <c r="Q129" s="448"/>
      <c r="R129" s="551"/>
      <c r="S129" s="448"/>
      <c r="T129" s="551"/>
      <c r="U129" s="448"/>
      <c r="V129" s="551"/>
      <c r="W129" s="448"/>
      <c r="X129" s="551"/>
      <c r="Y129" s="448"/>
      <c r="Z129" s="551"/>
      <c r="AA129" s="448"/>
      <c r="AB129" s="551"/>
      <c r="AC129" s="448"/>
      <c r="AD129" s="551"/>
      <c r="AE129" s="448"/>
      <c r="AF129" s="551"/>
      <c r="AG129" s="448"/>
      <c r="AH129" s="551"/>
      <c r="AI129" s="448"/>
      <c r="AJ129" s="551"/>
      <c r="AK129" s="448"/>
      <c r="AL129" s="551"/>
      <c r="AM129" s="448"/>
      <c r="AN129" s="551"/>
      <c r="AO129" s="448"/>
      <c r="AP129" s="551"/>
      <c r="AQ129" s="448"/>
      <c r="AR129" s="551"/>
      <c r="AS129" s="448"/>
      <c r="AT129" s="551"/>
      <c r="AU129" s="448"/>
      <c r="AV129" s="551"/>
      <c r="AW129" s="448"/>
      <c r="AX129" s="551"/>
    </row>
    <row r="130" spans="1:50" ht="14" x14ac:dyDescent="0.3">
      <c r="A130" s="448"/>
      <c r="B130" s="551"/>
      <c r="C130" s="448"/>
      <c r="D130" s="551"/>
      <c r="E130" s="448"/>
      <c r="F130" s="551"/>
      <c r="G130" s="448"/>
      <c r="H130" s="551"/>
      <c r="I130" s="448"/>
      <c r="J130" s="551"/>
      <c r="K130" s="448"/>
      <c r="L130" s="551"/>
      <c r="M130" s="448"/>
      <c r="N130" s="551"/>
      <c r="O130" s="448"/>
      <c r="P130" s="551"/>
      <c r="Q130" s="448"/>
      <c r="R130" s="551"/>
      <c r="S130" s="448"/>
      <c r="T130" s="551"/>
      <c r="U130" s="448"/>
      <c r="V130" s="551"/>
      <c r="W130" s="448"/>
      <c r="X130" s="551"/>
      <c r="Y130" s="448"/>
      <c r="Z130" s="551"/>
      <c r="AA130" s="448"/>
      <c r="AB130" s="551"/>
      <c r="AC130" s="448"/>
      <c r="AD130" s="551"/>
      <c r="AE130" s="448"/>
      <c r="AF130" s="551"/>
      <c r="AG130" s="448"/>
      <c r="AH130" s="551"/>
      <c r="AI130" s="448"/>
      <c r="AJ130" s="551"/>
      <c r="AK130" s="448"/>
      <c r="AL130" s="551"/>
      <c r="AM130" s="448"/>
      <c r="AN130" s="551"/>
      <c r="AO130" s="448"/>
      <c r="AP130" s="551"/>
      <c r="AQ130" s="448"/>
      <c r="AR130" s="551"/>
      <c r="AS130" s="448"/>
      <c r="AT130" s="551"/>
      <c r="AU130" s="448"/>
      <c r="AV130" s="551"/>
      <c r="AW130" s="448"/>
      <c r="AX130" s="551"/>
    </row>
    <row r="131" spans="1:50" ht="14" x14ac:dyDescent="0.3">
      <c r="A131" s="448"/>
      <c r="B131" s="551"/>
      <c r="C131" s="448"/>
      <c r="D131" s="551"/>
      <c r="E131" s="448"/>
      <c r="F131" s="551"/>
      <c r="G131" s="448"/>
      <c r="H131" s="551"/>
      <c r="I131" s="448"/>
      <c r="J131" s="551"/>
      <c r="K131" s="448"/>
      <c r="L131" s="551"/>
      <c r="M131" s="448"/>
      <c r="N131" s="551"/>
      <c r="O131" s="448"/>
      <c r="P131" s="551"/>
      <c r="Q131" s="448"/>
      <c r="R131" s="551"/>
      <c r="S131" s="448"/>
      <c r="T131" s="551"/>
      <c r="U131" s="448"/>
      <c r="V131" s="551"/>
      <c r="W131" s="448"/>
      <c r="X131" s="551"/>
      <c r="Y131" s="448"/>
      <c r="Z131" s="551"/>
      <c r="AA131" s="448"/>
      <c r="AB131" s="551"/>
      <c r="AC131" s="448"/>
      <c r="AD131" s="551"/>
      <c r="AE131" s="448"/>
      <c r="AF131" s="551"/>
      <c r="AG131" s="448"/>
      <c r="AH131" s="551"/>
      <c r="AI131" s="448"/>
      <c r="AJ131" s="551"/>
      <c r="AK131" s="448"/>
      <c r="AL131" s="551"/>
      <c r="AM131" s="448"/>
      <c r="AN131" s="551"/>
      <c r="AO131" s="448"/>
      <c r="AP131" s="551"/>
      <c r="AQ131" s="448"/>
      <c r="AR131" s="551"/>
      <c r="AS131" s="448"/>
      <c r="AT131" s="551"/>
      <c r="AU131" s="448"/>
      <c r="AV131" s="551"/>
      <c r="AW131" s="448"/>
      <c r="AX131" s="551"/>
    </row>
    <row r="132" spans="1:50" ht="14" x14ac:dyDescent="0.3">
      <c r="A132" s="448"/>
      <c r="B132" s="551"/>
      <c r="C132" s="448"/>
      <c r="D132" s="551"/>
      <c r="E132" s="448"/>
      <c r="F132" s="551"/>
      <c r="G132" s="448"/>
      <c r="H132" s="551"/>
      <c r="I132" s="448"/>
      <c r="J132" s="551"/>
      <c r="K132" s="448"/>
      <c r="L132" s="551"/>
      <c r="M132" s="448"/>
      <c r="N132" s="551"/>
      <c r="O132" s="448"/>
      <c r="P132" s="551"/>
      <c r="Q132" s="448"/>
      <c r="R132" s="551"/>
      <c r="S132" s="448"/>
      <c r="T132" s="551"/>
      <c r="U132" s="448"/>
      <c r="V132" s="551"/>
      <c r="W132" s="448"/>
      <c r="X132" s="551"/>
      <c r="Y132" s="448"/>
      <c r="Z132" s="551"/>
      <c r="AA132" s="448"/>
      <c r="AB132" s="551"/>
      <c r="AC132" s="448"/>
      <c r="AD132" s="551"/>
      <c r="AE132" s="448"/>
      <c r="AF132" s="551"/>
      <c r="AG132" s="448"/>
      <c r="AH132" s="551"/>
      <c r="AI132" s="448"/>
      <c r="AJ132" s="551"/>
      <c r="AK132" s="448"/>
      <c r="AL132" s="551"/>
      <c r="AM132" s="448"/>
      <c r="AN132" s="551"/>
      <c r="AO132" s="448"/>
      <c r="AP132" s="551"/>
      <c r="AQ132" s="448"/>
      <c r="AR132" s="551"/>
      <c r="AS132" s="448"/>
      <c r="AT132" s="551"/>
      <c r="AU132" s="448"/>
      <c r="AV132" s="551"/>
      <c r="AW132" s="448"/>
      <c r="AX132" s="551"/>
    </row>
    <row r="133" spans="1:50" ht="14" x14ac:dyDescent="0.3">
      <c r="A133" s="448"/>
      <c r="B133" s="551"/>
      <c r="C133" s="448"/>
      <c r="D133" s="551"/>
      <c r="E133" s="448"/>
      <c r="F133" s="551"/>
      <c r="G133" s="448"/>
      <c r="H133" s="551"/>
      <c r="I133" s="448"/>
      <c r="J133" s="551"/>
      <c r="K133" s="448"/>
      <c r="L133" s="551"/>
      <c r="M133" s="448"/>
      <c r="N133" s="551"/>
      <c r="O133" s="448"/>
      <c r="P133" s="551"/>
      <c r="Q133" s="448"/>
      <c r="R133" s="551"/>
      <c r="S133" s="448"/>
      <c r="T133" s="551"/>
      <c r="U133" s="448"/>
      <c r="V133" s="551"/>
      <c r="W133" s="448"/>
      <c r="X133" s="551"/>
      <c r="Y133" s="448"/>
      <c r="Z133" s="551"/>
      <c r="AA133" s="448"/>
      <c r="AB133" s="551"/>
      <c r="AC133" s="448"/>
      <c r="AD133" s="551"/>
      <c r="AE133" s="448"/>
      <c r="AF133" s="551"/>
      <c r="AG133" s="448"/>
      <c r="AH133" s="551"/>
      <c r="AI133" s="448"/>
      <c r="AJ133" s="551"/>
      <c r="AK133" s="448"/>
      <c r="AL133" s="551"/>
      <c r="AM133" s="448"/>
      <c r="AN133" s="551"/>
      <c r="AO133" s="448"/>
      <c r="AP133" s="551"/>
      <c r="AQ133" s="448"/>
      <c r="AR133" s="551"/>
      <c r="AS133" s="448"/>
      <c r="AT133" s="551"/>
      <c r="AU133" s="448"/>
      <c r="AV133" s="551"/>
      <c r="AW133" s="448"/>
      <c r="AX133" s="551"/>
    </row>
    <row r="134" spans="1:50" ht="14" x14ac:dyDescent="0.3">
      <c r="A134" s="448"/>
      <c r="B134" s="551"/>
      <c r="C134" s="448"/>
      <c r="D134" s="551"/>
      <c r="E134" s="448"/>
      <c r="F134" s="551"/>
      <c r="G134" s="448"/>
      <c r="H134" s="551"/>
      <c r="I134" s="448"/>
      <c r="J134" s="551"/>
      <c r="K134" s="448"/>
      <c r="L134" s="551"/>
      <c r="M134" s="448"/>
      <c r="N134" s="551"/>
      <c r="O134" s="448"/>
      <c r="P134" s="551"/>
      <c r="Q134" s="448"/>
      <c r="R134" s="551"/>
      <c r="S134" s="448"/>
      <c r="T134" s="551"/>
      <c r="U134" s="448"/>
      <c r="V134" s="551"/>
      <c r="W134" s="448"/>
      <c r="X134" s="551"/>
      <c r="Y134" s="448"/>
      <c r="Z134" s="551"/>
      <c r="AA134" s="448"/>
      <c r="AB134" s="551"/>
      <c r="AC134" s="448"/>
      <c r="AD134" s="551"/>
      <c r="AE134" s="448"/>
      <c r="AF134" s="551"/>
      <c r="AG134" s="448"/>
      <c r="AH134" s="551"/>
      <c r="AI134" s="448"/>
      <c r="AJ134" s="551"/>
      <c r="AK134" s="448"/>
      <c r="AL134" s="551"/>
      <c r="AM134" s="448"/>
      <c r="AN134" s="551"/>
      <c r="AO134" s="448"/>
      <c r="AP134" s="551"/>
      <c r="AQ134" s="448"/>
      <c r="AR134" s="551"/>
      <c r="AS134" s="448"/>
      <c r="AT134" s="551"/>
      <c r="AU134" s="448"/>
      <c r="AV134" s="551"/>
      <c r="AW134" s="448"/>
      <c r="AX134" s="551"/>
    </row>
    <row r="135" spans="1:50" ht="14" x14ac:dyDescent="0.3">
      <c r="A135" s="448"/>
      <c r="B135" s="551"/>
      <c r="C135" s="448"/>
      <c r="D135" s="551"/>
      <c r="E135" s="448"/>
      <c r="F135" s="551"/>
      <c r="G135" s="448"/>
      <c r="H135" s="551"/>
      <c r="I135" s="448"/>
      <c r="J135" s="551"/>
      <c r="K135" s="448"/>
      <c r="L135" s="551"/>
      <c r="M135" s="448"/>
      <c r="N135" s="551"/>
      <c r="O135" s="448"/>
      <c r="P135" s="551"/>
      <c r="Q135" s="448"/>
      <c r="R135" s="551"/>
      <c r="S135" s="448"/>
      <c r="T135" s="551"/>
      <c r="U135" s="448"/>
      <c r="V135" s="551"/>
      <c r="W135" s="448"/>
      <c r="X135" s="551"/>
      <c r="Y135" s="448"/>
      <c r="Z135" s="551"/>
      <c r="AA135" s="448"/>
      <c r="AB135" s="551"/>
      <c r="AC135" s="448"/>
      <c r="AD135" s="551"/>
      <c r="AE135" s="448"/>
      <c r="AF135" s="551"/>
      <c r="AG135" s="448"/>
      <c r="AH135" s="551"/>
      <c r="AI135" s="448"/>
      <c r="AJ135" s="551"/>
      <c r="AK135" s="448"/>
      <c r="AL135" s="551"/>
      <c r="AM135" s="448"/>
      <c r="AN135" s="551"/>
      <c r="AO135" s="448"/>
      <c r="AP135" s="551"/>
      <c r="AQ135" s="448"/>
      <c r="AR135" s="551"/>
      <c r="AS135" s="448"/>
      <c r="AT135" s="551"/>
      <c r="AU135" s="448"/>
      <c r="AV135" s="551"/>
      <c r="AW135" s="448"/>
      <c r="AX135" s="551"/>
    </row>
    <row r="136" spans="1:50" ht="14" x14ac:dyDescent="0.3">
      <c r="A136" s="448"/>
      <c r="B136" s="551"/>
      <c r="C136" s="448"/>
      <c r="D136" s="551"/>
      <c r="E136" s="448"/>
      <c r="F136" s="551"/>
      <c r="G136" s="448"/>
      <c r="H136" s="551"/>
      <c r="I136" s="448"/>
      <c r="J136" s="551"/>
      <c r="K136" s="448"/>
      <c r="L136" s="551"/>
      <c r="M136" s="448"/>
      <c r="N136" s="551"/>
      <c r="O136" s="448"/>
      <c r="P136" s="551"/>
      <c r="Q136" s="448"/>
      <c r="R136" s="551"/>
      <c r="S136" s="448"/>
      <c r="T136" s="551"/>
      <c r="U136" s="448"/>
      <c r="V136" s="551"/>
      <c r="W136" s="448"/>
      <c r="X136" s="551"/>
      <c r="Y136" s="448"/>
      <c r="Z136" s="551"/>
      <c r="AA136" s="448"/>
      <c r="AB136" s="551"/>
      <c r="AC136" s="448"/>
      <c r="AD136" s="551"/>
      <c r="AE136" s="448"/>
      <c r="AF136" s="551"/>
      <c r="AG136" s="448"/>
      <c r="AH136" s="551"/>
      <c r="AI136" s="448"/>
      <c r="AJ136" s="551"/>
      <c r="AK136" s="448"/>
      <c r="AL136" s="551"/>
      <c r="AM136" s="448"/>
      <c r="AN136" s="551"/>
      <c r="AO136" s="448"/>
      <c r="AP136" s="551"/>
      <c r="AQ136" s="448"/>
      <c r="AR136" s="551"/>
      <c r="AS136" s="448"/>
      <c r="AT136" s="551"/>
      <c r="AU136" s="448"/>
      <c r="AV136" s="551"/>
      <c r="AW136" s="448"/>
      <c r="AX136" s="551"/>
    </row>
    <row r="137" spans="1:50" ht="14" x14ac:dyDescent="0.3">
      <c r="A137" s="448"/>
      <c r="B137" s="551"/>
      <c r="C137" s="448"/>
      <c r="D137" s="551"/>
      <c r="E137" s="448"/>
      <c r="F137" s="551"/>
      <c r="G137" s="448"/>
      <c r="H137" s="551"/>
      <c r="I137" s="448"/>
      <c r="J137" s="551"/>
      <c r="K137" s="448"/>
      <c r="L137" s="551"/>
      <c r="M137" s="448"/>
      <c r="N137" s="551"/>
      <c r="O137" s="448"/>
      <c r="P137" s="551"/>
      <c r="Q137" s="448"/>
      <c r="R137" s="551"/>
      <c r="S137" s="448"/>
      <c r="T137" s="551"/>
      <c r="U137" s="448"/>
      <c r="V137" s="551"/>
      <c r="W137" s="448"/>
      <c r="X137" s="551"/>
      <c r="Y137" s="448"/>
      <c r="Z137" s="551"/>
      <c r="AA137" s="448"/>
      <c r="AB137" s="551"/>
      <c r="AC137" s="448"/>
      <c r="AD137" s="551"/>
      <c r="AE137" s="448"/>
      <c r="AF137" s="551"/>
      <c r="AG137" s="448"/>
      <c r="AH137" s="551"/>
      <c r="AI137" s="448"/>
      <c r="AJ137" s="551"/>
      <c r="AK137" s="448"/>
      <c r="AL137" s="551"/>
      <c r="AM137" s="448"/>
      <c r="AN137" s="551"/>
      <c r="AO137" s="448"/>
      <c r="AP137" s="551"/>
      <c r="AQ137" s="448"/>
      <c r="AR137" s="551"/>
      <c r="AS137" s="448"/>
      <c r="AT137" s="551"/>
      <c r="AU137" s="448"/>
      <c r="AV137" s="551"/>
      <c r="AW137" s="448"/>
      <c r="AX137" s="551"/>
    </row>
    <row r="138" spans="1:50" ht="14" x14ac:dyDescent="0.3">
      <c r="A138" s="448"/>
      <c r="B138" s="551"/>
      <c r="C138" s="448"/>
      <c r="D138" s="551"/>
      <c r="E138" s="448"/>
      <c r="F138" s="551"/>
      <c r="G138" s="448"/>
      <c r="H138" s="551"/>
      <c r="I138" s="448"/>
      <c r="J138" s="551"/>
      <c r="K138" s="448"/>
      <c r="L138" s="551"/>
      <c r="M138" s="448"/>
      <c r="N138" s="551"/>
      <c r="O138" s="448"/>
      <c r="P138" s="551"/>
      <c r="Q138" s="448"/>
      <c r="R138" s="551"/>
      <c r="S138" s="448"/>
      <c r="T138" s="551"/>
      <c r="U138" s="448"/>
      <c r="V138" s="551"/>
      <c r="W138" s="448"/>
      <c r="X138" s="551"/>
      <c r="Y138" s="448"/>
      <c r="Z138" s="551"/>
      <c r="AA138" s="448"/>
      <c r="AB138" s="551"/>
      <c r="AC138" s="448"/>
      <c r="AD138" s="551"/>
      <c r="AE138" s="448"/>
      <c r="AF138" s="551"/>
      <c r="AG138" s="448"/>
      <c r="AH138" s="551"/>
      <c r="AI138" s="448"/>
      <c r="AJ138" s="551"/>
      <c r="AK138" s="448"/>
      <c r="AL138" s="551"/>
      <c r="AM138" s="448"/>
      <c r="AN138" s="551"/>
      <c r="AO138" s="448"/>
      <c r="AP138" s="551"/>
      <c r="AQ138" s="448"/>
      <c r="AR138" s="551"/>
      <c r="AS138" s="448"/>
      <c r="AT138" s="551"/>
      <c r="AU138" s="448"/>
      <c r="AV138" s="551"/>
      <c r="AW138" s="448"/>
      <c r="AX138" s="551"/>
    </row>
    <row r="139" spans="1:50" ht="14" x14ac:dyDescent="0.3">
      <c r="A139" s="448"/>
      <c r="B139" s="551"/>
      <c r="C139" s="448"/>
      <c r="D139" s="551"/>
      <c r="E139" s="448"/>
      <c r="F139" s="551"/>
      <c r="G139" s="448"/>
      <c r="H139" s="551"/>
      <c r="I139" s="448"/>
      <c r="J139" s="551"/>
      <c r="K139" s="448"/>
      <c r="L139" s="551"/>
      <c r="M139" s="448"/>
      <c r="N139" s="551"/>
      <c r="O139" s="448"/>
      <c r="P139" s="551"/>
      <c r="Q139" s="448"/>
      <c r="R139" s="551"/>
      <c r="S139" s="448"/>
      <c r="T139" s="551"/>
      <c r="U139" s="448"/>
      <c r="V139" s="551"/>
      <c r="W139" s="448"/>
      <c r="X139" s="551"/>
      <c r="Y139" s="448"/>
      <c r="Z139" s="551"/>
      <c r="AA139" s="448"/>
      <c r="AB139" s="551"/>
      <c r="AC139" s="448"/>
      <c r="AD139" s="551"/>
      <c r="AE139" s="448"/>
      <c r="AF139" s="551"/>
      <c r="AG139" s="448"/>
      <c r="AH139" s="551"/>
      <c r="AI139" s="448"/>
      <c r="AJ139" s="551"/>
      <c r="AK139" s="448"/>
      <c r="AL139" s="551"/>
      <c r="AM139" s="448"/>
      <c r="AN139" s="551"/>
      <c r="AO139" s="448"/>
      <c r="AP139" s="551"/>
      <c r="AQ139" s="448"/>
      <c r="AR139" s="551"/>
      <c r="AS139" s="448"/>
      <c r="AT139" s="551"/>
      <c r="AU139" s="448"/>
      <c r="AV139" s="551"/>
      <c r="AW139" s="448"/>
      <c r="AX139" s="551"/>
    </row>
    <row r="140" spans="1:50" ht="14" x14ac:dyDescent="0.3">
      <c r="A140" s="448"/>
      <c r="B140" s="551"/>
      <c r="C140" s="448"/>
      <c r="D140" s="551"/>
      <c r="E140" s="448"/>
      <c r="F140" s="551"/>
      <c r="G140" s="448"/>
      <c r="H140" s="551"/>
      <c r="I140" s="448"/>
      <c r="J140" s="551"/>
      <c r="K140" s="448"/>
      <c r="L140" s="551"/>
      <c r="M140" s="448"/>
      <c r="N140" s="551"/>
      <c r="O140" s="448"/>
      <c r="P140" s="551"/>
      <c r="Q140" s="448"/>
      <c r="R140" s="551"/>
      <c r="S140" s="448"/>
      <c r="T140" s="551"/>
      <c r="U140" s="448"/>
      <c r="V140" s="551"/>
      <c r="W140" s="448"/>
      <c r="X140" s="551"/>
      <c r="Y140" s="448"/>
      <c r="Z140" s="551"/>
      <c r="AA140" s="448"/>
      <c r="AB140" s="551"/>
      <c r="AC140" s="448"/>
      <c r="AD140" s="551"/>
      <c r="AE140" s="448"/>
      <c r="AF140" s="551"/>
      <c r="AG140" s="448"/>
      <c r="AH140" s="551"/>
      <c r="AI140" s="448"/>
      <c r="AJ140" s="551"/>
      <c r="AK140" s="448"/>
      <c r="AL140" s="551"/>
      <c r="AM140" s="448"/>
      <c r="AN140" s="551"/>
      <c r="AO140" s="448"/>
      <c r="AP140" s="551"/>
      <c r="AQ140" s="448"/>
      <c r="AR140" s="551"/>
      <c r="AS140" s="448"/>
      <c r="AT140" s="551"/>
      <c r="AU140" s="448"/>
      <c r="AV140" s="551"/>
      <c r="AW140" s="448"/>
      <c r="AX140" s="551"/>
    </row>
    <row r="141" spans="1:50" ht="14" x14ac:dyDescent="0.3">
      <c r="A141" s="448"/>
      <c r="B141" s="551"/>
      <c r="C141" s="448"/>
      <c r="D141" s="551"/>
      <c r="E141" s="448"/>
      <c r="F141" s="551"/>
      <c r="G141" s="448"/>
      <c r="H141" s="551"/>
      <c r="I141" s="448"/>
      <c r="J141" s="551"/>
      <c r="K141" s="448"/>
      <c r="L141" s="551"/>
      <c r="M141" s="448"/>
      <c r="N141" s="551"/>
      <c r="O141" s="448"/>
      <c r="P141" s="551"/>
      <c r="Q141" s="448"/>
      <c r="R141" s="551"/>
      <c r="S141" s="448"/>
      <c r="T141" s="551"/>
      <c r="U141" s="448"/>
      <c r="V141" s="551"/>
      <c r="W141" s="448"/>
      <c r="X141" s="551"/>
      <c r="Y141" s="448"/>
      <c r="Z141" s="551"/>
      <c r="AA141" s="448"/>
      <c r="AB141" s="551"/>
      <c r="AC141" s="448"/>
      <c r="AD141" s="551"/>
      <c r="AE141" s="448"/>
      <c r="AF141" s="551"/>
      <c r="AG141" s="448"/>
      <c r="AH141" s="551"/>
      <c r="AI141" s="448"/>
      <c r="AJ141" s="551"/>
      <c r="AK141" s="448"/>
      <c r="AL141" s="551"/>
      <c r="AM141" s="448"/>
      <c r="AN141" s="551"/>
      <c r="AO141" s="448"/>
      <c r="AP141" s="551"/>
      <c r="AQ141" s="448"/>
      <c r="AR141" s="551"/>
      <c r="AS141" s="448"/>
      <c r="AT141" s="551"/>
      <c r="AU141" s="448"/>
      <c r="AV141" s="551"/>
      <c r="AW141" s="448"/>
      <c r="AX141" s="551"/>
    </row>
    <row r="142" spans="1:50" ht="14" x14ac:dyDescent="0.3">
      <c r="A142" s="448"/>
      <c r="B142" s="551"/>
      <c r="C142" s="448"/>
      <c r="D142" s="551"/>
      <c r="E142" s="448"/>
      <c r="F142" s="551"/>
      <c r="G142" s="448"/>
      <c r="H142" s="551"/>
      <c r="I142" s="448"/>
      <c r="J142" s="551"/>
      <c r="K142" s="448"/>
      <c r="L142" s="551"/>
      <c r="M142" s="448"/>
      <c r="N142" s="551"/>
      <c r="O142" s="448"/>
      <c r="P142" s="551"/>
      <c r="Q142" s="448"/>
      <c r="R142" s="551"/>
      <c r="S142" s="448"/>
      <c r="T142" s="551"/>
      <c r="U142" s="448"/>
      <c r="V142" s="551"/>
      <c r="W142" s="448"/>
      <c r="X142" s="551"/>
      <c r="Y142" s="448"/>
      <c r="Z142" s="551"/>
      <c r="AA142" s="448"/>
      <c r="AB142" s="551"/>
      <c r="AC142" s="448"/>
      <c r="AD142" s="551"/>
      <c r="AE142" s="448"/>
      <c r="AF142" s="551"/>
      <c r="AG142" s="448"/>
      <c r="AH142" s="551"/>
      <c r="AI142" s="448"/>
      <c r="AJ142" s="551"/>
      <c r="AK142" s="448"/>
      <c r="AL142" s="551"/>
      <c r="AM142" s="448"/>
      <c r="AN142" s="551"/>
      <c r="AO142" s="448"/>
      <c r="AP142" s="551"/>
      <c r="AQ142" s="448"/>
      <c r="AR142" s="551"/>
      <c r="AS142" s="448"/>
      <c r="AT142" s="551"/>
      <c r="AU142" s="448"/>
      <c r="AV142" s="551"/>
      <c r="AW142" s="448"/>
      <c r="AX142" s="551"/>
    </row>
    <row r="143" spans="1:50" ht="14" x14ac:dyDescent="0.3">
      <c r="A143" s="448"/>
      <c r="B143" s="551"/>
      <c r="C143" s="448"/>
      <c r="D143" s="551"/>
      <c r="E143" s="448"/>
      <c r="F143" s="551"/>
      <c r="G143" s="448"/>
      <c r="H143" s="551"/>
      <c r="I143" s="448"/>
      <c r="J143" s="551"/>
      <c r="K143" s="448"/>
      <c r="L143" s="551"/>
      <c r="M143" s="448"/>
      <c r="N143" s="551"/>
      <c r="O143" s="448"/>
      <c r="P143" s="551"/>
      <c r="Q143" s="448"/>
      <c r="R143" s="551"/>
      <c r="S143" s="448"/>
      <c r="T143" s="551"/>
      <c r="U143" s="448"/>
      <c r="V143" s="551"/>
      <c r="W143" s="448"/>
      <c r="X143" s="551"/>
      <c r="Y143" s="448"/>
      <c r="Z143" s="551"/>
      <c r="AA143" s="448"/>
      <c r="AB143" s="551"/>
      <c r="AC143" s="448"/>
      <c r="AD143" s="551"/>
      <c r="AE143" s="448"/>
      <c r="AF143" s="551"/>
      <c r="AG143" s="448"/>
      <c r="AH143" s="551"/>
      <c r="AI143" s="448"/>
      <c r="AJ143" s="551"/>
      <c r="AK143" s="448"/>
      <c r="AL143" s="551"/>
      <c r="AM143" s="448"/>
      <c r="AN143" s="551"/>
      <c r="AO143" s="448"/>
      <c r="AP143" s="551"/>
      <c r="AQ143" s="448"/>
      <c r="AR143" s="551"/>
      <c r="AS143" s="448"/>
      <c r="AT143" s="551"/>
      <c r="AU143" s="448"/>
      <c r="AV143" s="551"/>
      <c r="AW143" s="448"/>
      <c r="AX143" s="551"/>
    </row>
    <row r="144" spans="1:50" ht="14" x14ac:dyDescent="0.3">
      <c r="A144" s="448"/>
      <c r="B144" s="551"/>
      <c r="C144" s="448"/>
      <c r="D144" s="551"/>
      <c r="E144" s="448"/>
      <c r="F144" s="551"/>
      <c r="G144" s="448"/>
      <c r="H144" s="551"/>
      <c r="I144" s="448"/>
      <c r="J144" s="551"/>
      <c r="K144" s="448"/>
      <c r="L144" s="551"/>
      <c r="M144" s="448"/>
      <c r="N144" s="551"/>
      <c r="O144" s="448"/>
      <c r="P144" s="551"/>
      <c r="Q144" s="448"/>
      <c r="R144" s="551"/>
      <c r="S144" s="448"/>
      <c r="T144" s="551"/>
      <c r="U144" s="448"/>
      <c r="V144" s="551"/>
      <c r="W144" s="448"/>
      <c r="X144" s="551"/>
      <c r="Y144" s="448"/>
      <c r="Z144" s="551"/>
      <c r="AA144" s="448"/>
      <c r="AB144" s="551"/>
      <c r="AC144" s="448"/>
      <c r="AD144" s="551"/>
      <c r="AE144" s="448"/>
      <c r="AF144" s="551"/>
      <c r="AG144" s="448"/>
      <c r="AH144" s="551"/>
      <c r="AI144" s="448"/>
      <c r="AJ144" s="551"/>
      <c r="AK144" s="448"/>
      <c r="AL144" s="551"/>
      <c r="AM144" s="448"/>
      <c r="AN144" s="551"/>
      <c r="AO144" s="448"/>
      <c r="AP144" s="551"/>
      <c r="AQ144" s="448"/>
      <c r="AR144" s="551"/>
      <c r="AS144" s="448"/>
      <c r="AT144" s="551"/>
      <c r="AU144" s="448"/>
      <c r="AV144" s="551"/>
      <c r="AW144" s="448"/>
      <c r="AX144" s="551"/>
    </row>
    <row r="145" spans="1:50" ht="14" x14ac:dyDescent="0.3">
      <c r="A145" s="448"/>
      <c r="B145" s="551"/>
      <c r="C145" s="448"/>
      <c r="D145" s="551"/>
      <c r="E145" s="448"/>
      <c r="F145" s="551"/>
      <c r="G145" s="448"/>
      <c r="H145" s="551"/>
      <c r="I145" s="448"/>
      <c r="J145" s="551"/>
      <c r="K145" s="448"/>
      <c r="L145" s="551"/>
      <c r="M145" s="448"/>
      <c r="N145" s="551"/>
      <c r="O145" s="448"/>
      <c r="P145" s="551"/>
      <c r="Q145" s="448"/>
      <c r="R145" s="551"/>
      <c r="S145" s="448"/>
      <c r="T145" s="551"/>
      <c r="U145" s="448"/>
      <c r="V145" s="551"/>
      <c r="W145" s="448"/>
      <c r="X145" s="551"/>
      <c r="Y145" s="448"/>
      <c r="Z145" s="551"/>
      <c r="AA145" s="448"/>
      <c r="AB145" s="551"/>
      <c r="AC145" s="448"/>
      <c r="AD145" s="551"/>
      <c r="AE145" s="448"/>
      <c r="AF145" s="551"/>
      <c r="AG145" s="448"/>
      <c r="AH145" s="551"/>
      <c r="AI145" s="448"/>
      <c r="AJ145" s="551"/>
      <c r="AK145" s="448"/>
      <c r="AL145" s="551"/>
      <c r="AM145" s="448"/>
      <c r="AN145" s="551"/>
      <c r="AO145" s="448"/>
      <c r="AP145" s="551"/>
      <c r="AQ145" s="448"/>
      <c r="AR145" s="551"/>
      <c r="AS145" s="448"/>
      <c r="AT145" s="551"/>
      <c r="AU145" s="448"/>
      <c r="AV145" s="551"/>
      <c r="AW145" s="448"/>
      <c r="AX145" s="551"/>
    </row>
    <row r="146" spans="1:50" ht="14" x14ac:dyDescent="0.3">
      <c r="A146" s="448"/>
      <c r="B146" s="551"/>
      <c r="C146" s="448"/>
      <c r="D146" s="551"/>
      <c r="E146" s="448"/>
      <c r="F146" s="551"/>
      <c r="G146" s="448"/>
      <c r="H146" s="551"/>
      <c r="I146" s="448"/>
      <c r="J146" s="551"/>
      <c r="K146" s="448"/>
      <c r="L146" s="551"/>
      <c r="M146" s="448"/>
      <c r="N146" s="551"/>
      <c r="O146" s="448"/>
      <c r="P146" s="551"/>
      <c r="Q146" s="448"/>
      <c r="R146" s="551"/>
      <c r="S146" s="448"/>
      <c r="T146" s="551"/>
      <c r="U146" s="448"/>
      <c r="V146" s="551"/>
      <c r="W146" s="448"/>
      <c r="X146" s="551"/>
      <c r="Y146" s="448"/>
      <c r="Z146" s="551"/>
      <c r="AA146" s="448"/>
      <c r="AB146" s="551"/>
      <c r="AC146" s="448"/>
      <c r="AD146" s="551"/>
      <c r="AE146" s="448"/>
      <c r="AF146" s="551"/>
      <c r="AG146" s="448"/>
      <c r="AH146" s="551"/>
      <c r="AI146" s="448"/>
      <c r="AJ146" s="551"/>
      <c r="AK146" s="448"/>
      <c r="AL146" s="551"/>
      <c r="AM146" s="448"/>
      <c r="AN146" s="551"/>
      <c r="AO146" s="448"/>
      <c r="AP146" s="551"/>
      <c r="AQ146" s="448"/>
      <c r="AR146" s="551"/>
      <c r="AS146" s="448"/>
      <c r="AT146" s="551"/>
      <c r="AU146" s="448"/>
      <c r="AV146" s="551"/>
      <c r="AW146" s="448"/>
      <c r="AX146" s="551"/>
    </row>
    <row r="147" spans="1:50" ht="14" x14ac:dyDescent="0.3">
      <c r="A147" s="448"/>
      <c r="B147" s="551"/>
      <c r="C147" s="448"/>
      <c r="D147" s="551"/>
      <c r="E147" s="448"/>
      <c r="F147" s="551"/>
      <c r="G147" s="448"/>
      <c r="H147" s="551"/>
      <c r="I147" s="448"/>
      <c r="J147" s="551"/>
      <c r="K147" s="448"/>
      <c r="L147" s="551"/>
      <c r="M147" s="448"/>
      <c r="N147" s="551"/>
      <c r="O147" s="448"/>
      <c r="P147" s="551"/>
      <c r="Q147" s="448"/>
      <c r="R147" s="551"/>
      <c r="S147" s="448"/>
      <c r="T147" s="551"/>
      <c r="U147" s="448"/>
      <c r="V147" s="551"/>
      <c r="W147" s="448"/>
      <c r="X147" s="551"/>
      <c r="Y147" s="448"/>
      <c r="Z147" s="551"/>
      <c r="AA147" s="448"/>
      <c r="AB147" s="551"/>
      <c r="AC147" s="448"/>
      <c r="AD147" s="551"/>
      <c r="AE147" s="448"/>
      <c r="AF147" s="551"/>
      <c r="AG147" s="448"/>
      <c r="AH147" s="551"/>
      <c r="AI147" s="448"/>
      <c r="AJ147" s="551"/>
      <c r="AK147" s="448"/>
      <c r="AL147" s="551"/>
      <c r="AM147" s="448"/>
      <c r="AN147" s="551"/>
      <c r="AO147" s="448"/>
      <c r="AP147" s="551"/>
      <c r="AQ147" s="448"/>
      <c r="AR147" s="551"/>
      <c r="AS147" s="448"/>
      <c r="AT147" s="551"/>
      <c r="AU147" s="448"/>
      <c r="AV147" s="551"/>
      <c r="AW147" s="448"/>
      <c r="AX147" s="551"/>
    </row>
    <row r="148" spans="1:50" ht="14" x14ac:dyDescent="0.3">
      <c r="A148" s="448"/>
      <c r="B148" s="551"/>
      <c r="C148" s="448"/>
      <c r="D148" s="551"/>
      <c r="E148" s="448"/>
      <c r="F148" s="551"/>
      <c r="G148" s="448"/>
      <c r="H148" s="551"/>
      <c r="I148" s="448"/>
      <c r="J148" s="551"/>
      <c r="K148" s="448"/>
      <c r="L148" s="551"/>
      <c r="M148" s="448"/>
      <c r="N148" s="551"/>
      <c r="O148" s="448"/>
      <c r="P148" s="551"/>
      <c r="Q148" s="448"/>
      <c r="R148" s="551"/>
      <c r="S148" s="448"/>
      <c r="T148" s="551"/>
      <c r="U148" s="448"/>
      <c r="V148" s="551"/>
      <c r="W148" s="448"/>
      <c r="X148" s="551"/>
      <c r="Y148" s="448"/>
      <c r="Z148" s="551"/>
      <c r="AA148" s="448"/>
      <c r="AB148" s="551"/>
      <c r="AC148" s="448"/>
      <c r="AD148" s="551"/>
      <c r="AE148" s="448"/>
      <c r="AF148" s="551"/>
      <c r="AG148" s="448"/>
      <c r="AH148" s="551"/>
      <c r="AI148" s="448"/>
      <c r="AJ148" s="551"/>
      <c r="AK148" s="448"/>
      <c r="AL148" s="551"/>
      <c r="AM148" s="448"/>
      <c r="AN148" s="551"/>
      <c r="AO148" s="448"/>
      <c r="AP148" s="551"/>
      <c r="AQ148" s="448"/>
      <c r="AR148" s="551"/>
      <c r="AS148" s="448"/>
      <c r="AT148" s="551"/>
      <c r="AU148" s="448"/>
      <c r="AV148" s="551"/>
      <c r="AW148" s="448"/>
      <c r="AX148" s="551"/>
    </row>
    <row r="149" spans="1:50" ht="14" x14ac:dyDescent="0.3">
      <c r="A149" s="448"/>
      <c r="B149" s="551"/>
      <c r="C149" s="448"/>
      <c r="D149" s="551"/>
      <c r="E149" s="448"/>
      <c r="F149" s="551"/>
      <c r="G149" s="448"/>
      <c r="H149" s="551"/>
      <c r="I149" s="448"/>
      <c r="J149" s="551"/>
      <c r="K149" s="448"/>
      <c r="L149" s="551"/>
      <c r="M149" s="448"/>
      <c r="N149" s="551"/>
      <c r="O149" s="448"/>
      <c r="P149" s="551"/>
      <c r="Q149" s="448"/>
      <c r="R149" s="551"/>
      <c r="S149" s="448"/>
      <c r="T149" s="551"/>
      <c r="U149" s="448"/>
      <c r="V149" s="551"/>
      <c r="W149" s="448"/>
      <c r="X149" s="551"/>
      <c r="Y149" s="448"/>
      <c r="Z149" s="551"/>
      <c r="AA149" s="448"/>
      <c r="AB149" s="551"/>
      <c r="AC149" s="448"/>
      <c r="AD149" s="551"/>
      <c r="AE149" s="448"/>
      <c r="AF149" s="551"/>
      <c r="AG149" s="448"/>
      <c r="AH149" s="551"/>
      <c r="AI149" s="448"/>
      <c r="AJ149" s="551"/>
      <c r="AK149" s="448"/>
      <c r="AL149" s="551"/>
      <c r="AM149" s="448"/>
      <c r="AN149" s="551"/>
      <c r="AO149" s="448"/>
      <c r="AP149" s="551"/>
      <c r="AQ149" s="448"/>
      <c r="AR149" s="551"/>
      <c r="AS149" s="448"/>
      <c r="AT149" s="551"/>
      <c r="AU149" s="448"/>
      <c r="AV149" s="551"/>
      <c r="AW149" s="448"/>
      <c r="AX149" s="551"/>
    </row>
    <row r="150" spans="1:50" ht="14" x14ac:dyDescent="0.3">
      <c r="A150" s="448"/>
      <c r="B150" s="551"/>
      <c r="C150" s="448"/>
      <c r="D150" s="551"/>
      <c r="E150" s="448"/>
      <c r="F150" s="551"/>
      <c r="G150" s="448"/>
      <c r="H150" s="551"/>
      <c r="I150" s="448"/>
      <c r="J150" s="551"/>
      <c r="K150" s="448"/>
      <c r="L150" s="551"/>
      <c r="M150" s="448"/>
      <c r="N150" s="551"/>
      <c r="O150" s="448"/>
      <c r="P150" s="551"/>
      <c r="Q150" s="448"/>
      <c r="R150" s="551"/>
      <c r="S150" s="448"/>
      <c r="T150" s="551"/>
      <c r="U150" s="448"/>
      <c r="V150" s="551"/>
      <c r="W150" s="448"/>
      <c r="X150" s="551"/>
      <c r="Y150" s="448"/>
      <c r="Z150" s="551"/>
      <c r="AA150" s="448"/>
      <c r="AB150" s="551"/>
      <c r="AC150" s="448"/>
      <c r="AD150" s="551"/>
      <c r="AE150" s="448"/>
      <c r="AF150" s="551"/>
      <c r="AG150" s="448"/>
      <c r="AH150" s="551"/>
      <c r="AI150" s="448"/>
      <c r="AJ150" s="551"/>
      <c r="AK150" s="448"/>
      <c r="AL150" s="551"/>
      <c r="AM150" s="448"/>
      <c r="AN150" s="551"/>
      <c r="AO150" s="448"/>
      <c r="AP150" s="551"/>
      <c r="AQ150" s="448"/>
      <c r="AR150" s="551"/>
      <c r="AS150" s="448"/>
      <c r="AT150" s="551"/>
      <c r="AU150" s="448"/>
      <c r="AV150" s="551"/>
      <c r="AW150" s="448"/>
      <c r="AX150" s="551"/>
    </row>
    <row r="151" spans="1:50" ht="14" x14ac:dyDescent="0.3">
      <c r="A151" s="448"/>
      <c r="B151" s="551"/>
      <c r="C151" s="448"/>
      <c r="D151" s="551"/>
      <c r="E151" s="448"/>
      <c r="F151" s="551"/>
      <c r="G151" s="448"/>
      <c r="H151" s="551"/>
      <c r="I151" s="448"/>
      <c r="J151" s="551"/>
      <c r="K151" s="448"/>
      <c r="L151" s="551"/>
      <c r="M151" s="448"/>
      <c r="N151" s="551"/>
      <c r="O151" s="448"/>
      <c r="P151" s="551"/>
      <c r="Q151" s="448"/>
      <c r="R151" s="551"/>
      <c r="S151" s="448"/>
      <c r="T151" s="551"/>
      <c r="U151" s="448"/>
      <c r="V151" s="551"/>
      <c r="W151" s="448"/>
      <c r="X151" s="551"/>
      <c r="Y151" s="448"/>
      <c r="Z151" s="551"/>
      <c r="AA151" s="448"/>
      <c r="AB151" s="551"/>
      <c r="AC151" s="448"/>
      <c r="AD151" s="551"/>
      <c r="AE151" s="448"/>
      <c r="AF151" s="551"/>
      <c r="AG151" s="448"/>
      <c r="AH151" s="551"/>
      <c r="AI151" s="448"/>
      <c r="AJ151" s="551"/>
      <c r="AK151" s="448"/>
      <c r="AL151" s="551"/>
      <c r="AM151" s="448"/>
      <c r="AN151" s="551"/>
      <c r="AO151" s="448"/>
      <c r="AP151" s="551"/>
      <c r="AQ151" s="448"/>
      <c r="AR151" s="551"/>
      <c r="AS151" s="448"/>
      <c r="AT151" s="551"/>
      <c r="AU151" s="448"/>
      <c r="AV151" s="551"/>
      <c r="AW151" s="448"/>
      <c r="AX151" s="551"/>
    </row>
    <row r="152" spans="1:50" ht="14" x14ac:dyDescent="0.3">
      <c r="A152" s="448"/>
      <c r="B152" s="551"/>
      <c r="C152" s="448"/>
      <c r="D152" s="551"/>
      <c r="E152" s="448"/>
      <c r="F152" s="551"/>
      <c r="G152" s="448"/>
      <c r="H152" s="551"/>
      <c r="I152" s="448"/>
      <c r="J152" s="551"/>
      <c r="K152" s="448"/>
      <c r="L152" s="551"/>
      <c r="M152" s="448"/>
      <c r="N152" s="551"/>
      <c r="O152" s="448"/>
      <c r="P152" s="551"/>
      <c r="Q152" s="448"/>
      <c r="R152" s="551"/>
      <c r="S152" s="448"/>
      <c r="T152" s="551"/>
      <c r="U152" s="448"/>
      <c r="V152" s="551"/>
      <c r="W152" s="448"/>
      <c r="X152" s="551"/>
      <c r="Y152" s="448"/>
      <c r="Z152" s="551"/>
      <c r="AA152" s="448"/>
      <c r="AB152" s="551"/>
      <c r="AC152" s="448"/>
      <c r="AD152" s="551"/>
      <c r="AE152" s="448"/>
      <c r="AF152" s="551"/>
      <c r="AG152" s="448"/>
      <c r="AH152" s="551"/>
      <c r="AI152" s="448"/>
      <c r="AJ152" s="551"/>
      <c r="AK152" s="448"/>
      <c r="AL152" s="551"/>
      <c r="AM152" s="448"/>
      <c r="AN152" s="551"/>
      <c r="AO152" s="448"/>
      <c r="AP152" s="551"/>
      <c r="AQ152" s="448"/>
      <c r="AR152" s="551"/>
      <c r="AS152" s="448"/>
      <c r="AT152" s="551"/>
      <c r="AU152" s="448"/>
      <c r="AV152" s="551"/>
      <c r="AW152" s="448"/>
      <c r="AX152" s="551"/>
    </row>
    <row r="153" spans="1:50" ht="14" x14ac:dyDescent="0.3">
      <c r="A153" s="448"/>
      <c r="B153" s="551"/>
      <c r="C153" s="448"/>
      <c r="D153" s="551"/>
      <c r="E153" s="448"/>
      <c r="F153" s="551"/>
      <c r="G153" s="448"/>
      <c r="H153" s="551"/>
      <c r="I153" s="448"/>
      <c r="J153" s="551"/>
      <c r="K153" s="448"/>
      <c r="L153" s="551"/>
      <c r="M153" s="448"/>
      <c r="N153" s="551"/>
      <c r="O153" s="448"/>
      <c r="P153" s="551"/>
      <c r="Q153" s="448"/>
      <c r="R153" s="551"/>
      <c r="S153" s="448"/>
      <c r="T153" s="551"/>
      <c r="U153" s="448"/>
      <c r="V153" s="551"/>
      <c r="W153" s="448"/>
      <c r="X153" s="551"/>
      <c r="Y153" s="448"/>
      <c r="Z153" s="551"/>
      <c r="AA153" s="448"/>
      <c r="AB153" s="551"/>
      <c r="AC153" s="448"/>
      <c r="AD153" s="551"/>
      <c r="AE153" s="448"/>
      <c r="AF153" s="551"/>
      <c r="AG153" s="448"/>
      <c r="AH153" s="551"/>
      <c r="AI153" s="448"/>
      <c r="AJ153" s="551"/>
      <c r="AK153" s="448"/>
      <c r="AL153" s="551"/>
      <c r="AM153" s="448"/>
      <c r="AN153" s="551"/>
      <c r="AO153" s="448"/>
      <c r="AP153" s="551"/>
      <c r="AQ153" s="448"/>
      <c r="AR153" s="551"/>
      <c r="AS153" s="448"/>
      <c r="AT153" s="551"/>
      <c r="AU153" s="448"/>
      <c r="AV153" s="551"/>
      <c r="AW153" s="448"/>
      <c r="AX153" s="551"/>
    </row>
    <row r="154" spans="1:50" ht="14" x14ac:dyDescent="0.3">
      <c r="A154" s="448"/>
      <c r="B154" s="551"/>
      <c r="C154" s="448"/>
      <c r="D154" s="551"/>
      <c r="E154" s="448"/>
      <c r="F154" s="551"/>
      <c r="G154" s="448"/>
      <c r="H154" s="551"/>
      <c r="I154" s="448"/>
      <c r="J154" s="551"/>
      <c r="K154" s="448"/>
      <c r="L154" s="551"/>
      <c r="M154" s="448"/>
      <c r="N154" s="551"/>
      <c r="O154" s="448"/>
      <c r="P154" s="551"/>
      <c r="Q154" s="448"/>
      <c r="R154" s="551"/>
      <c r="S154" s="448"/>
      <c r="T154" s="551"/>
      <c r="U154" s="448"/>
      <c r="V154" s="551"/>
      <c r="W154" s="448"/>
      <c r="X154" s="551"/>
      <c r="Y154" s="448"/>
      <c r="Z154" s="551"/>
      <c r="AA154" s="448"/>
      <c r="AB154" s="551"/>
      <c r="AC154" s="448"/>
      <c r="AD154" s="551"/>
      <c r="AE154" s="448"/>
      <c r="AF154" s="551"/>
      <c r="AG154" s="448"/>
      <c r="AH154" s="551"/>
      <c r="AI154" s="448"/>
      <c r="AJ154" s="551"/>
      <c r="AK154" s="448"/>
      <c r="AL154" s="551"/>
      <c r="AM154" s="448"/>
      <c r="AN154" s="551"/>
      <c r="AO154" s="448"/>
      <c r="AP154" s="551"/>
      <c r="AQ154" s="448"/>
      <c r="AR154" s="551"/>
      <c r="AS154" s="448"/>
      <c r="AT154" s="551"/>
      <c r="AU154" s="448"/>
      <c r="AV154" s="551"/>
      <c r="AW154" s="448"/>
      <c r="AX154" s="551"/>
    </row>
    <row r="155" spans="1:50" ht="14" x14ac:dyDescent="0.3">
      <c r="A155" s="448"/>
      <c r="B155" s="551"/>
      <c r="C155" s="448"/>
      <c r="D155" s="551"/>
      <c r="E155" s="448"/>
      <c r="F155" s="551"/>
      <c r="G155" s="448"/>
      <c r="H155" s="551"/>
      <c r="I155" s="448"/>
      <c r="J155" s="551"/>
      <c r="K155" s="448"/>
      <c r="L155" s="551"/>
      <c r="M155" s="448"/>
      <c r="N155" s="551"/>
      <c r="O155" s="448"/>
      <c r="P155" s="551"/>
      <c r="Q155" s="448"/>
      <c r="R155" s="551"/>
      <c r="S155" s="448"/>
      <c r="T155" s="551"/>
      <c r="U155" s="448"/>
      <c r="V155" s="551"/>
      <c r="W155" s="448"/>
      <c r="X155" s="551"/>
      <c r="Y155" s="448"/>
      <c r="Z155" s="551"/>
      <c r="AA155" s="448"/>
      <c r="AB155" s="551"/>
      <c r="AC155" s="448"/>
      <c r="AD155" s="551"/>
      <c r="AE155" s="448"/>
      <c r="AF155" s="551"/>
      <c r="AG155" s="448"/>
      <c r="AH155" s="551"/>
      <c r="AI155" s="448"/>
      <c r="AJ155" s="551"/>
      <c r="AK155" s="448"/>
      <c r="AL155" s="551"/>
      <c r="AM155" s="448"/>
      <c r="AN155" s="551"/>
      <c r="AO155" s="448"/>
      <c r="AP155" s="551"/>
      <c r="AQ155" s="448"/>
      <c r="AR155" s="551"/>
      <c r="AS155" s="448"/>
      <c r="AT155" s="551"/>
      <c r="AU155" s="448"/>
      <c r="AV155" s="551"/>
      <c r="AW155" s="448"/>
      <c r="AX155" s="551"/>
    </row>
    <row r="156" spans="1:50" ht="14" x14ac:dyDescent="0.3">
      <c r="A156" s="448"/>
      <c r="B156" s="551"/>
      <c r="C156" s="448"/>
      <c r="D156" s="551"/>
      <c r="E156" s="448"/>
      <c r="F156" s="551"/>
      <c r="G156" s="448"/>
      <c r="H156" s="551"/>
      <c r="I156" s="448"/>
      <c r="J156" s="551"/>
      <c r="K156" s="448"/>
      <c r="L156" s="551"/>
      <c r="M156" s="448"/>
      <c r="N156" s="551"/>
      <c r="O156" s="448"/>
      <c r="P156" s="551"/>
      <c r="Q156" s="448"/>
      <c r="R156" s="551"/>
      <c r="S156" s="448"/>
      <c r="T156" s="551"/>
      <c r="U156" s="448"/>
      <c r="V156" s="551"/>
      <c r="W156" s="448"/>
      <c r="X156" s="551"/>
      <c r="Y156" s="448"/>
      <c r="Z156" s="551"/>
      <c r="AA156" s="448"/>
      <c r="AB156" s="551"/>
      <c r="AC156" s="448"/>
      <c r="AD156" s="551"/>
      <c r="AE156" s="448"/>
      <c r="AF156" s="551"/>
      <c r="AG156" s="448"/>
      <c r="AH156" s="551"/>
      <c r="AI156" s="448"/>
      <c r="AJ156" s="551"/>
      <c r="AK156" s="448"/>
      <c r="AL156" s="551"/>
      <c r="AM156" s="448"/>
      <c r="AN156" s="551"/>
      <c r="AO156" s="448"/>
      <c r="AP156" s="551"/>
      <c r="AQ156" s="448"/>
      <c r="AR156" s="551"/>
      <c r="AS156" s="448"/>
      <c r="AT156" s="551"/>
      <c r="AU156" s="448"/>
      <c r="AV156" s="551"/>
      <c r="AW156" s="448"/>
      <c r="AX156" s="551"/>
    </row>
    <row r="157" spans="1:50" ht="14" x14ac:dyDescent="0.3">
      <c r="A157" s="448"/>
      <c r="B157" s="551"/>
      <c r="C157" s="448"/>
      <c r="D157" s="551"/>
      <c r="E157" s="448"/>
      <c r="F157" s="551"/>
      <c r="G157" s="448"/>
      <c r="H157" s="551"/>
      <c r="I157" s="448"/>
      <c r="J157" s="551"/>
      <c r="K157" s="448"/>
      <c r="L157" s="551"/>
      <c r="M157" s="448"/>
      <c r="N157" s="551"/>
      <c r="O157" s="448"/>
      <c r="P157" s="551"/>
      <c r="Q157" s="448"/>
      <c r="R157" s="551"/>
      <c r="S157" s="448"/>
      <c r="T157" s="551"/>
      <c r="U157" s="448"/>
      <c r="V157" s="551"/>
      <c r="W157" s="448"/>
      <c r="X157" s="551"/>
      <c r="Y157" s="448"/>
      <c r="Z157" s="551"/>
      <c r="AA157" s="448"/>
      <c r="AB157" s="551"/>
      <c r="AC157" s="448"/>
      <c r="AD157" s="551"/>
      <c r="AE157" s="448"/>
      <c r="AF157" s="551"/>
      <c r="AG157" s="448"/>
      <c r="AH157" s="551"/>
      <c r="AI157" s="448"/>
      <c r="AJ157" s="551"/>
      <c r="AK157" s="448"/>
      <c r="AL157" s="551"/>
      <c r="AM157" s="448"/>
      <c r="AN157" s="551"/>
      <c r="AO157" s="448"/>
      <c r="AP157" s="551"/>
      <c r="AQ157" s="448"/>
      <c r="AR157" s="551"/>
      <c r="AS157" s="448"/>
      <c r="AT157" s="551"/>
      <c r="AU157" s="448"/>
      <c r="AV157" s="551"/>
      <c r="AW157" s="448"/>
      <c r="AX157" s="551"/>
    </row>
    <row r="158" spans="1:50" ht="14" x14ac:dyDescent="0.3">
      <c r="A158" s="448"/>
      <c r="B158" s="551"/>
      <c r="C158" s="448"/>
      <c r="D158" s="551"/>
      <c r="E158" s="448"/>
      <c r="F158" s="551"/>
      <c r="G158" s="448"/>
      <c r="H158" s="551"/>
      <c r="I158" s="448"/>
      <c r="J158" s="551"/>
      <c r="K158" s="448"/>
      <c r="L158" s="551"/>
      <c r="M158" s="448"/>
      <c r="N158" s="551"/>
      <c r="O158" s="448"/>
      <c r="P158" s="551"/>
      <c r="Q158" s="448"/>
      <c r="R158" s="551"/>
      <c r="S158" s="448"/>
      <c r="T158" s="551"/>
      <c r="U158" s="448"/>
      <c r="V158" s="551"/>
      <c r="W158" s="448"/>
      <c r="X158" s="551"/>
      <c r="Y158" s="448"/>
      <c r="Z158" s="551"/>
      <c r="AA158" s="448"/>
      <c r="AB158" s="551"/>
      <c r="AC158" s="448"/>
      <c r="AD158" s="551"/>
      <c r="AE158" s="448"/>
      <c r="AF158" s="551"/>
      <c r="AG158" s="448"/>
      <c r="AH158" s="551"/>
      <c r="AI158" s="448"/>
      <c r="AJ158" s="551"/>
      <c r="AK158" s="448"/>
      <c r="AL158" s="551"/>
      <c r="AM158" s="448"/>
      <c r="AN158" s="551"/>
      <c r="AO158" s="448"/>
      <c r="AP158" s="551"/>
      <c r="AQ158" s="448"/>
      <c r="AR158" s="551"/>
      <c r="AS158" s="448"/>
      <c r="AT158" s="551"/>
      <c r="AU158" s="448"/>
      <c r="AV158" s="551"/>
      <c r="AW158" s="448"/>
      <c r="AX158" s="551"/>
    </row>
    <row r="159" spans="1:50" ht="14" x14ac:dyDescent="0.3">
      <c r="A159" s="448"/>
      <c r="B159" s="551"/>
      <c r="C159" s="448"/>
      <c r="D159" s="551"/>
      <c r="E159" s="448"/>
      <c r="F159" s="551"/>
      <c r="G159" s="448"/>
      <c r="H159" s="551"/>
      <c r="I159" s="448"/>
      <c r="J159" s="551"/>
      <c r="K159" s="448"/>
      <c r="L159" s="551"/>
      <c r="M159" s="448"/>
      <c r="N159" s="551"/>
      <c r="O159" s="448"/>
      <c r="P159" s="551"/>
      <c r="Q159" s="448"/>
      <c r="R159" s="551"/>
      <c r="S159" s="448"/>
      <c r="T159" s="551"/>
      <c r="U159" s="448"/>
      <c r="V159" s="551"/>
      <c r="W159" s="448"/>
      <c r="X159" s="551"/>
      <c r="Y159" s="448"/>
      <c r="Z159" s="551"/>
      <c r="AA159" s="448"/>
      <c r="AB159" s="551"/>
      <c r="AC159" s="448"/>
      <c r="AD159" s="551"/>
      <c r="AE159" s="448"/>
      <c r="AF159" s="551"/>
      <c r="AG159" s="448"/>
      <c r="AH159" s="551"/>
      <c r="AI159" s="448"/>
      <c r="AJ159" s="551"/>
      <c r="AK159" s="448"/>
      <c r="AL159" s="551"/>
      <c r="AM159" s="448"/>
      <c r="AN159" s="551"/>
      <c r="AO159" s="448"/>
      <c r="AP159" s="551"/>
      <c r="AQ159" s="448"/>
      <c r="AR159" s="551"/>
      <c r="AS159" s="448"/>
      <c r="AT159" s="551"/>
      <c r="AU159" s="448"/>
      <c r="AV159" s="551"/>
      <c r="AW159" s="448"/>
      <c r="AX159" s="551"/>
    </row>
    <row r="160" spans="1:50" ht="14" x14ac:dyDescent="0.3">
      <c r="A160" s="448"/>
      <c r="B160" s="551"/>
      <c r="C160" s="448"/>
      <c r="D160" s="551"/>
      <c r="E160" s="448"/>
      <c r="F160" s="551"/>
      <c r="G160" s="448"/>
      <c r="H160" s="551"/>
      <c r="I160" s="448"/>
      <c r="J160" s="551"/>
      <c r="K160" s="448"/>
      <c r="L160" s="551"/>
      <c r="M160" s="448"/>
      <c r="N160" s="551"/>
      <c r="O160" s="448"/>
      <c r="P160" s="551"/>
      <c r="Q160" s="448"/>
      <c r="R160" s="551"/>
      <c r="S160" s="448"/>
      <c r="T160" s="551"/>
      <c r="U160" s="448"/>
      <c r="V160" s="551"/>
      <c r="W160" s="448"/>
      <c r="X160" s="551"/>
      <c r="Y160" s="448"/>
      <c r="Z160" s="551"/>
      <c r="AA160" s="448"/>
      <c r="AB160" s="551"/>
      <c r="AC160" s="448"/>
      <c r="AD160" s="551"/>
      <c r="AE160" s="448"/>
      <c r="AF160" s="551"/>
      <c r="AG160" s="448"/>
      <c r="AH160" s="551"/>
      <c r="AI160" s="448"/>
      <c r="AJ160" s="551"/>
      <c r="AK160" s="448"/>
      <c r="AL160" s="551"/>
      <c r="AM160" s="448"/>
      <c r="AN160" s="551"/>
      <c r="AO160" s="448"/>
      <c r="AP160" s="551"/>
      <c r="AQ160" s="448"/>
      <c r="AR160" s="551"/>
      <c r="AS160" s="448"/>
      <c r="AT160" s="551"/>
      <c r="AU160" s="448"/>
      <c r="AV160" s="551"/>
      <c r="AW160" s="448"/>
      <c r="AX160" s="551"/>
    </row>
    <row r="161" spans="1:50" ht="14" x14ac:dyDescent="0.3">
      <c r="A161" s="448"/>
      <c r="B161" s="551"/>
      <c r="C161" s="448"/>
      <c r="D161" s="551"/>
      <c r="E161" s="448"/>
      <c r="F161" s="551"/>
      <c r="G161" s="448"/>
      <c r="H161" s="551"/>
      <c r="I161" s="448"/>
      <c r="J161" s="551"/>
      <c r="K161" s="448"/>
      <c r="L161" s="551"/>
      <c r="M161" s="448"/>
      <c r="N161" s="551"/>
      <c r="O161" s="448"/>
      <c r="P161" s="551"/>
      <c r="Q161" s="448"/>
      <c r="R161" s="551"/>
      <c r="S161" s="448"/>
      <c r="T161" s="551"/>
      <c r="U161" s="448"/>
      <c r="V161" s="551"/>
      <c r="W161" s="448"/>
      <c r="X161" s="551"/>
      <c r="Y161" s="448"/>
      <c r="Z161" s="551"/>
      <c r="AA161" s="448"/>
      <c r="AB161" s="551"/>
      <c r="AC161" s="448"/>
      <c r="AD161" s="551"/>
      <c r="AE161" s="448"/>
      <c r="AF161" s="551"/>
      <c r="AG161" s="448"/>
      <c r="AH161" s="551"/>
      <c r="AI161" s="448"/>
      <c r="AJ161" s="551"/>
      <c r="AK161" s="448"/>
      <c r="AL161" s="551"/>
      <c r="AM161" s="448"/>
      <c r="AN161" s="551"/>
      <c r="AO161" s="448"/>
      <c r="AP161" s="551"/>
      <c r="AQ161" s="448"/>
      <c r="AR161" s="551"/>
      <c r="AS161" s="448"/>
      <c r="AT161" s="551"/>
      <c r="AU161" s="448"/>
      <c r="AV161" s="551"/>
      <c r="AW161" s="448"/>
      <c r="AX161" s="551"/>
    </row>
    <row r="162" spans="1:50" ht="14" x14ac:dyDescent="0.3">
      <c r="A162" s="448"/>
      <c r="B162" s="551"/>
      <c r="C162" s="448"/>
      <c r="D162" s="551"/>
      <c r="E162" s="448"/>
      <c r="F162" s="551"/>
      <c r="G162" s="448"/>
      <c r="H162" s="551"/>
      <c r="I162" s="448"/>
      <c r="J162" s="551"/>
      <c r="K162" s="448"/>
      <c r="L162" s="551"/>
      <c r="M162" s="448"/>
      <c r="N162" s="551"/>
      <c r="O162" s="448"/>
      <c r="P162" s="551"/>
      <c r="Q162" s="448"/>
      <c r="R162" s="551"/>
      <c r="S162" s="448"/>
      <c r="T162" s="551"/>
      <c r="U162" s="448"/>
      <c r="V162" s="551"/>
      <c r="W162" s="448"/>
      <c r="X162" s="551"/>
      <c r="Y162" s="448"/>
      <c r="Z162" s="551"/>
      <c r="AA162" s="448"/>
      <c r="AB162" s="551"/>
      <c r="AC162" s="448"/>
      <c r="AD162" s="551"/>
      <c r="AE162" s="448"/>
      <c r="AF162" s="551"/>
      <c r="AG162" s="448"/>
      <c r="AH162" s="551"/>
      <c r="AI162" s="448"/>
      <c r="AJ162" s="551"/>
      <c r="AK162" s="448"/>
      <c r="AL162" s="551"/>
      <c r="AM162" s="448"/>
      <c r="AN162" s="551"/>
      <c r="AO162" s="448"/>
      <c r="AP162" s="551"/>
      <c r="AQ162" s="448"/>
      <c r="AR162" s="551"/>
      <c r="AS162" s="448"/>
      <c r="AT162" s="551"/>
      <c r="AU162" s="448"/>
      <c r="AV162" s="551"/>
      <c r="AW162" s="448"/>
      <c r="AX162" s="551"/>
    </row>
    <row r="163" spans="1:50" ht="14" x14ac:dyDescent="0.3">
      <c r="A163" s="448"/>
      <c r="B163" s="551"/>
      <c r="C163" s="448"/>
      <c r="D163" s="551"/>
      <c r="E163" s="448"/>
      <c r="F163" s="551"/>
      <c r="G163" s="448"/>
      <c r="H163" s="551"/>
      <c r="I163" s="448"/>
      <c r="J163" s="551"/>
      <c r="K163" s="448"/>
      <c r="L163" s="551"/>
      <c r="M163" s="448"/>
      <c r="N163" s="551"/>
      <c r="O163" s="448"/>
      <c r="P163" s="551"/>
      <c r="Q163" s="448"/>
      <c r="R163" s="551"/>
      <c r="S163" s="448"/>
      <c r="T163" s="551"/>
      <c r="U163" s="448"/>
      <c r="V163" s="551"/>
      <c r="W163" s="448"/>
      <c r="X163" s="551"/>
      <c r="Y163" s="448"/>
      <c r="Z163" s="551"/>
      <c r="AA163" s="448"/>
      <c r="AB163" s="551"/>
      <c r="AC163" s="448"/>
      <c r="AD163" s="551"/>
      <c r="AE163" s="448"/>
      <c r="AF163" s="551"/>
      <c r="AG163" s="448"/>
      <c r="AH163" s="551"/>
      <c r="AI163" s="448"/>
      <c r="AJ163" s="551"/>
      <c r="AK163" s="448"/>
      <c r="AL163" s="551"/>
      <c r="AM163" s="448"/>
      <c r="AN163" s="551"/>
      <c r="AO163" s="448"/>
      <c r="AP163" s="551"/>
      <c r="AQ163" s="448"/>
      <c r="AR163" s="551"/>
      <c r="AS163" s="448"/>
      <c r="AT163" s="551"/>
      <c r="AU163" s="448"/>
      <c r="AV163" s="551"/>
      <c r="AW163" s="448"/>
      <c r="AX163" s="551"/>
    </row>
    <row r="164" spans="1:50" ht="14" x14ac:dyDescent="0.3">
      <c r="A164" s="448"/>
      <c r="B164" s="551"/>
      <c r="C164" s="448"/>
      <c r="D164" s="551"/>
      <c r="E164" s="448"/>
      <c r="F164" s="551"/>
      <c r="G164" s="448"/>
      <c r="H164" s="551"/>
      <c r="I164" s="448"/>
      <c r="J164" s="551"/>
      <c r="K164" s="448"/>
      <c r="L164" s="551"/>
      <c r="M164" s="448"/>
      <c r="N164" s="551"/>
      <c r="O164" s="448"/>
      <c r="P164" s="551"/>
      <c r="Q164" s="448"/>
      <c r="R164" s="551"/>
      <c r="S164" s="448"/>
      <c r="T164" s="551"/>
      <c r="U164" s="448"/>
      <c r="V164" s="551"/>
      <c r="W164" s="448"/>
      <c r="X164" s="551"/>
      <c r="Y164" s="448"/>
      <c r="Z164" s="551"/>
      <c r="AA164" s="448"/>
      <c r="AB164" s="551"/>
      <c r="AC164" s="448"/>
      <c r="AD164" s="551"/>
      <c r="AE164" s="448"/>
      <c r="AF164" s="551"/>
      <c r="AG164" s="448"/>
      <c r="AH164" s="551"/>
      <c r="AI164" s="448"/>
      <c r="AJ164" s="551"/>
      <c r="AK164" s="448"/>
      <c r="AL164" s="551"/>
      <c r="AM164" s="448"/>
      <c r="AN164" s="551"/>
      <c r="AO164" s="448"/>
      <c r="AP164" s="551"/>
      <c r="AQ164" s="448"/>
      <c r="AR164" s="551"/>
      <c r="AS164" s="448"/>
      <c r="AT164" s="551"/>
      <c r="AU164" s="448"/>
      <c r="AV164" s="551"/>
      <c r="AW164" s="448"/>
      <c r="AX164" s="551"/>
    </row>
    <row r="165" spans="1:50" ht="14" x14ac:dyDescent="0.3">
      <c r="A165" s="448"/>
      <c r="B165" s="551"/>
      <c r="C165" s="448"/>
      <c r="D165" s="551"/>
      <c r="E165" s="448"/>
      <c r="F165" s="551"/>
      <c r="G165" s="448"/>
      <c r="H165" s="551"/>
      <c r="I165" s="448"/>
      <c r="J165" s="551"/>
      <c r="K165" s="448"/>
      <c r="L165" s="551"/>
      <c r="M165" s="448"/>
      <c r="N165" s="551"/>
      <c r="O165" s="448"/>
      <c r="P165" s="551"/>
      <c r="Q165" s="448"/>
      <c r="R165" s="551"/>
      <c r="S165" s="448"/>
      <c r="T165" s="551"/>
      <c r="U165" s="448"/>
      <c r="V165" s="551"/>
      <c r="W165" s="448"/>
      <c r="X165" s="551"/>
      <c r="Y165" s="448"/>
      <c r="Z165" s="551"/>
      <c r="AA165" s="448"/>
      <c r="AB165" s="551"/>
      <c r="AC165" s="448"/>
      <c r="AD165" s="551"/>
      <c r="AE165" s="448"/>
      <c r="AF165" s="551"/>
      <c r="AG165" s="448"/>
      <c r="AH165" s="551"/>
      <c r="AI165" s="448"/>
      <c r="AJ165" s="551"/>
      <c r="AK165" s="448"/>
      <c r="AL165" s="551"/>
      <c r="AM165" s="448"/>
      <c r="AN165" s="551"/>
      <c r="AO165" s="448"/>
      <c r="AP165" s="551"/>
      <c r="AQ165" s="448"/>
      <c r="AR165" s="551"/>
      <c r="AS165" s="448"/>
      <c r="AT165" s="551"/>
      <c r="AU165" s="448"/>
      <c r="AV165" s="551"/>
      <c r="AW165" s="448"/>
      <c r="AX165" s="551"/>
    </row>
    <row r="166" spans="1:50" ht="14" x14ac:dyDescent="0.3">
      <c r="A166" s="448"/>
      <c r="B166" s="551"/>
      <c r="C166" s="448"/>
      <c r="D166" s="551"/>
      <c r="E166" s="448"/>
      <c r="F166" s="551"/>
      <c r="G166" s="448"/>
      <c r="H166" s="551"/>
      <c r="I166" s="448"/>
      <c r="J166" s="551"/>
      <c r="K166" s="448"/>
      <c r="L166" s="551"/>
      <c r="M166" s="448"/>
      <c r="N166" s="551"/>
      <c r="O166" s="448"/>
      <c r="P166" s="551"/>
      <c r="Q166" s="448"/>
      <c r="R166" s="551"/>
      <c r="S166" s="448"/>
      <c r="T166" s="551"/>
      <c r="U166" s="448"/>
      <c r="V166" s="551"/>
      <c r="W166" s="448"/>
      <c r="X166" s="551"/>
      <c r="Y166" s="448"/>
      <c r="Z166" s="551"/>
      <c r="AA166" s="448"/>
      <c r="AB166" s="551"/>
      <c r="AC166" s="448"/>
      <c r="AD166" s="551"/>
      <c r="AE166" s="448"/>
      <c r="AF166" s="551"/>
      <c r="AG166" s="448"/>
      <c r="AH166" s="551"/>
      <c r="AI166" s="448"/>
      <c r="AJ166" s="551"/>
      <c r="AK166" s="448"/>
      <c r="AL166" s="551"/>
      <c r="AM166" s="448"/>
      <c r="AN166" s="551"/>
      <c r="AO166" s="448"/>
      <c r="AP166" s="551"/>
      <c r="AQ166" s="448"/>
      <c r="AR166" s="551"/>
      <c r="AS166" s="448"/>
      <c r="AT166" s="551"/>
      <c r="AU166" s="448"/>
      <c r="AV166" s="551"/>
      <c r="AW166" s="448"/>
      <c r="AX166" s="551"/>
    </row>
    <row r="167" spans="1:50" ht="14" x14ac:dyDescent="0.3">
      <c r="A167" s="448"/>
      <c r="B167" s="551"/>
      <c r="C167" s="448"/>
      <c r="D167" s="551"/>
      <c r="E167" s="448"/>
      <c r="F167" s="551"/>
      <c r="G167" s="448"/>
      <c r="H167" s="551"/>
      <c r="I167" s="448"/>
      <c r="J167" s="551"/>
      <c r="K167" s="448"/>
      <c r="L167" s="551"/>
      <c r="M167" s="448"/>
      <c r="N167" s="551"/>
      <c r="O167" s="448"/>
      <c r="P167" s="551"/>
      <c r="Q167" s="448"/>
      <c r="R167" s="551"/>
      <c r="S167" s="448"/>
      <c r="T167" s="551"/>
      <c r="U167" s="448"/>
      <c r="V167" s="551"/>
      <c r="W167" s="448"/>
      <c r="X167" s="551"/>
      <c r="Y167" s="448"/>
      <c r="Z167" s="551"/>
      <c r="AA167" s="448"/>
      <c r="AB167" s="551"/>
      <c r="AC167" s="448"/>
      <c r="AD167" s="551"/>
      <c r="AE167" s="448"/>
      <c r="AF167" s="551"/>
      <c r="AG167" s="448"/>
      <c r="AH167" s="551"/>
      <c r="AI167" s="448"/>
      <c r="AJ167" s="551"/>
      <c r="AK167" s="448"/>
      <c r="AL167" s="551"/>
      <c r="AM167" s="448"/>
      <c r="AN167" s="551"/>
      <c r="AO167" s="448"/>
      <c r="AP167" s="551"/>
      <c r="AQ167" s="448"/>
      <c r="AR167" s="551"/>
      <c r="AS167" s="448"/>
      <c r="AT167" s="551"/>
      <c r="AU167" s="448"/>
      <c r="AV167" s="551"/>
      <c r="AW167" s="448"/>
      <c r="AX167" s="551"/>
    </row>
    <row r="168" spans="1:50" ht="14" x14ac:dyDescent="0.3">
      <c r="A168" s="448"/>
      <c r="B168" s="551"/>
      <c r="C168" s="448"/>
      <c r="D168" s="551"/>
      <c r="E168" s="448"/>
      <c r="F168" s="551"/>
      <c r="G168" s="448"/>
      <c r="H168" s="551"/>
      <c r="I168" s="448"/>
      <c r="J168" s="551"/>
      <c r="K168" s="448"/>
      <c r="L168" s="551"/>
      <c r="M168" s="448"/>
      <c r="N168" s="551"/>
      <c r="O168" s="448"/>
      <c r="P168" s="551"/>
      <c r="Q168" s="448"/>
      <c r="R168" s="551"/>
      <c r="S168" s="448"/>
      <c r="T168" s="551"/>
      <c r="U168" s="448"/>
      <c r="V168" s="551"/>
      <c r="W168" s="448"/>
      <c r="X168" s="551"/>
      <c r="Y168" s="448"/>
      <c r="Z168" s="551"/>
      <c r="AA168" s="448"/>
      <c r="AB168" s="551"/>
      <c r="AC168" s="448"/>
      <c r="AD168" s="551"/>
      <c r="AE168" s="448"/>
      <c r="AF168" s="551"/>
      <c r="AG168" s="448"/>
      <c r="AH168" s="551"/>
      <c r="AI168" s="448"/>
      <c r="AJ168" s="551"/>
      <c r="AK168" s="448"/>
      <c r="AL168" s="551"/>
      <c r="AM168" s="448"/>
      <c r="AN168" s="551"/>
      <c r="AO168" s="448"/>
      <c r="AP168" s="551"/>
      <c r="AQ168" s="448"/>
      <c r="AR168" s="551"/>
      <c r="AS168" s="448"/>
      <c r="AT168" s="551"/>
      <c r="AU168" s="448"/>
      <c r="AV168" s="551"/>
      <c r="AW168" s="448"/>
      <c r="AX168" s="551"/>
    </row>
    <row r="169" spans="1:50" ht="14" x14ac:dyDescent="0.3">
      <c r="A169" s="448"/>
      <c r="B169" s="551"/>
      <c r="C169" s="448"/>
      <c r="D169" s="551"/>
      <c r="E169" s="448"/>
      <c r="F169" s="551"/>
      <c r="G169" s="448"/>
      <c r="H169" s="551"/>
      <c r="I169" s="448"/>
      <c r="J169" s="551"/>
      <c r="K169" s="448"/>
      <c r="L169" s="551"/>
      <c r="M169" s="448"/>
      <c r="N169" s="551"/>
      <c r="O169" s="448"/>
      <c r="P169" s="551"/>
      <c r="Q169" s="448"/>
      <c r="R169" s="551"/>
      <c r="S169" s="448"/>
      <c r="T169" s="551"/>
      <c r="U169" s="448"/>
      <c r="V169" s="551"/>
      <c r="W169" s="448"/>
      <c r="X169" s="551"/>
      <c r="Y169" s="448"/>
      <c r="Z169" s="551"/>
      <c r="AA169" s="448"/>
      <c r="AB169" s="551"/>
      <c r="AC169" s="448"/>
      <c r="AD169" s="551"/>
      <c r="AE169" s="448"/>
      <c r="AF169" s="551"/>
      <c r="AG169" s="448"/>
      <c r="AH169" s="551"/>
      <c r="AI169" s="448"/>
      <c r="AJ169" s="551"/>
      <c r="AK169" s="448"/>
      <c r="AL169" s="551"/>
      <c r="AM169" s="448"/>
      <c r="AN169" s="551"/>
      <c r="AO169" s="448"/>
      <c r="AP169" s="551"/>
      <c r="AQ169" s="448"/>
      <c r="AR169" s="551"/>
      <c r="AS169" s="448"/>
      <c r="AT169" s="551"/>
      <c r="AU169" s="448"/>
      <c r="AV169" s="551"/>
      <c r="AW169" s="448"/>
      <c r="AX169" s="551"/>
    </row>
    <row r="170" spans="1:50" ht="14" x14ac:dyDescent="0.3">
      <c r="A170" s="448"/>
      <c r="B170" s="551"/>
      <c r="C170" s="448"/>
      <c r="D170" s="551"/>
      <c r="E170" s="448"/>
      <c r="F170" s="551"/>
      <c r="G170" s="448"/>
      <c r="H170" s="551"/>
      <c r="I170" s="448"/>
      <c r="J170" s="551"/>
      <c r="K170" s="448"/>
      <c r="L170" s="551"/>
      <c r="M170" s="448"/>
      <c r="N170" s="551"/>
      <c r="O170" s="448"/>
      <c r="P170" s="551"/>
      <c r="Q170" s="448"/>
      <c r="R170" s="551"/>
      <c r="S170" s="448"/>
      <c r="T170" s="551"/>
      <c r="U170" s="448"/>
      <c r="V170" s="551"/>
      <c r="W170" s="448"/>
      <c r="X170" s="551"/>
      <c r="Y170" s="448"/>
      <c r="Z170" s="551"/>
      <c r="AA170" s="448"/>
      <c r="AB170" s="551"/>
      <c r="AC170" s="448"/>
      <c r="AD170" s="551"/>
      <c r="AE170" s="448"/>
      <c r="AF170" s="551"/>
      <c r="AG170" s="448"/>
      <c r="AH170" s="551"/>
      <c r="AI170" s="448"/>
      <c r="AJ170" s="551"/>
      <c r="AK170" s="448"/>
      <c r="AL170" s="551"/>
      <c r="AM170" s="448"/>
      <c r="AN170" s="551"/>
      <c r="AO170" s="448"/>
      <c r="AP170" s="551"/>
      <c r="AQ170" s="448"/>
      <c r="AR170" s="551"/>
      <c r="AS170" s="448"/>
      <c r="AT170" s="551"/>
      <c r="AU170" s="448"/>
      <c r="AV170" s="551"/>
      <c r="AW170" s="448"/>
      <c r="AX170" s="551"/>
    </row>
    <row r="171" spans="1:50" ht="14" x14ac:dyDescent="0.3">
      <c r="A171" s="448"/>
      <c r="B171" s="551"/>
      <c r="C171" s="448"/>
      <c r="D171" s="551"/>
      <c r="E171" s="448"/>
      <c r="F171" s="551"/>
      <c r="G171" s="448"/>
      <c r="H171" s="551"/>
      <c r="I171" s="448"/>
      <c r="J171" s="551"/>
      <c r="K171" s="448"/>
      <c r="L171" s="551"/>
      <c r="M171" s="448"/>
      <c r="N171" s="551"/>
      <c r="O171" s="448"/>
      <c r="P171" s="551"/>
      <c r="Q171" s="448"/>
      <c r="R171" s="551"/>
      <c r="S171" s="448"/>
      <c r="T171" s="551"/>
      <c r="U171" s="448"/>
      <c r="V171" s="551"/>
      <c r="W171" s="448"/>
      <c r="X171" s="551"/>
      <c r="Y171" s="448"/>
      <c r="Z171" s="551"/>
      <c r="AA171" s="448"/>
      <c r="AB171" s="551"/>
      <c r="AC171" s="448"/>
      <c r="AD171" s="551"/>
      <c r="AE171" s="448"/>
      <c r="AF171" s="551"/>
      <c r="AG171" s="448"/>
      <c r="AH171" s="551"/>
      <c r="AI171" s="448"/>
      <c r="AJ171" s="551"/>
      <c r="AK171" s="448"/>
      <c r="AL171" s="551"/>
      <c r="AM171" s="448"/>
      <c r="AN171" s="551"/>
      <c r="AO171" s="448"/>
      <c r="AP171" s="551"/>
      <c r="AQ171" s="448"/>
      <c r="AR171" s="551"/>
      <c r="AS171" s="448"/>
      <c r="AT171" s="551"/>
      <c r="AU171" s="448"/>
      <c r="AV171" s="551"/>
      <c r="AW171" s="448"/>
      <c r="AX171" s="551"/>
    </row>
    <row r="172" spans="1:50" ht="14" x14ac:dyDescent="0.3">
      <c r="A172" s="448"/>
      <c r="B172" s="551"/>
      <c r="C172" s="448"/>
      <c r="D172" s="551"/>
      <c r="E172" s="448"/>
      <c r="F172" s="551"/>
      <c r="G172" s="448"/>
      <c r="H172" s="551"/>
      <c r="I172" s="448"/>
      <c r="J172" s="551"/>
      <c r="K172" s="448"/>
      <c r="L172" s="551"/>
      <c r="M172" s="448"/>
      <c r="N172" s="551"/>
      <c r="O172" s="448"/>
      <c r="P172" s="551"/>
      <c r="Q172" s="448"/>
      <c r="R172" s="551"/>
      <c r="S172" s="448"/>
      <c r="T172" s="551"/>
      <c r="U172" s="448"/>
      <c r="V172" s="551"/>
      <c r="W172" s="448"/>
      <c r="X172" s="551"/>
      <c r="Y172" s="448"/>
      <c r="Z172" s="551"/>
      <c r="AA172" s="448"/>
      <c r="AB172" s="551"/>
      <c r="AC172" s="448"/>
      <c r="AD172" s="551"/>
      <c r="AE172" s="448"/>
      <c r="AF172" s="551"/>
      <c r="AG172" s="448"/>
      <c r="AH172" s="551"/>
      <c r="AI172" s="448"/>
      <c r="AJ172" s="551"/>
      <c r="AK172" s="448"/>
      <c r="AL172" s="551"/>
      <c r="AM172" s="448"/>
      <c r="AN172" s="551"/>
      <c r="AO172" s="448"/>
      <c r="AP172" s="551"/>
      <c r="AQ172" s="448"/>
      <c r="AR172" s="551"/>
      <c r="AS172" s="448"/>
      <c r="AT172" s="551"/>
      <c r="AU172" s="448"/>
      <c r="AV172" s="551"/>
      <c r="AW172" s="448"/>
      <c r="AX172" s="551"/>
    </row>
    <row r="173" spans="1:50" ht="14" x14ac:dyDescent="0.3">
      <c r="A173" s="448"/>
      <c r="B173" s="551"/>
      <c r="C173" s="448"/>
      <c r="D173" s="551"/>
      <c r="E173" s="448"/>
      <c r="F173" s="551"/>
      <c r="G173" s="448"/>
      <c r="H173" s="551"/>
      <c r="I173" s="448"/>
      <c r="J173" s="551"/>
      <c r="K173" s="448"/>
      <c r="L173" s="551"/>
      <c r="M173" s="448"/>
      <c r="N173" s="551"/>
      <c r="O173" s="448"/>
      <c r="P173" s="551"/>
      <c r="Q173" s="448"/>
      <c r="R173" s="551"/>
      <c r="S173" s="448"/>
      <c r="T173" s="551"/>
      <c r="U173" s="448"/>
      <c r="V173" s="551"/>
      <c r="W173" s="448"/>
      <c r="X173" s="551"/>
      <c r="Y173" s="448"/>
      <c r="Z173" s="551"/>
      <c r="AA173" s="448"/>
      <c r="AB173" s="551"/>
      <c r="AC173" s="448"/>
      <c r="AD173" s="551"/>
      <c r="AE173" s="448"/>
      <c r="AF173" s="551"/>
      <c r="AG173" s="448"/>
      <c r="AH173" s="551"/>
      <c r="AI173" s="448"/>
      <c r="AJ173" s="551"/>
      <c r="AK173" s="448"/>
      <c r="AL173" s="551"/>
      <c r="AM173" s="448"/>
      <c r="AN173" s="551"/>
      <c r="AO173" s="448"/>
      <c r="AP173" s="551"/>
      <c r="AQ173" s="448"/>
      <c r="AR173" s="551"/>
      <c r="AS173" s="448"/>
      <c r="AT173" s="551"/>
      <c r="AU173" s="448"/>
      <c r="AV173" s="551"/>
      <c r="AW173" s="448"/>
      <c r="AX173" s="551"/>
    </row>
    <row r="174" spans="1:50" ht="14" x14ac:dyDescent="0.3">
      <c r="A174" s="448"/>
      <c r="B174" s="551"/>
      <c r="C174" s="448"/>
      <c r="D174" s="551"/>
      <c r="E174" s="448"/>
      <c r="F174" s="551"/>
      <c r="G174" s="448"/>
      <c r="H174" s="551"/>
      <c r="I174" s="448"/>
      <c r="J174" s="551"/>
      <c r="K174" s="448"/>
      <c r="L174" s="551"/>
      <c r="M174" s="448"/>
      <c r="N174" s="551"/>
      <c r="O174" s="448"/>
      <c r="P174" s="551"/>
      <c r="Q174" s="448"/>
      <c r="R174" s="551"/>
      <c r="S174" s="448"/>
      <c r="T174" s="551"/>
      <c r="U174" s="448"/>
      <c r="V174" s="551"/>
      <c r="W174" s="448"/>
      <c r="X174" s="551"/>
      <c r="Y174" s="448"/>
      <c r="Z174" s="551"/>
      <c r="AA174" s="448"/>
      <c r="AB174" s="551"/>
      <c r="AC174" s="448"/>
      <c r="AD174" s="551"/>
      <c r="AE174" s="448"/>
      <c r="AF174" s="551"/>
      <c r="AG174" s="448"/>
      <c r="AH174" s="551"/>
      <c r="AI174" s="448"/>
      <c r="AJ174" s="551"/>
      <c r="AK174" s="448"/>
      <c r="AL174" s="551"/>
      <c r="AM174" s="448"/>
      <c r="AN174" s="551"/>
      <c r="AO174" s="448"/>
      <c r="AP174" s="551"/>
      <c r="AQ174" s="448"/>
      <c r="AR174" s="551"/>
      <c r="AS174" s="448"/>
      <c r="AT174" s="551"/>
      <c r="AU174" s="448"/>
      <c r="AV174" s="551"/>
      <c r="AW174" s="448"/>
      <c r="AX174" s="551"/>
    </row>
    <row r="175" spans="1:50" ht="14" x14ac:dyDescent="0.3">
      <c r="A175" s="448"/>
      <c r="B175" s="551"/>
      <c r="C175" s="448"/>
      <c r="D175" s="551"/>
      <c r="E175" s="448"/>
      <c r="F175" s="551"/>
      <c r="G175" s="448"/>
      <c r="H175" s="551"/>
      <c r="I175" s="448"/>
      <c r="J175" s="551"/>
      <c r="K175" s="448"/>
      <c r="L175" s="551"/>
      <c r="M175" s="448"/>
      <c r="N175" s="551"/>
      <c r="O175" s="448"/>
      <c r="P175" s="551"/>
      <c r="Q175" s="448"/>
      <c r="R175" s="551"/>
      <c r="S175" s="448"/>
      <c r="T175" s="551"/>
      <c r="U175" s="448"/>
      <c r="V175" s="551"/>
      <c r="W175" s="448"/>
      <c r="X175" s="551"/>
      <c r="Y175" s="448"/>
      <c r="Z175" s="551"/>
      <c r="AA175" s="448"/>
      <c r="AB175" s="551"/>
      <c r="AC175" s="448"/>
      <c r="AD175" s="551"/>
      <c r="AE175" s="448"/>
      <c r="AF175" s="551"/>
      <c r="AG175" s="448"/>
      <c r="AH175" s="551"/>
      <c r="AI175" s="448"/>
      <c r="AJ175" s="551"/>
      <c r="AK175" s="448"/>
      <c r="AL175" s="551"/>
      <c r="AM175" s="448"/>
      <c r="AN175" s="551"/>
      <c r="AO175" s="448"/>
      <c r="AP175" s="551"/>
      <c r="AQ175" s="448"/>
      <c r="AR175" s="551"/>
      <c r="AS175" s="448"/>
      <c r="AT175" s="551"/>
      <c r="AU175" s="448"/>
      <c r="AV175" s="551"/>
      <c r="AW175" s="448"/>
      <c r="AX175" s="551"/>
    </row>
    <row r="176" spans="1:50" ht="14" x14ac:dyDescent="0.3">
      <c r="A176" s="448"/>
      <c r="B176" s="551"/>
      <c r="C176" s="448"/>
      <c r="D176" s="551"/>
      <c r="E176" s="448"/>
      <c r="F176" s="551"/>
      <c r="G176" s="448"/>
      <c r="H176" s="551"/>
      <c r="I176" s="448"/>
      <c r="J176" s="551"/>
      <c r="K176" s="448"/>
      <c r="L176" s="551"/>
      <c r="M176" s="448"/>
      <c r="N176" s="551"/>
      <c r="O176" s="448"/>
      <c r="P176" s="551"/>
      <c r="Q176" s="448"/>
      <c r="R176" s="551"/>
      <c r="S176" s="448"/>
      <c r="T176" s="551"/>
      <c r="U176" s="448"/>
      <c r="V176" s="551"/>
      <c r="W176" s="448"/>
      <c r="X176" s="551"/>
      <c r="Y176" s="448"/>
      <c r="Z176" s="551"/>
      <c r="AA176" s="448"/>
      <c r="AB176" s="551"/>
      <c r="AC176" s="448"/>
      <c r="AD176" s="551"/>
      <c r="AE176" s="448"/>
      <c r="AF176" s="551"/>
      <c r="AG176" s="448"/>
      <c r="AH176" s="551"/>
      <c r="AI176" s="448"/>
      <c r="AJ176" s="551"/>
      <c r="AK176" s="448"/>
      <c r="AL176" s="551"/>
      <c r="AM176" s="448"/>
      <c r="AN176" s="551"/>
      <c r="AO176" s="448"/>
      <c r="AP176" s="551"/>
      <c r="AQ176" s="448"/>
      <c r="AR176" s="551"/>
      <c r="AS176" s="448"/>
      <c r="AT176" s="551"/>
      <c r="AU176" s="448"/>
      <c r="AV176" s="551"/>
      <c r="AW176" s="448"/>
      <c r="AX176" s="551"/>
    </row>
    <row r="177" spans="1:50" ht="14" x14ac:dyDescent="0.3">
      <c r="A177" s="448"/>
      <c r="B177" s="551"/>
      <c r="C177" s="448"/>
      <c r="D177" s="551"/>
      <c r="E177" s="448"/>
      <c r="F177" s="551"/>
      <c r="G177" s="448"/>
      <c r="H177" s="551"/>
      <c r="I177" s="448"/>
      <c r="J177" s="551"/>
      <c r="K177" s="448"/>
      <c r="L177" s="551"/>
      <c r="M177" s="448"/>
      <c r="N177" s="551"/>
      <c r="O177" s="448"/>
      <c r="P177" s="551"/>
      <c r="Q177" s="448"/>
      <c r="R177" s="551"/>
      <c r="S177" s="448"/>
      <c r="T177" s="551"/>
      <c r="U177" s="448"/>
      <c r="V177" s="551"/>
      <c r="W177" s="448"/>
      <c r="X177" s="551"/>
      <c r="Y177" s="448"/>
      <c r="Z177" s="551"/>
      <c r="AA177" s="448"/>
      <c r="AB177" s="551"/>
      <c r="AC177" s="448"/>
      <c r="AD177" s="551"/>
      <c r="AE177" s="448"/>
      <c r="AF177" s="551"/>
      <c r="AG177" s="448"/>
      <c r="AH177" s="551"/>
      <c r="AI177" s="448"/>
      <c r="AJ177" s="551"/>
      <c r="AK177" s="448"/>
      <c r="AL177" s="551"/>
      <c r="AM177" s="448"/>
      <c r="AN177" s="551"/>
      <c r="AO177" s="448"/>
      <c r="AP177" s="551"/>
      <c r="AQ177" s="448"/>
      <c r="AR177" s="551"/>
      <c r="AS177" s="448"/>
      <c r="AT177" s="551"/>
      <c r="AU177" s="448"/>
      <c r="AV177" s="551"/>
      <c r="AW177" s="448"/>
      <c r="AX177" s="551"/>
    </row>
    <row r="178" spans="1:50" ht="14" x14ac:dyDescent="0.3">
      <c r="A178" s="448"/>
      <c r="B178" s="551"/>
      <c r="C178" s="448"/>
      <c r="D178" s="551"/>
      <c r="E178" s="448"/>
      <c r="F178" s="551"/>
      <c r="G178" s="448"/>
      <c r="H178" s="551"/>
      <c r="I178" s="448"/>
      <c r="J178" s="551"/>
      <c r="K178" s="448"/>
      <c r="L178" s="551"/>
      <c r="M178" s="448"/>
      <c r="N178" s="551"/>
      <c r="O178" s="448"/>
      <c r="P178" s="551"/>
      <c r="Q178" s="448"/>
      <c r="R178" s="551"/>
      <c r="S178" s="448"/>
      <c r="T178" s="551"/>
      <c r="U178" s="448"/>
      <c r="V178" s="551"/>
      <c r="W178" s="448"/>
      <c r="X178" s="551"/>
      <c r="Y178" s="448"/>
      <c r="Z178" s="551"/>
      <c r="AA178" s="448"/>
      <c r="AB178" s="551"/>
      <c r="AC178" s="448"/>
      <c r="AD178" s="551"/>
      <c r="AE178" s="448"/>
      <c r="AF178" s="551"/>
      <c r="AG178" s="448"/>
      <c r="AH178" s="551"/>
      <c r="AI178" s="448"/>
      <c r="AJ178" s="551"/>
      <c r="AK178" s="448"/>
      <c r="AL178" s="551"/>
      <c r="AM178" s="448"/>
      <c r="AN178" s="551"/>
      <c r="AO178" s="448"/>
      <c r="AP178" s="551"/>
      <c r="AQ178" s="448"/>
      <c r="AR178" s="551"/>
      <c r="AS178" s="448"/>
      <c r="AT178" s="551"/>
      <c r="AU178" s="448"/>
      <c r="AV178" s="551"/>
      <c r="AW178" s="448"/>
      <c r="AX178" s="551"/>
    </row>
    <row r="179" spans="1:50" ht="14" x14ac:dyDescent="0.3">
      <c r="A179" s="448"/>
      <c r="B179" s="551"/>
      <c r="C179" s="448"/>
      <c r="D179" s="551"/>
      <c r="E179" s="448"/>
      <c r="F179" s="551"/>
      <c r="G179" s="448"/>
      <c r="H179" s="551"/>
      <c r="I179" s="448"/>
      <c r="J179" s="551"/>
      <c r="K179" s="448"/>
      <c r="L179" s="551"/>
      <c r="M179" s="448"/>
      <c r="N179" s="551"/>
      <c r="O179" s="448"/>
      <c r="P179" s="551"/>
      <c r="Q179" s="448"/>
      <c r="R179" s="551"/>
      <c r="S179" s="448"/>
      <c r="T179" s="551"/>
      <c r="U179" s="448"/>
      <c r="V179" s="551"/>
      <c r="W179" s="448"/>
      <c r="X179" s="551"/>
      <c r="Y179" s="448"/>
      <c r="Z179" s="551"/>
      <c r="AA179" s="448"/>
      <c r="AB179" s="551"/>
      <c r="AC179" s="448"/>
      <c r="AD179" s="551"/>
      <c r="AE179" s="448"/>
      <c r="AF179" s="551"/>
      <c r="AG179" s="448"/>
      <c r="AH179" s="551"/>
      <c r="AI179" s="448"/>
      <c r="AJ179" s="551"/>
      <c r="AK179" s="448"/>
      <c r="AL179" s="551"/>
      <c r="AM179" s="448"/>
      <c r="AN179" s="551"/>
      <c r="AO179" s="448"/>
      <c r="AP179" s="551"/>
      <c r="AQ179" s="448"/>
      <c r="AR179" s="551"/>
      <c r="AS179" s="448"/>
      <c r="AT179" s="551"/>
      <c r="AU179" s="448"/>
      <c r="AV179" s="551"/>
      <c r="AW179" s="448"/>
      <c r="AX179" s="551"/>
    </row>
    <row r="180" spans="1:50" ht="14" x14ac:dyDescent="0.3">
      <c r="A180" s="448"/>
      <c r="B180" s="551"/>
      <c r="C180" s="448"/>
      <c r="D180" s="551"/>
      <c r="E180" s="448"/>
      <c r="F180" s="551"/>
      <c r="G180" s="448"/>
      <c r="H180" s="551"/>
      <c r="I180" s="448"/>
      <c r="J180" s="551"/>
      <c r="K180" s="448"/>
      <c r="L180" s="551"/>
      <c r="M180" s="448"/>
      <c r="N180" s="551"/>
      <c r="O180" s="448"/>
      <c r="P180" s="551"/>
      <c r="Q180" s="448"/>
      <c r="R180" s="551"/>
      <c r="S180" s="448"/>
      <c r="T180" s="551"/>
      <c r="U180" s="448"/>
      <c r="V180" s="551"/>
      <c r="W180" s="448"/>
      <c r="X180" s="551"/>
      <c r="Y180" s="448"/>
      <c r="Z180" s="551"/>
      <c r="AA180" s="448"/>
      <c r="AB180" s="551"/>
      <c r="AC180" s="448"/>
      <c r="AD180" s="551"/>
      <c r="AE180" s="448"/>
      <c r="AF180" s="551"/>
      <c r="AG180" s="448"/>
      <c r="AH180" s="551"/>
      <c r="AI180" s="448"/>
      <c r="AJ180" s="551"/>
      <c r="AK180" s="448"/>
      <c r="AL180" s="551"/>
      <c r="AM180" s="448"/>
      <c r="AN180" s="551"/>
      <c r="AO180" s="448"/>
      <c r="AP180" s="551"/>
      <c r="AQ180" s="448"/>
      <c r="AR180" s="551"/>
      <c r="AS180" s="448"/>
      <c r="AT180" s="551"/>
      <c r="AU180" s="448"/>
      <c r="AV180" s="551"/>
      <c r="AW180" s="448"/>
      <c r="AX180" s="551"/>
    </row>
    <row r="181" spans="1:50" ht="14" x14ac:dyDescent="0.3">
      <c r="A181" s="448"/>
      <c r="B181" s="551"/>
      <c r="C181" s="448"/>
      <c r="D181" s="551"/>
      <c r="E181" s="448"/>
      <c r="F181" s="551"/>
      <c r="G181" s="448"/>
      <c r="H181" s="551"/>
      <c r="I181" s="448"/>
      <c r="J181" s="551"/>
      <c r="K181" s="448"/>
      <c r="L181" s="551"/>
      <c r="M181" s="448"/>
      <c r="N181" s="551"/>
      <c r="O181" s="448"/>
      <c r="P181" s="551"/>
      <c r="Q181" s="448"/>
      <c r="R181" s="551"/>
      <c r="S181" s="448"/>
      <c r="T181" s="551"/>
      <c r="U181" s="448"/>
      <c r="V181" s="551"/>
      <c r="W181" s="448"/>
      <c r="X181" s="551"/>
      <c r="Y181" s="448"/>
      <c r="Z181" s="551"/>
      <c r="AA181" s="448"/>
      <c r="AB181" s="551"/>
      <c r="AC181" s="448"/>
      <c r="AD181" s="551"/>
      <c r="AE181" s="448"/>
      <c r="AF181" s="551"/>
      <c r="AG181" s="448"/>
      <c r="AH181" s="551"/>
      <c r="AI181" s="448"/>
      <c r="AJ181" s="551"/>
      <c r="AK181" s="448"/>
      <c r="AL181" s="551"/>
      <c r="AM181" s="448"/>
      <c r="AN181" s="551"/>
      <c r="AO181" s="448"/>
      <c r="AP181" s="551"/>
      <c r="AQ181" s="448"/>
      <c r="AR181" s="551"/>
      <c r="AS181" s="448"/>
      <c r="AT181" s="551"/>
      <c r="AU181" s="448"/>
      <c r="AV181" s="551"/>
      <c r="AW181" s="448"/>
      <c r="AX181" s="551"/>
    </row>
    <row r="182" spans="1:50" ht="14" x14ac:dyDescent="0.3">
      <c r="A182" s="448"/>
      <c r="B182" s="551"/>
      <c r="C182" s="448"/>
      <c r="D182" s="551"/>
      <c r="E182" s="448"/>
      <c r="F182" s="551"/>
      <c r="G182" s="448"/>
      <c r="H182" s="551"/>
      <c r="I182" s="448"/>
      <c r="J182" s="551"/>
      <c r="K182" s="448"/>
      <c r="L182" s="551"/>
      <c r="M182" s="448"/>
      <c r="N182" s="551"/>
      <c r="O182" s="448"/>
      <c r="P182" s="551"/>
      <c r="Q182" s="448"/>
      <c r="R182" s="551"/>
      <c r="S182" s="448"/>
      <c r="T182" s="551"/>
      <c r="U182" s="448"/>
      <c r="V182" s="551"/>
      <c r="W182" s="448"/>
      <c r="X182" s="551"/>
      <c r="Y182" s="448"/>
      <c r="Z182" s="551"/>
      <c r="AA182" s="448"/>
      <c r="AB182" s="551"/>
      <c r="AC182" s="448"/>
      <c r="AD182" s="551"/>
      <c r="AE182" s="448"/>
      <c r="AF182" s="551"/>
      <c r="AG182" s="448"/>
      <c r="AH182" s="551"/>
      <c r="AI182" s="448"/>
      <c r="AJ182" s="551"/>
      <c r="AK182" s="448"/>
      <c r="AL182" s="551"/>
      <c r="AM182" s="448"/>
      <c r="AN182" s="551"/>
      <c r="AO182" s="448"/>
      <c r="AP182" s="551"/>
      <c r="AQ182" s="448"/>
      <c r="AR182" s="551"/>
      <c r="AS182" s="448"/>
      <c r="AT182" s="551"/>
      <c r="AU182" s="448"/>
      <c r="AV182" s="551"/>
      <c r="AW182" s="448"/>
      <c r="AX182" s="551"/>
    </row>
    <row r="183" spans="1:50" ht="14" x14ac:dyDescent="0.3">
      <c r="A183" s="448"/>
      <c r="B183" s="551"/>
      <c r="C183" s="448"/>
      <c r="D183" s="551"/>
      <c r="E183" s="448"/>
      <c r="F183" s="551"/>
      <c r="G183" s="448"/>
      <c r="H183" s="551"/>
      <c r="I183" s="448"/>
      <c r="J183" s="551"/>
      <c r="K183" s="448"/>
      <c r="L183" s="551"/>
      <c r="M183" s="448"/>
      <c r="N183" s="551"/>
      <c r="O183" s="448"/>
      <c r="P183" s="551"/>
      <c r="Q183" s="448"/>
      <c r="R183" s="551"/>
      <c r="S183" s="448"/>
      <c r="T183" s="551"/>
      <c r="U183" s="448"/>
      <c r="V183" s="551"/>
      <c r="W183" s="448"/>
      <c r="X183" s="551"/>
      <c r="Y183" s="448"/>
      <c r="Z183" s="551"/>
      <c r="AA183" s="448"/>
      <c r="AB183" s="551"/>
      <c r="AC183" s="448"/>
      <c r="AD183" s="551"/>
      <c r="AE183" s="448"/>
      <c r="AF183" s="551"/>
      <c r="AG183" s="448"/>
      <c r="AH183" s="551"/>
      <c r="AI183" s="448"/>
      <c r="AJ183" s="551"/>
      <c r="AK183" s="448"/>
      <c r="AL183" s="551"/>
      <c r="AM183" s="448"/>
      <c r="AN183" s="551"/>
      <c r="AO183" s="448"/>
      <c r="AP183" s="551"/>
      <c r="AQ183" s="448"/>
      <c r="AR183" s="551"/>
      <c r="AS183" s="448"/>
      <c r="AT183" s="551"/>
      <c r="AU183" s="448"/>
      <c r="AV183" s="551"/>
      <c r="AW183" s="448"/>
      <c r="AX183" s="551"/>
    </row>
    <row r="184" spans="1:50" ht="14" x14ac:dyDescent="0.3">
      <c r="A184" s="448"/>
      <c r="B184" s="551"/>
      <c r="C184" s="448"/>
      <c r="D184" s="551"/>
      <c r="E184" s="448"/>
      <c r="F184" s="551"/>
      <c r="G184" s="448"/>
      <c r="H184" s="551"/>
      <c r="I184" s="448"/>
      <c r="J184" s="551"/>
      <c r="K184" s="448"/>
      <c r="L184" s="551"/>
      <c r="M184" s="448"/>
      <c r="N184" s="551"/>
      <c r="O184" s="448"/>
      <c r="P184" s="551"/>
      <c r="Q184" s="448"/>
      <c r="R184" s="551"/>
      <c r="S184" s="448"/>
      <c r="T184" s="551"/>
      <c r="U184" s="448"/>
      <c r="V184" s="551"/>
      <c r="W184" s="448"/>
      <c r="X184" s="551"/>
      <c r="Y184" s="448"/>
      <c r="Z184" s="551"/>
      <c r="AA184" s="448"/>
      <c r="AB184" s="551"/>
      <c r="AC184" s="448"/>
      <c r="AD184" s="551"/>
      <c r="AE184" s="448"/>
      <c r="AF184" s="551"/>
      <c r="AG184" s="448"/>
      <c r="AH184" s="551"/>
      <c r="AI184" s="448"/>
      <c r="AJ184" s="551"/>
      <c r="AK184" s="448"/>
      <c r="AL184" s="551"/>
      <c r="AM184" s="448"/>
      <c r="AN184" s="551"/>
      <c r="AO184" s="448"/>
      <c r="AP184" s="551"/>
      <c r="AQ184" s="448"/>
      <c r="AR184" s="551"/>
      <c r="AS184" s="448"/>
      <c r="AT184" s="551"/>
      <c r="AU184" s="448"/>
      <c r="AV184" s="551"/>
      <c r="AW184" s="448"/>
      <c r="AX184" s="551"/>
    </row>
    <row r="185" spans="1:50" ht="14" x14ac:dyDescent="0.3">
      <c r="A185" s="448"/>
      <c r="B185" s="551"/>
      <c r="C185" s="448"/>
      <c r="D185" s="551"/>
      <c r="E185" s="448"/>
      <c r="F185" s="551"/>
      <c r="G185" s="448"/>
      <c r="H185" s="551"/>
      <c r="I185" s="448"/>
      <c r="J185" s="551"/>
      <c r="K185" s="448"/>
      <c r="L185" s="551"/>
      <c r="M185" s="448"/>
      <c r="N185" s="551"/>
      <c r="O185" s="448"/>
      <c r="P185" s="551"/>
      <c r="Q185" s="448"/>
      <c r="R185" s="551"/>
      <c r="S185" s="448"/>
      <c r="T185" s="551"/>
      <c r="U185" s="448"/>
      <c r="V185" s="551"/>
      <c r="W185" s="448"/>
      <c r="X185" s="551"/>
      <c r="Y185" s="448"/>
      <c r="Z185" s="551"/>
      <c r="AA185" s="448"/>
      <c r="AB185" s="551"/>
      <c r="AC185" s="448"/>
      <c r="AD185" s="551"/>
      <c r="AE185" s="448"/>
      <c r="AF185" s="551"/>
      <c r="AG185" s="448"/>
      <c r="AH185" s="551"/>
      <c r="AI185" s="448"/>
      <c r="AJ185" s="551"/>
      <c r="AK185" s="448"/>
      <c r="AL185" s="551"/>
      <c r="AM185" s="448"/>
      <c r="AN185" s="551"/>
      <c r="AO185" s="448"/>
      <c r="AP185" s="551"/>
      <c r="AQ185" s="448"/>
      <c r="AR185" s="551"/>
      <c r="AS185" s="448"/>
      <c r="AT185" s="551"/>
      <c r="AU185" s="448"/>
      <c r="AV185" s="551"/>
      <c r="AW185" s="448"/>
      <c r="AX185" s="551"/>
    </row>
    <row r="186" spans="1:50" ht="14" x14ac:dyDescent="0.3">
      <c r="A186" s="448"/>
      <c r="B186" s="551"/>
      <c r="C186" s="448"/>
      <c r="D186" s="551"/>
      <c r="E186" s="448"/>
      <c r="F186" s="551"/>
      <c r="G186" s="448"/>
      <c r="H186" s="551"/>
      <c r="I186" s="448"/>
      <c r="J186" s="551"/>
      <c r="K186" s="448"/>
      <c r="L186" s="551"/>
      <c r="M186" s="448"/>
      <c r="N186" s="551"/>
      <c r="O186" s="448"/>
      <c r="P186" s="551"/>
      <c r="Q186" s="448"/>
      <c r="R186" s="551"/>
      <c r="S186" s="448"/>
      <c r="T186" s="551"/>
      <c r="U186" s="448"/>
      <c r="V186" s="551"/>
      <c r="W186" s="448"/>
      <c r="X186" s="551"/>
      <c r="Y186" s="448"/>
      <c r="Z186" s="551"/>
      <c r="AA186" s="448"/>
      <c r="AB186" s="551"/>
      <c r="AC186" s="448"/>
      <c r="AD186" s="551"/>
      <c r="AE186" s="448"/>
      <c r="AF186" s="551"/>
      <c r="AG186" s="448"/>
      <c r="AH186" s="551"/>
      <c r="AI186" s="448"/>
      <c r="AJ186" s="551"/>
      <c r="AK186" s="448"/>
      <c r="AL186" s="551"/>
      <c r="AM186" s="448"/>
      <c r="AN186" s="551"/>
      <c r="AO186" s="448"/>
      <c r="AP186" s="551"/>
      <c r="AQ186" s="448"/>
      <c r="AR186" s="551"/>
      <c r="AS186" s="448"/>
      <c r="AT186" s="551"/>
      <c r="AU186" s="448"/>
      <c r="AV186" s="551"/>
      <c r="AW186" s="448"/>
      <c r="AX186" s="551"/>
    </row>
    <row r="187" spans="1:50" ht="14" x14ac:dyDescent="0.3">
      <c r="A187" s="448"/>
      <c r="B187" s="551"/>
      <c r="C187" s="448"/>
      <c r="D187" s="551"/>
      <c r="E187" s="448"/>
      <c r="F187" s="551"/>
      <c r="G187" s="448"/>
      <c r="H187" s="551"/>
      <c r="I187" s="448"/>
      <c r="J187" s="551"/>
      <c r="K187" s="448"/>
      <c r="L187" s="551"/>
      <c r="M187" s="448"/>
      <c r="N187" s="551"/>
      <c r="O187" s="448"/>
      <c r="P187" s="551"/>
      <c r="Q187" s="448"/>
      <c r="R187" s="551"/>
      <c r="S187" s="448"/>
      <c r="T187" s="551"/>
      <c r="U187" s="448"/>
      <c r="V187" s="551"/>
      <c r="W187" s="448"/>
      <c r="X187" s="551"/>
      <c r="Y187" s="448"/>
      <c r="Z187" s="551"/>
      <c r="AA187" s="448"/>
      <c r="AB187" s="551"/>
      <c r="AC187" s="448"/>
      <c r="AD187" s="551"/>
      <c r="AE187" s="448"/>
      <c r="AF187" s="551"/>
      <c r="AG187" s="448"/>
      <c r="AH187" s="551"/>
      <c r="AI187" s="448"/>
      <c r="AJ187" s="551"/>
      <c r="AK187" s="448"/>
      <c r="AL187" s="551"/>
      <c r="AM187" s="448"/>
      <c r="AN187" s="551"/>
      <c r="AO187" s="448"/>
      <c r="AP187" s="551"/>
      <c r="AQ187" s="448"/>
      <c r="AR187" s="551"/>
      <c r="AS187" s="448"/>
      <c r="AT187" s="551"/>
      <c r="AU187" s="448"/>
      <c r="AV187" s="551"/>
      <c r="AW187" s="448"/>
      <c r="AX187" s="551"/>
    </row>
    <row r="188" spans="1:50" ht="14" x14ac:dyDescent="0.3">
      <c r="A188" s="448"/>
      <c r="B188" s="551"/>
      <c r="C188" s="448"/>
      <c r="D188" s="551"/>
      <c r="E188" s="448"/>
      <c r="F188" s="551"/>
      <c r="G188" s="448"/>
      <c r="H188" s="551"/>
      <c r="I188" s="448"/>
      <c r="J188" s="551"/>
      <c r="K188" s="448"/>
      <c r="L188" s="551"/>
      <c r="M188" s="448"/>
      <c r="N188" s="551"/>
      <c r="O188" s="448"/>
      <c r="P188" s="551"/>
      <c r="Q188" s="448"/>
      <c r="R188" s="551"/>
      <c r="S188" s="448"/>
      <c r="T188" s="551"/>
      <c r="U188" s="448"/>
      <c r="V188" s="551"/>
      <c r="W188" s="448"/>
      <c r="X188" s="551"/>
      <c r="Y188" s="448"/>
      <c r="Z188" s="551"/>
      <c r="AA188" s="448"/>
      <c r="AB188" s="551"/>
      <c r="AC188" s="448"/>
      <c r="AD188" s="551"/>
      <c r="AE188" s="448"/>
      <c r="AF188" s="551"/>
      <c r="AG188" s="448"/>
      <c r="AH188" s="551"/>
      <c r="AI188" s="448"/>
      <c r="AJ188" s="551"/>
      <c r="AK188" s="448"/>
      <c r="AL188" s="551"/>
      <c r="AM188" s="448"/>
      <c r="AN188" s="551"/>
      <c r="AO188" s="448"/>
      <c r="AP188" s="551"/>
      <c r="AQ188" s="448"/>
      <c r="AR188" s="551"/>
      <c r="AS188" s="448"/>
      <c r="AT188" s="551"/>
      <c r="AU188" s="448"/>
      <c r="AV188" s="551"/>
      <c r="AW188" s="448"/>
      <c r="AX188" s="551"/>
    </row>
    <row r="189" spans="1:50" ht="14" x14ac:dyDescent="0.3">
      <c r="A189" s="448"/>
      <c r="B189" s="551"/>
      <c r="C189" s="448"/>
      <c r="D189" s="551"/>
      <c r="E189" s="448"/>
      <c r="F189" s="551"/>
      <c r="G189" s="448"/>
      <c r="H189" s="551"/>
      <c r="I189" s="448"/>
      <c r="J189" s="551"/>
      <c r="K189" s="448"/>
      <c r="L189" s="551"/>
      <c r="M189" s="448"/>
      <c r="N189" s="551"/>
      <c r="O189" s="448"/>
      <c r="P189" s="551"/>
      <c r="Q189" s="448"/>
      <c r="R189" s="551"/>
      <c r="S189" s="448"/>
      <c r="T189" s="551"/>
      <c r="U189" s="448"/>
      <c r="V189" s="551"/>
      <c r="W189" s="448"/>
      <c r="X189" s="551"/>
      <c r="Y189" s="448"/>
      <c r="Z189" s="551"/>
      <c r="AA189" s="448"/>
      <c r="AB189" s="551"/>
      <c r="AC189" s="448"/>
      <c r="AD189" s="551"/>
      <c r="AE189" s="448"/>
      <c r="AF189" s="551"/>
      <c r="AG189" s="448"/>
      <c r="AH189" s="551"/>
      <c r="AI189" s="448"/>
      <c r="AJ189" s="551"/>
      <c r="AK189" s="448"/>
      <c r="AL189" s="551"/>
      <c r="AM189" s="448"/>
      <c r="AN189" s="551"/>
      <c r="AO189" s="448"/>
      <c r="AP189" s="551"/>
      <c r="AQ189" s="448"/>
      <c r="AR189" s="551"/>
      <c r="AS189" s="448"/>
      <c r="AT189" s="551"/>
      <c r="AU189" s="448"/>
      <c r="AV189" s="551"/>
      <c r="AW189" s="448"/>
      <c r="AX189" s="551"/>
    </row>
    <row r="190" spans="1:50" ht="14" x14ac:dyDescent="0.3">
      <c r="A190" s="448"/>
      <c r="B190" s="551"/>
      <c r="C190" s="448"/>
      <c r="D190" s="551"/>
      <c r="E190" s="448"/>
      <c r="F190" s="551"/>
      <c r="G190" s="448"/>
      <c r="H190" s="551"/>
      <c r="I190" s="448"/>
      <c r="J190" s="551"/>
      <c r="K190" s="448"/>
      <c r="L190" s="551"/>
      <c r="M190" s="448"/>
      <c r="N190" s="551"/>
      <c r="O190" s="448"/>
      <c r="P190" s="551"/>
      <c r="Q190" s="448"/>
      <c r="R190" s="551"/>
      <c r="S190" s="448"/>
      <c r="T190" s="551"/>
      <c r="U190" s="448"/>
      <c r="V190" s="551"/>
      <c r="W190" s="448"/>
      <c r="X190" s="551"/>
      <c r="Y190" s="448"/>
      <c r="Z190" s="551"/>
      <c r="AA190" s="448"/>
      <c r="AB190" s="551"/>
      <c r="AC190" s="448"/>
      <c r="AD190" s="551"/>
      <c r="AE190" s="448"/>
      <c r="AF190" s="551"/>
      <c r="AG190" s="448"/>
      <c r="AH190" s="551"/>
      <c r="AI190" s="448"/>
      <c r="AJ190" s="551"/>
      <c r="AK190" s="448"/>
      <c r="AL190" s="551"/>
      <c r="AM190" s="448"/>
      <c r="AN190" s="551"/>
      <c r="AO190" s="448"/>
      <c r="AP190" s="551"/>
      <c r="AQ190" s="448"/>
      <c r="AR190" s="551"/>
      <c r="AS190" s="448"/>
      <c r="AT190" s="551"/>
      <c r="AU190" s="448"/>
      <c r="AV190" s="551"/>
      <c r="AW190" s="448"/>
      <c r="AX190" s="551"/>
    </row>
    <row r="191" spans="1:50" ht="14" x14ac:dyDescent="0.3">
      <c r="A191" s="448"/>
      <c r="B191" s="551"/>
      <c r="C191" s="448"/>
      <c r="D191" s="551"/>
      <c r="E191" s="448"/>
      <c r="F191" s="551"/>
      <c r="G191" s="448"/>
      <c r="H191" s="551"/>
      <c r="I191" s="448"/>
      <c r="J191" s="551"/>
      <c r="K191" s="448"/>
      <c r="L191" s="551"/>
      <c r="M191" s="448"/>
      <c r="N191" s="551"/>
      <c r="O191" s="448"/>
      <c r="P191" s="551"/>
      <c r="Q191" s="448"/>
      <c r="R191" s="551"/>
      <c r="S191" s="448"/>
      <c r="T191" s="551"/>
      <c r="U191" s="448"/>
      <c r="V191" s="551"/>
      <c r="W191" s="448"/>
      <c r="X191" s="551"/>
      <c r="Y191" s="448"/>
      <c r="Z191" s="551"/>
      <c r="AA191" s="448"/>
      <c r="AB191" s="551"/>
      <c r="AC191" s="448"/>
      <c r="AD191" s="551"/>
      <c r="AE191" s="448"/>
      <c r="AF191" s="551"/>
      <c r="AG191" s="448"/>
      <c r="AH191" s="551"/>
      <c r="AI191" s="448"/>
      <c r="AJ191" s="551"/>
      <c r="AK191" s="448"/>
      <c r="AL191" s="551"/>
      <c r="AM191" s="448"/>
      <c r="AN191" s="551"/>
      <c r="AO191" s="448"/>
      <c r="AP191" s="551"/>
      <c r="AQ191" s="448"/>
      <c r="AR191" s="551"/>
      <c r="AS191" s="448"/>
      <c r="AT191" s="551"/>
      <c r="AU191" s="448"/>
      <c r="AV191" s="551"/>
      <c r="AW191" s="448"/>
      <c r="AX191" s="551"/>
    </row>
    <row r="192" spans="1:50" ht="14" x14ac:dyDescent="0.3">
      <c r="A192" s="448"/>
      <c r="B192" s="551"/>
      <c r="C192" s="448"/>
      <c r="D192" s="551"/>
      <c r="E192" s="448"/>
      <c r="F192" s="551"/>
      <c r="G192" s="448"/>
      <c r="H192" s="551"/>
      <c r="I192" s="448"/>
      <c r="J192" s="551"/>
      <c r="K192" s="448"/>
      <c r="L192" s="551"/>
      <c r="M192" s="448"/>
      <c r="N192" s="551"/>
      <c r="O192" s="448"/>
      <c r="P192" s="551"/>
      <c r="Q192" s="448"/>
      <c r="R192" s="551"/>
      <c r="S192" s="448"/>
      <c r="T192" s="551"/>
      <c r="U192" s="448"/>
      <c r="V192" s="551"/>
      <c r="W192" s="448"/>
      <c r="X192" s="551"/>
      <c r="Y192" s="448"/>
      <c r="Z192" s="551"/>
      <c r="AA192" s="448"/>
      <c r="AB192" s="551"/>
      <c r="AC192" s="448"/>
      <c r="AD192" s="551"/>
      <c r="AE192" s="448"/>
      <c r="AF192" s="551"/>
      <c r="AG192" s="448"/>
      <c r="AH192" s="551"/>
      <c r="AI192" s="448"/>
      <c r="AJ192" s="551"/>
      <c r="AK192" s="448"/>
      <c r="AL192" s="551"/>
      <c r="AM192" s="448"/>
      <c r="AN192" s="551"/>
      <c r="AO192" s="448"/>
      <c r="AP192" s="551"/>
      <c r="AQ192" s="448"/>
      <c r="AR192" s="551"/>
      <c r="AS192" s="448"/>
      <c r="AT192" s="551"/>
      <c r="AU192" s="448"/>
      <c r="AV192" s="551"/>
      <c r="AW192" s="448"/>
      <c r="AX192" s="551"/>
    </row>
    <row r="193" spans="1:50" ht="14" x14ac:dyDescent="0.3">
      <c r="A193" s="448"/>
      <c r="B193" s="551"/>
      <c r="C193" s="448"/>
      <c r="D193" s="551"/>
      <c r="E193" s="448"/>
      <c r="F193" s="551"/>
      <c r="G193" s="448"/>
      <c r="H193" s="551"/>
      <c r="I193" s="448"/>
      <c r="J193" s="551"/>
      <c r="K193" s="448"/>
      <c r="L193" s="551"/>
      <c r="M193" s="448"/>
      <c r="N193" s="551"/>
      <c r="O193" s="448"/>
      <c r="P193" s="551"/>
      <c r="Q193" s="448"/>
      <c r="R193" s="551"/>
      <c r="S193" s="448"/>
      <c r="T193" s="551"/>
      <c r="U193" s="448"/>
      <c r="V193" s="551"/>
      <c r="W193" s="448"/>
      <c r="X193" s="551"/>
      <c r="Y193" s="448"/>
      <c r="Z193" s="551"/>
      <c r="AA193" s="448"/>
      <c r="AB193" s="551"/>
      <c r="AC193" s="448"/>
      <c r="AD193" s="551"/>
      <c r="AE193" s="448"/>
      <c r="AF193" s="551"/>
      <c r="AG193" s="448"/>
      <c r="AH193" s="551"/>
      <c r="AI193" s="448"/>
      <c r="AJ193" s="551"/>
      <c r="AK193" s="448"/>
      <c r="AL193" s="551"/>
      <c r="AM193" s="448"/>
      <c r="AN193" s="551"/>
      <c r="AO193" s="448"/>
      <c r="AP193" s="551"/>
      <c r="AQ193" s="448"/>
      <c r="AR193" s="551"/>
      <c r="AS193" s="448"/>
      <c r="AT193" s="551"/>
      <c r="AU193" s="448"/>
      <c r="AV193" s="551"/>
      <c r="AW193" s="448"/>
      <c r="AX193" s="551"/>
    </row>
    <row r="194" spans="1:50" ht="14" x14ac:dyDescent="0.3">
      <c r="A194" s="448"/>
      <c r="B194" s="551"/>
      <c r="C194" s="448"/>
      <c r="D194" s="551"/>
      <c r="E194" s="448"/>
      <c r="F194" s="551"/>
      <c r="G194" s="448"/>
      <c r="H194" s="551"/>
      <c r="I194" s="448"/>
      <c r="J194" s="551"/>
      <c r="K194" s="448"/>
      <c r="L194" s="551"/>
      <c r="M194" s="448"/>
      <c r="N194" s="551"/>
      <c r="O194" s="448"/>
      <c r="P194" s="551"/>
      <c r="Q194" s="448"/>
      <c r="R194" s="551"/>
      <c r="S194" s="448"/>
      <c r="T194" s="551"/>
      <c r="U194" s="448"/>
      <c r="V194" s="551"/>
      <c r="W194" s="448"/>
      <c r="X194" s="551"/>
      <c r="Y194" s="448"/>
      <c r="Z194" s="551"/>
      <c r="AA194" s="448"/>
      <c r="AB194" s="551"/>
      <c r="AC194" s="448"/>
      <c r="AD194" s="551"/>
      <c r="AE194" s="448"/>
      <c r="AF194" s="551"/>
      <c r="AG194" s="448"/>
      <c r="AH194" s="551"/>
      <c r="AI194" s="448"/>
      <c r="AJ194" s="551"/>
      <c r="AK194" s="448"/>
      <c r="AL194" s="551"/>
      <c r="AM194" s="448"/>
      <c r="AN194" s="551"/>
      <c r="AO194" s="448"/>
      <c r="AP194" s="551"/>
      <c r="AQ194" s="448"/>
      <c r="AR194" s="551"/>
      <c r="AS194" s="448"/>
      <c r="AT194" s="551"/>
      <c r="AU194" s="448"/>
      <c r="AV194" s="551"/>
      <c r="AW194" s="448"/>
      <c r="AX194" s="551"/>
    </row>
    <row r="195" spans="1:50" ht="14" x14ac:dyDescent="0.3">
      <c r="A195" s="448"/>
      <c r="B195" s="551"/>
      <c r="C195" s="448"/>
      <c r="D195" s="551"/>
      <c r="E195" s="448"/>
      <c r="F195" s="551"/>
      <c r="G195" s="448"/>
      <c r="H195" s="551"/>
      <c r="I195" s="448"/>
      <c r="J195" s="551"/>
      <c r="K195" s="448"/>
      <c r="L195" s="551"/>
      <c r="M195" s="448"/>
      <c r="N195" s="551"/>
      <c r="O195" s="448"/>
      <c r="P195" s="551"/>
      <c r="Q195" s="448"/>
      <c r="R195" s="551"/>
      <c r="S195" s="448"/>
      <c r="T195" s="551"/>
      <c r="U195" s="448"/>
      <c r="V195" s="551"/>
      <c r="W195" s="448"/>
      <c r="X195" s="551"/>
      <c r="Y195" s="448"/>
      <c r="Z195" s="551"/>
      <c r="AA195" s="448"/>
      <c r="AB195" s="551"/>
      <c r="AC195" s="448"/>
      <c r="AD195" s="551"/>
      <c r="AE195" s="448"/>
      <c r="AF195" s="551"/>
      <c r="AG195" s="448"/>
      <c r="AH195" s="551"/>
      <c r="AI195" s="448"/>
      <c r="AJ195" s="551"/>
      <c r="AK195" s="448"/>
      <c r="AL195" s="551"/>
      <c r="AM195" s="448"/>
      <c r="AN195" s="551"/>
      <c r="AO195" s="448"/>
      <c r="AP195" s="551"/>
      <c r="AQ195" s="448"/>
      <c r="AR195" s="551"/>
      <c r="AS195" s="448"/>
      <c r="AT195" s="551"/>
      <c r="AU195" s="448"/>
      <c r="AV195" s="551"/>
      <c r="AW195" s="448"/>
      <c r="AX195" s="551"/>
    </row>
    <row r="196" spans="1:50" ht="14" x14ac:dyDescent="0.3">
      <c r="A196" s="448"/>
      <c r="B196" s="551"/>
      <c r="C196" s="448"/>
      <c r="D196" s="551"/>
      <c r="E196" s="448"/>
      <c r="F196" s="551"/>
      <c r="G196" s="448"/>
      <c r="H196" s="551"/>
      <c r="I196" s="448"/>
      <c r="J196" s="551"/>
      <c r="K196" s="448"/>
      <c r="L196" s="551"/>
      <c r="M196" s="448"/>
      <c r="N196" s="551"/>
      <c r="O196" s="448"/>
      <c r="P196" s="551"/>
      <c r="Q196" s="448"/>
      <c r="R196" s="551"/>
      <c r="S196" s="448"/>
      <c r="T196" s="551"/>
      <c r="U196" s="448"/>
      <c r="V196" s="551"/>
      <c r="W196" s="448"/>
      <c r="X196" s="551"/>
      <c r="Y196" s="448"/>
      <c r="Z196" s="551"/>
      <c r="AA196" s="448"/>
      <c r="AB196" s="551"/>
      <c r="AC196" s="448"/>
      <c r="AD196" s="551"/>
      <c r="AE196" s="448"/>
      <c r="AF196" s="551"/>
      <c r="AG196" s="448"/>
      <c r="AH196" s="551"/>
      <c r="AI196" s="448"/>
      <c r="AJ196" s="551"/>
      <c r="AK196" s="448"/>
      <c r="AL196" s="551"/>
      <c r="AM196" s="448"/>
      <c r="AN196" s="551"/>
      <c r="AO196" s="448"/>
      <c r="AP196" s="551"/>
      <c r="AQ196" s="448"/>
      <c r="AR196" s="551"/>
      <c r="AS196" s="448"/>
      <c r="AT196" s="551"/>
      <c r="AU196" s="448"/>
      <c r="AV196" s="551"/>
      <c r="AW196" s="448"/>
      <c r="AX196" s="551"/>
    </row>
    <row r="197" spans="1:50" ht="14" x14ac:dyDescent="0.3">
      <c r="A197" s="448"/>
      <c r="B197" s="551"/>
      <c r="C197" s="448"/>
      <c r="D197" s="551"/>
      <c r="E197" s="448"/>
      <c r="F197" s="551"/>
      <c r="G197" s="448"/>
      <c r="H197" s="551"/>
      <c r="I197" s="448"/>
      <c r="J197" s="551"/>
      <c r="K197" s="448"/>
      <c r="L197" s="551"/>
      <c r="M197" s="448"/>
      <c r="N197" s="551"/>
      <c r="O197" s="448"/>
      <c r="P197" s="551"/>
      <c r="Q197" s="448"/>
      <c r="R197" s="551"/>
      <c r="S197" s="448"/>
      <c r="T197" s="551"/>
      <c r="U197" s="448"/>
      <c r="V197" s="551"/>
      <c r="W197" s="448"/>
      <c r="X197" s="551"/>
      <c r="Y197" s="448"/>
      <c r="Z197" s="551"/>
      <c r="AA197" s="448"/>
      <c r="AB197" s="551"/>
      <c r="AC197" s="448"/>
      <c r="AD197" s="551"/>
      <c r="AE197" s="448"/>
      <c r="AF197" s="551"/>
      <c r="AG197" s="448"/>
      <c r="AH197" s="551"/>
      <c r="AI197" s="448"/>
      <c r="AJ197" s="551"/>
      <c r="AK197" s="448"/>
      <c r="AL197" s="551"/>
      <c r="AM197" s="448"/>
      <c r="AN197" s="551"/>
      <c r="AO197" s="448"/>
      <c r="AP197" s="551"/>
      <c r="AQ197" s="448"/>
      <c r="AR197" s="551"/>
      <c r="AS197" s="448"/>
      <c r="AT197" s="551"/>
      <c r="AU197" s="448"/>
      <c r="AV197" s="551"/>
      <c r="AW197" s="448"/>
      <c r="AX197" s="551"/>
    </row>
    <row r="198" spans="1:50" ht="14" x14ac:dyDescent="0.3">
      <c r="A198" s="448"/>
      <c r="B198" s="551"/>
      <c r="C198" s="448"/>
      <c r="D198" s="551"/>
      <c r="E198" s="448"/>
      <c r="F198" s="551"/>
      <c r="G198" s="448"/>
      <c r="H198" s="551"/>
      <c r="I198" s="448"/>
      <c r="J198" s="551"/>
      <c r="K198" s="448"/>
      <c r="L198" s="551"/>
      <c r="M198" s="448"/>
      <c r="N198" s="551"/>
      <c r="O198" s="448"/>
      <c r="P198" s="551"/>
      <c r="Q198" s="448"/>
      <c r="R198" s="551"/>
      <c r="S198" s="448"/>
      <c r="T198" s="551"/>
      <c r="U198" s="448"/>
      <c r="V198" s="551"/>
      <c r="W198" s="448"/>
      <c r="X198" s="551"/>
      <c r="Y198" s="448"/>
      <c r="Z198" s="551"/>
      <c r="AA198" s="448"/>
      <c r="AB198" s="551"/>
      <c r="AC198" s="448"/>
      <c r="AD198" s="551"/>
      <c r="AE198" s="448"/>
      <c r="AF198" s="551"/>
      <c r="AG198" s="448"/>
      <c r="AH198" s="551"/>
      <c r="AI198" s="448"/>
      <c r="AJ198" s="551"/>
      <c r="AK198" s="448"/>
      <c r="AL198" s="551"/>
      <c r="AM198" s="448"/>
      <c r="AN198" s="551"/>
      <c r="AO198" s="448"/>
      <c r="AP198" s="551"/>
      <c r="AQ198" s="448"/>
      <c r="AR198" s="551"/>
      <c r="AS198" s="448"/>
      <c r="AT198" s="551"/>
      <c r="AU198" s="448"/>
      <c r="AV198" s="551"/>
      <c r="AW198" s="448"/>
      <c r="AX198" s="551"/>
    </row>
    <row r="199" spans="1:50" ht="14" x14ac:dyDescent="0.3">
      <c r="B199" s="551"/>
      <c r="C199" s="448"/>
      <c r="D199" s="551"/>
      <c r="E199" s="448"/>
      <c r="F199" s="551"/>
      <c r="G199" s="448"/>
      <c r="H199" s="551"/>
      <c r="I199" s="448"/>
      <c r="J199" s="551"/>
      <c r="K199" s="448"/>
      <c r="L199" s="551"/>
      <c r="M199" s="448"/>
      <c r="N199" s="551"/>
    </row>
    <row r="200" spans="1:50" ht="14" x14ac:dyDescent="0.3">
      <c r="B200" s="551"/>
      <c r="C200" s="448"/>
      <c r="D200" s="551"/>
      <c r="E200" s="448"/>
      <c r="F200" s="551"/>
      <c r="G200" s="448"/>
      <c r="H200" s="551"/>
      <c r="I200" s="448"/>
      <c r="J200" s="551"/>
      <c r="K200" s="448"/>
      <c r="L200" s="551"/>
      <c r="M200" s="448"/>
      <c r="N200" s="551"/>
    </row>
    <row r="201" spans="1:50" ht="14" x14ac:dyDescent="0.3">
      <c r="B201" s="551"/>
      <c r="C201" s="448"/>
      <c r="D201" s="551"/>
      <c r="E201" s="448"/>
      <c r="F201" s="551"/>
      <c r="G201" s="448"/>
      <c r="H201" s="551"/>
      <c r="I201" s="448"/>
      <c r="J201" s="551"/>
      <c r="K201" s="448"/>
      <c r="L201" s="551"/>
      <c r="M201" s="448"/>
      <c r="N201" s="551"/>
    </row>
    <row r="202" spans="1:50" ht="14" x14ac:dyDescent="0.3">
      <c r="B202" s="551"/>
      <c r="C202" s="448"/>
      <c r="D202" s="551"/>
      <c r="E202" s="448"/>
      <c r="F202" s="551"/>
      <c r="G202" s="448"/>
      <c r="H202" s="551"/>
      <c r="I202" s="448"/>
      <c r="J202" s="551"/>
      <c r="K202" s="448"/>
      <c r="L202" s="551"/>
      <c r="M202" s="448"/>
      <c r="N202" s="551"/>
    </row>
    <row r="203" spans="1:50" ht="14" x14ac:dyDescent="0.3">
      <c r="B203" s="551"/>
      <c r="C203" s="448"/>
      <c r="D203" s="551"/>
      <c r="E203" s="448"/>
      <c r="F203" s="551"/>
      <c r="G203" s="448"/>
      <c r="H203" s="551"/>
      <c r="I203" s="448"/>
      <c r="J203" s="551"/>
      <c r="K203" s="448"/>
      <c r="L203" s="551"/>
      <c r="M203" s="448"/>
      <c r="N203" s="551"/>
    </row>
    <row r="204" spans="1:50" ht="14" x14ac:dyDescent="0.3">
      <c r="B204" s="551"/>
      <c r="C204" s="448"/>
      <c r="D204" s="551"/>
      <c r="E204" s="448"/>
      <c r="F204" s="551"/>
      <c r="G204" s="448"/>
      <c r="H204" s="551"/>
      <c r="I204" s="448"/>
      <c r="J204" s="551"/>
      <c r="K204" s="448"/>
      <c r="L204" s="551"/>
      <c r="M204" s="448"/>
      <c r="N204" s="551"/>
    </row>
  </sheetData>
  <sheetProtection algorithmName="SHA-512" hashValue="IdvHBZ8ml5wiCBhHMrigBKY+XlRnoPQML8Msp70f81zuZUToBbP+TfKdXJ0A4O4H7lBjUTbxFAp69Pt0wP+mYg==" saltValue="MOkYDAAU0QaeIz7/78UeLA==" spinCount="100000" sheet="1" selectLockedCells="1"/>
  <protectedRanges>
    <protectedRange sqref="Q37:Q78 BB37:BB78 BF37:BF78 BJ37:BJ78 BN37:BN78 P75:P78 R75:R78 AZ75:BA78 BC75:BC78 BE75:BE78 BG75:BG78 BI75:BI78 BK75:BK78 BM75:BM78 BO75:BO78 U37:U78 Y37:Y78 AC37:AC78 AG37:AG78 AK37:AK78 AO37:AO78 AS37:AS78 AW37:AW78 BR37:BR78 BV37:BV78 BZ37:BZ78 CD37:CD78 CH37:CH78 CL37:CL78 CP37:CP78 CT37:CT78 C37:N85" name="Data"/>
    <protectedRange sqref="BO37:BQ74 BC37:BE74 AZ37:BA74 BG37:BI74 BK37:BM74 BD75:BD78 BH75:BH78 BL75:BL78 BS37:BU78 BP75:BQ78 BW37:BY78 CA37:CC78 CE37:CG78 CI37:CK78 CM37:CO78 CQ37:CS78 CU37:CU78" name="EIp data"/>
    <protectedRange sqref="B37:B85" name="Data_3"/>
  </protectedRanges>
  <mergeCells count="24">
    <mergeCell ref="CR35:CU35"/>
    <mergeCell ref="BT35:BW35"/>
    <mergeCell ref="BX35:CA35"/>
    <mergeCell ref="CB35:CE35"/>
    <mergeCell ref="CF35:CI35"/>
    <mergeCell ref="CJ35:CM35"/>
    <mergeCell ref="CN35:CQ35"/>
    <mergeCell ref="BP35:BS35"/>
    <mergeCell ref="W35:Z35"/>
    <mergeCell ref="AA35:AD35"/>
    <mergeCell ref="AE35:AH35"/>
    <mergeCell ref="AI35:AL35"/>
    <mergeCell ref="AM35:AP35"/>
    <mergeCell ref="AQ35:AT35"/>
    <mergeCell ref="AU35:AX35"/>
    <mergeCell ref="AZ35:BC35"/>
    <mergeCell ref="BD35:BG35"/>
    <mergeCell ref="BH35:BK35"/>
    <mergeCell ref="BL35:BO35"/>
    <mergeCell ref="D3:G5"/>
    <mergeCell ref="O35:R35"/>
    <mergeCell ref="S35:V35"/>
    <mergeCell ref="B35:N35"/>
    <mergeCell ref="H3:N6"/>
  </mergeCells>
  <dataValidations count="3">
    <dataValidation type="list" allowBlank="1" showInputMessage="1" showErrorMessage="1" sqref="F11 BD11" xr:uid="{7BDA7B20-26CD-4CA7-AB18-F086FB2431B6}">
      <formula1>$C$36:$F$36</formula1>
    </dataValidation>
    <dataValidation type="list" allowBlank="1" showInputMessage="1" showErrorMessage="1" sqref="I11" xr:uid="{5E185C75-B204-4983-B769-8A89069131EB}">
      <formula1>"Regular, EIP"</formula1>
    </dataValidation>
    <dataValidation type="list" allowBlank="1" showInputMessage="1" showErrorMessage="1" sqref="C11 BA11" xr:uid="{00AAEDAE-ECD9-4047-933C-9CDE6AE6C3EB}">
      <formula1>$B$37:$B$85</formula1>
    </dataValidation>
  </dataValidations>
  <pageMargins left="0.7" right="0.7" top="0.75" bottom="0.75" header="0.3" footer="0.3"/>
  <pageSetup orientation="portrait"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5F27-C8BA-4ED7-ACB9-324CEF1E134A}">
  <sheetPr codeName="Sheet12"/>
  <dimension ref="A2:W115"/>
  <sheetViews>
    <sheetView showGridLines="0" topLeftCell="A53" zoomScale="90" zoomScaleNormal="90" workbookViewId="0">
      <selection activeCell="C115" sqref="C115"/>
    </sheetView>
  </sheetViews>
  <sheetFormatPr defaultColWidth="0" defaultRowHeight="12.75" customHeight="1" x14ac:dyDescent="0.25"/>
  <cols>
    <col min="1" max="1" width="2.81640625" customWidth="1"/>
    <col min="2" max="2" width="32.1796875" customWidth="1"/>
    <col min="3" max="3" width="66.81640625" customWidth="1"/>
    <col min="4" max="4" width="10.1796875" customWidth="1"/>
    <col min="5" max="5" width="13.1796875" customWidth="1"/>
    <col min="6" max="6" width="20.1796875" style="29" customWidth="1"/>
    <col min="7" max="7" width="20.1796875" style="36" customWidth="1"/>
    <col min="8" max="8" width="22.81640625" style="36" customWidth="1"/>
    <col min="9" max="9" width="46.453125" style="135" customWidth="1"/>
    <col min="10" max="10" width="20.1796875" style="36" customWidth="1"/>
    <col min="11" max="11" width="31.81640625" style="29" customWidth="1"/>
    <col min="12" max="15" width="9.54296875" customWidth="1"/>
    <col min="16" max="23" width="0" hidden="1" customWidth="1"/>
    <col min="24" max="16384" width="8.81640625" hidden="1"/>
  </cols>
  <sheetData>
    <row r="2" spans="2:14" ht="13.5" customHeight="1" x14ac:dyDescent="0.25">
      <c r="B2" s="92"/>
      <c r="C2" s="90"/>
      <c r="D2" s="90"/>
      <c r="E2" s="90"/>
      <c r="F2" s="125"/>
      <c r="G2" s="93"/>
      <c r="H2" s="93"/>
      <c r="I2" s="133"/>
      <c r="J2" s="93"/>
      <c r="K2" s="92"/>
      <c r="L2" s="93"/>
      <c r="M2" s="93"/>
      <c r="N2" s="90"/>
    </row>
    <row r="3" spans="2:14" ht="13.5" customHeight="1" x14ac:dyDescent="0.25">
      <c r="B3" s="92"/>
      <c r="C3" s="90"/>
      <c r="D3" s="90"/>
      <c r="E3" s="90"/>
      <c r="F3" s="881" t="s">
        <v>870</v>
      </c>
      <c r="G3" s="881"/>
      <c r="H3" s="881"/>
      <c r="I3" s="134"/>
      <c r="J3" s="132"/>
      <c r="K3" s="132"/>
      <c r="L3" s="132"/>
      <c r="M3" s="132"/>
      <c r="N3" s="94"/>
    </row>
    <row r="4" spans="2:14" ht="13.5" customHeight="1" x14ac:dyDescent="0.25">
      <c r="B4" s="92"/>
      <c r="C4" s="90"/>
      <c r="D4" s="90"/>
      <c r="E4" s="90"/>
      <c r="F4" s="881"/>
      <c r="G4" s="881"/>
      <c r="H4" s="881"/>
      <c r="I4" s="134"/>
      <c r="J4" s="132"/>
      <c r="K4" s="132"/>
      <c r="L4" s="132"/>
      <c r="M4" s="132"/>
      <c r="N4" s="94"/>
    </row>
    <row r="5" spans="2:14" ht="13.5" customHeight="1" x14ac:dyDescent="0.25">
      <c r="B5" s="92"/>
      <c r="C5" s="90"/>
      <c r="D5" s="90"/>
      <c r="E5" s="90"/>
      <c r="F5" s="881"/>
      <c r="G5" s="881"/>
      <c r="H5" s="881"/>
      <c r="I5" s="134"/>
      <c r="J5" s="132"/>
      <c r="K5" s="132"/>
      <c r="L5" s="132"/>
      <c r="M5" s="132"/>
      <c r="N5" s="94"/>
    </row>
    <row r="6" spans="2:14" ht="13.5" customHeight="1" x14ac:dyDescent="0.25">
      <c r="B6" s="92"/>
      <c r="C6" s="90"/>
      <c r="D6" s="90"/>
      <c r="E6" s="90"/>
      <c r="F6" s="132"/>
      <c r="G6" s="132"/>
      <c r="H6" s="132"/>
      <c r="I6" s="134"/>
      <c r="J6" s="132"/>
      <c r="K6" s="132"/>
      <c r="L6" s="132"/>
      <c r="M6" s="132"/>
      <c r="N6" s="94"/>
    </row>
    <row r="7" spans="2:14" ht="13.5" customHeight="1" x14ac:dyDescent="0.25">
      <c r="B7" s="92"/>
      <c r="C7" s="90"/>
      <c r="D7" s="90"/>
      <c r="E7" s="90"/>
      <c r="F7" s="125"/>
      <c r="G7" s="93"/>
      <c r="H7" s="93"/>
      <c r="I7" s="133"/>
      <c r="J7" s="93"/>
      <c r="K7" s="92"/>
      <c r="L7" s="93"/>
      <c r="M7" s="93"/>
      <c r="N7" s="90"/>
    </row>
    <row r="10" spans="2:14" ht="13" x14ac:dyDescent="0.25">
      <c r="B10" s="460" t="s">
        <v>871</v>
      </c>
      <c r="C10" s="461" t="s">
        <v>872</v>
      </c>
      <c r="D10" s="461" t="s">
        <v>873</v>
      </c>
      <c r="E10" s="461" t="s">
        <v>874</v>
      </c>
      <c r="F10" s="461" t="s">
        <v>875</v>
      </c>
      <c r="G10" s="462" t="s">
        <v>876</v>
      </c>
      <c r="H10" s="462" t="s">
        <v>231</v>
      </c>
      <c r="I10" s="462" t="s">
        <v>877</v>
      </c>
      <c r="J10" s="462" t="s">
        <v>257</v>
      </c>
      <c r="K10"/>
    </row>
    <row r="11" spans="2:14" ht="50" hidden="1" x14ac:dyDescent="0.25">
      <c r="B11" s="138" t="s">
        <v>94</v>
      </c>
      <c r="C11" s="122" t="s">
        <v>878</v>
      </c>
      <c r="D11" s="122"/>
      <c r="E11" s="126">
        <v>45348</v>
      </c>
      <c r="F11" s="127">
        <v>45352</v>
      </c>
      <c r="G11" s="127">
        <v>45366</v>
      </c>
      <c r="H11" s="131" t="s">
        <v>879</v>
      </c>
      <c r="I11" s="130" t="s">
        <v>7</v>
      </c>
      <c r="J11" s="128" t="s">
        <v>266</v>
      </c>
      <c r="K11"/>
    </row>
    <row r="12" spans="2:14" ht="50" hidden="1" x14ac:dyDescent="0.25">
      <c r="B12" s="138" t="s">
        <v>107</v>
      </c>
      <c r="C12" s="122" t="s">
        <v>880</v>
      </c>
      <c r="D12" s="122"/>
      <c r="E12" s="126">
        <v>45348</v>
      </c>
      <c r="F12" s="127">
        <v>45352</v>
      </c>
      <c r="G12" s="127">
        <v>45366</v>
      </c>
      <c r="H12" s="136" t="s">
        <v>879</v>
      </c>
      <c r="I12" s="128" t="s">
        <v>7</v>
      </c>
      <c r="J12" s="128" t="s">
        <v>266</v>
      </c>
      <c r="K12"/>
    </row>
    <row r="13" spans="2:14" ht="25" hidden="1" x14ac:dyDescent="0.25">
      <c r="B13" s="138" t="s">
        <v>129</v>
      </c>
      <c r="C13" s="123" t="s">
        <v>881</v>
      </c>
      <c r="D13" s="123"/>
      <c r="E13" s="126">
        <v>45346</v>
      </c>
      <c r="F13" s="127">
        <v>45352</v>
      </c>
      <c r="G13" s="127">
        <v>45366</v>
      </c>
      <c r="H13" s="136" t="s">
        <v>882</v>
      </c>
      <c r="I13" s="128" t="s">
        <v>7</v>
      </c>
      <c r="J13" s="128" t="s">
        <v>266</v>
      </c>
      <c r="K13"/>
    </row>
    <row r="14" spans="2:14" ht="75" hidden="1" x14ac:dyDescent="0.25">
      <c r="B14" s="138" t="s">
        <v>149</v>
      </c>
      <c r="C14" s="123" t="s">
        <v>883</v>
      </c>
      <c r="D14" s="123"/>
      <c r="E14" s="126">
        <v>45346</v>
      </c>
      <c r="F14" s="127">
        <v>45382</v>
      </c>
      <c r="G14" s="127">
        <v>45366</v>
      </c>
      <c r="H14" s="136" t="s">
        <v>884</v>
      </c>
      <c r="I14" s="128" t="s">
        <v>885</v>
      </c>
      <c r="J14" s="128" t="s">
        <v>266</v>
      </c>
      <c r="K14"/>
    </row>
    <row r="15" spans="2:14" ht="50" hidden="1" x14ac:dyDescent="0.25">
      <c r="B15" s="138" t="s">
        <v>174</v>
      </c>
      <c r="C15" s="123" t="s">
        <v>886</v>
      </c>
      <c r="D15" s="123"/>
      <c r="E15" s="126">
        <v>45346</v>
      </c>
      <c r="F15" s="127">
        <v>45382</v>
      </c>
      <c r="G15" s="127">
        <v>45397</v>
      </c>
      <c r="H15" s="136" t="s">
        <v>887</v>
      </c>
      <c r="I15" s="128" t="s">
        <v>885</v>
      </c>
      <c r="J15" s="128" t="s">
        <v>266</v>
      </c>
      <c r="K15"/>
    </row>
    <row r="16" spans="2:14" ht="62.5" hidden="1" x14ac:dyDescent="0.25">
      <c r="B16" s="138" t="s">
        <v>94</v>
      </c>
      <c r="C16" s="123" t="s">
        <v>886</v>
      </c>
      <c r="D16" s="123"/>
      <c r="E16" s="126">
        <v>45346</v>
      </c>
      <c r="F16" s="127">
        <v>45382</v>
      </c>
      <c r="G16" s="127">
        <v>45366</v>
      </c>
      <c r="H16" s="136" t="s">
        <v>888</v>
      </c>
      <c r="I16" s="128" t="s">
        <v>885</v>
      </c>
      <c r="J16" s="128" t="s">
        <v>266</v>
      </c>
      <c r="K16"/>
    </row>
    <row r="17" spans="2:11" ht="62.5" hidden="1" x14ac:dyDescent="0.25">
      <c r="B17" s="138" t="s">
        <v>129</v>
      </c>
      <c r="C17" s="123" t="s">
        <v>886</v>
      </c>
      <c r="D17" s="123"/>
      <c r="E17" s="126">
        <v>45346</v>
      </c>
      <c r="F17" s="127">
        <v>45382</v>
      </c>
      <c r="G17" s="127">
        <v>45366</v>
      </c>
      <c r="H17" s="136" t="s">
        <v>889</v>
      </c>
      <c r="I17" s="128" t="s">
        <v>885</v>
      </c>
      <c r="J17" s="128" t="s">
        <v>266</v>
      </c>
      <c r="K17"/>
    </row>
    <row r="18" spans="2:11" ht="37.5" hidden="1" x14ac:dyDescent="0.25">
      <c r="B18" s="138" t="s">
        <v>94</v>
      </c>
      <c r="C18" s="123" t="s">
        <v>890</v>
      </c>
      <c r="D18" s="123"/>
      <c r="E18" s="126">
        <v>45352</v>
      </c>
      <c r="F18" s="127">
        <v>45366</v>
      </c>
      <c r="G18" s="127">
        <v>45366</v>
      </c>
      <c r="H18" s="136" t="s">
        <v>891</v>
      </c>
      <c r="I18" s="128" t="s">
        <v>885</v>
      </c>
      <c r="J18" s="128" t="s">
        <v>266</v>
      </c>
      <c r="K18"/>
    </row>
    <row r="19" spans="2:11" ht="37.5" hidden="1" x14ac:dyDescent="0.25">
      <c r="B19" s="138" t="s">
        <v>185</v>
      </c>
      <c r="C19" s="123" t="s">
        <v>892</v>
      </c>
      <c r="D19" s="123"/>
      <c r="E19" s="126">
        <v>45355</v>
      </c>
      <c r="F19" s="168">
        <v>45382</v>
      </c>
      <c r="G19" s="127">
        <v>45366</v>
      </c>
      <c r="H19" s="136" t="s">
        <v>893</v>
      </c>
      <c r="I19" s="128" t="s">
        <v>885</v>
      </c>
      <c r="J19" s="128" t="s">
        <v>266</v>
      </c>
      <c r="K19"/>
    </row>
    <row r="20" spans="2:11" ht="25" hidden="1" x14ac:dyDescent="0.25">
      <c r="B20" s="139" t="s">
        <v>163</v>
      </c>
      <c r="C20" s="124" t="s">
        <v>894</v>
      </c>
      <c r="D20" s="124"/>
      <c r="E20" s="167">
        <v>45356</v>
      </c>
      <c r="F20" s="186">
        <v>45382</v>
      </c>
      <c r="G20" s="127">
        <v>45366</v>
      </c>
      <c r="H20" s="137" t="s">
        <v>895</v>
      </c>
      <c r="I20" s="129" t="s">
        <v>7</v>
      </c>
      <c r="J20" s="129" t="s">
        <v>266</v>
      </c>
      <c r="K20"/>
    </row>
    <row r="21" spans="2:11" ht="12.5" hidden="1" x14ac:dyDescent="0.25">
      <c r="B21" s="139" t="s">
        <v>163</v>
      </c>
      <c r="C21" s="124" t="s">
        <v>896</v>
      </c>
      <c r="D21" s="124"/>
      <c r="E21" s="167">
        <v>45356</v>
      </c>
      <c r="F21" s="168">
        <v>45359</v>
      </c>
      <c r="G21" s="168">
        <v>45366</v>
      </c>
      <c r="H21" s="185" t="s">
        <v>897</v>
      </c>
      <c r="I21" s="187" t="s">
        <v>885</v>
      </c>
      <c r="J21" s="187" t="s">
        <v>266</v>
      </c>
      <c r="K21"/>
    </row>
    <row r="22" spans="2:11" ht="37.5" hidden="1" x14ac:dyDescent="0.25">
      <c r="B22" s="475" t="s">
        <v>94</v>
      </c>
      <c r="C22" s="476" t="s">
        <v>898</v>
      </c>
      <c r="D22" s="476"/>
      <c r="E22" s="477">
        <v>45377</v>
      </c>
      <c r="F22" s="477">
        <v>45383</v>
      </c>
      <c r="G22" s="478"/>
      <c r="H22" s="479" t="s">
        <v>899</v>
      </c>
      <c r="I22" s="478" t="s">
        <v>29</v>
      </c>
      <c r="J22" s="480" t="s">
        <v>266</v>
      </c>
      <c r="K22"/>
    </row>
    <row r="23" spans="2:11" ht="73.400000000000006" hidden="1" customHeight="1" x14ac:dyDescent="0.25">
      <c r="B23" s="463" t="s">
        <v>94</v>
      </c>
      <c r="C23" s="464" t="s">
        <v>900</v>
      </c>
      <c r="D23" s="464"/>
      <c r="E23" s="465">
        <v>45377</v>
      </c>
      <c r="F23" s="466">
        <v>45383</v>
      </c>
      <c r="G23" s="467"/>
      <c r="H23" s="468" t="s">
        <v>901</v>
      </c>
      <c r="I23" s="469" t="s">
        <v>29</v>
      </c>
      <c r="J23" s="451" t="s">
        <v>266</v>
      </c>
      <c r="K23"/>
    </row>
    <row r="24" spans="2:11" ht="50" hidden="1" x14ac:dyDescent="0.25">
      <c r="B24" s="139" t="s">
        <v>94</v>
      </c>
      <c r="C24" s="124" t="s">
        <v>902</v>
      </c>
      <c r="D24" s="124"/>
      <c r="E24" s="167">
        <v>45377</v>
      </c>
      <c r="F24" s="168">
        <v>45383</v>
      </c>
      <c r="G24" s="450"/>
      <c r="H24" s="454" t="s">
        <v>903</v>
      </c>
      <c r="I24" s="187" t="s">
        <v>904</v>
      </c>
      <c r="J24" s="450" t="s">
        <v>266</v>
      </c>
      <c r="K24"/>
    </row>
    <row r="25" spans="2:11" ht="50" hidden="1" x14ac:dyDescent="0.25">
      <c r="B25" s="481" t="s">
        <v>94</v>
      </c>
      <c r="C25" s="482" t="s">
        <v>905</v>
      </c>
      <c r="D25" s="482"/>
      <c r="E25" s="483">
        <v>45377</v>
      </c>
      <c r="F25" s="483">
        <v>45389</v>
      </c>
      <c r="G25" s="484"/>
      <c r="H25" s="485" t="s">
        <v>906</v>
      </c>
      <c r="I25" s="484" t="s">
        <v>29</v>
      </c>
      <c r="J25" s="486" t="s">
        <v>266</v>
      </c>
      <c r="K25"/>
    </row>
    <row r="26" spans="2:11" ht="25" hidden="1" x14ac:dyDescent="0.25">
      <c r="B26" s="487" t="s">
        <v>107</v>
      </c>
      <c r="C26" s="488" t="s">
        <v>907</v>
      </c>
      <c r="D26" s="488"/>
      <c r="E26" s="489">
        <v>45377</v>
      </c>
      <c r="F26" s="489">
        <v>45397</v>
      </c>
      <c r="G26" s="490"/>
      <c r="H26" s="491" t="s">
        <v>908</v>
      </c>
      <c r="I26" s="490" t="s">
        <v>7</v>
      </c>
      <c r="J26" s="492" t="s">
        <v>266</v>
      </c>
      <c r="K26"/>
    </row>
    <row r="27" spans="2:11" ht="25" hidden="1" x14ac:dyDescent="0.25">
      <c r="B27" s="470" t="s">
        <v>142</v>
      </c>
      <c r="C27" s="471" t="s">
        <v>909</v>
      </c>
      <c r="D27" s="471"/>
      <c r="E27" s="453">
        <v>45377</v>
      </c>
      <c r="F27" s="453">
        <v>45379</v>
      </c>
      <c r="G27" s="278">
        <v>45379</v>
      </c>
      <c r="H27" s="455" t="s">
        <v>910</v>
      </c>
      <c r="I27" s="451" t="s">
        <v>904</v>
      </c>
      <c r="J27" s="451" t="s">
        <v>266</v>
      </c>
      <c r="K27"/>
    </row>
    <row r="28" spans="2:11" ht="62.5" hidden="1" x14ac:dyDescent="0.25">
      <c r="B28" s="139" t="s">
        <v>174</v>
      </c>
      <c r="C28" s="124" t="s">
        <v>911</v>
      </c>
      <c r="D28" s="124"/>
      <c r="E28" s="167">
        <v>45378</v>
      </c>
      <c r="F28" s="167">
        <v>45397</v>
      </c>
      <c r="G28" s="168">
        <v>45394</v>
      </c>
      <c r="H28" s="404" t="s">
        <v>912</v>
      </c>
      <c r="I28" s="187" t="s">
        <v>904</v>
      </c>
      <c r="J28" s="187" t="s">
        <v>266</v>
      </c>
      <c r="K28"/>
    </row>
    <row r="29" spans="2:11" ht="25" hidden="1" x14ac:dyDescent="0.25">
      <c r="B29" s="139" t="s">
        <v>142</v>
      </c>
      <c r="C29" s="124" t="s">
        <v>913</v>
      </c>
      <c r="D29" s="124"/>
      <c r="E29" s="167">
        <v>45379</v>
      </c>
      <c r="F29" s="168">
        <v>45387</v>
      </c>
      <c r="G29" s="432">
        <v>45386</v>
      </c>
      <c r="H29" s="404" t="s">
        <v>914</v>
      </c>
      <c r="I29" s="169" t="s">
        <v>904</v>
      </c>
      <c r="J29" s="169" t="s">
        <v>266</v>
      </c>
      <c r="K29"/>
    </row>
    <row r="30" spans="2:11" ht="75" hidden="1" x14ac:dyDescent="0.25">
      <c r="B30" s="139" t="s">
        <v>149</v>
      </c>
      <c r="C30" s="124" t="s">
        <v>915</v>
      </c>
      <c r="D30" s="124"/>
      <c r="E30" s="167">
        <v>45379</v>
      </c>
      <c r="F30" s="167">
        <v>45383</v>
      </c>
      <c r="G30" s="168">
        <v>45397</v>
      </c>
      <c r="H30" s="406" t="s">
        <v>916</v>
      </c>
      <c r="I30" s="169" t="s">
        <v>904</v>
      </c>
      <c r="J30" s="187" t="s">
        <v>266</v>
      </c>
      <c r="K30"/>
    </row>
    <row r="31" spans="2:11" ht="25" hidden="1" x14ac:dyDescent="0.25">
      <c r="B31" s="139" t="s">
        <v>149</v>
      </c>
      <c r="C31" s="124" t="s">
        <v>917</v>
      </c>
      <c r="D31" s="124"/>
      <c r="E31" s="167">
        <v>45379</v>
      </c>
      <c r="F31" s="168">
        <v>45392</v>
      </c>
      <c r="G31" s="457"/>
      <c r="H31" s="404" t="s">
        <v>918</v>
      </c>
      <c r="I31" s="449" t="s">
        <v>151</v>
      </c>
      <c r="J31" s="169" t="s">
        <v>266</v>
      </c>
      <c r="K31"/>
    </row>
    <row r="32" spans="2:11" ht="25" hidden="1" x14ac:dyDescent="0.25">
      <c r="B32" s="139" t="s">
        <v>149</v>
      </c>
      <c r="C32" s="124" t="s">
        <v>919</v>
      </c>
      <c r="D32" s="124"/>
      <c r="E32" s="167">
        <v>45379</v>
      </c>
      <c r="F32" s="168">
        <v>45392</v>
      </c>
      <c r="G32" s="458"/>
      <c r="H32" s="404" t="s">
        <v>920</v>
      </c>
      <c r="I32" s="449" t="s">
        <v>7</v>
      </c>
      <c r="J32" s="169" t="s">
        <v>266</v>
      </c>
      <c r="K32"/>
    </row>
    <row r="33" spans="2:11" ht="100" hidden="1" x14ac:dyDescent="0.25">
      <c r="B33" s="139" t="s">
        <v>94</v>
      </c>
      <c r="C33" s="124" t="s">
        <v>921</v>
      </c>
      <c r="D33" s="124"/>
      <c r="E33" s="167">
        <v>45384</v>
      </c>
      <c r="F33" s="168">
        <v>45392</v>
      </c>
      <c r="G33" s="459">
        <v>45399</v>
      </c>
      <c r="H33" s="405" t="s">
        <v>922</v>
      </c>
      <c r="I33" s="449" t="s">
        <v>904</v>
      </c>
      <c r="J33" s="169" t="s">
        <v>266</v>
      </c>
      <c r="K33"/>
    </row>
    <row r="34" spans="2:11" ht="25" hidden="1" x14ac:dyDescent="0.25">
      <c r="B34" s="139" t="s">
        <v>185</v>
      </c>
      <c r="C34" s="124" t="s">
        <v>923</v>
      </c>
      <c r="D34" s="124"/>
      <c r="E34" s="167">
        <v>45366</v>
      </c>
      <c r="F34" s="167">
        <v>45391</v>
      </c>
      <c r="G34" s="278">
        <v>45391</v>
      </c>
      <c r="H34" s="454"/>
      <c r="I34" s="187" t="s">
        <v>7</v>
      </c>
      <c r="J34" s="451" t="s">
        <v>266</v>
      </c>
      <c r="K34"/>
    </row>
    <row r="35" spans="2:11" ht="25" hidden="1" x14ac:dyDescent="0.25">
      <c r="B35" s="139" t="s">
        <v>185</v>
      </c>
      <c r="C35" s="124" t="s">
        <v>924</v>
      </c>
      <c r="D35" s="124"/>
      <c r="E35" s="279"/>
      <c r="F35" s="129"/>
      <c r="G35" s="373"/>
      <c r="H35" s="122"/>
      <c r="I35" s="373" t="s">
        <v>7</v>
      </c>
      <c r="J35" s="280" t="s">
        <v>266</v>
      </c>
      <c r="K35"/>
    </row>
    <row r="36" spans="2:11" ht="25" hidden="1" x14ac:dyDescent="0.25">
      <c r="B36" s="139" t="s">
        <v>142</v>
      </c>
      <c r="C36" s="124" t="s">
        <v>925</v>
      </c>
      <c r="D36" s="124"/>
      <c r="E36" s="167">
        <v>45387</v>
      </c>
      <c r="F36" s="168">
        <v>45390</v>
      </c>
      <c r="G36" s="167">
        <v>45390</v>
      </c>
      <c r="H36" s="407" t="s">
        <v>926</v>
      </c>
      <c r="I36" s="279" t="s">
        <v>904</v>
      </c>
      <c r="J36" s="374" t="s">
        <v>266</v>
      </c>
      <c r="K36"/>
    </row>
    <row r="37" spans="2:11" ht="25" hidden="1" x14ac:dyDescent="0.25">
      <c r="B37" s="139" t="s">
        <v>142</v>
      </c>
      <c r="C37" s="124" t="s">
        <v>927</v>
      </c>
      <c r="D37" s="124"/>
      <c r="E37" s="167">
        <v>45385</v>
      </c>
      <c r="F37" s="168">
        <v>45394</v>
      </c>
      <c r="G37" s="167">
        <v>45393</v>
      </c>
      <c r="H37" s="408" t="s">
        <v>928</v>
      </c>
      <c r="I37" s="279" t="s">
        <v>904</v>
      </c>
      <c r="J37" s="279" t="s">
        <v>266</v>
      </c>
      <c r="K37"/>
    </row>
    <row r="38" spans="2:11" ht="62.5" hidden="1" x14ac:dyDescent="0.25">
      <c r="B38" s="475" t="s">
        <v>149</v>
      </c>
      <c r="C38" s="476" t="s">
        <v>929</v>
      </c>
      <c r="D38" s="476"/>
      <c r="E38" s="477">
        <v>45391</v>
      </c>
      <c r="F38" s="477">
        <v>45399</v>
      </c>
      <c r="G38" s="478"/>
      <c r="H38" s="479" t="s">
        <v>930</v>
      </c>
      <c r="I38" s="478" t="s">
        <v>7</v>
      </c>
      <c r="J38" s="480" t="s">
        <v>266</v>
      </c>
      <c r="K38"/>
    </row>
    <row r="39" spans="2:11" ht="12.5" hidden="1" x14ac:dyDescent="0.25">
      <c r="B39" s="470"/>
      <c r="C39" s="472" t="s">
        <v>931</v>
      </c>
      <c r="D39" s="472"/>
      <c r="E39" s="453">
        <v>45391</v>
      </c>
      <c r="F39" s="453">
        <v>45391</v>
      </c>
      <c r="G39" s="453">
        <v>45391</v>
      </c>
      <c r="H39" s="456" t="s">
        <v>932</v>
      </c>
      <c r="I39" s="452" t="s">
        <v>904</v>
      </c>
      <c r="J39" s="452" t="s">
        <v>266</v>
      </c>
      <c r="K39"/>
    </row>
    <row r="40" spans="2:11" ht="37.5" hidden="1" x14ac:dyDescent="0.25">
      <c r="B40" s="138"/>
      <c r="C40" s="124" t="s">
        <v>933</v>
      </c>
      <c r="D40" s="124"/>
      <c r="E40" s="167">
        <v>45386</v>
      </c>
      <c r="F40" s="129" t="s">
        <v>934</v>
      </c>
      <c r="G40" s="126">
        <v>45394</v>
      </c>
      <c r="H40" s="433" t="s">
        <v>935</v>
      </c>
      <c r="I40" s="434" t="s">
        <v>904</v>
      </c>
      <c r="J40" s="374" t="s">
        <v>266</v>
      </c>
      <c r="K40"/>
    </row>
    <row r="41" spans="2:11" ht="25" hidden="1" x14ac:dyDescent="0.25">
      <c r="B41" s="139" t="s">
        <v>174</v>
      </c>
      <c r="C41" s="124" t="s">
        <v>936</v>
      </c>
      <c r="D41" s="124"/>
      <c r="E41" s="167">
        <v>45398</v>
      </c>
      <c r="F41" s="168">
        <v>45398</v>
      </c>
      <c r="G41" s="168">
        <v>45398</v>
      </c>
      <c r="H41" s="442" t="s">
        <v>937</v>
      </c>
      <c r="I41" s="279" t="s">
        <v>904</v>
      </c>
      <c r="J41" s="279" t="s">
        <v>266</v>
      </c>
      <c r="K41"/>
    </row>
    <row r="42" spans="2:11" ht="50" hidden="1" x14ac:dyDescent="0.25">
      <c r="B42" s="481" t="s">
        <v>94</v>
      </c>
      <c r="C42" s="482" t="s">
        <v>938</v>
      </c>
      <c r="D42" s="482"/>
      <c r="E42" s="483">
        <v>45398</v>
      </c>
      <c r="F42" s="483">
        <v>45407</v>
      </c>
      <c r="G42" s="483"/>
      <c r="H42" s="493" t="s">
        <v>939</v>
      </c>
      <c r="I42" s="484" t="s">
        <v>904</v>
      </c>
      <c r="J42" s="486" t="s">
        <v>266</v>
      </c>
      <c r="K42"/>
    </row>
    <row r="43" spans="2:11" ht="12.5" hidden="1" x14ac:dyDescent="0.25">
      <c r="B43" s="494" t="s">
        <v>94</v>
      </c>
      <c r="C43" s="473" t="s">
        <v>940</v>
      </c>
      <c r="D43" s="473"/>
      <c r="E43" s="179">
        <v>45398</v>
      </c>
      <c r="F43" s="179">
        <v>45405</v>
      </c>
      <c r="G43" s="179"/>
      <c r="H43" s="474"/>
      <c r="I43" s="36" t="s">
        <v>904</v>
      </c>
      <c r="J43" s="495" t="s">
        <v>266</v>
      </c>
      <c r="K43"/>
    </row>
    <row r="44" spans="2:11" ht="12.5" hidden="1" x14ac:dyDescent="0.25">
      <c r="B44" s="494" t="s">
        <v>94</v>
      </c>
      <c r="C44" s="473" t="s">
        <v>941</v>
      </c>
      <c r="D44" s="473"/>
      <c r="E44" s="179">
        <v>45398</v>
      </c>
      <c r="F44" s="179">
        <v>45405</v>
      </c>
      <c r="G44" s="179">
        <v>45405</v>
      </c>
      <c r="H44" s="474"/>
      <c r="I44" s="36" t="s">
        <v>904</v>
      </c>
      <c r="J44" s="495" t="s">
        <v>266</v>
      </c>
      <c r="K44"/>
    </row>
    <row r="45" spans="2:11" ht="25" hidden="1" x14ac:dyDescent="0.25">
      <c r="B45" s="494" t="s">
        <v>94</v>
      </c>
      <c r="C45" s="180" t="s">
        <v>942</v>
      </c>
      <c r="D45" s="180"/>
      <c r="E45" s="179">
        <v>45400</v>
      </c>
      <c r="F45" s="179">
        <v>45412</v>
      </c>
      <c r="H45" s="474"/>
      <c r="I45" s="36" t="s">
        <v>904</v>
      </c>
      <c r="J45" s="495" t="s">
        <v>266</v>
      </c>
      <c r="K45"/>
    </row>
    <row r="46" spans="2:11" ht="37.5" hidden="1" x14ac:dyDescent="0.25">
      <c r="B46" s="494" t="s">
        <v>174</v>
      </c>
      <c r="C46" s="473" t="s">
        <v>943</v>
      </c>
      <c r="D46" s="473"/>
      <c r="E46" s="179">
        <v>45400</v>
      </c>
      <c r="F46" s="179">
        <v>45412</v>
      </c>
      <c r="G46" s="179">
        <v>45412</v>
      </c>
      <c r="H46" s="474" t="s">
        <v>944</v>
      </c>
      <c r="I46" s="36" t="s">
        <v>904</v>
      </c>
      <c r="J46" s="495" t="s">
        <v>266</v>
      </c>
      <c r="K46"/>
    </row>
    <row r="47" spans="2:11" ht="12.5" hidden="1" x14ac:dyDescent="0.25">
      <c r="B47" s="494"/>
      <c r="C47" s="473" t="s">
        <v>945</v>
      </c>
      <c r="D47" s="473"/>
      <c r="E47" s="179">
        <v>45400</v>
      </c>
      <c r="F47" s="179">
        <v>45402</v>
      </c>
      <c r="G47" s="179">
        <v>45401</v>
      </c>
      <c r="H47" s="474" t="s">
        <v>946</v>
      </c>
      <c r="I47" s="36" t="s">
        <v>904</v>
      </c>
      <c r="J47" s="495" t="s">
        <v>266</v>
      </c>
      <c r="K47"/>
    </row>
    <row r="48" spans="2:11" ht="25" hidden="1" x14ac:dyDescent="0.25">
      <c r="B48" s="494"/>
      <c r="C48" s="473" t="s">
        <v>947</v>
      </c>
      <c r="D48" s="473"/>
      <c r="E48" s="179">
        <v>45400</v>
      </c>
      <c r="F48" s="179">
        <v>45404</v>
      </c>
      <c r="G48" s="179">
        <v>45404</v>
      </c>
      <c r="H48" s="474" t="s">
        <v>948</v>
      </c>
      <c r="I48" s="36" t="s">
        <v>904</v>
      </c>
      <c r="J48" s="495" t="s">
        <v>266</v>
      </c>
      <c r="K48"/>
    </row>
    <row r="49" spans="2:11" ht="12.5" hidden="1" x14ac:dyDescent="0.25">
      <c r="B49" s="494"/>
      <c r="C49" s="473" t="s">
        <v>949</v>
      </c>
      <c r="D49" s="473"/>
      <c r="E49" s="179">
        <v>45412</v>
      </c>
      <c r="F49" s="179">
        <v>45415</v>
      </c>
      <c r="G49" s="179">
        <v>45412</v>
      </c>
      <c r="H49" s="474" t="s">
        <v>950</v>
      </c>
      <c r="I49" s="36" t="s">
        <v>904</v>
      </c>
      <c r="J49" s="495" t="s">
        <v>266</v>
      </c>
      <c r="K49"/>
    </row>
    <row r="50" spans="2:11" ht="25" hidden="1" x14ac:dyDescent="0.25">
      <c r="B50" s="507"/>
      <c r="C50" s="508" t="s">
        <v>951</v>
      </c>
      <c r="D50" s="508"/>
      <c r="E50" s="509">
        <v>45412</v>
      </c>
      <c r="F50" s="509">
        <v>45415</v>
      </c>
      <c r="G50" s="509">
        <v>45413</v>
      </c>
      <c r="H50" s="510" t="s">
        <v>952</v>
      </c>
      <c r="I50" s="511" t="s">
        <v>904</v>
      </c>
      <c r="J50" s="511" t="s">
        <v>266</v>
      </c>
      <c r="K50"/>
    </row>
    <row r="51" spans="2:11" ht="25" hidden="1" x14ac:dyDescent="0.25">
      <c r="B51" s="507" t="s">
        <v>174</v>
      </c>
      <c r="C51" s="508" t="s">
        <v>953</v>
      </c>
      <c r="D51" s="508"/>
      <c r="E51" s="509">
        <v>45412</v>
      </c>
      <c r="F51" s="509">
        <v>45422</v>
      </c>
      <c r="G51" s="511"/>
      <c r="H51" s="474" t="s">
        <v>954</v>
      </c>
      <c r="I51" s="511" t="s">
        <v>955</v>
      </c>
      <c r="J51" s="511" t="s">
        <v>956</v>
      </c>
      <c r="K51"/>
    </row>
    <row r="52" spans="2:11" ht="12.5" hidden="1" x14ac:dyDescent="0.25">
      <c r="B52" s="507"/>
      <c r="C52" s="508" t="s">
        <v>957</v>
      </c>
      <c r="D52" s="508"/>
      <c r="E52" s="509">
        <v>45412</v>
      </c>
      <c r="F52" s="509">
        <v>45415</v>
      </c>
      <c r="G52" s="509">
        <v>45413</v>
      </c>
      <c r="H52" s="510"/>
      <c r="I52" s="511" t="s">
        <v>904</v>
      </c>
      <c r="J52" s="511" t="s">
        <v>266</v>
      </c>
      <c r="K52"/>
    </row>
    <row r="53" spans="2:11" ht="39" customHeight="1" x14ac:dyDescent="0.25">
      <c r="B53" s="507"/>
      <c r="C53" s="508" t="s">
        <v>958</v>
      </c>
      <c r="D53" s="508"/>
      <c r="E53" s="509">
        <v>45413</v>
      </c>
      <c r="F53" s="509" t="s">
        <v>626</v>
      </c>
      <c r="G53" s="511"/>
      <c r="H53" s="510" t="s">
        <v>959</v>
      </c>
      <c r="I53" s="511" t="s">
        <v>904</v>
      </c>
      <c r="J53" s="511" t="s">
        <v>389</v>
      </c>
      <c r="K53"/>
    </row>
    <row r="54" spans="2:11" ht="37.5" hidden="1" x14ac:dyDescent="0.25">
      <c r="B54" s="139" t="s">
        <v>94</v>
      </c>
      <c r="C54" s="407" t="s">
        <v>960</v>
      </c>
      <c r="D54" s="407"/>
      <c r="E54" s="167">
        <v>45418</v>
      </c>
      <c r="F54" s="167">
        <v>45419</v>
      </c>
      <c r="G54" s="167">
        <v>45419</v>
      </c>
      <c r="H54" s="513" t="s">
        <v>961</v>
      </c>
      <c r="I54" s="511" t="s">
        <v>904</v>
      </c>
      <c r="J54" s="511" t="s">
        <v>266</v>
      </c>
      <c r="K54"/>
    </row>
    <row r="55" spans="2:11" ht="98.5" customHeight="1" x14ac:dyDescent="0.25">
      <c r="B55" s="139" t="s">
        <v>195</v>
      </c>
      <c r="C55" s="567" t="s">
        <v>962</v>
      </c>
      <c r="D55" s="567"/>
      <c r="E55" s="279" t="s">
        <v>245</v>
      </c>
      <c r="F55" s="279" t="s">
        <v>245</v>
      </c>
      <c r="G55" s="129"/>
      <c r="H55" s="513" t="s">
        <v>963</v>
      </c>
      <c r="I55" s="374" t="s">
        <v>904</v>
      </c>
      <c r="J55" s="374" t="s">
        <v>389</v>
      </c>
      <c r="K55"/>
    </row>
    <row r="56" spans="2:11" ht="21.75" hidden="1" customHeight="1" x14ac:dyDescent="0.25">
      <c r="B56" s="138"/>
      <c r="C56" s="123" t="s">
        <v>964</v>
      </c>
      <c r="D56" s="124"/>
      <c r="E56" s="279" t="s">
        <v>245</v>
      </c>
      <c r="F56" s="279" t="s">
        <v>245</v>
      </c>
      <c r="G56" s="128"/>
      <c r="H56" s="513" t="s">
        <v>963</v>
      </c>
      <c r="I56" s="374" t="s">
        <v>904</v>
      </c>
      <c r="J56" s="374" t="s">
        <v>266</v>
      </c>
      <c r="K56"/>
    </row>
    <row r="57" spans="2:11" ht="37.5" x14ac:dyDescent="0.25">
      <c r="B57" s="138" t="s">
        <v>195</v>
      </c>
      <c r="C57" s="568" t="s">
        <v>965</v>
      </c>
      <c r="D57" s="567"/>
      <c r="E57" s="279" t="s">
        <v>245</v>
      </c>
      <c r="F57" s="279" t="s">
        <v>245</v>
      </c>
      <c r="G57" s="128"/>
      <c r="H57" s="513" t="s">
        <v>963</v>
      </c>
      <c r="I57" s="374" t="s">
        <v>904</v>
      </c>
      <c r="J57" s="374" t="s">
        <v>389</v>
      </c>
      <c r="K57"/>
    </row>
    <row r="58" spans="2:11" ht="39.65" hidden="1" customHeight="1" x14ac:dyDescent="0.25">
      <c r="B58" s="139"/>
      <c r="C58" s="407" t="s">
        <v>966</v>
      </c>
      <c r="D58" s="407"/>
      <c r="E58" s="279" t="s">
        <v>967</v>
      </c>
      <c r="F58" s="279" t="s">
        <v>968</v>
      </c>
      <c r="G58" s="168">
        <v>45420</v>
      </c>
      <c r="H58" s="513" t="s">
        <v>969</v>
      </c>
      <c r="I58" s="374" t="s">
        <v>904</v>
      </c>
      <c r="J58" s="374" t="s">
        <v>266</v>
      </c>
      <c r="K58"/>
    </row>
    <row r="59" spans="2:11" ht="80.900000000000006" hidden="1" customHeight="1" x14ac:dyDescent="0.25">
      <c r="B59" s="139"/>
      <c r="C59" s="407" t="s">
        <v>970</v>
      </c>
      <c r="D59" s="407"/>
      <c r="E59" s="167">
        <v>45418</v>
      </c>
      <c r="F59" s="167">
        <v>45422</v>
      </c>
      <c r="G59" s="168">
        <v>45419</v>
      </c>
      <c r="H59" s="513" t="s">
        <v>971</v>
      </c>
      <c r="I59" s="374" t="s">
        <v>904</v>
      </c>
      <c r="J59" s="374" t="s">
        <v>266</v>
      </c>
      <c r="K59"/>
    </row>
    <row r="60" spans="2:11" ht="12.5" x14ac:dyDescent="0.25">
      <c r="B60" s="139" t="s">
        <v>195</v>
      </c>
      <c r="C60" s="569" t="s">
        <v>972</v>
      </c>
      <c r="D60" s="569"/>
      <c r="E60" s="279" t="s">
        <v>245</v>
      </c>
      <c r="F60" s="279" t="s">
        <v>245</v>
      </c>
      <c r="G60" s="129"/>
      <c r="H60" s="513"/>
      <c r="I60" s="374" t="s">
        <v>904</v>
      </c>
      <c r="J60" s="374" t="s">
        <v>389</v>
      </c>
      <c r="K60"/>
    </row>
    <row r="61" spans="2:11" ht="12.5" hidden="1" x14ac:dyDescent="0.25">
      <c r="B61" s="139"/>
      <c r="C61" s="124" t="s">
        <v>973</v>
      </c>
      <c r="D61" s="124"/>
      <c r="E61" s="167">
        <v>45419</v>
      </c>
      <c r="F61" s="167">
        <v>45422</v>
      </c>
      <c r="G61" s="168">
        <v>45420</v>
      </c>
      <c r="H61" s="513"/>
      <c r="I61" s="374" t="s">
        <v>904</v>
      </c>
      <c r="J61" s="374" t="s">
        <v>266</v>
      </c>
      <c r="K61"/>
    </row>
    <row r="62" spans="2:11" ht="12.75" hidden="1" customHeight="1" x14ac:dyDescent="0.25">
      <c r="B62" s="139" t="s">
        <v>94</v>
      </c>
      <c r="C62" s="124" t="s">
        <v>974</v>
      </c>
      <c r="D62" s="124"/>
      <c r="E62" s="167">
        <v>45419</v>
      </c>
      <c r="F62" s="279" t="s">
        <v>975</v>
      </c>
      <c r="G62" s="129"/>
      <c r="H62" s="513"/>
      <c r="I62" s="374" t="s">
        <v>29</v>
      </c>
      <c r="J62" s="374" t="s">
        <v>266</v>
      </c>
      <c r="K62"/>
    </row>
    <row r="63" spans="2:11" ht="26.25" hidden="1" customHeight="1" x14ac:dyDescent="0.25">
      <c r="B63" s="139" t="s">
        <v>94</v>
      </c>
      <c r="C63" s="407" t="s">
        <v>976</v>
      </c>
      <c r="D63" s="407"/>
      <c r="E63" s="167">
        <v>45419</v>
      </c>
      <c r="F63" s="167">
        <v>45433</v>
      </c>
      <c r="G63" s="168">
        <v>45440</v>
      </c>
      <c r="H63" s="513"/>
      <c r="I63" s="374" t="s">
        <v>29</v>
      </c>
      <c r="J63" s="374" t="s">
        <v>266</v>
      </c>
      <c r="K63"/>
    </row>
    <row r="64" spans="2:11" ht="12.75" hidden="1" customHeight="1" x14ac:dyDescent="0.25">
      <c r="B64" s="139"/>
      <c r="C64" s="124" t="s">
        <v>977</v>
      </c>
      <c r="D64" s="124"/>
      <c r="E64" s="167">
        <v>45420</v>
      </c>
      <c r="F64" s="167">
        <v>45420</v>
      </c>
      <c r="G64" s="167">
        <v>45420</v>
      </c>
      <c r="H64" s="513"/>
      <c r="I64" s="374" t="s">
        <v>904</v>
      </c>
      <c r="J64" s="374" t="s">
        <v>266</v>
      </c>
      <c r="K64"/>
    </row>
    <row r="65" spans="2:11" ht="12.75" hidden="1" customHeight="1" x14ac:dyDescent="0.25">
      <c r="B65" s="139"/>
      <c r="C65" s="124" t="s">
        <v>978</v>
      </c>
      <c r="D65" s="124"/>
      <c r="E65" s="167">
        <v>45422</v>
      </c>
      <c r="F65" s="167">
        <v>45444</v>
      </c>
      <c r="G65" s="168">
        <v>45425</v>
      </c>
      <c r="H65" s="513"/>
      <c r="I65" s="374" t="s">
        <v>904</v>
      </c>
      <c r="J65" s="374" t="s">
        <v>266</v>
      </c>
      <c r="K65"/>
    </row>
    <row r="66" spans="2:11" ht="12.75" hidden="1" customHeight="1" x14ac:dyDescent="0.25">
      <c r="B66" s="139"/>
      <c r="C66" s="124" t="s">
        <v>979</v>
      </c>
      <c r="D66" s="124"/>
      <c r="E66" s="167">
        <v>45420</v>
      </c>
      <c r="F66" s="167">
        <v>45420</v>
      </c>
      <c r="G66" s="168">
        <v>45420</v>
      </c>
      <c r="H66" s="513"/>
      <c r="I66" s="374" t="s">
        <v>904</v>
      </c>
      <c r="J66" s="374" t="s">
        <v>266</v>
      </c>
      <c r="K66"/>
    </row>
    <row r="67" spans="2:11" ht="12.75" hidden="1" customHeight="1" x14ac:dyDescent="0.25">
      <c r="B67" s="139"/>
      <c r="C67" s="124" t="s">
        <v>980</v>
      </c>
      <c r="D67" s="124"/>
      <c r="E67" s="167">
        <v>45420</v>
      </c>
      <c r="F67" s="167">
        <v>45422</v>
      </c>
      <c r="G67" s="168">
        <v>45425</v>
      </c>
      <c r="H67" s="513"/>
      <c r="I67" s="374" t="s">
        <v>904</v>
      </c>
      <c r="J67" s="374" t="s">
        <v>266</v>
      </c>
      <c r="K67"/>
    </row>
    <row r="68" spans="2:11" ht="12.75" hidden="1" customHeight="1" x14ac:dyDescent="0.25">
      <c r="B68" s="139" t="s">
        <v>195</v>
      </c>
      <c r="C68" s="124" t="s">
        <v>981</v>
      </c>
      <c r="D68" s="124"/>
      <c r="E68" s="167">
        <v>45421</v>
      </c>
      <c r="F68" s="167">
        <v>45429</v>
      </c>
      <c r="G68" s="168">
        <v>45430</v>
      </c>
      <c r="H68" s="513"/>
      <c r="I68" s="374" t="s">
        <v>904</v>
      </c>
      <c r="J68" s="374" t="s">
        <v>266</v>
      </c>
      <c r="K68"/>
    </row>
    <row r="69" spans="2:11" ht="25" hidden="1" x14ac:dyDescent="0.25">
      <c r="B69" s="139" t="s">
        <v>94</v>
      </c>
      <c r="C69" s="124" t="s">
        <v>982</v>
      </c>
      <c r="D69" s="124"/>
      <c r="E69" s="167">
        <v>45426</v>
      </c>
      <c r="F69" s="167">
        <v>45433</v>
      </c>
      <c r="G69" s="168">
        <v>45441</v>
      </c>
      <c r="H69" s="513" t="s">
        <v>983</v>
      </c>
      <c r="I69" s="374" t="s">
        <v>904</v>
      </c>
      <c r="J69" s="374" t="s">
        <v>266</v>
      </c>
      <c r="K69"/>
    </row>
    <row r="70" spans="2:11" ht="12.75" hidden="1" customHeight="1" x14ac:dyDescent="0.25">
      <c r="B70" s="139" t="s">
        <v>94</v>
      </c>
      <c r="C70" s="124" t="s">
        <v>984</v>
      </c>
      <c r="D70" s="124"/>
      <c r="E70" s="167">
        <v>45426</v>
      </c>
      <c r="F70" s="167">
        <v>45437</v>
      </c>
      <c r="G70" s="129"/>
      <c r="H70" s="513"/>
      <c r="I70" s="374" t="s">
        <v>29</v>
      </c>
      <c r="J70" s="374" t="s">
        <v>266</v>
      </c>
      <c r="K70"/>
    </row>
    <row r="71" spans="2:11" ht="37.5" hidden="1" x14ac:dyDescent="0.25">
      <c r="B71" s="139" t="s">
        <v>94</v>
      </c>
      <c r="C71" s="124" t="s">
        <v>985</v>
      </c>
      <c r="D71" s="124"/>
      <c r="E71" s="167">
        <v>45426</v>
      </c>
      <c r="F71" s="167">
        <v>45440</v>
      </c>
      <c r="G71" s="168">
        <v>45440</v>
      </c>
      <c r="H71" s="513" t="s">
        <v>986</v>
      </c>
      <c r="I71" s="374" t="s">
        <v>29</v>
      </c>
      <c r="J71" s="374" t="s">
        <v>266</v>
      </c>
      <c r="K71"/>
    </row>
    <row r="72" spans="2:11" ht="12.5" hidden="1" x14ac:dyDescent="0.25">
      <c r="B72" s="139"/>
      <c r="C72" s="124" t="s">
        <v>987</v>
      </c>
      <c r="D72" s="124"/>
      <c r="E72" s="167">
        <v>45426</v>
      </c>
      <c r="F72" s="167">
        <v>45473</v>
      </c>
      <c r="G72" s="168">
        <v>45483</v>
      </c>
      <c r="H72" s="513"/>
      <c r="I72" s="374" t="s">
        <v>7</v>
      </c>
      <c r="J72" s="374" t="s">
        <v>266</v>
      </c>
    </row>
    <row r="73" spans="2:11" ht="12.75" hidden="1" customHeight="1" x14ac:dyDescent="0.25">
      <c r="B73" s="139" t="s">
        <v>195</v>
      </c>
      <c r="C73" s="124" t="s">
        <v>988</v>
      </c>
      <c r="D73" s="124"/>
      <c r="E73" s="167">
        <v>45427</v>
      </c>
      <c r="F73" s="167">
        <v>45440</v>
      </c>
      <c r="G73" s="168">
        <v>45440</v>
      </c>
      <c r="H73" s="513" t="s">
        <v>989</v>
      </c>
      <c r="I73" s="374" t="s">
        <v>904</v>
      </c>
      <c r="J73" s="374" t="s">
        <v>266</v>
      </c>
    </row>
    <row r="74" spans="2:11" ht="37.5" hidden="1" customHeight="1" x14ac:dyDescent="0.25">
      <c r="B74" s="139" t="s">
        <v>129</v>
      </c>
      <c r="C74" s="124" t="s">
        <v>990</v>
      </c>
      <c r="D74" s="124"/>
      <c r="E74" s="167">
        <v>45427</v>
      </c>
      <c r="F74" s="167">
        <v>45434</v>
      </c>
      <c r="G74" s="129"/>
      <c r="H74" s="513" t="s">
        <v>991</v>
      </c>
      <c r="I74" s="374" t="s">
        <v>109</v>
      </c>
      <c r="J74" s="374" t="s">
        <v>266</v>
      </c>
    </row>
    <row r="75" spans="2:11" ht="12.75" hidden="1" customHeight="1" x14ac:dyDescent="0.25">
      <c r="B75" s="139" t="s">
        <v>195</v>
      </c>
      <c r="C75" s="124" t="s">
        <v>992</v>
      </c>
      <c r="D75" s="279"/>
      <c r="E75" s="167">
        <v>45440</v>
      </c>
      <c r="F75" s="167">
        <v>45443</v>
      </c>
      <c r="G75" s="168">
        <v>45441</v>
      </c>
      <c r="H75" s="513"/>
      <c r="I75" s="374" t="s">
        <v>904</v>
      </c>
      <c r="J75" s="374" t="s">
        <v>266</v>
      </c>
    </row>
    <row r="76" spans="2:11" ht="12.75" hidden="1" customHeight="1" x14ac:dyDescent="0.25">
      <c r="B76" s="139" t="s">
        <v>195</v>
      </c>
      <c r="C76" s="124" t="s">
        <v>993</v>
      </c>
      <c r="D76" s="279"/>
      <c r="E76" s="167">
        <v>45440</v>
      </c>
      <c r="F76" s="167">
        <v>45457</v>
      </c>
      <c r="G76" s="167">
        <v>45457</v>
      </c>
      <c r="H76" s="513"/>
      <c r="I76" s="374" t="s">
        <v>904</v>
      </c>
      <c r="J76" s="374" t="s">
        <v>266</v>
      </c>
    </row>
    <row r="77" spans="2:11" ht="12.75" hidden="1" customHeight="1" x14ac:dyDescent="0.25">
      <c r="B77" s="139" t="s">
        <v>195</v>
      </c>
      <c r="C77" s="124" t="s">
        <v>994</v>
      </c>
      <c r="D77" s="279"/>
      <c r="E77" s="167">
        <v>45440</v>
      </c>
      <c r="F77" s="167">
        <v>45447</v>
      </c>
      <c r="G77" s="167">
        <v>45447</v>
      </c>
      <c r="H77" s="513"/>
      <c r="I77" s="374" t="s">
        <v>904</v>
      </c>
      <c r="J77" s="374" t="s">
        <v>266</v>
      </c>
    </row>
    <row r="78" spans="2:11" ht="24.75" hidden="1" customHeight="1" x14ac:dyDescent="0.25">
      <c r="B78" s="139" t="s">
        <v>195</v>
      </c>
      <c r="C78" s="407" t="s">
        <v>995</v>
      </c>
      <c r="D78" s="279">
        <v>1</v>
      </c>
      <c r="E78" s="167">
        <v>45441</v>
      </c>
      <c r="F78" s="167">
        <v>45455</v>
      </c>
      <c r="G78" s="167">
        <v>45455</v>
      </c>
      <c r="H78" s="513" t="s">
        <v>996</v>
      </c>
      <c r="I78" s="374" t="s">
        <v>904</v>
      </c>
      <c r="J78" s="374" t="s">
        <v>266</v>
      </c>
    </row>
    <row r="79" spans="2:11" ht="12.75" hidden="1" customHeight="1" x14ac:dyDescent="0.25">
      <c r="B79" s="139" t="s">
        <v>195</v>
      </c>
      <c r="C79" s="124" t="s">
        <v>997</v>
      </c>
      <c r="D79" s="279"/>
      <c r="E79" s="167">
        <v>45441</v>
      </c>
      <c r="F79" s="167">
        <v>45455</v>
      </c>
      <c r="G79" s="167">
        <v>45455</v>
      </c>
      <c r="H79" s="513"/>
      <c r="I79" s="374" t="s">
        <v>904</v>
      </c>
      <c r="J79" s="374" t="s">
        <v>266</v>
      </c>
    </row>
    <row r="80" spans="2:11" ht="25" hidden="1" x14ac:dyDescent="0.25">
      <c r="B80" s="139" t="s">
        <v>195</v>
      </c>
      <c r="C80" s="407" t="s">
        <v>998</v>
      </c>
      <c r="D80" s="124"/>
      <c r="E80" s="167">
        <v>45446</v>
      </c>
      <c r="F80" s="167">
        <v>45480</v>
      </c>
      <c r="G80" s="168">
        <v>45449</v>
      </c>
      <c r="H80" s="513"/>
      <c r="I80" s="374" t="s">
        <v>904</v>
      </c>
      <c r="J80" s="374" t="s">
        <v>266</v>
      </c>
    </row>
    <row r="81" spans="2:10" ht="12.75" hidden="1" customHeight="1" x14ac:dyDescent="0.25">
      <c r="C81" s="123" t="s">
        <v>999</v>
      </c>
      <c r="D81" s="124"/>
      <c r="E81" s="126">
        <v>45468</v>
      </c>
      <c r="F81" s="126">
        <v>45488</v>
      </c>
      <c r="G81" s="128"/>
      <c r="H81" s="635"/>
      <c r="I81" s="636" t="s">
        <v>7</v>
      </c>
      <c r="J81" s="636" t="s">
        <v>266</v>
      </c>
    </row>
    <row r="82" spans="2:10" ht="12.75" hidden="1" customHeight="1" x14ac:dyDescent="0.25">
      <c r="C82" s="124" t="s">
        <v>1000</v>
      </c>
      <c r="D82" s="124"/>
      <c r="E82" s="167">
        <v>45468</v>
      </c>
      <c r="F82" s="167">
        <v>45488</v>
      </c>
      <c r="G82" s="129"/>
      <c r="H82" s="513"/>
      <c r="I82" s="374" t="s">
        <v>7</v>
      </c>
      <c r="J82" s="636" t="s">
        <v>266</v>
      </c>
    </row>
    <row r="83" spans="2:10" ht="12.75" hidden="1" customHeight="1" x14ac:dyDescent="0.25">
      <c r="B83" s="139" t="s">
        <v>107</v>
      </c>
      <c r="C83" s="124" t="s">
        <v>1001</v>
      </c>
      <c r="D83" s="124"/>
      <c r="E83" s="167">
        <v>45468</v>
      </c>
      <c r="F83" s="279"/>
      <c r="G83" s="129"/>
      <c r="H83" s="513"/>
      <c r="I83" s="374" t="s">
        <v>7</v>
      </c>
      <c r="J83" s="374" t="s">
        <v>266</v>
      </c>
    </row>
    <row r="84" spans="2:10" ht="12.75" hidden="1" customHeight="1" x14ac:dyDescent="0.25">
      <c r="B84" s="139" t="s">
        <v>195</v>
      </c>
      <c r="C84" s="124" t="s">
        <v>1002</v>
      </c>
      <c r="D84" s="124"/>
      <c r="E84" s="167">
        <v>45468</v>
      </c>
      <c r="F84" s="167">
        <v>45473</v>
      </c>
      <c r="G84" s="168"/>
      <c r="H84" s="513"/>
      <c r="I84" s="374" t="s">
        <v>904</v>
      </c>
      <c r="J84" s="374" t="s">
        <v>266</v>
      </c>
    </row>
    <row r="85" spans="2:10" ht="12.75" hidden="1" customHeight="1" x14ac:dyDescent="0.25">
      <c r="B85" s="138"/>
      <c r="C85" s="123"/>
      <c r="D85" s="124"/>
      <c r="E85" s="126"/>
      <c r="F85" s="126"/>
      <c r="G85" s="128"/>
      <c r="H85" s="635"/>
      <c r="I85" s="636"/>
      <c r="J85" s="636"/>
    </row>
    <row r="86" spans="2:10" ht="12.75" hidden="1" customHeight="1" x14ac:dyDescent="0.25">
      <c r="B86" s="139" t="s">
        <v>195</v>
      </c>
      <c r="C86" s="124" t="s">
        <v>1003</v>
      </c>
      <c r="D86" s="124"/>
      <c r="E86" s="167">
        <v>45462</v>
      </c>
      <c r="F86" s="167">
        <v>45490</v>
      </c>
      <c r="G86" s="167">
        <v>45490</v>
      </c>
      <c r="H86" s="513"/>
      <c r="I86" s="374" t="s">
        <v>904</v>
      </c>
      <c r="J86" s="374" t="s">
        <v>266</v>
      </c>
    </row>
    <row r="87" spans="2:10" ht="12.75" hidden="1" customHeight="1" x14ac:dyDescent="0.25">
      <c r="B87" s="138"/>
      <c r="C87" s="123" t="s">
        <v>1004</v>
      </c>
      <c r="D87" s="124"/>
      <c r="E87" s="126">
        <v>45483</v>
      </c>
      <c r="F87" s="373"/>
      <c r="G87" s="128"/>
      <c r="H87" s="635"/>
      <c r="I87" s="636"/>
      <c r="J87" s="636"/>
    </row>
    <row r="88" spans="2:10" ht="12.75" hidden="1" customHeight="1" x14ac:dyDescent="0.25">
      <c r="B88" s="139"/>
      <c r="C88" s="124" t="s">
        <v>1005</v>
      </c>
      <c r="D88" s="124"/>
      <c r="E88" s="167">
        <v>45488</v>
      </c>
      <c r="F88" s="167">
        <v>45488</v>
      </c>
      <c r="G88" s="168">
        <v>45492</v>
      </c>
      <c r="H88" s="513"/>
      <c r="I88" s="374" t="s">
        <v>904</v>
      </c>
      <c r="J88" s="374" t="s">
        <v>266</v>
      </c>
    </row>
    <row r="89" spans="2:10" ht="12.75" hidden="1" customHeight="1" x14ac:dyDescent="0.25">
      <c r="B89" s="139"/>
      <c r="C89" s="124" t="s">
        <v>1006</v>
      </c>
      <c r="D89" s="124"/>
      <c r="E89" s="167">
        <v>45489</v>
      </c>
      <c r="F89" s="167">
        <v>45489</v>
      </c>
      <c r="G89" s="167">
        <v>45489</v>
      </c>
      <c r="H89" s="513"/>
      <c r="I89" s="374" t="s">
        <v>904</v>
      </c>
      <c r="J89" s="374" t="s">
        <v>266</v>
      </c>
    </row>
    <row r="90" spans="2:10" ht="12.75" hidden="1" customHeight="1" x14ac:dyDescent="0.25">
      <c r="B90" s="139" t="s">
        <v>107</v>
      </c>
      <c r="C90" s="124" t="s">
        <v>1007</v>
      </c>
      <c r="D90" s="124"/>
      <c r="E90" s="167">
        <v>45489</v>
      </c>
      <c r="F90" s="167">
        <v>45496</v>
      </c>
      <c r="G90" s="168">
        <v>45495</v>
      </c>
      <c r="H90" s="513"/>
      <c r="I90" s="374" t="s">
        <v>904</v>
      </c>
      <c r="J90" s="374" t="s">
        <v>266</v>
      </c>
    </row>
    <row r="91" spans="2:10" ht="12.75" hidden="1" customHeight="1" x14ac:dyDescent="0.25">
      <c r="B91" s="139"/>
      <c r="C91" s="124" t="s">
        <v>1008</v>
      </c>
      <c r="D91" s="124"/>
      <c r="E91" s="167">
        <v>45489</v>
      </c>
      <c r="F91" s="167">
        <v>45489</v>
      </c>
      <c r="G91" s="167">
        <v>45489</v>
      </c>
      <c r="H91" s="513"/>
      <c r="I91" s="374" t="s">
        <v>904</v>
      </c>
      <c r="J91" s="374" t="s">
        <v>266</v>
      </c>
    </row>
    <row r="92" spans="2:10" ht="12.75" hidden="1" customHeight="1" x14ac:dyDescent="0.25">
      <c r="B92" s="138"/>
      <c r="C92" s="123"/>
      <c r="D92" s="124"/>
      <c r="E92" s="126"/>
      <c r="F92" s="126"/>
      <c r="G92" s="128"/>
      <c r="H92" s="635"/>
      <c r="I92" s="636"/>
      <c r="J92" s="636"/>
    </row>
    <row r="93" spans="2:10" ht="12.75" hidden="1" customHeight="1" x14ac:dyDescent="0.25">
      <c r="B93" s="138" t="s">
        <v>195</v>
      </c>
      <c r="C93" s="123" t="s">
        <v>1009</v>
      </c>
      <c r="D93" s="124"/>
      <c r="E93" s="126">
        <v>45496</v>
      </c>
      <c r="F93" s="126">
        <v>45496</v>
      </c>
      <c r="G93" s="126">
        <v>45496</v>
      </c>
      <c r="H93" s="635"/>
      <c r="I93" s="636" t="s">
        <v>904</v>
      </c>
      <c r="J93" s="636" t="s">
        <v>266</v>
      </c>
    </row>
    <row r="94" spans="2:10" ht="12.75" hidden="1" customHeight="1" x14ac:dyDescent="0.25">
      <c r="B94" s="138" t="s">
        <v>195</v>
      </c>
      <c r="C94" s="123" t="s">
        <v>1010</v>
      </c>
      <c r="D94" s="124"/>
      <c r="E94" s="126">
        <v>45513</v>
      </c>
      <c r="F94" s="126">
        <v>45520</v>
      </c>
      <c r="G94" s="127">
        <v>45520</v>
      </c>
      <c r="H94" s="635" t="s">
        <v>1011</v>
      </c>
      <c r="I94" s="636" t="s">
        <v>904</v>
      </c>
      <c r="J94" s="636" t="s">
        <v>266</v>
      </c>
    </row>
    <row r="95" spans="2:10" ht="12.75" hidden="1" customHeight="1" x14ac:dyDescent="0.25">
      <c r="B95" s="139" t="s">
        <v>195</v>
      </c>
      <c r="C95" s="124" t="s">
        <v>1012</v>
      </c>
      <c r="D95" s="124"/>
      <c r="E95" s="167">
        <v>45497</v>
      </c>
      <c r="F95" s="167">
        <v>45499</v>
      </c>
      <c r="G95" s="168">
        <v>45500</v>
      </c>
      <c r="H95" s="513"/>
      <c r="I95" s="374" t="s">
        <v>904</v>
      </c>
      <c r="J95" s="374" t="s">
        <v>266</v>
      </c>
    </row>
    <row r="96" spans="2:10" ht="12.75" hidden="1" customHeight="1" x14ac:dyDescent="0.25">
      <c r="B96" s="139" t="s">
        <v>195</v>
      </c>
      <c r="C96" s="124" t="s">
        <v>1013</v>
      </c>
      <c r="D96" s="124"/>
      <c r="E96" s="167">
        <v>45497</v>
      </c>
      <c r="F96" s="167">
        <v>45499</v>
      </c>
      <c r="G96" s="167">
        <v>45499</v>
      </c>
      <c r="H96" s="513"/>
      <c r="I96" s="374" t="s">
        <v>904</v>
      </c>
      <c r="J96" s="374" t="s">
        <v>266</v>
      </c>
    </row>
    <row r="97" spans="2:10" ht="12.75" hidden="1" customHeight="1" x14ac:dyDescent="0.25">
      <c r="B97" s="139" t="s">
        <v>195</v>
      </c>
      <c r="C97" s="124" t="s">
        <v>1014</v>
      </c>
      <c r="D97" s="124"/>
      <c r="E97" s="167">
        <v>45511</v>
      </c>
      <c r="F97" s="167">
        <v>45512</v>
      </c>
      <c r="G97" s="167">
        <v>45512</v>
      </c>
      <c r="H97" s="513"/>
      <c r="I97" s="374" t="s">
        <v>904</v>
      </c>
      <c r="J97" s="374" t="s">
        <v>266</v>
      </c>
    </row>
    <row r="98" spans="2:10" ht="12.75" hidden="1" customHeight="1" x14ac:dyDescent="0.25">
      <c r="B98" s="139" t="s">
        <v>195</v>
      </c>
      <c r="C98" s="124" t="s">
        <v>1015</v>
      </c>
      <c r="D98" s="124"/>
      <c r="E98" s="167">
        <v>45512</v>
      </c>
      <c r="F98" s="167">
        <v>45519</v>
      </c>
      <c r="G98" s="168">
        <v>45518</v>
      </c>
      <c r="H98" s="513"/>
      <c r="I98" s="374" t="s">
        <v>904</v>
      </c>
      <c r="J98" s="374" t="s">
        <v>266</v>
      </c>
    </row>
    <row r="99" spans="2:10" ht="12.75" hidden="1" customHeight="1" x14ac:dyDescent="0.25">
      <c r="B99" s="139" t="s">
        <v>195</v>
      </c>
      <c r="C99" s="124" t="s">
        <v>1016</v>
      </c>
      <c r="D99" s="124"/>
      <c r="E99" s="167">
        <v>45513</v>
      </c>
      <c r="F99" s="167">
        <v>45520</v>
      </c>
      <c r="G99" s="168">
        <v>45520</v>
      </c>
      <c r="H99" s="513"/>
      <c r="I99" s="374" t="s">
        <v>904</v>
      </c>
      <c r="J99" s="374" t="s">
        <v>266</v>
      </c>
    </row>
    <row r="100" spans="2:10" ht="12.75" hidden="1" customHeight="1" x14ac:dyDescent="0.25">
      <c r="B100" s="139" t="s">
        <v>195</v>
      </c>
      <c r="C100" s="124" t="s">
        <v>1017</v>
      </c>
      <c r="D100" s="124"/>
      <c r="E100" s="167">
        <v>45517</v>
      </c>
      <c r="F100" s="167">
        <v>45535</v>
      </c>
      <c r="G100" s="167">
        <v>45535</v>
      </c>
      <c r="H100" s="513"/>
      <c r="I100" s="374" t="s">
        <v>904</v>
      </c>
      <c r="J100" s="374" t="s">
        <v>266</v>
      </c>
    </row>
    <row r="101" spans="2:10" ht="12.75" hidden="1" customHeight="1" x14ac:dyDescent="0.25">
      <c r="B101" s="139" t="s">
        <v>195</v>
      </c>
      <c r="C101" s="124" t="s">
        <v>1018</v>
      </c>
      <c r="D101" s="124"/>
      <c r="E101" s="167">
        <v>45519</v>
      </c>
      <c r="F101" s="167">
        <v>45519</v>
      </c>
      <c r="G101" s="167">
        <v>45519</v>
      </c>
      <c r="H101" s="513"/>
      <c r="I101" s="374"/>
      <c r="J101" s="374"/>
    </row>
    <row r="102" spans="2:10" ht="12.75" hidden="1" customHeight="1" x14ac:dyDescent="0.25">
      <c r="B102" s="139" t="s">
        <v>195</v>
      </c>
      <c r="C102" s="124" t="s">
        <v>1019</v>
      </c>
      <c r="D102" s="124"/>
      <c r="E102" s="167">
        <v>45539</v>
      </c>
      <c r="F102" s="167">
        <v>45542</v>
      </c>
      <c r="G102" s="129"/>
      <c r="H102" s="513"/>
      <c r="I102" s="374" t="s">
        <v>904</v>
      </c>
      <c r="J102" s="374" t="s">
        <v>266</v>
      </c>
    </row>
    <row r="103" spans="2:10" ht="12.75" hidden="1" customHeight="1" x14ac:dyDescent="0.25">
      <c r="B103" s="138" t="s">
        <v>107</v>
      </c>
      <c r="C103" s="123" t="s">
        <v>1020</v>
      </c>
      <c r="D103" s="124"/>
      <c r="E103" s="126">
        <v>45543</v>
      </c>
      <c r="F103" s="126">
        <v>45548</v>
      </c>
      <c r="G103" s="126">
        <v>45549</v>
      </c>
      <c r="H103" s="635"/>
      <c r="I103" s="374" t="s">
        <v>904</v>
      </c>
      <c r="J103" s="636" t="s">
        <v>266</v>
      </c>
    </row>
    <row r="104" spans="2:10" ht="12.75" hidden="1" customHeight="1" x14ac:dyDescent="0.25">
      <c r="B104" s="139"/>
      <c r="C104" s="124" t="s">
        <v>1021</v>
      </c>
      <c r="D104" s="124"/>
      <c r="E104" s="167">
        <v>45547</v>
      </c>
      <c r="F104" s="167">
        <v>45548</v>
      </c>
      <c r="G104" s="129"/>
      <c r="H104" s="513"/>
      <c r="I104" s="374" t="s">
        <v>904</v>
      </c>
      <c r="J104" s="374"/>
    </row>
    <row r="105" spans="2:10" ht="12.75" customHeight="1" x14ac:dyDescent="0.25">
      <c r="B105" s="139" t="s">
        <v>195</v>
      </c>
      <c r="C105" s="124" t="s">
        <v>1022</v>
      </c>
      <c r="D105" s="124"/>
      <c r="E105" s="167">
        <v>45548</v>
      </c>
      <c r="F105" s="167">
        <v>45555</v>
      </c>
      <c r="G105" s="167">
        <v>45555</v>
      </c>
      <c r="H105" s="513"/>
      <c r="I105" s="374" t="s">
        <v>904</v>
      </c>
      <c r="J105" s="374" t="s">
        <v>266</v>
      </c>
    </row>
    <row r="106" spans="2:10" ht="12.75" hidden="1" customHeight="1" x14ac:dyDescent="0.25">
      <c r="B106" s="138"/>
      <c r="C106" s="123"/>
      <c r="D106" s="124"/>
      <c r="E106" s="126"/>
      <c r="F106" s="126"/>
      <c r="G106" s="128"/>
      <c r="H106" s="635"/>
      <c r="I106" s="636"/>
      <c r="J106" s="636"/>
    </row>
    <row r="107" spans="2:10" ht="12.75" customHeight="1" x14ac:dyDescent="0.25">
      <c r="B107" s="139" t="s">
        <v>195</v>
      </c>
      <c r="C107" s="124" t="s">
        <v>1023</v>
      </c>
      <c r="D107" s="124"/>
      <c r="E107" s="167">
        <v>45552</v>
      </c>
      <c r="F107" s="167">
        <v>45555</v>
      </c>
      <c r="G107" s="168">
        <v>45555</v>
      </c>
      <c r="H107" s="513"/>
      <c r="I107" s="374" t="s">
        <v>904</v>
      </c>
      <c r="J107" s="374" t="s">
        <v>266</v>
      </c>
    </row>
    <row r="108" spans="2:10" ht="12.75" hidden="1" customHeight="1" x14ac:dyDescent="0.25">
      <c r="B108" s="138"/>
      <c r="C108" s="123"/>
      <c r="D108" s="124"/>
      <c r="E108" s="126"/>
      <c r="F108" s="126"/>
      <c r="G108" s="128"/>
      <c r="H108" s="635"/>
      <c r="I108" s="636"/>
      <c r="J108" s="636"/>
    </row>
    <row r="109" spans="2:10" ht="12.75" customHeight="1" x14ac:dyDescent="0.25">
      <c r="B109" s="139" t="s">
        <v>195</v>
      </c>
      <c r="C109" s="123" t="s">
        <v>1024</v>
      </c>
      <c r="D109" s="124"/>
      <c r="E109" s="126">
        <v>45580</v>
      </c>
      <c r="F109" s="126">
        <v>45581</v>
      </c>
      <c r="G109" s="126">
        <v>45581</v>
      </c>
      <c r="H109" s="635"/>
      <c r="I109" s="636" t="s">
        <v>904</v>
      </c>
      <c r="J109" s="636" t="s">
        <v>266</v>
      </c>
    </row>
    <row r="110" spans="2:10" ht="12.75" customHeight="1" x14ac:dyDescent="0.25">
      <c r="B110" s="139" t="s">
        <v>195</v>
      </c>
      <c r="C110" s="124" t="s">
        <v>1025</v>
      </c>
      <c r="D110" s="124"/>
      <c r="E110" s="167">
        <v>45581</v>
      </c>
      <c r="F110" s="167">
        <v>45596</v>
      </c>
      <c r="G110" s="168">
        <v>45587</v>
      </c>
      <c r="H110" s="513"/>
      <c r="I110" s="374" t="s">
        <v>904</v>
      </c>
      <c r="J110" s="374" t="s">
        <v>266</v>
      </c>
    </row>
    <row r="111" spans="2:10" ht="12.75" customHeight="1" x14ac:dyDescent="0.25">
      <c r="B111" s="139" t="s">
        <v>195</v>
      </c>
      <c r="C111" s="123" t="s">
        <v>1026</v>
      </c>
      <c r="D111" s="124"/>
      <c r="E111" s="126">
        <v>45584</v>
      </c>
      <c r="F111" s="126">
        <v>45626</v>
      </c>
      <c r="G111" s="127"/>
      <c r="H111" s="635"/>
      <c r="I111" s="636"/>
      <c r="J111" s="636" t="s">
        <v>389</v>
      </c>
    </row>
    <row r="112" spans="2:10" ht="12.75" customHeight="1" x14ac:dyDescent="0.25">
      <c r="B112" s="139" t="s">
        <v>195</v>
      </c>
      <c r="C112" s="123" t="s">
        <v>1027</v>
      </c>
      <c r="D112" s="124"/>
      <c r="E112" s="126">
        <v>45588</v>
      </c>
      <c r="F112" s="126">
        <v>45604</v>
      </c>
      <c r="G112" s="127"/>
      <c r="H112" s="635"/>
      <c r="I112" s="636" t="s">
        <v>904</v>
      </c>
      <c r="J112" s="636" t="s">
        <v>389</v>
      </c>
    </row>
    <row r="113" spans="2:10" ht="12.75" customHeight="1" x14ac:dyDescent="0.25">
      <c r="B113" s="139" t="s">
        <v>195</v>
      </c>
      <c r="C113" s="123" t="s">
        <v>1028</v>
      </c>
      <c r="D113" s="124"/>
      <c r="E113" s="126">
        <v>45588</v>
      </c>
      <c r="F113" s="126">
        <v>45590</v>
      </c>
      <c r="G113" s="126">
        <v>45590</v>
      </c>
      <c r="H113" s="635"/>
      <c r="I113" s="636" t="s">
        <v>904</v>
      </c>
      <c r="J113" s="636" t="s">
        <v>389</v>
      </c>
    </row>
    <row r="114" spans="2:10" ht="12.75" customHeight="1" x14ac:dyDescent="0.25">
      <c r="B114" s="139" t="s">
        <v>195</v>
      </c>
      <c r="C114" s="123" t="s">
        <v>1029</v>
      </c>
      <c r="D114" s="124"/>
      <c r="E114" s="126">
        <v>45589</v>
      </c>
      <c r="F114" s="126">
        <v>45600</v>
      </c>
      <c r="G114" s="126">
        <v>45600</v>
      </c>
      <c r="H114" s="635"/>
      <c r="I114" s="636" t="s">
        <v>904</v>
      </c>
      <c r="J114" s="636" t="s">
        <v>389</v>
      </c>
    </row>
    <row r="115" spans="2:10" ht="12.75" customHeight="1" x14ac:dyDescent="0.25">
      <c r="B115" s="138" t="s">
        <v>195</v>
      </c>
      <c r="C115" s="123" t="s">
        <v>1030</v>
      </c>
      <c r="D115" s="124"/>
      <c r="E115" s="126">
        <v>45604</v>
      </c>
      <c r="F115" s="126"/>
      <c r="G115" s="127"/>
      <c r="H115" s="635"/>
      <c r="I115" s="636"/>
      <c r="J115" s="636"/>
    </row>
  </sheetData>
  <mergeCells count="1">
    <mergeCell ref="F3:H5"/>
  </mergeCells>
  <dataValidations count="1">
    <dataValidation type="list" allowBlank="1" showInputMessage="1" showErrorMessage="1" sqref="J11:J306" xr:uid="{C3B57963-B6C2-4BC9-A8EF-0D7C98FAC09D}">
      <formula1>"Waiting on CCM, In Progress, Complete, Delayed"</formula1>
    </dataValidation>
  </dataValidations>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B78FB75D-931A-465B-B067-269178643295}">
          <x14:formula1>
            <xm:f>'Project Plan'!$C$11:$C$99</xm:f>
          </x14:formula1>
          <xm:sqref>B11:B52</xm:sqref>
        </x14:dataValidation>
        <x14:dataValidation type="list" allowBlank="1" showInputMessage="1" showErrorMessage="1" xr:uid="{C937CB51-9C72-406B-A7B2-EBE462854F09}">
          <x14:formula1>
            <xm:f>'Project Plan'!$C$11:$C$100</xm:f>
          </x14:formula1>
          <xm:sqref>B53:B71 B83:B92 B102:B153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FB2FC424CC234A96BCB100D12CE976" ma:contentTypeVersion="6" ma:contentTypeDescription="Create a new document." ma:contentTypeScope="" ma:versionID="3874da1fc72c73fc6ee1fd830c01d05d">
  <xsd:schema xmlns:xsd="http://www.w3.org/2001/XMLSchema" xmlns:xs="http://www.w3.org/2001/XMLSchema" xmlns:p="http://schemas.microsoft.com/office/2006/metadata/properties" xmlns:ns2="e5f75fa3-e706-437f-bf51-fd7e2aead7c1" xmlns:ns3="3d59395f-7a43-46b5-b27e-45a290687882" targetNamespace="http://schemas.microsoft.com/office/2006/metadata/properties" ma:root="true" ma:fieldsID="44b43666df773305528cfedfebfc7a25" ns2:_="" ns3:_="">
    <xsd:import namespace="e5f75fa3-e706-437f-bf51-fd7e2aead7c1"/>
    <xsd:import namespace="3d59395f-7a43-46b5-b27e-45a29068788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f75fa3-e706-437f-bf51-fd7e2aead7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59395f-7a43-46b5-b27e-45a29068788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3d59395f-7a43-46b5-b27e-45a290687882">
      <UserInfo>
        <DisplayName>NT Service\spsearch</DisplayName>
        <AccountId>9</AccountId>
        <AccountType/>
      </UserInfo>
      <UserInfo>
        <DisplayName>Shruti Killer</DisplayName>
        <AccountId>12</AccountId>
        <AccountType/>
      </UserInfo>
      <UserInfo>
        <DisplayName>Amar  Kumar</DisplayName>
        <AccountId>25</AccountId>
        <AccountType/>
      </UserInfo>
      <UserInfo>
        <DisplayName>Saurabh Bansal</DisplayName>
        <AccountId>10</AccountId>
        <AccountType/>
      </UserInfo>
      <UserInfo>
        <DisplayName>Michelle Watkins</DisplayName>
        <AccountId>20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16D9B2-FD53-459A-9293-5192F7E8FA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f75fa3-e706-437f-bf51-fd7e2aead7c1"/>
    <ds:schemaRef ds:uri="3d59395f-7a43-46b5-b27e-45a2906878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7B91A0-0533-4158-B8F0-53708CFDC719}">
  <ds:schemaRefs>
    <ds:schemaRef ds:uri="http://www.w3.org/XML/1998/namespace"/>
    <ds:schemaRef ds:uri="http://schemas.microsoft.com/office/2006/metadata/properties"/>
    <ds:schemaRef ds:uri="http://schemas.openxmlformats.org/package/2006/metadata/core-properties"/>
    <ds:schemaRef ds:uri="e5f75fa3-e706-437f-bf51-fd7e2aead7c1"/>
    <ds:schemaRef ds:uri="http://purl.org/dc/terms/"/>
    <ds:schemaRef ds:uri="http://purl.org/dc/elements/1.1/"/>
    <ds:schemaRef ds:uri="3d59395f-7a43-46b5-b27e-45a290687882"/>
    <ds:schemaRef ds:uri="http://schemas.microsoft.com/office/2006/documentManagement/typ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E86A34F4-0176-4953-AE4F-4839F965E6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ReportingDashboard</vt:lpstr>
      <vt:lpstr>Project Plan</vt:lpstr>
      <vt:lpstr>StatusReport</vt:lpstr>
      <vt:lpstr>Timeline</vt:lpstr>
      <vt:lpstr>IT1-Onboarding</vt:lpstr>
      <vt:lpstr>AC1-Policies</vt:lpstr>
      <vt:lpstr>NU2-Performance</vt:lpstr>
      <vt:lpstr>Strategic Plan</vt:lpstr>
      <vt:lpstr>HR1- Digitization Company</vt:lpstr>
      <vt:lpstr>References</vt:lpstr>
      <vt:lpstr>ClientTrend</vt:lpstr>
      <vt:lpstr>Nurse Hours</vt:lpstr>
      <vt:lpstr>Governance</vt:lpstr>
      <vt:lpstr>Nurse Cases</vt:lpstr>
      <vt:lpstr>Hours Per Case</vt:lpstr>
      <vt:lpstr>Task List</vt:lpstr>
      <vt:lpstr>ReportingDashboard!Print_Area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Colleen Connors</dc:creator>
  <cp:keywords/>
  <dc:description/>
  <cp:lastModifiedBy>AMAR KUMAR</cp:lastModifiedBy>
  <cp:revision/>
  <dcterms:created xsi:type="dcterms:W3CDTF">2023-09-26T18:24:26Z</dcterms:created>
  <dcterms:modified xsi:type="dcterms:W3CDTF">2025-03-27T16:34:35Z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0x01010049FB2FC424CC234A96BCB100D12CE976</vt:lpwstr>
  </property>
  <property fmtid="{D5CDD505-2E9C-101B-9397-08002B2CF9AE}" pid="3" name="ComplianceAssetId">
    <vt:lpwstr/>
  </property>
  <property fmtid="{D5CDD505-2E9C-101B-9397-08002B2CF9AE}" pid="4" name="_ExtendedDescription">
    <vt:lpwstr/>
  </property>
  <property fmtid="{D5CDD505-2E9C-101B-9397-08002B2CF9AE}" pid="5" name="_activity">
    <vt:lpwstr>{"FileActivityType":"9","FileActivityTimeStamp":"2023-10-03T00:32:54.753Z","FileActivityUsersOnPage":[{"DisplayName":"Colleen Connors","Id":"colleen.connors@ghd.com"},{"DisplayName":"Kathryn Newland","Id":"kathryn.newland@ghd.com"},{"DisplayName":"Aijaz Shaik","Id":"aijaz.shaik@ghd.com"},{"DisplayName":"Jack Roberts","Id":"jack.roberts@ghd.com"},{"DisplayName":"Khaliya Rashid","Id":"khaliya.rashid@ghd.com"}],"FileActivityNavigationId":null}</vt:lpwstr>
  </property>
  <property fmtid="{D5CDD505-2E9C-101B-9397-08002B2CF9AE}" pid="6" name="TriggerFlowInfo">
    <vt:lpwstr/>
  </property>
  <property fmtid="{D5CDD505-2E9C-101B-9397-08002B2CF9AE}" pid="7" name="SharedWithUsers">
    <vt:lpwstr>9;#Andre Ribeiro;#844;#Andrew Porter;#34;#Kathryn Newland;#661;#Aijaz Shaik;#698;#Jack Roberts;#12;#Khaliya Rashid</vt:lpwstr>
  </property>
</Properties>
</file>