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xample_Tree_New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7" i="4" l="1"/>
  <c r="J27" i="4" s="1"/>
  <c r="I28" i="4"/>
  <c r="I29" i="4"/>
  <c r="I26" i="4"/>
  <c r="H27" i="4"/>
  <c r="H28" i="4"/>
  <c r="H29" i="4"/>
  <c r="H26" i="4"/>
  <c r="G27" i="4"/>
  <c r="G28" i="4"/>
  <c r="J28" i="4" s="1"/>
  <c r="G29" i="4"/>
  <c r="G26" i="4"/>
  <c r="C30" i="4"/>
  <c r="D27" i="4"/>
  <c r="D28" i="4"/>
  <c r="D29" i="4"/>
  <c r="D26" i="4"/>
  <c r="D30" i="4" s="1"/>
  <c r="F26" i="4"/>
  <c r="F27" i="4" s="1"/>
  <c r="F28" i="4" s="1"/>
  <c r="F29" i="4" s="1"/>
  <c r="J29" i="4"/>
  <c r="P3" i="4"/>
  <c r="E27" i="4" l="1"/>
  <c r="E28" i="4"/>
  <c r="E29" i="4" s="1"/>
  <c r="J26" i="4"/>
  <c r="E26" i="4"/>
  <c r="O31" i="3"/>
  <c r="N32" i="3"/>
  <c r="O32" i="3" s="1"/>
  <c r="N33" i="3"/>
  <c r="O33" i="3" s="1"/>
  <c r="N31" i="3"/>
  <c r="M32" i="3"/>
  <c r="M33" i="3"/>
  <c r="M31" i="3"/>
  <c r="K33" i="3"/>
  <c r="J33" i="3"/>
  <c r="G37" i="3"/>
  <c r="I33" i="3"/>
  <c r="K32" i="3"/>
  <c r="G35" i="3"/>
  <c r="J32" i="3"/>
  <c r="I32" i="3"/>
  <c r="K31" i="3"/>
  <c r="J31" i="3"/>
  <c r="I31" i="3"/>
  <c r="P8" i="3" l="1"/>
  <c r="H13" i="2"/>
  <c r="H9" i="2"/>
  <c r="H8" i="2"/>
  <c r="H7" i="2"/>
  <c r="H3" i="2"/>
  <c r="C2" i="3" l="1"/>
</calcChain>
</file>

<file path=xl/sharedStrings.xml><?xml version="1.0" encoding="utf-8"?>
<sst xmlns="http://schemas.openxmlformats.org/spreadsheetml/2006/main" count="57" uniqueCount="42">
  <si>
    <t>Segment</t>
  </si>
  <si>
    <t>Match Rate (%)</t>
  </si>
  <si>
    <t>Cumulative Match Rate (%)</t>
  </si>
  <si>
    <t>Accept Rate (%)</t>
  </si>
  <si>
    <t>Cumulative Size</t>
  </si>
  <si>
    <t>Cumulative non responder</t>
  </si>
  <si>
    <t>Cumulative non res %</t>
  </si>
  <si>
    <t>Cumulative responder %</t>
  </si>
  <si>
    <t>KS</t>
  </si>
  <si>
    <t>for whole base</t>
  </si>
  <si>
    <t xml:space="preserve">Variance of Net_Income_wo_OPEX </t>
  </si>
  <si>
    <t xml:space="preserve">Average Net_Income_wo_OPEX </t>
  </si>
  <si>
    <t xml:space="preserve">Sum of AIF_last_Apr11 </t>
  </si>
  <si>
    <t>After get segmented</t>
  </si>
  <si>
    <t>Ret_Int_LE_3500</t>
  </si>
  <si>
    <t>SST</t>
  </si>
  <si>
    <t>SSE</t>
  </si>
  <si>
    <t>R2 = 1- SSE/SST = (SST - SSE) / SST</t>
  </si>
  <si>
    <t>A</t>
  </si>
  <si>
    <t>B</t>
  </si>
  <si>
    <t>C</t>
  </si>
  <si>
    <t>D</t>
  </si>
  <si>
    <t>prediction</t>
  </si>
  <si>
    <t>height</t>
  </si>
  <si>
    <t>weight</t>
  </si>
  <si>
    <t>H</t>
  </si>
  <si>
    <t>size</t>
  </si>
  <si>
    <t>responder</t>
  </si>
  <si>
    <t>M</t>
  </si>
  <si>
    <t>L</t>
  </si>
  <si>
    <t>res with offer</t>
  </si>
  <si>
    <t>Ntural responser rate</t>
  </si>
  <si>
    <t>natural benefit</t>
  </si>
  <si>
    <t>benefit with offer</t>
  </si>
  <si>
    <t>Gain with offer</t>
  </si>
  <si>
    <t>Sample size</t>
  </si>
  <si>
    <t>Response Rate (%)</t>
  </si>
  <si>
    <t># of Responder</t>
  </si>
  <si>
    <t>Cumulative Responders</t>
  </si>
  <si>
    <t>All</t>
  </si>
  <si>
    <t xml:space="preserve">Want to figure out </t>
  </si>
  <si>
    <r>
      <t>rating =</t>
    </r>
    <r>
      <rPr>
        <b/>
        <sz val="20"/>
        <color rgb="FFFF0000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</si>
</sst>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0.0%"/>
    <numFmt numFmtId="168" formatCode="[$-14009]dd\ 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8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8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2" borderId="0" xfId="0" applyFont="1" applyFill="1"/>
    <xf numFmtId="0" fontId="0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165" fontId="3" fillId="2" borderId="4" xfId="0" applyNumberFormat="1" applyFont="1" applyFill="1" applyBorder="1" applyAlignment="1">
      <alignment horizontal="right" vertical="center"/>
    </xf>
    <xf numFmtId="166" fontId="3" fillId="2" borderId="4" xfId="1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167" fontId="0" fillId="0" borderId="0" xfId="2" applyNumberFormat="1" applyFont="1"/>
    <xf numFmtId="168" fontId="0" fillId="0" borderId="0" xfId="0" applyNumberFormat="1"/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6" fillId="0" borderId="6" xfId="0" applyFont="1" applyBorder="1" applyAlignment="1">
      <alignment horizontal="left" wrapText="1" readingOrder="1"/>
    </xf>
    <xf numFmtId="0" fontId="4" fillId="0" borderId="9" xfId="0" applyFont="1" applyBorder="1" applyAlignment="1">
      <alignment wrapText="1"/>
    </xf>
    <xf numFmtId="0" fontId="6" fillId="0" borderId="6" xfId="0" applyFont="1" applyBorder="1" applyAlignment="1">
      <alignment horizontal="right" wrapText="1" readingOrder="1"/>
    </xf>
    <xf numFmtId="0" fontId="4" fillId="0" borderId="10" xfId="0" applyFont="1" applyBorder="1" applyAlignment="1">
      <alignment wrapText="1"/>
    </xf>
    <xf numFmtId="0" fontId="7" fillId="0" borderId="0" xfId="0" applyFont="1"/>
    <xf numFmtId="166" fontId="0" fillId="0" borderId="0" xfId="0" applyNumberFormat="1"/>
    <xf numFmtId="0" fontId="0" fillId="0" borderId="11" xfId="0" applyBorder="1"/>
    <xf numFmtId="166" fontId="0" fillId="0" borderId="11" xfId="0" applyNumberFormat="1" applyBorder="1"/>
    <xf numFmtId="9" fontId="0" fillId="0" borderId="11" xfId="0" applyNumberFormat="1" applyBorder="1"/>
    <xf numFmtId="167" fontId="0" fillId="0" borderId="11" xfId="2" applyNumberFormat="1" applyFont="1" applyBorder="1"/>
    <xf numFmtId="0" fontId="0" fillId="0" borderId="11" xfId="0" applyBorder="1" applyAlignment="1">
      <alignment horizontal="center"/>
    </xf>
    <xf numFmtId="0" fontId="3" fillId="2" borderId="11" xfId="0" applyFont="1" applyFill="1" applyBorder="1" applyAlignment="1">
      <alignment horizontal="right" vertical="center"/>
    </xf>
    <xf numFmtId="165" fontId="3" fillId="2" borderId="11" xfId="0" applyNumberFormat="1" applyFont="1" applyFill="1" applyBorder="1" applyAlignment="1">
      <alignment horizontal="right" vertical="center"/>
    </xf>
    <xf numFmtId="166" fontId="3" fillId="2" borderId="11" xfId="1" applyNumberFormat="1" applyFont="1" applyFill="1" applyBorder="1" applyAlignment="1">
      <alignment horizontal="right" vertical="center"/>
    </xf>
    <xf numFmtId="167" fontId="3" fillId="2" borderId="11" xfId="0" applyNumberFormat="1" applyFont="1" applyFill="1" applyBorder="1" applyAlignment="1">
      <alignment horizontal="right" vertical="center"/>
    </xf>
    <xf numFmtId="0" fontId="3" fillId="2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right" vertical="center"/>
    </xf>
    <xf numFmtId="0" fontId="3" fillId="2" borderId="1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65" fontId="3" fillId="2" borderId="16" xfId="0" applyNumberFormat="1" applyFont="1" applyFill="1" applyBorder="1" applyAlignment="1">
      <alignment horizontal="right" vertical="center"/>
    </xf>
    <xf numFmtId="166" fontId="3" fillId="2" borderId="16" xfId="1" applyNumberFormat="1" applyFont="1" applyFill="1" applyBorder="1" applyAlignment="1">
      <alignment horizontal="right" vertical="center"/>
    </xf>
    <xf numFmtId="167" fontId="3" fillId="2" borderId="16" xfId="0" applyNumberFormat="1" applyFont="1" applyFill="1" applyBorder="1" applyAlignment="1">
      <alignment horizontal="right" vertical="center"/>
    </xf>
    <xf numFmtId="0" fontId="3" fillId="2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 wrapText="1"/>
    </xf>
    <xf numFmtId="1" fontId="3" fillId="2" borderId="11" xfId="0" applyNumberFormat="1" applyFont="1" applyFill="1" applyBorder="1" applyAlignment="1">
      <alignment horizontal="right" vertical="center"/>
    </xf>
    <xf numFmtId="0" fontId="2" fillId="3" borderId="19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6" fillId="0" borderId="7" xfId="0" applyFont="1" applyBorder="1" applyAlignment="1">
      <alignment horizontal="right" wrapText="1" readingOrder="1"/>
    </xf>
    <xf numFmtId="0" fontId="6" fillId="0" borderId="8" xfId="0" applyFont="1" applyBorder="1" applyAlignment="1">
      <alignment horizontal="right" wrapText="1" readingOrder="1"/>
    </xf>
    <xf numFmtId="0" fontId="5" fillId="0" borderId="5" xfId="0" applyFont="1" applyBorder="1" applyAlignment="1">
      <alignment horizontal="left" wrapText="1" readingOrder="1"/>
    </xf>
    <xf numFmtId="0" fontId="6" fillId="0" borderId="7" xfId="0" applyFont="1" applyBorder="1" applyAlignment="1">
      <alignment horizontal="left" wrapText="1" readingOrder="1"/>
    </xf>
    <xf numFmtId="0" fontId="6" fillId="0" borderId="8" xfId="0" applyFont="1" applyBorder="1" applyAlignment="1">
      <alignment horizontal="left" wrapText="1" readingOrder="1"/>
    </xf>
    <xf numFmtId="0" fontId="4" fillId="0" borderId="10" xfId="0" applyFont="1" applyBorder="1" applyAlignment="1">
      <alignment wrapText="1"/>
    </xf>
    <xf numFmtId="0" fontId="8" fillId="0" borderId="0" xfId="0" applyFont="1" applyAlignment="1">
      <alignment horizontal="left" vertical="center" readingOrder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weight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440048118985129"/>
                  <c:y val="-0.18091462525517643"/>
                </c:manualLayout>
              </c:layout>
              <c:numFmt formatCode="General" sourceLinked="0"/>
            </c:trendlineLbl>
          </c:trendline>
          <c:xVal>
            <c:numRef>
              <c:f>Sheet3!$B$7:$B$15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Sheet3!$C$7:$C$15</c:f>
              <c:numCache>
                <c:formatCode>General</c:formatCode>
                <c:ptCount val="9"/>
                <c:pt idx="0">
                  <c:v>108.5658774292758</c:v>
                </c:pt>
                <c:pt idx="1">
                  <c:v>205.89534667609496</c:v>
                </c:pt>
                <c:pt idx="2">
                  <c:v>307.46406140670939</c:v>
                </c:pt>
                <c:pt idx="3">
                  <c:v>404.95929006267994</c:v>
                </c:pt>
                <c:pt idx="4">
                  <c:v>500.44171590585302</c:v>
                </c:pt>
                <c:pt idx="5">
                  <c:v>601.31084658991779</c:v>
                </c:pt>
                <c:pt idx="6">
                  <c:v>706.96095650465929</c:v>
                </c:pt>
                <c:pt idx="7">
                  <c:v>800.8763861823827</c:v>
                </c:pt>
                <c:pt idx="8">
                  <c:v>909.24099988699436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Sheet3!$B$20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Sheet3!$A$21:$A$24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Sheet3!$B$21:$B$24</c:f>
              <c:numCache>
                <c:formatCode>General</c:formatCode>
                <c:ptCount val="4"/>
                <c:pt idx="0">
                  <c:v>150</c:v>
                </c:pt>
                <c:pt idx="1">
                  <c:v>400</c:v>
                </c:pt>
                <c:pt idx="2">
                  <c:v>650</c:v>
                </c:pt>
                <c:pt idx="3">
                  <c:v>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46784"/>
        <c:axId val="151052672"/>
      </c:scatterChart>
      <c:valAx>
        <c:axId val="1510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52672"/>
        <c:crosses val="autoZero"/>
        <c:crossBetween val="midCat"/>
      </c:valAx>
      <c:valAx>
        <c:axId val="1510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4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14</xdr:col>
      <xdr:colOff>539819</xdr:colOff>
      <xdr:row>22</xdr:row>
      <xdr:rowOff>70834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4545" y="381000"/>
          <a:ext cx="7718205" cy="4023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180975</xdr:rowOff>
    </xdr:from>
    <xdr:to>
      <xdr:col>13</xdr:col>
      <xdr:colOff>114300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abSelected="1" topLeftCell="A22" zoomScale="120" zoomScaleNormal="120" workbookViewId="0">
      <selection activeCell="B6" sqref="B6"/>
    </sheetView>
  </sheetViews>
  <sheetFormatPr defaultRowHeight="15" x14ac:dyDescent="0.25"/>
  <cols>
    <col min="4" max="4" width="9.85546875" customWidth="1"/>
    <col min="5" max="5" width="12.7109375" bestFit="1" customWidth="1"/>
    <col min="6" max="6" width="10" customWidth="1"/>
    <col min="11" max="11" width="21.28515625" customWidth="1"/>
  </cols>
  <sheetData>
    <row r="2" spans="2:16" ht="26.25" x14ac:dyDescent="0.25">
      <c r="B2" s="53" t="s">
        <v>40</v>
      </c>
    </row>
    <row r="3" spans="2:16" ht="26.25" x14ac:dyDescent="0.25">
      <c r="B3" s="53" t="s">
        <v>41</v>
      </c>
      <c r="P3">
        <f>788982*8.7774%</f>
        <v>69252.106068000008</v>
      </c>
    </row>
    <row r="24" spans="1:11" ht="15.75" thickBot="1" x14ac:dyDescent="0.3">
      <c r="A24" s="46"/>
      <c r="B24" s="46"/>
      <c r="C24" s="46"/>
      <c r="D24" s="3"/>
      <c r="E24" s="3"/>
      <c r="F24" s="3"/>
      <c r="G24" s="3"/>
      <c r="H24" s="3"/>
      <c r="I24" s="3"/>
      <c r="J24" s="3"/>
      <c r="K24" s="4"/>
    </row>
    <row r="25" spans="1:11" s="2" customFormat="1" ht="63.75" thickBot="1" x14ac:dyDescent="0.3">
      <c r="A25" s="43" t="s">
        <v>0</v>
      </c>
      <c r="B25" s="44" t="s">
        <v>36</v>
      </c>
      <c r="C25" s="44" t="s">
        <v>35</v>
      </c>
      <c r="D25" s="44" t="s">
        <v>37</v>
      </c>
      <c r="E25" s="44" t="s">
        <v>38</v>
      </c>
      <c r="F25" s="44" t="s">
        <v>4</v>
      </c>
      <c r="G25" s="44" t="s">
        <v>5</v>
      </c>
      <c r="H25" s="44" t="s">
        <v>6</v>
      </c>
      <c r="I25" s="44" t="s">
        <v>7</v>
      </c>
      <c r="J25" s="44" t="s">
        <v>8</v>
      </c>
      <c r="K25" s="41"/>
    </row>
    <row r="26" spans="1:11" x14ac:dyDescent="0.25">
      <c r="A26" s="45">
        <v>4</v>
      </c>
      <c r="B26" s="27">
        <v>63</v>
      </c>
      <c r="C26" s="27">
        <v>196</v>
      </c>
      <c r="D26" s="29">
        <f>C26*B26%</f>
        <v>123.48</v>
      </c>
      <c r="E26" s="29">
        <f>D26</f>
        <v>123.48</v>
      </c>
      <c r="F26" s="29">
        <f>C26</f>
        <v>196</v>
      </c>
      <c r="G26" s="42">
        <f>F26-E26</f>
        <v>72.52</v>
      </c>
      <c r="H26" s="30">
        <f>G26/$G$29</f>
        <v>0.10387898928550965</v>
      </c>
      <c r="I26" s="30">
        <f>E26/$E$29</f>
        <v>0.40903670332582487</v>
      </c>
      <c r="J26" s="30">
        <f>I26-H26</f>
        <v>0.30515771404031522</v>
      </c>
      <c r="K26" s="31"/>
    </row>
    <row r="27" spans="1:11" x14ac:dyDescent="0.25">
      <c r="A27" s="45">
        <v>6</v>
      </c>
      <c r="B27" s="27">
        <v>35</v>
      </c>
      <c r="C27" s="27">
        <v>306</v>
      </c>
      <c r="D27" s="29">
        <f t="shared" ref="D27:D29" si="0">C27*B27%</f>
        <v>107.1</v>
      </c>
      <c r="E27" s="29">
        <f>D27+E26</f>
        <v>230.57999999999998</v>
      </c>
      <c r="F27" s="29">
        <f>C27+F26</f>
        <v>502</v>
      </c>
      <c r="G27" s="42">
        <f t="shared" ref="G27:G29" si="1">F27-E27</f>
        <v>271.42</v>
      </c>
      <c r="H27" s="30">
        <f t="shared" ref="H27:H29" si="2">G27/$G$29</f>
        <v>0.38878702801810577</v>
      </c>
      <c r="I27" s="30">
        <f t="shared" ref="I27:I29" si="3">E27/$E$29</f>
        <v>0.76381343580230554</v>
      </c>
      <c r="J27" s="30">
        <f>I27-H27</f>
        <v>0.37502640778419977</v>
      </c>
      <c r="K27" s="33"/>
    </row>
    <row r="28" spans="1:11" x14ac:dyDescent="0.25">
      <c r="A28" s="45">
        <v>5</v>
      </c>
      <c r="B28" s="27">
        <v>29</v>
      </c>
      <c r="C28" s="27">
        <v>41</v>
      </c>
      <c r="D28" s="29">
        <f t="shared" si="0"/>
        <v>11.889999999999999</v>
      </c>
      <c r="E28" s="29">
        <f>D28+E27</f>
        <v>242.46999999999997</v>
      </c>
      <c r="F28" s="29">
        <f>C28+F27</f>
        <v>543</v>
      </c>
      <c r="G28" s="42">
        <f t="shared" si="1"/>
        <v>300.53000000000003</v>
      </c>
      <c r="H28" s="30">
        <f t="shared" si="2"/>
        <v>0.43048473041883922</v>
      </c>
      <c r="I28" s="30">
        <f t="shared" si="3"/>
        <v>0.80319994699880737</v>
      </c>
      <c r="J28" s="30">
        <f>I28-H28</f>
        <v>0.37271521657996814</v>
      </c>
      <c r="K28" s="33"/>
    </row>
    <row r="29" spans="1:11" x14ac:dyDescent="0.25">
      <c r="A29" s="45">
        <v>7</v>
      </c>
      <c r="B29" s="27">
        <v>13</v>
      </c>
      <c r="C29" s="27">
        <v>457</v>
      </c>
      <c r="D29" s="29">
        <f t="shared" si="0"/>
        <v>59.410000000000004</v>
      </c>
      <c r="E29" s="29">
        <f>D29+E28</f>
        <v>301.88</v>
      </c>
      <c r="F29" s="29">
        <f>C29+F28</f>
        <v>1000</v>
      </c>
      <c r="G29" s="42">
        <f t="shared" si="1"/>
        <v>698.12</v>
      </c>
      <c r="H29" s="30">
        <f t="shared" si="2"/>
        <v>1</v>
      </c>
      <c r="I29" s="30">
        <f t="shared" si="3"/>
        <v>1</v>
      </c>
      <c r="J29" s="30">
        <f>I29-H29</f>
        <v>0</v>
      </c>
      <c r="K29" s="33"/>
    </row>
    <row r="30" spans="1:11" x14ac:dyDescent="0.25">
      <c r="A30" s="45" t="s">
        <v>39</v>
      </c>
      <c r="B30" s="29"/>
      <c r="C30" s="27">
        <f>SUM(C26:C29)</f>
        <v>1000</v>
      </c>
      <c r="D30" s="42">
        <f>SUM(D26:D29)</f>
        <v>301.88</v>
      </c>
      <c r="E30" s="29"/>
      <c r="F30" s="29"/>
      <c r="G30" s="42"/>
      <c r="H30" s="29"/>
      <c r="I30" s="30"/>
      <c r="J30" s="30"/>
      <c r="K30" s="33"/>
    </row>
    <row r="31" spans="1:11" x14ac:dyDescent="0.25">
      <c r="A31" s="32"/>
      <c r="B31" s="27"/>
      <c r="C31" s="27"/>
      <c r="D31" s="28"/>
      <c r="E31" s="29"/>
      <c r="F31" s="29"/>
      <c r="G31" s="30"/>
      <c r="H31" s="29"/>
      <c r="I31" s="30"/>
      <c r="J31" s="30"/>
      <c r="K31" s="33"/>
    </row>
    <row r="32" spans="1:11" x14ac:dyDescent="0.25">
      <c r="A32" s="34"/>
      <c r="B32" s="27"/>
      <c r="C32" s="27"/>
      <c r="D32" s="28"/>
      <c r="E32" s="29"/>
      <c r="F32" s="29"/>
      <c r="G32" s="30"/>
      <c r="H32" s="29"/>
      <c r="I32" s="30"/>
      <c r="J32" s="30"/>
      <c r="K32" s="33"/>
    </row>
    <row r="33" spans="1:11" ht="15.75" thickBot="1" x14ac:dyDescent="0.3">
      <c r="A33" s="35"/>
      <c r="B33" s="36"/>
      <c r="C33" s="36"/>
      <c r="D33" s="37"/>
      <c r="E33" s="38"/>
      <c r="F33" s="38"/>
      <c r="G33" s="39"/>
      <c r="H33" s="38"/>
      <c r="I33" s="39"/>
      <c r="J33" s="39"/>
      <c r="K33" s="40"/>
    </row>
    <row r="34" spans="1:11" ht="15.75" x14ac:dyDescent="0.25">
      <c r="A34" s="1"/>
    </row>
    <row r="35" spans="1:11" x14ac:dyDescent="0.25">
      <c r="F35" s="12"/>
    </row>
  </sheetData>
  <mergeCells count="1">
    <mergeCell ref="A24:C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2" sqref="A12"/>
    </sheetView>
  </sheetViews>
  <sheetFormatPr defaultRowHeight="15" x14ac:dyDescent="0.25"/>
  <cols>
    <col min="1" max="2" width="18.85546875" customWidth="1"/>
    <col min="3" max="3" width="27.42578125" customWidth="1"/>
    <col min="4" max="4" width="26.7109375" customWidth="1"/>
    <col min="5" max="5" width="28.28515625" customWidth="1"/>
    <col min="7" max="7" width="12" bestFit="1" customWidth="1"/>
    <col min="8" max="8" width="20.42578125" bestFit="1" customWidth="1"/>
  </cols>
  <sheetData>
    <row r="1" spans="1:8" ht="23.25" x14ac:dyDescent="0.35">
      <c r="A1" s="49" t="s">
        <v>9</v>
      </c>
      <c r="B1" s="49"/>
      <c r="C1" s="49"/>
      <c r="D1" s="14"/>
      <c r="E1" s="15"/>
    </row>
    <row r="2" spans="1:8" ht="38.25" x14ac:dyDescent="0.35">
      <c r="A2" s="50" t="s">
        <v>10</v>
      </c>
      <c r="B2" s="51"/>
      <c r="C2" s="16" t="s">
        <v>11</v>
      </c>
      <c r="D2" s="16" t="s">
        <v>12</v>
      </c>
      <c r="E2" s="17"/>
    </row>
    <row r="3" spans="1:8" ht="23.25" x14ac:dyDescent="0.35">
      <c r="A3" s="47">
        <v>40866084</v>
      </c>
      <c r="B3" s="48"/>
      <c r="C3" s="18">
        <v>2053</v>
      </c>
      <c r="D3" s="18">
        <v>1429837</v>
      </c>
      <c r="E3" s="17"/>
      <c r="G3" s="20" t="s">
        <v>15</v>
      </c>
      <c r="H3" s="20">
        <f>D3*A3</f>
        <v>58431838948308</v>
      </c>
    </row>
    <row r="4" spans="1:8" ht="23.25" x14ac:dyDescent="0.35">
      <c r="A4" s="52"/>
      <c r="B4" s="52"/>
      <c r="C4" s="19"/>
      <c r="D4" s="19"/>
      <c r="E4" s="15"/>
    </row>
    <row r="5" spans="1:8" ht="23.25" x14ac:dyDescent="0.35">
      <c r="A5" s="49" t="s">
        <v>13</v>
      </c>
      <c r="B5" s="49"/>
      <c r="C5" s="49"/>
      <c r="D5" s="14"/>
      <c r="E5" s="14"/>
    </row>
    <row r="6" spans="1:8" ht="56.25" x14ac:dyDescent="0.3">
      <c r="A6" s="16" t="s">
        <v>14</v>
      </c>
      <c r="B6" s="50" t="s">
        <v>10</v>
      </c>
      <c r="C6" s="51"/>
      <c r="D6" s="16" t="s">
        <v>11</v>
      </c>
      <c r="E6" s="16" t="s">
        <v>12</v>
      </c>
    </row>
    <row r="7" spans="1:8" ht="23.25" x14ac:dyDescent="0.35">
      <c r="A7" s="18">
        <v>0</v>
      </c>
      <c r="B7" s="47">
        <v>207842476</v>
      </c>
      <c r="C7" s="48"/>
      <c r="D7" s="18">
        <v>9454</v>
      </c>
      <c r="E7" s="18">
        <v>169312</v>
      </c>
      <c r="H7" s="20">
        <f>E7*B7</f>
        <v>35190225296512</v>
      </c>
    </row>
    <row r="8" spans="1:8" ht="23.25" x14ac:dyDescent="0.35">
      <c r="A8" s="18">
        <v>1</v>
      </c>
      <c r="B8" s="47">
        <v>10090652</v>
      </c>
      <c r="C8" s="48"/>
      <c r="D8" s="18">
        <v>1058</v>
      </c>
      <c r="E8" s="18">
        <v>1260525</v>
      </c>
      <c r="H8" s="20">
        <f>E8*B8</f>
        <v>12719519112300</v>
      </c>
    </row>
    <row r="9" spans="1:8" ht="23.25" x14ac:dyDescent="0.35">
      <c r="G9" s="20" t="s">
        <v>16</v>
      </c>
      <c r="H9" s="20">
        <f>SUM(H7:H8)</f>
        <v>47909744408812</v>
      </c>
    </row>
    <row r="11" spans="1:8" ht="23.25" x14ac:dyDescent="0.35">
      <c r="G11" s="20" t="s">
        <v>17</v>
      </c>
    </row>
    <row r="13" spans="1:8" ht="23.25" x14ac:dyDescent="0.35">
      <c r="H13" s="20">
        <f>1 - H9/H3</f>
        <v>0.18007467724581494</v>
      </c>
    </row>
  </sheetData>
  <mergeCells count="8">
    <mergeCell ref="B7:C7"/>
    <mergeCell ref="B8:C8"/>
    <mergeCell ref="A1:C1"/>
    <mergeCell ref="A2:B2"/>
    <mergeCell ref="A3:B3"/>
    <mergeCell ref="A4:B4"/>
    <mergeCell ref="A5:C5"/>
    <mergeCell ref="B6:C6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topLeftCell="A19" workbookViewId="0">
      <selection activeCell="H28" sqref="H28"/>
    </sheetView>
  </sheetViews>
  <sheetFormatPr defaultRowHeight="15" x14ac:dyDescent="0.25"/>
  <cols>
    <col min="2" max="2" width="13.42578125" bestFit="1" customWidth="1"/>
    <col min="3" max="3" width="14.7109375" bestFit="1" customWidth="1"/>
    <col min="5" max="6" width="9.5703125" bestFit="1" customWidth="1"/>
    <col min="9" max="9" width="9.5703125" bestFit="1" customWidth="1"/>
    <col min="10" max="10" width="10.140625" bestFit="1" customWidth="1"/>
    <col min="11" max="11" width="20.140625" bestFit="1" customWidth="1"/>
    <col min="12" max="12" width="13.140625" bestFit="1" customWidth="1"/>
    <col min="13" max="13" width="14.42578125" bestFit="1" customWidth="1"/>
    <col min="14" max="14" width="17" bestFit="1" customWidth="1"/>
    <col min="15" max="15" width="14.42578125" bestFit="1" customWidth="1"/>
  </cols>
  <sheetData>
    <row r="2" spans="1:16" x14ac:dyDescent="0.25">
      <c r="B2" s="13">
        <v>41713</v>
      </c>
      <c r="C2" s="13">
        <f>B2-60</f>
        <v>41653</v>
      </c>
    </row>
    <row r="6" spans="1:16" x14ac:dyDescent="0.25">
      <c r="B6" t="s">
        <v>23</v>
      </c>
      <c r="C6" t="s">
        <v>24</v>
      </c>
    </row>
    <row r="7" spans="1:16" x14ac:dyDescent="0.25">
      <c r="A7" t="s">
        <v>18</v>
      </c>
      <c r="B7">
        <v>1</v>
      </c>
      <c r="C7">
        <v>108.5658774292758</v>
      </c>
      <c r="D7">
        <v>150</v>
      </c>
    </row>
    <row r="8" spans="1:16" x14ac:dyDescent="0.25">
      <c r="A8" t="s">
        <v>18</v>
      </c>
      <c r="B8">
        <v>2</v>
      </c>
      <c r="C8">
        <v>205.89534667609496</v>
      </c>
      <c r="O8">
        <v>1.5</v>
      </c>
      <c r="P8">
        <f>99.716*1.5</f>
        <v>149.57399999999998</v>
      </c>
    </row>
    <row r="9" spans="1:16" x14ac:dyDescent="0.25">
      <c r="A9" t="s">
        <v>19</v>
      </c>
      <c r="B9">
        <v>3</v>
      </c>
      <c r="C9">
        <v>307.46406140670939</v>
      </c>
      <c r="D9">
        <v>400</v>
      </c>
    </row>
    <row r="10" spans="1:16" x14ac:dyDescent="0.25">
      <c r="A10" t="s">
        <v>19</v>
      </c>
      <c r="B10">
        <v>4</v>
      </c>
      <c r="C10">
        <v>404.95929006267994</v>
      </c>
    </row>
    <row r="11" spans="1:16" x14ac:dyDescent="0.25">
      <c r="A11" t="s">
        <v>19</v>
      </c>
      <c r="B11">
        <v>5</v>
      </c>
      <c r="C11">
        <v>500.44171590585302</v>
      </c>
    </row>
    <row r="12" spans="1:16" x14ac:dyDescent="0.25">
      <c r="A12" t="s">
        <v>20</v>
      </c>
      <c r="B12">
        <v>6</v>
      </c>
      <c r="C12">
        <v>601.31084658991779</v>
      </c>
      <c r="D12">
        <v>650</v>
      </c>
    </row>
    <row r="13" spans="1:16" x14ac:dyDescent="0.25">
      <c r="A13" t="s">
        <v>20</v>
      </c>
      <c r="B13">
        <v>7</v>
      </c>
      <c r="C13">
        <v>706.96095650465929</v>
      </c>
    </row>
    <row r="14" spans="1:16" x14ac:dyDescent="0.25">
      <c r="A14" t="s">
        <v>21</v>
      </c>
      <c r="B14">
        <v>8</v>
      </c>
      <c r="C14">
        <v>800.8763861823827</v>
      </c>
      <c r="D14">
        <v>850</v>
      </c>
    </row>
    <row r="15" spans="1:16" x14ac:dyDescent="0.25">
      <c r="A15" t="s">
        <v>21</v>
      </c>
      <c r="B15">
        <v>9</v>
      </c>
      <c r="C15">
        <v>909.24099988699436</v>
      </c>
    </row>
    <row r="20" spans="1:15" x14ac:dyDescent="0.25">
      <c r="B20" t="s">
        <v>22</v>
      </c>
    </row>
    <row r="21" spans="1:15" x14ac:dyDescent="0.25">
      <c r="A21" t="s">
        <v>18</v>
      </c>
      <c r="B21">
        <v>150</v>
      </c>
    </row>
    <row r="22" spans="1:15" x14ac:dyDescent="0.25">
      <c r="A22" t="s">
        <v>19</v>
      </c>
      <c r="B22">
        <v>400</v>
      </c>
    </row>
    <row r="23" spans="1:15" x14ac:dyDescent="0.25">
      <c r="A23" t="s">
        <v>20</v>
      </c>
      <c r="B23">
        <v>650</v>
      </c>
    </row>
    <row r="24" spans="1:15" x14ac:dyDescent="0.25">
      <c r="A24" t="s">
        <v>21</v>
      </c>
      <c r="B24">
        <v>850</v>
      </c>
    </row>
    <row r="28" spans="1:15" ht="15.75" thickBot="1" x14ac:dyDescent="0.3"/>
    <row r="29" spans="1:15" ht="60.75" thickBot="1" x14ac:dyDescent="0.3">
      <c r="A29" s="5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5</v>
      </c>
    </row>
    <row r="30" spans="1:15" ht="15.75" thickBot="1" x14ac:dyDescent="0.3">
      <c r="A30" s="7">
        <v>15</v>
      </c>
      <c r="B30" s="8">
        <v>47.6</v>
      </c>
      <c r="C30" s="8">
        <v>47.6</v>
      </c>
      <c r="D30" s="9">
        <v>4.5999999999999996</v>
      </c>
      <c r="E30" s="10">
        <v>36407</v>
      </c>
      <c r="F30" s="10">
        <v>19066</v>
      </c>
      <c r="H30" s="22"/>
      <c r="I30" s="22" t="s">
        <v>26</v>
      </c>
      <c r="J30" s="22" t="s">
        <v>27</v>
      </c>
      <c r="K30" s="22" t="s">
        <v>31</v>
      </c>
      <c r="L30" s="22" t="s">
        <v>30</v>
      </c>
      <c r="M30" s="22" t="s">
        <v>32</v>
      </c>
      <c r="N30" s="22" t="s">
        <v>33</v>
      </c>
      <c r="O30" s="22" t="s">
        <v>34</v>
      </c>
    </row>
    <row r="31" spans="1:15" ht="15.75" thickBot="1" x14ac:dyDescent="0.3">
      <c r="A31" s="7">
        <v>11</v>
      </c>
      <c r="B31" s="8">
        <v>40.299999999999997</v>
      </c>
      <c r="C31" s="8">
        <v>47.1</v>
      </c>
      <c r="D31" s="9">
        <v>5</v>
      </c>
      <c r="E31" s="10">
        <v>39492</v>
      </c>
      <c r="F31" s="10">
        <v>20909</v>
      </c>
      <c r="H31" s="26" t="s">
        <v>25</v>
      </c>
      <c r="I31" s="23">
        <f>E32</f>
        <v>62473</v>
      </c>
      <c r="J31" s="23">
        <f>E32-F32</f>
        <v>26578</v>
      </c>
      <c r="K31" s="25">
        <f>J31/I31</f>
        <v>0.42543178653178171</v>
      </c>
      <c r="L31" s="24">
        <v>0.8</v>
      </c>
      <c r="M31" s="23">
        <f>I31*K31*300</f>
        <v>7973400</v>
      </c>
      <c r="N31" s="23">
        <f>I31*L31*100</f>
        <v>4997840</v>
      </c>
      <c r="O31" s="23">
        <f>N31-M31</f>
        <v>-2975560</v>
      </c>
    </row>
    <row r="32" spans="1:15" ht="15.75" thickBot="1" x14ac:dyDescent="0.3">
      <c r="A32" s="7">
        <v>13</v>
      </c>
      <c r="B32" s="8">
        <v>34.799999999999997</v>
      </c>
      <c r="C32" s="8">
        <v>42.5</v>
      </c>
      <c r="D32" s="9">
        <v>7.9</v>
      </c>
      <c r="E32" s="10">
        <v>62473</v>
      </c>
      <c r="F32" s="10">
        <v>35895</v>
      </c>
      <c r="H32" s="26" t="s">
        <v>28</v>
      </c>
      <c r="I32" s="23">
        <f>E35-E32</f>
        <v>174939</v>
      </c>
      <c r="J32" s="23">
        <f>E35-F35-J31</f>
        <v>22920</v>
      </c>
      <c r="K32" s="25">
        <f>J32/I32</f>
        <v>0.13101709738823247</v>
      </c>
      <c r="L32" s="24">
        <v>0.35</v>
      </c>
      <c r="M32" s="23">
        <f t="shared" ref="M32:M33" si="0">I32*K32*300</f>
        <v>6876000</v>
      </c>
      <c r="N32" s="23">
        <f t="shared" ref="N32:N33" si="1">I32*L32*100</f>
        <v>6122864.9999999991</v>
      </c>
      <c r="O32" s="23">
        <f t="shared" ref="O32:O33" si="2">N32-M32</f>
        <v>-753135.00000000093</v>
      </c>
    </row>
    <row r="33" spans="1:15" ht="15.75" thickBot="1" x14ac:dyDescent="0.3">
      <c r="A33" s="7">
        <v>14</v>
      </c>
      <c r="B33" s="8">
        <v>14.1</v>
      </c>
      <c r="C33" s="8">
        <v>37.9</v>
      </c>
      <c r="D33" s="9">
        <v>9.5</v>
      </c>
      <c r="E33" s="10">
        <v>74659</v>
      </c>
      <c r="F33" s="10">
        <v>46363</v>
      </c>
      <c r="H33" s="26" t="s">
        <v>29</v>
      </c>
      <c r="I33" s="23">
        <f>E37-E35</f>
        <v>551570</v>
      </c>
      <c r="J33" s="23">
        <f>G37-J32-J31</f>
        <v>19754</v>
      </c>
      <c r="K33" s="25">
        <f>J33/I33</f>
        <v>3.5814130572728753E-2</v>
      </c>
      <c r="L33" s="24">
        <v>0.15</v>
      </c>
      <c r="M33" s="23">
        <f t="shared" si="0"/>
        <v>5926200</v>
      </c>
      <c r="N33" s="23">
        <f t="shared" si="1"/>
        <v>8273550</v>
      </c>
      <c r="O33" s="23">
        <f t="shared" si="2"/>
        <v>2347350</v>
      </c>
    </row>
    <row r="34" spans="1:15" ht="15.75" thickBot="1" x14ac:dyDescent="0.3">
      <c r="A34" s="7">
        <v>10</v>
      </c>
      <c r="B34" s="8">
        <v>13.4</v>
      </c>
      <c r="C34" s="8">
        <v>29.6</v>
      </c>
      <c r="D34" s="9">
        <v>14.3</v>
      </c>
      <c r="E34" s="10">
        <v>113042</v>
      </c>
      <c r="F34" s="10">
        <v>79593</v>
      </c>
    </row>
    <row r="35" spans="1:15" ht="15.75" thickBot="1" x14ac:dyDescent="0.3">
      <c r="A35" s="7">
        <v>12</v>
      </c>
      <c r="B35" s="8">
        <v>12.9</v>
      </c>
      <c r="C35" s="8">
        <v>20.8</v>
      </c>
      <c r="D35" s="9">
        <v>30.1</v>
      </c>
      <c r="E35" s="10">
        <v>237412</v>
      </c>
      <c r="F35" s="10">
        <v>187914</v>
      </c>
      <c r="G35" s="21">
        <f>E35-F35</f>
        <v>49498</v>
      </c>
    </row>
    <row r="36" spans="1:15" ht="15.75" thickBot="1" x14ac:dyDescent="0.3">
      <c r="A36" s="11">
        <v>9</v>
      </c>
      <c r="B36" s="8">
        <v>4.7</v>
      </c>
      <c r="C36" s="8">
        <v>10.9</v>
      </c>
      <c r="D36" s="9">
        <v>78.8</v>
      </c>
      <c r="E36" s="10">
        <v>621694</v>
      </c>
      <c r="F36" s="10">
        <v>554089</v>
      </c>
    </row>
    <row r="37" spans="1:15" ht="15.75" thickBot="1" x14ac:dyDescent="0.3">
      <c r="A37" s="11">
        <v>8</v>
      </c>
      <c r="B37" s="8">
        <v>1</v>
      </c>
      <c r="C37" s="8">
        <v>8.8000000000000007</v>
      </c>
      <c r="D37" s="9">
        <v>100</v>
      </c>
      <c r="E37" s="10">
        <v>788982</v>
      </c>
      <c r="F37" s="10">
        <v>719730</v>
      </c>
      <c r="G37" s="21">
        <f>E37-F37</f>
        <v>69252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Example_Tree_New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2014-12-06T01:22:15Z</dcterms:modified>
</cp:coreProperties>
</file>