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3.xml" ContentType="application/vnd.openxmlformats-officedocument.spreadsheetml.comments+xml"/>
  <Override PartName="/xl/threadedComments/threadedComment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nxp1-my.sharepoint.com/personal/benoit_poussard_nxp_com/Documents/SmartTRX/Trimming/"/>
    </mc:Choice>
  </mc:AlternateContent>
  <xr:revisionPtr revIDLastSave="56" documentId="8_{1BFA9E08-1CAD-4DE8-A23E-6AE9996D9DE8}" xr6:coauthVersionLast="47" xr6:coauthVersionMax="47" xr10:uidLastSave="{C0C5AD42-CD43-485D-84CB-4D99D3198950}"/>
  <bookViews>
    <workbookView xWindow="-28920" yWindow="-120" windowWidth="29040" windowHeight="17640" tabRatio="737" xr2:uid="{8C599519-DB6D-4FD7-AFC3-749D8A5189A3}"/>
  </bookViews>
  <sheets>
    <sheet name="Revision History" sheetId="20" r:id="rId1"/>
    <sheet name="General information" sheetId="22" r:id="rId2"/>
    <sheet name="Action List" sheetId="28" r:id="rId3"/>
    <sheet name="RFE SOC FuseMap" sheetId="1" r:id="rId4"/>
    <sheet name="Trim Flow" sheetId="23" r:id="rId5"/>
    <sheet name="Trim State" sheetId="47" r:id="rId6"/>
    <sheet name="TRIM VALID" sheetId="18" r:id="rId7"/>
    <sheet name="RFE OTP Version" sheetId="33" r:id="rId8"/>
    <sheet name="Tracability" sheetId="61" r:id="rId9"/>
    <sheet name="FIRC" sheetId="35" r:id="rId10"/>
    <sheet name="LVDS" sheetId="45" r:id="rId11"/>
    <sheet name="PMC" sheetId="41" r:id="rId12"/>
    <sheet name="Bandgaps" sheetId="60" r:id="rId13"/>
    <sheet name="OVUV GLDO &amp; PMIC" sheetId="5" r:id="rId14"/>
    <sheet name="OVUV HVLDO" sheetId="30" r:id="rId15"/>
    <sheet name="ADC HW ctrl" sheetId="10" r:id="rId16"/>
    <sheet name="ADC OffGain corr" sheetId="19" r:id="rId17"/>
    <sheet name="SOC ATB R" sheetId="62" r:id="rId18"/>
    <sheet name="GPADPLL LDO" sheetId="34" r:id="rId19"/>
    <sheet name="ATB R" sheetId="9" r:id="rId20"/>
    <sheet name="GBIAS V2I" sheetId="11" r:id="rId21"/>
    <sheet name="GBIAS ibias" sheetId="27" r:id="rId22"/>
    <sheet name="PDC LLDO" sheetId="46" r:id="rId23"/>
    <sheet name="MCGEN Iref" sheetId="26" r:id="rId24"/>
    <sheet name="MCGEN FreqDet" sheetId="25" r:id="rId25"/>
    <sheet name="ChirpGen V2I" sheetId="36" r:id="rId26"/>
    <sheet name="ChirpGen RES_OHM" sheetId="50" r:id="rId27"/>
    <sheet name="ChirpGen pgm_vout" sheetId="37" r:id="rId28"/>
    <sheet name="ChirpGen LevelDet" sheetId="40" r:id="rId29"/>
    <sheet name="ChirpGen VtuneDet" sheetId="38" r:id="rId30"/>
    <sheet name="ChirpGen CAL DAC" sheetId="56" r:id="rId31"/>
    <sheet name="ChirpGen KVCO" sheetId="58" r:id="rId32"/>
    <sheet name="ChirpGen RCOsc" sheetId="57" r:id="rId33"/>
    <sheet name="ChirpGen VCO Ibias" sheetId="55" r:id="rId34"/>
    <sheet name="ChirpGen CP" sheetId="59" r:id="rId35"/>
    <sheet name="TSense" sheetId="14" r:id="rId36"/>
    <sheet name="LOx4 Tune Freq" sheetId="54" r:id="rId37"/>
    <sheet name="BE process monitor" sheetId="51" r:id="rId38"/>
    <sheet name="FE process monitor" sheetId="53" r:id="rId39"/>
    <sheet name="TXBiST VdVGA" sheetId="7" r:id="rId40"/>
    <sheet name="BBBiST Gain" sheetId="49" r:id="rId41"/>
    <sheet name="BBBiST C" sheetId="8" r:id="rId42"/>
    <sheet name="Spares" sheetId="6" r:id="rId43"/>
    <sheet name="Template" sheetId="2" r:id="rId44"/>
  </sheets>
  <externalReferences>
    <externalReference r:id="rId45"/>
    <externalReference r:id="rId46"/>
    <externalReference r:id="rId47"/>
  </externalReferences>
  <definedNames>
    <definedName name="_xlnm._FilterDatabase" localSheetId="2" hidden="1">'Action List'!$B$3:$G$46</definedName>
    <definedName name="_xlnm._FilterDatabase" localSheetId="21" hidden="1">'GBIAS ibias'!$B$7:$AB$63</definedName>
    <definedName name="_xlnm._FilterDatabase" localSheetId="3" hidden="1">'RFE SOC FuseMap'!$B$1:$AE$239</definedName>
    <definedName name="_Hlk32913792" localSheetId="35">TSense!$C$47</definedName>
    <definedName name="aChoice">'[1]Fuse Map'!$G$2</definedName>
    <definedName name="aCorner1">'[1]Fuse Map'!#REF!</definedName>
    <definedName name="Authors">'Revision History'!$B$11</definedName>
    <definedName name="Authors2">'Revision History'!$B$11</definedName>
    <definedName name="chosen_number">'[1]Fuse Map'!#REF!</definedName>
    <definedName name="DocumentName">'Revision History'!$B$7</definedName>
    <definedName name="DocumentRevision">'Revision History'!$B$8</definedName>
    <definedName name="DocumentStatus">'Revision History'!$B$9</definedName>
    <definedName name="Header">'Revision History'!$A$1</definedName>
    <definedName name="lastSaved">'Revision History'!$B$18</definedName>
    <definedName name="MRV_Register_generation._hwAccess_">[2]!MRV_Register_generation[_hwAccess_]</definedName>
    <definedName name="MRV_Register_generation._sysrdl_intr_">[2]!MRV_Register_generation[_sysrdl_intr_]</definedName>
    <definedName name="OptionalSaveAs" localSheetId="0">'Revision History'!#REF!</definedName>
    <definedName name="OptionalSaveAs">'[2]Revision History'!$E$10</definedName>
    <definedName name="OptionalSaveLocation" localSheetId="0">'Revision History'!$E$3</definedName>
    <definedName name="OptionalSaveLocation">'[2]Revision History'!$E$12</definedName>
    <definedName name="Organization">'Revision History'!$B$12</definedName>
    <definedName name="oRows2Hide">'[1]Fuse Map'!#REF!</definedName>
    <definedName name="ProjectName">'Revision History'!$B$6</definedName>
    <definedName name="TableOCII.Access" localSheetId="18">#REF!</definedName>
    <definedName name="TableOCII.Access">#REF!</definedName>
    <definedName name="TableOCII.Bus" localSheetId="18">#REF!</definedName>
    <definedName name="TableOCII.Bus">#REF!</definedName>
    <definedName name="TableOCII.Description" localSheetId="18">#REF!</definedName>
    <definedName name="TableOCII.Description">#REF!</definedName>
    <definedName name="TableOCII.DfT_Cluster" localSheetId="18">#REF!</definedName>
    <definedName name="TableOCII.DfT_Cluster">#REF!</definedName>
    <definedName name="TableOCII.Dynamic_Static" localSheetId="18">#REF!</definedName>
    <definedName name="TableOCII.Dynamic_Static">#REF!</definedName>
    <definedName name="TableOCII.Field_in_bus" localSheetId="18">#REF!</definedName>
    <definedName name="TableOCII.Field_in_bus">#REF!</definedName>
    <definedName name="TableOCII.Functional_Clamp" localSheetId="18">#REF!</definedName>
    <definedName name="TableOCII.Functional_Clamp">#REF!</definedName>
    <definedName name="TableOCII.Functional_Cluster" localSheetId="18">#REF!</definedName>
    <definedName name="TableOCII.Functional_Cluster">#REF!</definedName>
    <definedName name="TableOCII.Idle___Clamp" localSheetId="18">#REF!</definedName>
    <definedName name="TableOCII.Idle___Clamp">#REF!</definedName>
    <definedName name="TableOCII.Instrument_Name" localSheetId="18">#REF!</definedName>
    <definedName name="TableOCII.Instrument_Name">#REF!</definedName>
    <definedName name="TableOCII.Instrument_Result" localSheetId="18">#REF!</definedName>
    <definedName name="TableOCII.Instrument_Result">#REF!</definedName>
    <definedName name="TableOCII.Name" localSheetId="18">#REF!</definedName>
    <definedName name="TableOCII.Name" localSheetId="0">[3]!TableOCII[Name]</definedName>
    <definedName name="TableOCII.Name">#REF!</definedName>
    <definedName name="TableOCII.Register_Name" localSheetId="18">#REF!</definedName>
    <definedName name="TableOCII.Register_Name">#REF!</definedName>
    <definedName name="TableOCII.Register_Reference" localSheetId="18">#REF!</definedName>
    <definedName name="TableOCII.Register_Reference" localSheetId="0">[3]!TableOCII[Register Reference]</definedName>
    <definedName name="TableOCII.Register_Reference">#REF!</definedName>
    <definedName name="TableOCII.Result_Cluster" localSheetId="18">#REF!</definedName>
    <definedName name="TableOCII.Result_Cluster">#REF!</definedName>
    <definedName name="TableOCII.Scan_Clamp" localSheetId="18">#REF!</definedName>
    <definedName name="TableOCII.Scan_Clamp">#REF!</definedName>
    <definedName name="TableOCII.TPE_Cluster" localSheetId="18">#REF!</definedName>
    <definedName name="TableOCII.TPE_Cluster">#REF!</definedName>
    <definedName name="TableOCII.Width" localSheetId="18">#REF!</definedName>
    <definedName name="TableOCII.Width">#REF!</definedName>
    <definedName name="TableOCII.X" localSheetId="18">#REF!</definedName>
    <definedName name="TableOCII.X">#REF!</definedName>
    <definedName name="TableRegisters.Field_Name" localSheetId="18">[3]Registers!#REF!</definedName>
    <definedName name="TableRegisters.Field_Name" localSheetId="0">[3]Registers!#REF!</definedName>
    <definedName name="TableRegisters.Field_Name">[3]Registers!#REF!</definedName>
    <definedName name="TableRegisters.Helper_Field_Ref" localSheetId="0">[3]Registers!$S$3:$S$957</definedName>
    <definedName name="TableRegisters.Helper_Field_Ref">[2]Registers!$S$3:$S$674</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201" i="1" l="1"/>
  <c r="V114" i="58" l="1"/>
  <c r="W114" i="58" s="1"/>
  <c r="V99" i="58"/>
  <c r="W99" i="58" s="1"/>
  <c r="W97" i="58"/>
  <c r="N97" i="58"/>
  <c r="N54" i="58"/>
  <c r="W54" i="58"/>
  <c r="V56" i="58"/>
  <c r="W56" i="58" s="1"/>
  <c r="W100" i="58" l="1"/>
  <c r="W115" i="58"/>
  <c r="G115" i="58" s="1"/>
  <c r="G118" i="58"/>
  <c r="G117" i="58"/>
  <c r="G101" i="58"/>
  <c r="X100" i="58"/>
  <c r="G100" i="58"/>
  <c r="G116" i="58"/>
  <c r="G114" i="58"/>
  <c r="X115" i="58"/>
  <c r="S169" i="1" l="1"/>
  <c r="C45" i="50" l="1"/>
  <c r="D8" i="50"/>
  <c r="L39" i="27" l="1"/>
  <c r="K39" i="27"/>
  <c r="J39" i="27"/>
  <c r="L29" i="27"/>
  <c r="K29" i="27"/>
  <c r="J29" i="27"/>
  <c r="L59" i="27"/>
  <c r="K59" i="27"/>
  <c r="J59" i="27"/>
  <c r="L47" i="27"/>
  <c r="K47" i="27"/>
  <c r="J47" i="27"/>
  <c r="L46" i="27"/>
  <c r="K46" i="27"/>
  <c r="J46" i="27"/>
  <c r="L32" i="27"/>
  <c r="K32" i="27"/>
  <c r="J32" i="27"/>
  <c r="L23" i="27"/>
  <c r="K23" i="27"/>
  <c r="J23" i="27"/>
  <c r="L16" i="27"/>
  <c r="K16" i="27"/>
  <c r="J16" i="27"/>
  <c r="L15" i="27"/>
  <c r="K15" i="27"/>
  <c r="J15" i="27"/>
  <c r="L14" i="27"/>
  <c r="K14" i="27"/>
  <c r="J14" i="27"/>
  <c r="L13" i="27"/>
  <c r="K13" i="27"/>
  <c r="J13" i="27"/>
  <c r="G8" i="11"/>
  <c r="F8" i="11"/>
  <c r="E8" i="11"/>
  <c r="K60" i="27"/>
  <c r="L60" i="27"/>
  <c r="J60" i="27"/>
  <c r="D106" i="27" s="1"/>
  <c r="K28" i="27"/>
  <c r="L28" i="27"/>
  <c r="J28" i="27"/>
  <c r="K10" i="60" l="1"/>
  <c r="J10" i="60"/>
  <c r="V155" i="1" l="1"/>
  <c r="S155" i="1"/>
  <c r="S233" i="1"/>
  <c r="S189" i="1" l="1"/>
  <c r="S15" i="1"/>
  <c r="W40" i="57" l="1"/>
  <c r="G41" i="57"/>
  <c r="G42" i="57"/>
  <c r="W46" i="57"/>
  <c r="V55" i="57"/>
  <c r="G48" i="57"/>
  <c r="K19" i="60" l="1"/>
  <c r="J19" i="60"/>
  <c r="K17" i="60"/>
  <c r="J17" i="60"/>
  <c r="D8" i="57" l="1"/>
  <c r="I35" i="56" l="1"/>
  <c r="I34" i="56"/>
  <c r="G55" i="57" l="1"/>
  <c r="G47" i="57"/>
  <c r="D8" i="38"/>
  <c r="D9" i="38"/>
  <c r="V56" i="57" l="1"/>
  <c r="G57" i="57" s="1"/>
  <c r="K41" i="14"/>
  <c r="J41" i="14"/>
  <c r="G56" i="57" l="1"/>
  <c r="V71" i="58"/>
  <c r="C34" i="46"/>
  <c r="G8" i="46"/>
  <c r="F8" i="46"/>
  <c r="D9" i="40"/>
  <c r="D8" i="40"/>
  <c r="C36" i="14"/>
  <c r="C34" i="14"/>
  <c r="C35" i="14"/>
  <c r="D11" i="40"/>
  <c r="D10" i="40"/>
  <c r="D8" i="59" l="1"/>
  <c r="W71" i="58"/>
  <c r="W72" i="58" l="1"/>
  <c r="G72" i="58" s="1"/>
  <c r="W57" i="58"/>
  <c r="D9" i="58"/>
  <c r="D8" i="58"/>
  <c r="K18" i="60"/>
  <c r="J18" i="60"/>
  <c r="I18" i="60"/>
  <c r="K14" i="60"/>
  <c r="J14" i="60"/>
  <c r="K7" i="60"/>
  <c r="J7" i="60"/>
  <c r="I7" i="60"/>
  <c r="K6" i="60"/>
  <c r="J6" i="60"/>
  <c r="I6" i="60"/>
  <c r="G58" i="58" l="1"/>
  <c r="G75" i="58"/>
  <c r="G74" i="58"/>
  <c r="G73" i="58"/>
  <c r="X72" i="58"/>
  <c r="X57" i="58"/>
  <c r="G57" i="58"/>
  <c r="G71" i="58"/>
  <c r="D8" i="55"/>
  <c r="S172" i="1" l="1"/>
  <c r="S171" i="1"/>
  <c r="S167" i="1"/>
  <c r="S166" i="1"/>
  <c r="E41" i="51" l="1"/>
  <c r="E42" i="51" s="1"/>
  <c r="E43" i="51" s="1"/>
  <c r="E44" i="51" s="1"/>
  <c r="E45" i="51" s="1"/>
  <c r="E46" i="51" s="1"/>
  <c r="E47" i="51" s="1"/>
  <c r="E48" i="51" s="1"/>
  <c r="E49" i="51" s="1"/>
  <c r="E50" i="51" s="1"/>
  <c r="E51" i="51" s="1"/>
  <c r="E52" i="51" s="1"/>
  <c r="E53" i="51" s="1"/>
  <c r="E54" i="51" s="1"/>
  <c r="E55" i="51" s="1"/>
  <c r="S141" i="1" l="1"/>
  <c r="G8" i="54"/>
  <c r="F8" i="54"/>
  <c r="C33" i="53" l="1"/>
  <c r="S4" i="1" l="1"/>
  <c r="J34" i="51" l="1"/>
  <c r="J33" i="51"/>
  <c r="J29" i="51" l="1"/>
  <c r="J31" i="51"/>
  <c r="J32" i="51"/>
  <c r="J28" i="51"/>
  <c r="S114" i="1" l="1"/>
  <c r="C37" i="36" l="1"/>
  <c r="C34" i="36" l="1"/>
  <c r="S157" i="1"/>
  <c r="S158" i="1"/>
  <c r="S159" i="1"/>
  <c r="S156" i="1"/>
  <c r="D8" i="36" l="1"/>
  <c r="D8" i="37"/>
  <c r="C27" i="37"/>
  <c r="G130" i="5"/>
  <c r="M105" i="5"/>
  <c r="F130" i="5" s="1"/>
  <c r="E95" i="5"/>
  <c r="J11" i="5"/>
  <c r="J10" i="5"/>
  <c r="I11" i="5"/>
  <c r="I10" i="5"/>
  <c r="H11" i="5"/>
  <c r="H10" i="5"/>
  <c r="E130" i="5" l="1"/>
  <c r="C37" i="49"/>
  <c r="C34" i="49"/>
  <c r="S176" i="1" l="1"/>
  <c r="F131" i="5"/>
  <c r="E131" i="5"/>
  <c r="G131" i="5"/>
  <c r="G121" i="5"/>
  <c r="F121" i="5"/>
  <c r="E121" i="5"/>
  <c r="N106" i="5"/>
  <c r="E96" i="5"/>
  <c r="E88" i="5"/>
  <c r="E49" i="5"/>
  <c r="N42" i="5"/>
  <c r="N37" i="5"/>
  <c r="C36" i="11" l="1"/>
  <c r="S148" i="1" l="1"/>
  <c r="AE240" i="1" l="1"/>
  <c r="AD240" i="1"/>
  <c r="AC240" i="1"/>
  <c r="AB240" i="1"/>
  <c r="AA240" i="1"/>
  <c r="Z240" i="1"/>
  <c r="S41" i="1" l="1"/>
  <c r="V41" i="1" s="1"/>
  <c r="X240" i="1" l="1"/>
  <c r="Y240" i="1"/>
  <c r="W240" i="1"/>
  <c r="AB241" i="1" l="1"/>
  <c r="AA241" i="1"/>
  <c r="AC241" i="1"/>
  <c r="AE241" i="1"/>
  <c r="Z241" i="1"/>
  <c r="AD241" i="1"/>
  <c r="X241" i="1"/>
  <c r="W241" i="1"/>
  <c r="Y241" i="1"/>
  <c r="W242" i="1" l="1"/>
  <c r="AC242" i="1"/>
  <c r="Z242" i="1"/>
  <c r="C30" i="46"/>
  <c r="S238" i="1"/>
  <c r="U238" i="1" s="1"/>
  <c r="V238" i="1" s="1"/>
  <c r="S174" i="1" l="1"/>
  <c r="U174" i="1" s="1"/>
  <c r="V174" i="1" s="1"/>
  <c r="S160" i="1" l="1"/>
  <c r="S164" i="1"/>
  <c r="S193" i="1" l="1"/>
  <c r="S118" i="1" l="1"/>
  <c r="S117" i="1"/>
  <c r="U233" i="1"/>
  <c r="V233" i="1" s="1"/>
  <c r="S230" i="1"/>
  <c r="U219" i="1" s="1"/>
  <c r="V219" i="1" s="1"/>
  <c r="S216" i="1"/>
  <c r="U216" i="1" s="1"/>
  <c r="V216" i="1" s="1"/>
  <c r="S214" i="1"/>
  <c r="S211" i="1"/>
  <c r="S208" i="1"/>
  <c r="U208" i="1" s="1"/>
  <c r="V208" i="1" s="1"/>
  <c r="U193" i="1" l="1"/>
  <c r="V193" i="1" s="1"/>
  <c r="U211" i="1"/>
  <c r="V211" i="1" s="1"/>
  <c r="S180" i="1" l="1"/>
  <c r="U180" i="1" s="1"/>
  <c r="V180" i="1" s="1"/>
  <c r="U117" i="1" l="1"/>
  <c r="V117" i="1" s="1"/>
  <c r="E87" i="5" l="1"/>
  <c r="D107" i="27" l="1"/>
  <c r="D108" i="27"/>
  <c r="O61" i="30" l="1"/>
  <c r="O60" i="30"/>
  <c r="O59" i="30"/>
  <c r="C52" i="30"/>
  <c r="C47" i="30"/>
  <c r="O30" i="30"/>
  <c r="O29" i="30"/>
  <c r="O28" i="30"/>
  <c r="F129" i="5"/>
  <c r="E129" i="5"/>
  <c r="G129" i="5"/>
  <c r="G120" i="5"/>
  <c r="E120" i="5"/>
  <c r="F120" i="5"/>
  <c r="N110" i="5"/>
  <c r="N108" i="5"/>
  <c r="N107" i="5"/>
  <c r="N105" i="5"/>
  <c r="N104" i="5"/>
  <c r="E94" i="5"/>
  <c r="E48" i="5"/>
  <c r="C41" i="11" l="1"/>
  <c r="S151" i="1" l="1"/>
  <c r="B10" i="20" l="1"/>
  <c r="B9" i="20" s="1"/>
  <c r="B8" i="20" l="1"/>
  <c r="N39" i="5" l="1"/>
  <c r="S120" i="1" l="1"/>
  <c r="U120" i="1" s="1"/>
  <c r="V120" i="1" s="1"/>
  <c r="S144" i="1"/>
  <c r="U144" i="1" s="1"/>
  <c r="V144" i="1" s="1"/>
  <c r="C38" i="11" l="1"/>
  <c r="M27" i="8"/>
  <c r="C37" i="8" s="1"/>
  <c r="L28" i="8"/>
  <c r="L31" i="8" s="1"/>
  <c r="C26" i="8" l="1"/>
  <c r="M29" i="8"/>
  <c r="D32" i="8"/>
  <c r="L32" i="8"/>
  <c r="L30" i="8" s="1"/>
  <c r="D41" i="8" l="1"/>
  <c r="D30" i="8"/>
  <c r="C33" i="8"/>
  <c r="D42" i="8"/>
  <c r="C34" i="7" l="1"/>
  <c r="C31" i="7"/>
  <c r="N41" i="5" l="1"/>
  <c r="N38" i="5"/>
  <c r="N35" i="5"/>
  <c r="N36" i="5"/>
  <c r="U187" i="1" l="1"/>
  <c r="U186" i="1"/>
  <c r="U185" i="1"/>
  <c r="U184" i="1"/>
  <c r="U183" i="1"/>
  <c r="U182" i="1"/>
  <c r="U151" i="1"/>
  <c r="V151" i="1" s="1"/>
  <c r="U141" i="1"/>
  <c r="U118" i="1"/>
  <c r="V118" i="1" s="1"/>
  <c r="S109" i="1"/>
  <c r="U109" i="1" s="1"/>
  <c r="V109" i="1" s="1"/>
  <c r="S13" i="1"/>
  <c r="U13" i="1" s="1"/>
  <c r="V13" i="1" s="1"/>
  <c r="U5" i="1"/>
  <c r="U4" i="1"/>
  <c r="V141" i="1" l="1"/>
  <c r="U15" i="1"/>
  <c r="V15" i="1" s="1"/>
  <c r="V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Bernd Polney</author>
  </authors>
  <commentList>
    <comment ref="V15" authorId="0" shapeId="0" xr:uid="{4559E2B8-3F37-4C88-B653-B08D068C9659}">
      <text>
        <r>
          <rPr>
            <b/>
            <sz val="9"/>
            <color indexed="81"/>
            <rFont val="Tahoma"/>
            <family val="2"/>
          </rPr>
          <t>Bernd Polney:</t>
        </r>
        <r>
          <rPr>
            <sz val="9"/>
            <color indexed="81"/>
            <rFont val="Tahoma"/>
            <family val="2"/>
          </rPr>
          <t xml:space="preserve">
If 3 register  </t>
        </r>
        <r>
          <rPr>
            <sz val="9"/>
            <color indexed="10"/>
            <rFont val="Tahoma"/>
            <family val="2"/>
          </rPr>
          <t>NO SPARE ANYMORE</t>
        </r>
      </text>
    </comment>
    <comment ref="C182" authorId="0" shapeId="0" xr:uid="{5CDB2531-5541-4B59-A183-A1AFFADB2F1E}">
      <text>
        <r>
          <rPr>
            <b/>
            <sz val="9"/>
            <color indexed="81"/>
            <rFont val="Tahoma"/>
            <family val="2"/>
          </rPr>
          <t>Bernd Polney:</t>
        </r>
        <r>
          <rPr>
            <sz val="9"/>
            <color indexed="81"/>
            <rFont val="Tahoma"/>
            <family val="2"/>
          </rPr>
          <t xml:space="preserve">
In Barracuda there are 5 TRIM_VALID fuse words, indicating the execution log for the fuse programming step  --&gt; reduced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Bernd Polney</author>
  </authors>
  <commentList>
    <comment ref="A4" authorId="0" shapeId="0" xr:uid="{F00174D6-1A3E-4901-8167-BEA84B39EA33}">
      <text>
        <r>
          <rPr>
            <b/>
            <sz val="9"/>
            <color indexed="81"/>
            <rFont val="Tahoma"/>
            <family val="2"/>
          </rPr>
          <t>Bernd Polney:</t>
        </r>
        <r>
          <rPr>
            <sz val="9"/>
            <color indexed="81"/>
            <rFont val="Tahoma"/>
            <family val="2"/>
          </rPr>
          <t xml:space="preserve">
In Barracuda there are 5 TRIM_VALID fuse words, indicating the execution log for the fuse programming step  --&gt; reduced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tc={674CA918-A506-4F26-B402-2E72C3BA1CA3}</author>
  </authors>
  <commentList>
    <comment ref="C27" authorId="0" shapeId="0" xr:uid="{674CA918-A506-4F26-B402-2E72C3BA1CA3}">
      <text>
        <t>[Threaded comment]
Your version of Excel allows you to read this threaded comment; however, any edits to it will get removed if the file is opened in a newer version of Excel. Learn more: https://go.microsoft.com/fwlink/?linkid=870924
Comment:
    Does it reflect GPADPLL?</t>
      </text>
    </comment>
  </commentList>
</comments>
</file>

<file path=xl/sharedStrings.xml><?xml version="1.0" encoding="utf-8"?>
<sst xmlns="http://schemas.openxmlformats.org/spreadsheetml/2006/main" count="7106" uniqueCount="2130">
  <si>
    <t>Subsystem</t>
  </si>
  <si>
    <t>Subblock IP</t>
  </si>
  <si>
    <t>Control Signals</t>
  </si>
  <si>
    <t>Number of Trimming Bits</t>
  </si>
  <si>
    <t>Total number of trimming subsystem bits</t>
  </si>
  <si>
    <t>Remarks</t>
  </si>
  <si>
    <t>Number of registers</t>
  </si>
  <si>
    <t>Bits unused</t>
  </si>
  <si>
    <t>GLDO subsystem</t>
  </si>
  <si>
    <t>OVUV GLDO 1v4</t>
  </si>
  <si>
    <t>OVUV GLDO 1v3</t>
  </si>
  <si>
    <t>Bandgap HVLDO1v8 FuSa</t>
  </si>
  <si>
    <t>set_dc_bg_hvldo1v8&lt;3:0&gt;</t>
  </si>
  <si>
    <t>OVUV HVLDO1v8 FuSa</t>
  </si>
  <si>
    <t>trim_ov_hvldo1v8&lt;3:0&gt;</t>
  </si>
  <si>
    <t>trim_uv_hvldo1v8&lt;3:0&gt;</t>
  </si>
  <si>
    <t>Bandgap OVUV</t>
  </si>
  <si>
    <t>HVLDO (GLDO)</t>
  </si>
  <si>
    <t>ATB</t>
  </si>
  <si>
    <t>bg</t>
  </si>
  <si>
    <t>rcal</t>
  </si>
  <si>
    <t>bist-adc</t>
  </si>
  <si>
    <t xml:space="preserve">Global BIAS
</t>
  </si>
  <si>
    <t>gbias(core)</t>
  </si>
  <si>
    <t>RFE_TSENSE</t>
  </si>
  <si>
    <t>RFE_TSENSE_PARAM</t>
  </si>
  <si>
    <t>common for all tsense in RFE</t>
  </si>
  <si>
    <t>4 TS-blocks -&gt; 4 offsets
4 * 16 = 64 bits</t>
  </si>
  <si>
    <t>RX</t>
  </si>
  <si>
    <t>RX-ADC</t>
  </si>
  <si>
    <t>RC calibration</t>
  </si>
  <si>
    <t>There are 4 RX-ADC blocks:
4*16 = 64 bits</t>
  </si>
  <si>
    <t>Tx</t>
  </si>
  <si>
    <t>LO</t>
  </si>
  <si>
    <t>TX-BIST</t>
  </si>
  <si>
    <t>RX-BIST</t>
  </si>
  <si>
    <t>MCGEN</t>
  </si>
  <si>
    <t>CHIRPGEN</t>
  </si>
  <si>
    <t>DC</t>
  </si>
  <si>
    <t>TRIM_VALID</t>
  </si>
  <si>
    <t>OTP_TRIM_VALID_1</t>
  </si>
  <si>
    <t>OTP_TRIM_VALID_2</t>
  </si>
  <si>
    <t>OTP_TRIM_VALID_3</t>
  </si>
  <si>
    <t>OTP_TRIM_VALID_4</t>
  </si>
  <si>
    <t>OTP_TRIM_VALID_5</t>
  </si>
  <si>
    <t>OTP_TRIM_VALID_6</t>
  </si>
  <si>
    <t>Trim targets</t>
  </si>
  <si>
    <t>x</t>
  </si>
  <si>
    <t>°C</t>
  </si>
  <si>
    <t>/</t>
  </si>
  <si>
    <t>For the other temperatures, the targets are given for evaluation on-the-fly in case of OTP not programmed</t>
  </si>
  <si>
    <t>Predecessors</t>
  </si>
  <si>
    <t>The supplies are trimmed ahead ?</t>
  </si>
  <si>
    <t>System setup information</t>
  </si>
  <si>
    <t>State of the other IPs ?</t>
  </si>
  <si>
    <t>Trim procedure</t>
  </si>
  <si>
    <t>Optimization procedure</t>
  </si>
  <si>
    <t>If needed</t>
  </si>
  <si>
    <r>
      <rPr>
        <b/>
        <sz val="11"/>
        <color theme="1"/>
        <rFont val="Calibri"/>
        <family val="2"/>
        <scheme val="minor"/>
      </rPr>
      <t>Note :</t>
    </r>
    <r>
      <rPr>
        <sz val="11"/>
        <color theme="1"/>
        <rFont val="Calibri"/>
        <family val="2"/>
        <scheme val="minor"/>
      </rPr>
      <t xml:space="preserve"> the temp noted as plan of record is the one at which will be performed the trim in production</t>
    </r>
  </si>
  <si>
    <t>Temp</t>
  </si>
  <si>
    <t>Plan of record</t>
  </si>
  <si>
    <t>Unit</t>
  </si>
  <si>
    <t>?</t>
  </si>
  <si>
    <t>OTP control signals</t>
  </si>
  <si>
    <t>yes/no</t>
  </si>
  <si>
    <t>no</t>
  </si>
  <si>
    <t>%</t>
  </si>
  <si>
    <t>Aligned with validation TS</t>
  </si>
  <si>
    <t>Aligned with designer</t>
  </si>
  <si>
    <t>Global BIAS</t>
  </si>
  <si>
    <t>Signals aligned with the sch</t>
  </si>
  <si>
    <t>yes</t>
  </si>
  <si>
    <t>NA</t>
  </si>
  <si>
    <t>Shall be at 0</t>
  </si>
  <si>
    <t>spare</t>
  </si>
  <si>
    <t>d_txbist_lbias_trim = 1 =&gt; vd -10%</t>
  </si>
  <si>
    <t>d_txbist_lbias_trim = 2 =&gt; vd -5%</t>
  </si>
  <si>
    <t>d_txbist_lbias_trim = 4 =&gt; vd</t>
  </si>
  <si>
    <t>d_txbist_lbias_trim = 8  =&gt; vd +5%</t>
  </si>
  <si>
    <t>d_txbist_lbias_trim = 16 =&gt; vd +10%</t>
  </si>
  <si>
    <t>kOhm</t>
  </si>
  <si>
    <t>Apply 90uA current from the tester to both ATB</t>
  </si>
  <si>
    <t>program trim_res_set_res0_atbx to the different values</t>
  </si>
  <si>
    <t>monitor ADC output</t>
  </si>
  <si>
    <t>Connect ATB1 and ATB2 res1 resistors to the tester and the ATB ADCs</t>
  </si>
  <si>
    <t>Connect ATB1 and ATB2 res0 resistors to the tester and the ATB ADCs</t>
  </si>
  <si>
    <t>Apply 20uA current from the tester to both ATB</t>
  </si>
  <si>
    <t>program trim_res_set_res1_atbx to the different values</t>
  </si>
  <si>
    <t>NTR</t>
  </si>
  <si>
    <t>For each TXBist instances</t>
  </si>
  <si>
    <t>V</t>
  </si>
  <si>
    <t>TXBIST_CTRL</t>
  </si>
  <si>
    <t>IBIAS_TRIM</t>
  </si>
  <si>
    <t>txbist_ctrl_ibias_trim</t>
  </si>
  <si>
    <t>SPI register name</t>
  </si>
  <si>
    <t>OCII</t>
  </si>
  <si>
    <t>SPI field name</t>
  </si>
  <si>
    <t>trim code distribution centered on the code 4.</t>
  </si>
  <si>
    <t>Measure the vd_0v45_vga signal for the trim values 1, 2, 4, 8 and 16.</t>
  </si>
  <si>
    <t>TR_BG_SETDC</t>
  </si>
  <si>
    <t>BG_REF</t>
  </si>
  <si>
    <t>bg_ref_tr_bg_setdc</t>
  </si>
  <si>
    <t>SETDC_BG_GLD1V45</t>
  </si>
  <si>
    <t>SETDC_BG_HLD1V8</t>
  </si>
  <si>
    <t>SETDC_BG_OVUV</t>
  </si>
  <si>
    <t>BG_TRIM</t>
  </si>
  <si>
    <t>bg_trim_setdc_bg_gld1v45</t>
  </si>
  <si>
    <t>bg_trim_setdc_bg_hld1v8</t>
  </si>
  <si>
    <t>bg_trim_setdc_bg_ovuv</t>
  </si>
  <si>
    <t>ovuv_gld1v45_trim_ov_gld1v45</t>
  </si>
  <si>
    <t>ovuv_gld1v45_trim_uv_gld1v45</t>
  </si>
  <si>
    <t>ovuv_gld1v3_trim_ov_gld1v3</t>
  </si>
  <si>
    <t>ovuv_hld1v8_trim_ov_hld1v8</t>
  </si>
  <si>
    <t>ovuv_hld1v8_trim_uv_hld1v8</t>
  </si>
  <si>
    <t>TRIM_OV_GLD1V45</t>
  </si>
  <si>
    <t>TRIM_UV_GLD1V45</t>
  </si>
  <si>
    <t>OVUV_GLD1V45</t>
  </si>
  <si>
    <t>TRIM_OV_GLD1V3</t>
  </si>
  <si>
    <t>OVUV_GLD1V3</t>
  </si>
  <si>
    <t>TRIM_OV_HLD1V8</t>
  </si>
  <si>
    <t>TRIM_UV_HLD1V8</t>
  </si>
  <si>
    <t>OVUV_HLD1V8</t>
  </si>
  <si>
    <t>atb_dc_trim_res_set_res0_atb1</t>
  </si>
  <si>
    <t>atb_dc_trim_res_set_res1_atb1</t>
  </si>
  <si>
    <t>atb_dc_trim_res_set_res0_atb2</t>
  </si>
  <si>
    <t>atb_dc_trim_res_set_res1_atb2</t>
  </si>
  <si>
    <t>ATB_DC_TRIM_RES</t>
  </si>
  <si>
    <t>SET_RES0_ATB1</t>
  </si>
  <si>
    <t>SET_RES1_ATB1</t>
  </si>
  <si>
    <t>SET_RES0_ATB2</t>
  </si>
  <si>
    <t>SET_RES1_ATB2</t>
  </si>
  <si>
    <t>PVT_REF_GEN_BIST_0</t>
  </si>
  <si>
    <t>pvt_ref_gen_bist_0_tr_bg_setdc</t>
  </si>
  <si>
    <t>ANA_MISC_CTL</t>
  </si>
  <si>
    <t>BG_SET_DC</t>
  </si>
  <si>
    <t>ANA_BIAS_CTL</t>
  </si>
  <si>
    <t>ana_misc_ctl_bg_set_dc</t>
  </si>
  <si>
    <t>BBBIST</t>
  </si>
  <si>
    <t>RAUCHFILTER_TUN</t>
  </si>
  <si>
    <t>bbbist_rauchfilter_tun</t>
  </si>
  <si>
    <t>dB</t>
  </si>
  <si>
    <t>LSB</t>
  </si>
  <si>
    <t>3d</t>
  </si>
  <si>
    <t>4d</t>
  </si>
  <si>
    <t>Registers at the default value proposed by the datasheet for all parts</t>
  </si>
  <si>
    <t>These ADC trim entries in the fuse map are a back-up solution in case of process variation on the ADC LDO. It isn't expected as per designer experience (Ibrahim Candan)</t>
  </si>
  <si>
    <t>Production data to review with designers</t>
  </si>
  <si>
    <t>If trim requested : measure the vrefp and vdda voltages for all trim codes</t>
  </si>
  <si>
    <t>adc1_ctrl_1_set_ldo_vrefp</t>
  </si>
  <si>
    <t>adc1_ctrl_1_set_ldo_vdda</t>
  </si>
  <si>
    <t>adc2_ctrl_1_set_ldo_vrefp</t>
  </si>
  <si>
    <t>adc2_ctrl_1_set_ldo_vdda</t>
  </si>
  <si>
    <t>SET_LDO_VREFP</t>
  </si>
  <si>
    <t>SET_LDO_VDDA</t>
  </si>
  <si>
    <t>ADC1_CTRL_1</t>
  </si>
  <si>
    <t>ADC2_CTRL_1</t>
  </si>
  <si>
    <t>Select the trim code to get the voltages closest to their targets (0v9 and 0v925 respectively)</t>
  </si>
  <si>
    <t>Execute the trim with the TX 10b-bit ADC. The ADC reference has to be trimmed ahead</t>
  </si>
  <si>
    <t>with signal magnitude at about half of the full scale to avoid any saturation</t>
  </si>
  <si>
    <t>For all rauchfilter codes</t>
  </si>
  <si>
    <t>Samples per alternances</t>
  </si>
  <si>
    <t>Nb of alternances</t>
  </si>
  <si>
    <t>Sampling rate :</t>
  </si>
  <si>
    <t>SPS</t>
  </si>
  <si>
    <t>s</t>
  </si>
  <si>
    <t>Hz</t>
  </si>
  <si>
    <t>Nb of samples</t>
  </si>
  <si>
    <t>Signal magnitude during the trim is at about 0.5 of RXADC the full scale</t>
  </si>
  <si>
    <t>Connect the BBBIST I and Q paths to the RXADC with the bist paths (i.e. not the RX VGA paths)</t>
  </si>
  <si>
    <t>For the BBBIST I and Q</t>
  </si>
  <si>
    <t>datalog of the trim code and the trimmed delta between the two bins to review with the designers (Dominique Delbecq, Ayoub, Maryam)</t>
  </si>
  <si>
    <t>limits might have to be tweaked to avoid yield losses</t>
  </si>
  <si>
    <t>Analog signal frequency</t>
  </si>
  <si>
    <t>Registers to write at the default value proposed by the datasheet for all parts (see the table above)</t>
  </si>
  <si>
    <t>µA</t>
  </si>
  <si>
    <t>BG to be trimmed ahead</t>
  </si>
  <si>
    <t>V2I_CONV</t>
  </si>
  <si>
    <t>TR_V2I</t>
  </si>
  <si>
    <t>v2i_conv_tr_v2i</t>
  </si>
  <si>
    <t>sample/alternance</t>
  </si>
  <si>
    <t>alternance</t>
  </si>
  <si>
    <t>sample</t>
  </si>
  <si>
    <t>atb_set_bg_dc&lt;3:0&gt;</t>
  </si>
  <si>
    <t>atb1_set_adc_ldo_vrefp&lt;2:0&gt;</t>
  </si>
  <si>
    <t>atb1_set_adc_ldo_vdda&lt;2:0&gt;</t>
  </si>
  <si>
    <t>atb2_set_adc_ldo_vrefp&lt;2:0&gt;</t>
  </si>
  <si>
    <t>atb2_set_adc_ldo_vdda&lt;2:0&gt;</t>
  </si>
  <si>
    <t>tx1_set_adc_ldo_vrefp&lt;2:0&gt;</t>
  </si>
  <si>
    <t>tx1_set_adc_ldo_vdda&lt;2:0&gt;</t>
  </si>
  <si>
    <t>tx2_set_adc_ldo_vrefp&lt;2:0&gt;</t>
  </si>
  <si>
    <t>tx2_set_adc_ldo_vdda&lt;2:0&gt;</t>
  </si>
  <si>
    <t>tx3_set_adc_ldo_vrefp&lt;2:0&gt;</t>
  </si>
  <si>
    <t>tx3_set_adc_ldo_vdda&lt;2:0&gt;</t>
  </si>
  <si>
    <t>tx4_set_adc_ldo_vrefp&lt;2:0&gt;</t>
  </si>
  <si>
    <t>tx4_set_adc_ldo_vdda&lt;2:0&gt;</t>
  </si>
  <si>
    <t>PON_TX_ADC</t>
  </si>
  <si>
    <t>pon_tx_adc_set_ldo_vrefp</t>
  </si>
  <si>
    <t>pon_tx_adc_set_ldo_vdda</t>
  </si>
  <si>
    <t>ADC LDO vdda voltages are a distribution centered around 0v925 +/-12.5mV</t>
  </si>
  <si>
    <t>ADC LDO vrefp voltages are a distribution centered around 0v9 +/-12.5mV</t>
  </si>
  <si>
    <t>atb1_set_res7k8&lt;4:0&gt;</t>
  </si>
  <si>
    <t>atb1_set_res35k&lt;4:0&gt;</t>
  </si>
  <si>
    <t>atb2_set_res7k8&lt;4:0&gt;</t>
  </si>
  <si>
    <t>atb2_set_res35k&lt;4:0&gt;</t>
  </si>
  <si>
    <t>ctrl_ibias_ldo_adc_20ua_flat&lt;2:0&gt;</t>
  </si>
  <si>
    <t>ctrl_ibias_tx_doubler_90ua_ptat&lt;4:0&gt;</t>
  </si>
  <si>
    <t>ctrl_ibias_tx_doubler_90ua_flat&lt;4:0&gt;</t>
  </si>
  <si>
    <t>ctrl_ibias_tx_phase_rotator_90ua_ptat&lt;4:0&gt;</t>
  </si>
  <si>
    <t>ctrl_ibias_tx_phase_rotator_90ua_flat&lt;4:0&gt;</t>
  </si>
  <si>
    <t>ctrl_ibias_tx_phase_rotator_1_20ua_flat&lt;4:0&gt;</t>
  </si>
  <si>
    <t>ctrl_ibias_tx_phase_rotator_2_20ua_flat&lt;4:0&gt;</t>
  </si>
  <si>
    <t>ctrl_ibias_tx_buf_90ua_ptat&lt;4:0&gt;</t>
  </si>
  <si>
    <t>ctrl_ibias_tx_pa_90ua_flat&lt;4:0&gt;</t>
  </si>
  <si>
    <t>ctrl_ibias_tx_pa_20ua_flat&lt;4:0&gt;</t>
  </si>
  <si>
    <t>ctrl_ibias_ldo_tx_0v9_20ua_flat&lt;2:0&gt;</t>
  </si>
  <si>
    <t>ctrl_ibias_ldo_tx_1v1_20ua_flat&lt;2:0&gt;</t>
  </si>
  <si>
    <t>ctrl_ibias_rx_90ua_ptat&lt;4:0&gt;</t>
  </si>
  <si>
    <t>ctrl_ibias_ldo_rx_lpfi_20ua_flat&lt;2:0&gt;</t>
  </si>
  <si>
    <t>ctrl_ibias_ldo_rx_lpfi_30ua_ptat&lt;4:0&gt;</t>
  </si>
  <si>
    <t>ctrl_ibias_ldo_rx_lpfq_20ua_flat&lt;2:0&gt;</t>
  </si>
  <si>
    <t>ctrl_ibias_ldo_rx_lpfq_30ua_ptat&lt;4:0&gt;</t>
  </si>
  <si>
    <t>ctrl_ibias_ldo_rx_lna_20ua_flat&lt;2:0&gt;</t>
  </si>
  <si>
    <t>ctrl_ibias_ldo_rx_loi_20ua_flat&lt;2:0&gt;</t>
  </si>
  <si>
    <t>ctrl_ibias_loif_90ua_flat&lt;4:0&gt;</t>
  </si>
  <si>
    <t>ctrl_ibias_loif_90ua_ptat&lt;4:0&gt;</t>
  </si>
  <si>
    <t>ctrl_ibias_loif_fusa_90ua_flat&lt;2:0&gt;</t>
  </si>
  <si>
    <t>ctrl_ibias_ldo_loif_pa_20ua_flat&lt;2:0&gt;</t>
  </si>
  <si>
    <t>ctrl_ibias_ldo_loif_lna_20ua_flat&lt;2:0&gt;</t>
  </si>
  <si>
    <t>ctrl_ibias_ldo_loif_driver_20ua_flat&lt;2:0&gt;</t>
  </si>
  <si>
    <t>ctrl_ibias_ldo_xo_core_30ua_ptat&lt;4:0&gt;</t>
  </si>
  <si>
    <t>ctrl_ibias_txbist_90ua_flat&lt;4:0&gt;</t>
  </si>
  <si>
    <t>ctrl_ibias_rxbist_lo_90ua_ptat&lt;4:0&gt;</t>
  </si>
  <si>
    <t>ctrl_ibias_rxbist_buf_90ua_ptat&lt;4:0&gt;</t>
  </si>
  <si>
    <t>ctrl_ibias_rxbist_lo_90ua_flat&lt;4:0&gt;</t>
  </si>
  <si>
    <t>ctrl_ibias_rxbist_buf_90ua_flat&lt;4:0&gt;</t>
  </si>
  <si>
    <t>ctrl_ibias_rxbist_psdac_90ua_flat&lt;4:0&gt;</t>
  </si>
  <si>
    <t>ctrl_ibias_rxbist_bbbist_i_90ua_flat&lt;4:0&gt;</t>
  </si>
  <si>
    <t>ctrl_ibias_rxbist_bbbist_q_90ua_flat&lt;4:0&gt;</t>
  </si>
  <si>
    <t>ctrl_ibias_ldo_rxbist_lo_0v9_20ua_flat&lt;2:0&gt;</t>
  </si>
  <si>
    <t>ctrl_ibias_ldo_rxbist_rf_1v1_20ua_flat&lt;2:0&gt;</t>
  </si>
  <si>
    <t>ctrl_ibias_ldo_rxbist_dig_1v1_20ua_flat&lt;2:0&gt;</t>
  </si>
  <si>
    <t>ctrl_ibias_ldo_core_20ua_flat&lt;2:0&gt;</t>
  </si>
  <si>
    <t>ctrl_ibias_ldo_pdc_20ua_flat&lt;2:0&gt;</t>
  </si>
  <si>
    <t>ctrl_bg_set_dc&lt;3:0&gt;</t>
  </si>
  <si>
    <t>ctrl_v2i_res&lt;5:0&gt;</t>
  </si>
  <si>
    <t>rfe_tsense_val_a&lt;15:0&gt;</t>
  </si>
  <si>
    <t>rfe_tsense_val_b&lt;15:0&gt;</t>
  </si>
  <si>
    <t>rfe_tsense_val_alpha&lt;15:0&gt;</t>
  </si>
  <si>
    <t>freq_det_cal_over&lt;6:0&gt;</t>
  </si>
  <si>
    <t>freq_det_cal_under&lt;6:0&gt;</t>
  </si>
  <si>
    <t>ldo_ctl_res_v2i&lt;5:0&gt;</t>
  </si>
  <si>
    <t>Datalog the delta between the 2 bins, expected to be in &lt;-0.7 to -0.2&gt;dB</t>
  </si>
  <si>
    <t>1. Ayoub Rifai</t>
  </si>
  <si>
    <t>Michiel Hallie</t>
  </si>
  <si>
    <t>ATB : Michiel Hallie</t>
  </si>
  <si>
    <t>TX : Birama Goumballa</t>
  </si>
  <si>
    <t>ADC : Ibrahim Candan</t>
  </si>
  <si>
    <t>rfe_tsenseTX12_val_xoffset&lt;15:0&gt;</t>
  </si>
  <si>
    <t>rfe_tsenseTX34_val_xoffset&lt;15:0&gt;</t>
  </si>
  <si>
    <t>rfe_tsenseXO_val_xoffset&lt;15:0&gt;</t>
  </si>
  <si>
    <t>rfe_tsenseRX_val_xoffset&lt;15:0&gt;</t>
  </si>
  <si>
    <t>bbbist_trim_ccal&lt;2:0&gt;</t>
  </si>
  <si>
    <t>VGA</t>
  </si>
  <si>
    <t>no, value 0 by default if not trimmed</t>
  </si>
  <si>
    <t>ADC</t>
  </si>
  <si>
    <t>TX</t>
  </si>
  <si>
    <t>No predecessor</t>
  </si>
  <si>
    <t>Example of result :</t>
  </si>
  <si>
    <t>+10mV</t>
  </si>
  <si>
    <t>Measure the offset of the bandgap buffer.</t>
  </si>
  <si>
    <t>Compensate the measured voltage with the offset of the buffer.</t>
  </si>
  <si>
    <t>All IPs are in a low power state</t>
  </si>
  <si>
    <t>Apply (externally) all the supplies at their nominal values</t>
  </si>
  <si>
    <t>For each OVUV monitors you have to select the following settings accordingly to the table at the right :</t>
  </si>
  <si>
    <t>The nominal voltage level of the monitored supply (vmon_sel_1v8&lt;4:0&gt;),</t>
  </si>
  <si>
    <t>The OV threshold level (pk_sel_1v8&lt;2:0&gt;),</t>
  </si>
  <si>
    <t>The UV threshold level (dip_sel_1v8&lt;2:0&gt;).</t>
  </si>
  <si>
    <r>
      <rPr>
        <u/>
        <sz val="11"/>
        <color theme="1"/>
        <rFont val="Calibri"/>
        <family val="2"/>
        <scheme val="minor"/>
      </rPr>
      <t>Note:</t>
    </r>
    <r>
      <rPr>
        <sz val="11"/>
        <color theme="1"/>
        <rFont val="Calibri"/>
        <family val="2"/>
        <scheme val="minor"/>
      </rPr>
      <t xml:space="preserve"> this measurement cannot be done using the ATB ADC because the BG is its reference</t>
    </r>
  </si>
  <si>
    <t>res1 (=35kOhm) trim :</t>
  </si>
  <si>
    <t>Register value</t>
  </si>
  <si>
    <t>Analog value</t>
  </si>
  <si>
    <t>000</t>
  </si>
  <si>
    <t>00 : the OTP field is empty</t>
  </si>
  <si>
    <t>01 : the OTP field contents a default value to insure the functionality only</t>
  </si>
  <si>
    <t>11: the OTP field content a trimmed value</t>
  </si>
  <si>
    <t>Possible values :</t>
  </si>
  <si>
    <r>
      <t xml:space="preserve">10 : </t>
    </r>
    <r>
      <rPr>
        <i/>
        <sz val="11"/>
        <color theme="1"/>
        <rFont val="Calibri"/>
        <family val="2"/>
        <scheme val="minor"/>
      </rPr>
      <t>Not used</t>
    </r>
  </si>
  <si>
    <t>At the SOC side</t>
  </si>
  <si>
    <t>in the TX1 instance</t>
  </si>
  <si>
    <t>in the TX2 instance</t>
  </si>
  <si>
    <t>in the TX3 instance</t>
  </si>
  <si>
    <t>in the TX4 instance</t>
  </si>
  <si>
    <t>VMON_SEL_GLD1V45</t>
  </si>
  <si>
    <t>VMON_SEL_GLD1V3</t>
  </si>
  <si>
    <t>VMON_SEL_HLD1V8</t>
  </si>
  <si>
    <t>ovuv_gld1v45_vmon_sel_gld1v45</t>
  </si>
  <si>
    <t>ovuv_gld1v3_vmon_sel_gld1v3</t>
  </si>
  <si>
    <t>ovuv_hld1v8_vmon_sel_hld1v8</t>
  </si>
  <si>
    <t>PK_SEL_GLD1V45</t>
  </si>
  <si>
    <t>PK_SEL_GLD1V3</t>
  </si>
  <si>
    <t>PK_SEL_HLD1V8</t>
  </si>
  <si>
    <t>ovuv_gld1v45_pk_sel_gld1v45</t>
  </si>
  <si>
    <t>ovuv_gld1v3_pk_sel_gld1v3</t>
  </si>
  <si>
    <t>ovuv_hld1v8_pk_sel_hld1v8</t>
  </si>
  <si>
    <t>ovuv_gld1v45_dip_sel_gld1v45</t>
  </si>
  <si>
    <t>ovuv_hld1v8_dip_sel_hld1v8</t>
  </si>
  <si>
    <t>ovuv_gld1v45_dly_sel_gld1v45</t>
  </si>
  <si>
    <t>ovuv_gld1v3_dly_sel_gld1v3</t>
  </si>
  <si>
    <t>ovuv_hld1v8_dly_sel_hld1v8</t>
  </si>
  <si>
    <t>DIP_SEL_GLD1V45</t>
  </si>
  <si>
    <t>DIP_SEL_HLD1V8</t>
  </si>
  <si>
    <t>DLY_SEL_GLD1V45</t>
  </si>
  <si>
    <t>DLY_SEL_GLD1V3</t>
  </si>
  <si>
    <t>DLY_SEL_HLD1V8</t>
  </si>
  <si>
    <t>000 - Glitch filter setting: tmin = 0.12us; ttyp = 0.2us; tmax = 0.28us</t>
  </si>
  <si>
    <t>Document Information</t>
  </si>
  <si>
    <t>Project name</t>
  </si>
  <si>
    <t>Smart TRX Innovation</t>
  </si>
  <si>
    <t>Document name</t>
  </si>
  <si>
    <t>Revision</t>
  </si>
  <si>
    <t>Status</t>
  </si>
  <si>
    <t>Date</t>
  </si>
  <si>
    <t>Authors</t>
  </si>
  <si>
    <t>Organization</t>
  </si>
  <si>
    <t>BU Automotive / BL IDA / PL ADAS</t>
  </si>
  <si>
    <t>Revision History</t>
  </si>
  <si>
    <t>Author</t>
  </si>
  <si>
    <t>Changes</t>
  </si>
  <si>
    <t>Benoit Poussard</t>
  </si>
  <si>
    <t>v2</t>
  </si>
  <si>
    <t>v1</t>
  </si>
  <si>
    <t>B.Poussard</t>
  </si>
  <si>
    <t>set_dc_bg_gldo1v45&lt;3:0&gt;</t>
  </si>
  <si>
    <t>GPADC</t>
  </si>
  <si>
    <t>GPADC Trim</t>
  </si>
  <si>
    <t>ADC Gain/Offset</t>
  </si>
  <si>
    <t>FIRC</t>
  </si>
  <si>
    <t>TMU</t>
  </si>
  <si>
    <t>TSENSE PARAM</t>
  </si>
  <si>
    <t>TSENSE OFFSET</t>
  </si>
  <si>
    <t>Aurora</t>
  </si>
  <si>
    <t>HVLDO / VMON</t>
  </si>
  <si>
    <t>Bandgap HVLDO1v8</t>
  </si>
  <si>
    <t>set_dc_bg_hld1v8&lt;3:0&gt;</t>
  </si>
  <si>
    <t>set_curve_bg_hld1v8&lt;2:0&gt;</t>
  </si>
  <si>
    <t>OVUV HVLDO1v8</t>
  </si>
  <si>
    <t>trim_ov_hld1v8&lt;3:0&gt;</t>
  </si>
  <si>
    <t>trim_uv_hld1v8&lt;3:0&gt;</t>
  </si>
  <si>
    <t>OVUV PMIC0v9</t>
  </si>
  <si>
    <t>trim_ov_pmc0v9&lt;3:0&gt;</t>
  </si>
  <si>
    <t>trim_uv_pmc0v9&lt;3:0&gt;</t>
  </si>
  <si>
    <t>OVUV BG buffer</t>
  </si>
  <si>
    <t>PMC</t>
  </si>
  <si>
    <t xml:space="preserve">POR_WDOG_TIMEOUT </t>
  </si>
  <si>
    <t xml:space="preserve">POR_WDOG_FUSE_DISABLE </t>
  </si>
  <si>
    <t>Bandgap GLDO1v45</t>
  </si>
  <si>
    <t>trim_ov_gldo1v45&lt;3:0&gt;</t>
  </si>
  <si>
    <t>trim_uv_gldo1v45&lt;3:0&gt;</t>
  </si>
  <si>
    <t>OVERVIEW STRX-RFE/SOC Trimming Strategy</t>
  </si>
  <si>
    <t>Definitions</t>
  </si>
  <si>
    <t>SW-based OTP bits</t>
  </si>
  <si>
    <t>HW-based OTP bits</t>
  </si>
  <si>
    <t>Type of OTP bits</t>
  </si>
  <si>
    <t>SW-based</t>
  </si>
  <si>
    <t>HW-based</t>
  </si>
  <si>
    <t>Trim criteria</t>
  </si>
  <si>
    <t>GLDO output voltage</t>
  </si>
  <si>
    <t>BG output voltage</t>
  </si>
  <si>
    <t>RFE</t>
  </si>
  <si>
    <t>SOC</t>
  </si>
  <si>
    <t>Not applicable. The SOC bits are HW-based</t>
  </si>
  <si>
    <t>HVLDO output voltage divided by 2</t>
  </si>
  <si>
    <t>PoR</t>
  </si>
  <si>
    <t>GLDO1v45 to trim ahead</t>
  </si>
  <si>
    <t>MCGEN in normal operation mode</t>
  </si>
  <si>
    <t>ADPLL has to be enabled (off per default)</t>
  </si>
  <si>
    <t>Frequency detector</t>
  </si>
  <si>
    <t>Iref</t>
  </si>
  <si>
    <t>FUSA_CTL</t>
  </si>
  <si>
    <t>FREQ_DET_CAL_OV</t>
  </si>
  <si>
    <t>FREQ_DET_CAL_UND</t>
  </si>
  <si>
    <t>fusa_ctl_freq_det_cal_ov</t>
  </si>
  <si>
    <t>fusa_ctl_freq_det_cal_und</t>
  </si>
  <si>
    <t>Gerhard Osterloh</t>
  </si>
  <si>
    <t>adpll_ctl_adpll_set_iref</t>
  </si>
  <si>
    <t>ADPLL_CTL</t>
  </si>
  <si>
    <t>ADPLL_SET_IREF</t>
  </si>
  <si>
    <t>Activate MCGEN ADPLL ATB</t>
  </si>
  <si>
    <t>ATB_SEL[4] selects the current from digital Iref instance (check after trim)</t>
  </si>
  <si>
    <t>Target value is 20µA +/-5% (incl. Temp) --&gt; 19µA - 21µA</t>
  </si>
  <si>
    <t>Current measurement is done with internal calibrated resistor inside ATB IP</t>
  </si>
  <si>
    <t>Voltage is measured with internal BIST-ADC</t>
  </si>
  <si>
    <t>no, value 0x13 by default if not trimmed</t>
  </si>
  <si>
    <t>uA</t>
  </si>
  <si>
    <t>Connect the analog Iref instance to the ATB :</t>
  </si>
  <si>
    <t>Connect the digital Iref instance to the ATB :</t>
  </si>
  <si>
    <t>Measure the 2 current references for all codes</t>
  </si>
  <si>
    <t>Measure the current reference at the trim code</t>
  </si>
  <si>
    <t>Trim  codes in simulation is between 13 - 21</t>
  </si>
  <si>
    <r>
      <t xml:space="preserve">Variable </t>
    </r>
    <r>
      <rPr>
        <b/>
        <sz val="11"/>
        <color rgb="FF000000"/>
        <rFont val="Arial"/>
        <family val="2"/>
      </rPr>
      <t>code_under</t>
    </r>
    <r>
      <rPr>
        <sz val="11"/>
        <color rgb="FF000000"/>
        <rFont val="Arial"/>
        <family val="2"/>
      </rPr>
      <t xml:space="preserve"> stores the value of the code at which output ‘</t>
    </r>
    <r>
      <rPr>
        <b/>
        <sz val="11"/>
        <color rgb="FF000000"/>
        <rFont val="Arial"/>
        <family val="2"/>
      </rPr>
      <t>under_error_n’</t>
    </r>
    <r>
      <rPr>
        <sz val="11"/>
        <color rgb="FF000000"/>
        <rFont val="Arial"/>
        <family val="2"/>
      </rPr>
      <t xml:space="preserve"> toggles from ‘1’ to ‘0’</t>
    </r>
  </si>
  <si>
    <r>
      <t xml:space="preserve">Variable </t>
    </r>
    <r>
      <rPr>
        <b/>
        <sz val="11"/>
        <color rgb="FF000000"/>
        <rFont val="Arial"/>
        <family val="2"/>
      </rPr>
      <t xml:space="preserve">code_over </t>
    </r>
    <r>
      <rPr>
        <sz val="11"/>
        <color rgb="FF000000"/>
        <rFont val="Arial"/>
        <family val="2"/>
      </rPr>
      <t>stores the value of the code at which output ‘</t>
    </r>
    <r>
      <rPr>
        <b/>
        <sz val="11"/>
        <color rgb="FF000000"/>
        <rFont val="Arial"/>
        <family val="2"/>
      </rPr>
      <t>over_error_n’</t>
    </r>
    <r>
      <rPr>
        <sz val="11"/>
        <color rgb="FF000000"/>
        <rFont val="Arial"/>
        <family val="2"/>
      </rPr>
      <t xml:space="preserve"> toggles from ‘1’ to ‘0’</t>
    </r>
  </si>
  <si>
    <r>
      <t xml:space="preserve">5. Calculate </t>
    </r>
    <r>
      <rPr>
        <b/>
        <sz val="11"/>
        <color rgb="FF000000"/>
        <rFont val="Arial"/>
        <family val="2"/>
      </rPr>
      <t>cal_code_over</t>
    </r>
    <r>
      <rPr>
        <sz val="11"/>
        <color rgb="FF000000"/>
        <rFont val="Arial"/>
        <family val="2"/>
      </rPr>
      <t xml:space="preserve"> that ensures sufficient safety margin:</t>
    </r>
  </si>
  <si>
    <t>cal_code_over = round(code_over – shift_over)</t>
  </si>
  <si>
    <r>
      <rPr>
        <b/>
        <sz val="11"/>
        <color theme="1"/>
        <rFont val="Calibri"/>
        <family val="2"/>
        <scheme val="minor"/>
      </rPr>
      <t>Figure 3 :</t>
    </r>
    <r>
      <rPr>
        <sz val="11"/>
        <color theme="1"/>
        <rFont val="Calibri"/>
        <family val="2"/>
        <scheme val="minor"/>
      </rPr>
      <t xml:space="preserve"> HVLDO output voltage measurement through the div2</t>
    </r>
  </si>
  <si>
    <t>OVUV GLDO1v45</t>
  </si>
  <si>
    <t>OVUV GLDO1v3</t>
  </si>
  <si>
    <t>The SOC BG curves are written in the OTP at the default value in the table above.</t>
  </si>
  <si>
    <t>set_dc_bg&lt;3:0&gt;</t>
  </si>
  <si>
    <t>set_curve_bg&lt;2:0&gt;</t>
  </si>
  <si>
    <t>ATB_SEL[13] selects the current of both analog Iref instances to the atb1 and atb2</t>
  </si>
  <si>
    <t>RFE_TSENSETX12_OFFSET</t>
  </si>
  <si>
    <t>RFE_TSENSETX34_OFFSET</t>
  </si>
  <si>
    <t>RFE_TSENSEXO_OFFSET</t>
  </si>
  <si>
    <t>RFE_TSENSERX_OFFSET</t>
  </si>
  <si>
    <t>ATB IP to trim ahead</t>
  </si>
  <si>
    <t>see equations below</t>
  </si>
  <si>
    <r>
      <t xml:space="preserve">2. Calculate </t>
    </r>
    <r>
      <rPr>
        <b/>
        <sz val="11"/>
        <color rgb="FF000000"/>
        <rFont val="Arial"/>
        <family val="2"/>
      </rPr>
      <t xml:space="preserve">trim_code_under </t>
    </r>
    <r>
      <rPr>
        <sz val="11"/>
        <color rgb="FF000000"/>
        <rFont val="Arial"/>
        <family val="2"/>
      </rPr>
      <t>that ensures sufficient safety margin:</t>
    </r>
  </si>
  <si>
    <t>trim_code_under = round(code_under + shift_under)</t>
  </si>
  <si>
    <r>
      <t xml:space="preserve">3. Store the value of </t>
    </r>
    <r>
      <rPr>
        <b/>
        <sz val="11"/>
        <color rgb="FF000000"/>
        <rFont val="Arial"/>
        <family val="2"/>
      </rPr>
      <t>trim_code_under</t>
    </r>
    <r>
      <rPr>
        <sz val="11"/>
        <color rgb="FF000000"/>
        <rFont val="Arial"/>
        <family val="2"/>
      </rPr>
      <t xml:space="preserve"> in OTP, field </t>
    </r>
    <r>
      <rPr>
        <b/>
        <sz val="11"/>
        <color rgb="FF000000"/>
        <rFont val="Arial"/>
        <family val="2"/>
      </rPr>
      <t>freq_det_cal_under&lt;6:0&gt;</t>
    </r>
  </si>
  <si>
    <r>
      <t xml:space="preserve">6. Store the value of </t>
    </r>
    <r>
      <rPr>
        <b/>
        <sz val="11"/>
        <color rgb="FF000000"/>
        <rFont val="Arial"/>
        <family val="2"/>
      </rPr>
      <t xml:space="preserve">cal_code_over </t>
    </r>
    <r>
      <rPr>
        <sz val="11"/>
        <color rgb="FF000000"/>
        <rFont val="Arial"/>
        <family val="2"/>
      </rPr>
      <t xml:space="preserve">in OTP, field </t>
    </r>
    <r>
      <rPr>
        <b/>
        <sz val="11"/>
        <color rgb="FF000000"/>
        <rFont val="Arial"/>
        <family val="2"/>
      </rPr>
      <t>freq_det_cal_over&lt;6:0&gt;</t>
    </r>
  </si>
  <si>
    <t>Disable the calibration</t>
  </si>
  <si>
    <t>Feed an external clock through the clock input pin</t>
  </si>
  <si>
    <t>At 125°C, the under_error_n should toggles from '1' to '0' between 36.2MHz and 36.8MHz</t>
  </si>
  <si>
    <t>16d</t>
  </si>
  <si>
    <t>10d</t>
  </si>
  <si>
    <t>div2_cal&lt;4:0&gt;</t>
  </si>
  <si>
    <t>set_ldo_vdda&lt;2:0&gt;</t>
  </si>
  <si>
    <t>set_ldo_vrefp&lt;2:0&gt;</t>
  </si>
  <si>
    <t>set_ldo_bias_vdda&lt;4:0&gt;</t>
  </si>
  <si>
    <t>set_ldo_bias_vrefp&lt;4:0&gt;</t>
  </si>
  <si>
    <t>IBIAS_XO</t>
  </si>
  <si>
    <t>TR_LDO_CORE_PT</t>
  </si>
  <si>
    <t>TR_FT</t>
  </si>
  <si>
    <t>TR_LDO_BUF_FT</t>
  </si>
  <si>
    <t>TR_LDO_MCG_FT</t>
  </si>
  <si>
    <t>ctrl_ibias_ldo_xo_mcgen_20ua_flat&lt;4:0&gt;</t>
  </si>
  <si>
    <t>ctrl_ibias_ldo_xo_buf_20ua_flat&lt;4:0&gt;</t>
  </si>
  <si>
    <t>ctrl_ibias_xo_20ua_flat&lt;4:0&gt;</t>
  </si>
  <si>
    <t>TR_LDO_AC_FT</t>
  </si>
  <si>
    <t>IBIAS_ATB</t>
  </si>
  <si>
    <t>IBIAS_ADC</t>
  </si>
  <si>
    <t>TR_LDO_FT</t>
  </si>
  <si>
    <t>IBIAS_TX_1</t>
  </si>
  <si>
    <t>TR_DBLR_FT</t>
  </si>
  <si>
    <t>TR_PR_FT</t>
  </si>
  <si>
    <t>TR_PA_FT</t>
  </si>
  <si>
    <t>IBIAS_TX_2</t>
  </si>
  <si>
    <t>TR_DBLR_PT</t>
  </si>
  <si>
    <t>TR_PR_PT</t>
  </si>
  <si>
    <t>TR_BUF_PT</t>
  </si>
  <si>
    <t>TR_PA_PT</t>
  </si>
  <si>
    <t>IBIAS_TX_3</t>
  </si>
  <si>
    <t>TR_PR1_FT</t>
  </si>
  <si>
    <t>TR_PR2_FT</t>
  </si>
  <si>
    <t>TR_BUF_FT</t>
  </si>
  <si>
    <t>IBIAS_TX_4</t>
  </si>
  <si>
    <t>TR_LDO_0V9_FT</t>
  </si>
  <si>
    <t>TR_LDO_1V1_FT</t>
  </si>
  <si>
    <t>IBIAS_RX_1</t>
  </si>
  <si>
    <t>TR_PT</t>
  </si>
  <si>
    <t>TR_FT_20UA</t>
  </si>
  <si>
    <t>IBIAS_RX_2</t>
  </si>
  <si>
    <t>TR_LDO_LNA_FT</t>
  </si>
  <si>
    <t>TR_LDO_LOI_FT</t>
  </si>
  <si>
    <t>TR_LDO_LPFI_PT</t>
  </si>
  <si>
    <t>TR_LDO_LPFQ_PT</t>
  </si>
  <si>
    <t>TR_LDO_LPFI_FT</t>
  </si>
  <si>
    <t>TR_LDO_LPFQ_FT</t>
  </si>
  <si>
    <t>IBIAS_LOIF_1</t>
  </si>
  <si>
    <t>TR_FUSA_FT</t>
  </si>
  <si>
    <t>IBIAS_LOIF_2</t>
  </si>
  <si>
    <t>TR_LDO_PA_FT</t>
  </si>
  <si>
    <t>TR_LDO_DRV_FT</t>
  </si>
  <si>
    <t>TR_LDO_LOX4_FT</t>
  </si>
  <si>
    <t>IBIAS_TXBIST</t>
  </si>
  <si>
    <t>IBIAS_RXBIST_1</t>
  </si>
  <si>
    <t>TR_LO_PT</t>
  </si>
  <si>
    <t>TR_LO_FT</t>
  </si>
  <si>
    <t>IBIAS_RXBIST_2</t>
  </si>
  <si>
    <t>TR_PSDAC_FT</t>
  </si>
  <si>
    <t>TR_BBB_I_FT</t>
  </si>
  <si>
    <t>TR_BBB_Q_FT</t>
  </si>
  <si>
    <t>IBIAS_RXBIST_3</t>
  </si>
  <si>
    <t>TR_LDO_LO_FT</t>
  </si>
  <si>
    <t>TR_LDO_RF_FT</t>
  </si>
  <si>
    <t>TR_LDO_DIG_FT</t>
  </si>
  <si>
    <t>IBIAS_LLDO</t>
  </si>
  <si>
    <t>TR_LDO_CORE_FT</t>
  </si>
  <si>
    <t>TR_LDO_PDC_FT</t>
  </si>
  <si>
    <t>LOIF</t>
  </si>
  <si>
    <t>XO</t>
  </si>
  <si>
    <t>TXBIST</t>
  </si>
  <si>
    <t>RXBIST</t>
  </si>
  <si>
    <t>LLDO</t>
  </si>
  <si>
    <t>ctrl_ibias_rx_90ua_flat&lt;2:0&gt;</t>
  </si>
  <si>
    <t>ctrl_ibias_rx_20ua_flat&lt;2:0&gt;</t>
  </si>
  <si>
    <t>ctrl_ibias_tx_pa_90ua_ptat&lt;4:0&gt;</t>
  </si>
  <si>
    <t>ctrl_ibias_tx_buf_20ua_flat&lt;4:0&gt;</t>
  </si>
  <si>
    <t>ctrl_ibias_atb_ac_0v9_20ua_flat&lt;4:0&gt;</t>
  </si>
  <si>
    <t>ibias_adc_tr_ldo_ft</t>
  </si>
  <si>
    <t>ibias_tx_1_tr_dblr_ft</t>
  </si>
  <si>
    <t>ibias_tx_1_tr_pr_ft</t>
  </si>
  <si>
    <t>ibias_tx_1_tr_pa_ft</t>
  </si>
  <si>
    <t>ibias_tx_2_tr_dblr_pt</t>
  </si>
  <si>
    <t>ibias_tx_2_tr_pr_pt</t>
  </si>
  <si>
    <t>ibias_tx_2_tr_buf_pt</t>
  </si>
  <si>
    <t>ibias_tx_2_tr_pa_pt</t>
  </si>
  <si>
    <t>ibias_tx_3_tr_pr1_ft</t>
  </si>
  <si>
    <t>ibias_tx_3_tr_pr2_ft</t>
  </si>
  <si>
    <t>ibias_tx_3_tr_buf_ft</t>
  </si>
  <si>
    <t>ibias_tx_3_tr_pa_ft</t>
  </si>
  <si>
    <t>ibias_tx_4_tr_ldo_0v9_ft</t>
  </si>
  <si>
    <t>ibias_tx_4_tr_ldo_1v1_ft</t>
  </si>
  <si>
    <t>ibias_rx_1_tr_pt</t>
  </si>
  <si>
    <t>ibias_rx_1_tr_ft</t>
  </si>
  <si>
    <t>ibias_rx_1_tr_ft_20ua</t>
  </si>
  <si>
    <t>ibias_rx_2_tr_ldo_lna_ft</t>
  </si>
  <si>
    <t>ibias_rx_2_tr_ldo_loi_ft</t>
  </si>
  <si>
    <t>ibias_rx_2_tr_ldo_lpfi_pt</t>
  </si>
  <si>
    <t>ibias_rx_2_tr_ldo_lpfq_pt</t>
  </si>
  <si>
    <t>ibias_rx_2_tr_ldo_lpfi_ft</t>
  </si>
  <si>
    <t>ibias_rx_2_tr_ldo_lpfq_ft</t>
  </si>
  <si>
    <t>ibias_loif_1_tr_pt</t>
  </si>
  <si>
    <t>ibias_loif_1_tr_ft</t>
  </si>
  <si>
    <t>ibias_loif_1_tr_fusa_ft</t>
  </si>
  <si>
    <t>ibias_loif_2_tr_ldo_pa_ft</t>
  </si>
  <si>
    <t>ibias_loif_2_tr_ldo_lna_ft</t>
  </si>
  <si>
    <t>ibias_loif_2_tr_ldo_drv_ft</t>
  </si>
  <si>
    <t>ibias_loif_2_tr_ldo_lox4_ft</t>
  </si>
  <si>
    <t>ibias_xo_tr_ldo_core_pt</t>
  </si>
  <si>
    <t>ibias_xo_tr_ft</t>
  </si>
  <si>
    <t>ibias_xo_tr_ldo_buf_ft</t>
  </si>
  <si>
    <t>ibias_xo_tr_ldo_mcg_ft</t>
  </si>
  <si>
    <t>ibias_atb_tr_ldo_ac_ft</t>
  </si>
  <si>
    <t>ibias_txbist_tr_ft</t>
  </si>
  <si>
    <t>ibias_rxbist_1_tr_lo_pt</t>
  </si>
  <si>
    <t>ibias_rxbist_1_tr_buf_pt</t>
  </si>
  <si>
    <t>ibias_rxbist_1_tr_lo_ft</t>
  </si>
  <si>
    <t>ibias_rxbist_2_tr_buf_ft</t>
  </si>
  <si>
    <t>ibias_rxbist_2_tr_psdac_ft</t>
  </si>
  <si>
    <t>ibias_rxbist_2_tr_bbb_i_ft</t>
  </si>
  <si>
    <t>ibias_rxbist_2_tr_bbb_q_ft</t>
  </si>
  <si>
    <t>ibias_rxbist_3_tr_ldo_lo_ft</t>
  </si>
  <si>
    <t>ibias_rxbist_3_tr_ldo_rf_ft</t>
  </si>
  <si>
    <t>ibias_rxbist_3_tr_ldo_dig_ft</t>
  </si>
  <si>
    <t>ibias_lldo_tr_ldo_core_ft</t>
  </si>
  <si>
    <t>ibias_lldo_tr_ldo_pdc_ft</t>
  </si>
  <si>
    <t>The Gbias BG and V2I have to be trimmed ahead</t>
  </si>
  <si>
    <t>Type of current source</t>
  </si>
  <si>
    <t>slope</t>
  </si>
  <si>
    <t>resolution (bits)</t>
  </si>
  <si>
    <t>Is the trim criteria ?</t>
  </si>
  <si>
    <t>Write the same trim code in the OTP for all the currents of the same type</t>
  </si>
  <si>
    <r>
      <t>After a phase of characterization/optimization, the currents selected as '</t>
    </r>
    <r>
      <rPr>
        <i/>
        <sz val="11"/>
        <rFont val="Calibri"/>
        <family val="2"/>
        <scheme val="minor"/>
      </rPr>
      <t>trim criteria</t>
    </r>
    <r>
      <rPr>
        <sz val="11"/>
        <rFont val="Calibri"/>
        <family val="2"/>
        <scheme val="minor"/>
      </rPr>
      <t>' might change to improve the trim accuracy on the most sensitive nodes.</t>
    </r>
  </si>
  <si>
    <t>Action list</t>
  </si>
  <si>
    <t>Owner</t>
  </si>
  <si>
    <t>Due date</t>
  </si>
  <si>
    <t>Description</t>
  </si>
  <si>
    <t>26/2/2021</t>
  </si>
  <si>
    <t>Michiel</t>
  </si>
  <si>
    <t>Outcome</t>
  </si>
  <si>
    <t>For ATB BG trim : Michiel to propose a WoW to avoid to be sensitive to the buffer offset. A sch update might be needed.</t>
  </si>
  <si>
    <t>Open</t>
  </si>
  <si>
    <t>vbg_filtered bg ouput voltage</t>
  </si>
  <si>
    <t>ATB &amp; GBias : Michiel Hallie</t>
  </si>
  <si>
    <t>25/2/2021</t>
  </si>
  <si>
    <t>Anton</t>
  </si>
  <si>
    <t>To align with Mani to get a default trim state. The description of the system setup will be a delta compared to this default DUT state.</t>
  </si>
  <si>
    <t>The spare and unused bits are left at 0 by default</t>
  </si>
  <si>
    <t>Current distribution width</t>
  </si>
  <si>
    <t>90uA flat with 5 bits</t>
  </si>
  <si>
    <t>30uA ptat with 5 bits.</t>
  </si>
  <si>
    <t>20uA flat with 3 bits</t>
  </si>
  <si>
    <t>20uA flat with 5 bits</t>
  </si>
  <si>
    <t>90uA flat with 3 bits</t>
  </si>
  <si>
    <t>20uA</t>
  </si>
  <si>
    <t>90uA</t>
  </si>
  <si>
    <t>Trim code distribution center</t>
  </si>
  <si>
    <t>Type of current</t>
  </si>
  <si>
    <t>+/-0.5uA</t>
  </si>
  <si>
    <t>+/-0.25uA</t>
  </si>
  <si>
    <t>+/-2uA</t>
  </si>
  <si>
    <t>+/-0.125uA</t>
  </si>
  <si>
    <t>gld_hld_prog_prog_out_hld1v8</t>
  </si>
  <si>
    <t>…, code4 : 896mV, code5 : 906mV, …</t>
  </si>
  <si>
    <t>…, code4 : 896-10=886mV, code5 : 906-10=896mV, …</t>
  </si>
  <si>
    <t>optimum code : 5 for a target at 900mV</t>
  </si>
  <si>
    <t>NTR for the BG other trims.</t>
  </si>
  <si>
    <t>For the GLDO BG trim : the impact of external component (due to the bgt transistor) needs to be assess. Through an analysis of the results and lab correlation, there might be systematic error due to the test setup which shall be corrected with an offset on the ATE. trim.</t>
  </si>
  <si>
    <t>GLDO1v45 sense</t>
  </si>
  <si>
    <t>balls/pillars</t>
  </si>
  <si>
    <t>GLDO1v3 sense</t>
  </si>
  <si>
    <t>On the GLDO sense balls/pillars, increase the applied voltage by the offset voltage measured</t>
  </si>
  <si>
    <t>The ov error_n flag is expected to be 1 at the beginning. While decreasing the ov code, it is expected to down. The trim code where there is the first 0 is the one to write in the OTP.</t>
  </si>
  <si>
    <t>The uv error_n flag is expected to be 1 at the beginning. While increasing the uv code, it is expected to down. The trim code where there is the first 0 is the one to write in the OTP.</t>
  </si>
  <si>
    <t>Check if the trim code is the same for all parts ? If yes, skip the trim</t>
  </si>
  <si>
    <t>Sweep stop (1% below the target)</t>
  </si>
  <si>
    <t>Sweep step (0.1% of resolution)</t>
  </si>
  <si>
    <t>The uv error_n flag is expected to be 1 at the beginning. While decreasing the voltage, it is expected to down. The Vuv is the first voltage where the error_n flag is at 0.</t>
  </si>
  <si>
    <t>The uv threshold is calculated with this equation :</t>
  </si>
  <si>
    <t>Sweep start (1.5% above target + 20mV of worst case offset)</t>
  </si>
  <si>
    <t>Example for the GLDO1v45 : uv_threshold = ( (1.389 - 0.01) / 1.45 - 1 ) * 100 = -4.9%</t>
  </si>
  <si>
    <t>uv_threshold = ( (Vuv - abs(offset)) / Vnominal - 1 ) * 100</t>
  </si>
  <si>
    <t>Sweep up the applied voltages following this table, and measure the ov error_n flag via the TMUX</t>
  </si>
  <si>
    <t>Sweep start (1.5% below target)</t>
  </si>
  <si>
    <t>Sweep stop (1% above the target + 20mV of worst case offset)</t>
  </si>
  <si>
    <t>The ov error_n flag is expected to be 1 at the beginning. While increasing the voltage, it is expected to down. The Vov is the first voltage where the error_n flag is at 0.</t>
  </si>
  <si>
    <t>The ov threshold is calculated with this equation :</t>
  </si>
  <si>
    <t>ov_threshold = ( (Vov - abs(offset)) / Vnominal - 1 ) * 100</t>
  </si>
  <si>
    <t>Example for the GLDO1v45 : ov_threshold = ( (1.53105 - 0.01) / 1.45 - 1 ) * 100 = 4.9%</t>
  </si>
  <si>
    <t>Choose for dly_set_1v8&lt;2:0&gt; the minimum delay (000).</t>
  </si>
  <si>
    <t>Change the HVLDO output voltage register to -3.5%</t>
  </si>
  <si>
    <t>GLD_HLD_PROG</t>
  </si>
  <si>
    <t>PROG_OUT_HLD1V8</t>
  </si>
  <si>
    <t>001</t>
  </si>
  <si>
    <t>HVLDO1v8</t>
  </si>
  <si>
    <t>HVLDO1v8 BG</t>
  </si>
  <si>
    <r>
      <rPr>
        <b/>
        <sz val="11"/>
        <color theme="1"/>
        <rFont val="Calibri"/>
        <family val="2"/>
        <scheme val="minor"/>
      </rPr>
      <t>Figure 1 :</t>
    </r>
    <r>
      <rPr>
        <sz val="11"/>
        <color theme="1"/>
        <rFont val="Calibri"/>
        <family val="2"/>
        <scheme val="minor"/>
      </rPr>
      <t xml:space="preserve"> HVLDO output voltage measurement through the div2</t>
    </r>
  </si>
  <si>
    <t>Change the HVLDO output voltage register to +3.5%</t>
  </si>
  <si>
    <t>+3.5%</t>
  </si>
  <si>
    <t>011</t>
  </si>
  <si>
    <t>Vnom</t>
  </si>
  <si>
    <t>010</t>
  </si>
  <si>
    <t>Put back the HVLDO BG at its trimmed value</t>
  </si>
  <si>
    <t>Put back the HVLDO at its default value</t>
  </si>
  <si>
    <t>-3.5%</t>
  </si>
  <si>
    <t>The uv error_n flag is expected to be 1 at the beginning. While decreasing the BG code, it is expected to down. The BGuv is the first code where the error_n flag is at 0.</t>
  </si>
  <si>
    <t>uv_threshold = ( ( Vuv * 2 / Vnominal - 1 ) * 100</t>
  </si>
  <si>
    <t>The ov error_n flag is expected to be 1 at the beginning. While increasing the voltage, it is expected to down. The BGov is the first code where the error_n flag is at 0.</t>
  </si>
  <si>
    <t>ov_threshold = ( ( Vov * 2 / Vnominal - 1 ) * 100</t>
  </si>
  <si>
    <t>no, value 0x0 by default if not trimmed</t>
  </si>
  <si>
    <t>If these parameters are written in the OTP at the default value proposed in the table about, describe here the side effect.</t>
  </si>
  <si>
    <t>If these parameters are written in the OTP at the default value proposed in the table about, the ov will flag an error for a voltage &gt;&gt;5% above the nominal voltage. The uv will flag an error for a voltage &lt;&lt;-5% below the nominal voltage. The OVUV shouldn't flag fault errors.</t>
  </si>
  <si>
    <t>Side effect of writing default values (for the early samples only)</t>
  </si>
  <si>
    <r>
      <rPr>
        <b/>
        <sz val="11"/>
        <color theme="1"/>
        <rFont val="Calibri"/>
        <family val="2"/>
        <scheme val="minor"/>
      </rPr>
      <t>Figure 1 :</t>
    </r>
    <r>
      <rPr>
        <sz val="11"/>
        <color theme="1"/>
        <rFont val="Calibri"/>
        <family val="2"/>
        <scheme val="minor"/>
      </rPr>
      <t xml:space="preserve"> Simplified GLDO ATB interface with signal flow for the buffer offset measurement (the GBIAS test setup is similar)</t>
    </r>
  </si>
  <si>
    <t>0x2</t>
  </si>
  <si>
    <t>MCGEN : Gerhard Osterloh</t>
  </si>
  <si>
    <t>Freq det : Totyo Belchev</t>
  </si>
  <si>
    <t>ctrl_ibias_ldo_loif_lox4_20ua_flat&lt;2:0&gt;</t>
  </si>
  <si>
    <t>Current distribution center at 125°C</t>
  </si>
  <si>
    <t>The BG trim resolution is 2mV.</t>
  </si>
  <si>
    <t>The GLDO output voltage distribution should be a rectangular distribution centered on the target voltage in the table above, with a width of +/-1.5mV.</t>
  </si>
  <si>
    <t>The GLDO OVUV BG output voltage distribution should be a rectangular distribution centered on the target voltage in the table above, with a width of +/-1mV.</t>
  </si>
  <si>
    <r>
      <rPr>
        <b/>
        <sz val="11"/>
        <color theme="1"/>
        <rFont val="Calibri"/>
        <family val="2"/>
        <scheme val="minor"/>
      </rPr>
      <t>Figure 4 :</t>
    </r>
    <r>
      <rPr>
        <sz val="11"/>
        <color theme="1"/>
        <rFont val="Calibri"/>
        <family val="2"/>
        <scheme val="minor"/>
      </rPr>
      <t xml:space="preserve"> Measurement setup of the voltage drop in the contact impedance on the GLDO sense path.</t>
    </r>
  </si>
  <si>
    <t>Compensate the measured internal sense voltage with the voltage drop in the contact to recover the voltage between the 15ohm loadboard resistor and the contact.</t>
  </si>
  <si>
    <t>…, code4 : 1444mV, code5 : 1455mV, …</t>
  </si>
  <si>
    <t>…, code4 : 1444+10=1454mV, code5 : 1455+10=1465mV, …</t>
  </si>
  <si>
    <t>optimum code : 4 for a target at 1450mV</t>
  </si>
  <si>
    <r>
      <rPr>
        <b/>
        <sz val="11"/>
        <color theme="1"/>
        <rFont val="Calibri"/>
        <family val="2"/>
        <scheme val="minor"/>
      </rPr>
      <t>Figure 5 :</t>
    </r>
    <r>
      <rPr>
        <sz val="11"/>
        <color theme="1"/>
        <rFont val="Calibri"/>
        <family val="2"/>
        <scheme val="minor"/>
      </rPr>
      <t xml:space="preserve"> Measurement setup of the GLDO output voltage</t>
    </r>
  </si>
  <si>
    <t>Measure on the ATB the GLDO output voltage after the diode for all BG setdc codes. See figure 5</t>
  </si>
  <si>
    <t>+ the sense-path contact voltage drop measured previously</t>
  </si>
  <si>
    <t>All PMIC, GLDO and PMIC OVUV trims can be executed simultaneously at the ATE.</t>
  </si>
  <si>
    <r>
      <rPr>
        <b/>
        <sz val="11"/>
        <color theme="1"/>
        <rFont val="Calibri"/>
        <family val="2"/>
        <scheme val="minor"/>
      </rPr>
      <t>Figure 2 :</t>
    </r>
    <r>
      <rPr>
        <sz val="11"/>
        <color theme="1"/>
        <rFont val="Calibri"/>
        <family val="2"/>
        <scheme val="minor"/>
      </rPr>
      <t xml:space="preserve"> Measurement setup of the voltage drop in the contact impedance on the GLDO sense path.</t>
    </r>
  </si>
  <si>
    <t>For the two GLDOs, measure the voltage drop in the parasitic contact impedance on the sense path. See figure 2 : V1 - V2</t>
  </si>
  <si>
    <t>For the two GLDOs, measure the voltage drop in the parasitic contact impedance on the sense path. See figure 2 above : V1 - V2</t>
  </si>
  <si>
    <t>Sweep down the applied voltages following this table, and measure the uv error_n flag via the TMUX. See Figure 1</t>
  </si>
  <si>
    <r>
      <rPr>
        <b/>
        <sz val="11"/>
        <color theme="1"/>
        <rFont val="Calibri"/>
        <family val="2"/>
        <scheme val="minor"/>
      </rPr>
      <t>Figure 1 :</t>
    </r>
    <r>
      <rPr>
        <sz val="11"/>
        <color theme="1"/>
        <rFont val="Calibri"/>
        <family val="2"/>
        <scheme val="minor"/>
      </rPr>
      <t xml:space="preserve"> Setup for force external voltages on the OVUV</t>
    </r>
  </si>
  <si>
    <t>Measure the voltage drop in the parasitic contact impedance on the sense path. See figure 4 : V1 - V2</t>
  </si>
  <si>
    <r>
      <t>For the 7 GBIAS currents noted as a '</t>
    </r>
    <r>
      <rPr>
        <i/>
        <sz val="11"/>
        <color theme="1"/>
        <rFont val="Calibri"/>
        <family val="2"/>
        <scheme val="minor"/>
      </rPr>
      <t>trim criteria</t>
    </r>
    <r>
      <rPr>
        <sz val="11"/>
        <color theme="1"/>
        <rFont val="Calibri"/>
        <family val="2"/>
        <scheme val="minor"/>
      </rPr>
      <t>' in the table above :</t>
    </r>
  </si>
  <si>
    <t>set_vref_out&lt;2:0&gt;</t>
  </si>
  <si>
    <t>freq_sel&lt;17:0&gt;</t>
  </si>
  <si>
    <t>val_a&lt;15:0&gt;</t>
  </si>
  <si>
    <t>val_b&lt;15:0&gt;</t>
  </si>
  <si>
    <t>val_alpha&lt;15:0&gt;</t>
  </si>
  <si>
    <t>val_xoffset&lt;15:0&gt;</t>
  </si>
  <si>
    <t xml:space="preserve">The Hardware based OTP bits have a direct link to the IP control signals.
</t>
  </si>
  <si>
    <t>Mandatory for the functionality for early samples ?</t>
  </si>
  <si>
    <t>By applying a voltage at the targeted trim voltage on one ATB and measuring on the other ATB. See figure1</t>
  </si>
  <si>
    <t>Select the trim code the closest to the targeted current</t>
  </si>
  <si>
    <t>UV targeted threshold voltage</t>
  </si>
  <si>
    <t>OV targeted threshold voltage</t>
  </si>
  <si>
    <t>The HVLDO output voltage distribution after the div2 should be a rectangular distribution centered on the target voltage in the table above, with a width of +/-1mV.</t>
  </si>
  <si>
    <t xml:space="preserve">individual for 4 TX-blocks
Spare bits to keep for future usages
</t>
  </si>
  <si>
    <t>Trim the bandgap to the closest code to the voltage target.</t>
  </si>
  <si>
    <t>Measure the atb_out_bg current for all trim codes</t>
  </si>
  <si>
    <t>the trim code distribution should centered on the code 32.</t>
  </si>
  <si>
    <t>Example : uv_threshold = ( 0.8559 *2 / 1.8 - 1 ) * 100 = -4.9%</t>
  </si>
  <si>
    <t>Example : uv_threshold = ( 0.9441 *2 / 1.8 - 1 ) * 100 = 4.9%</t>
  </si>
  <si>
    <t>Trim the average of the 2 analog Iref currents to the closest code to the target.</t>
  </si>
  <si>
    <t>The uv_threshold is expected to be a rectangular distribution [ -5.23 % ; -4.62 %]</t>
  </si>
  <si>
    <t>The ov_threshold is expected to be a rectangular distribution [4.62 % ; 5.23 %]</t>
  </si>
  <si>
    <t>Measure via the ATB the HVLDO sense voltage ('vout_sens' voltage selected in the HVLDO sub-IP with the tst&lt;0&gt; control signal) using the GLDO div2 for all BG setdc codes (see figure3)</t>
  </si>
  <si>
    <t>Measure via the ATB the HVLDO sense voltage ('vout_sens' voltage selected in the HVLDO sub-IP with the tst&lt;0&gt; control signal) using the GLDO div2 for all HVLDO BG setdc codes (see figure1)</t>
  </si>
  <si>
    <t>Measure Vuv via the ATB the HVLDO sense voltage ('vout_sens' voltage selected in the HVLDO sub-IP with the tst&lt;0&gt; control signal) using the GLDO div2 for the BGuv setdc code (see figure1 above)</t>
  </si>
  <si>
    <t>Measure Vov via the ATB the HVLDO sense voltage ('vout_sens' voltage selected in the HVLDO sub-IP with the tst&lt;0&gt; control signal) using the GLDO div2 for the BGov setdc code (see figure1 above)</t>
  </si>
  <si>
    <t>Monitor ADC output</t>
  </si>
  <si>
    <t>all TX bist instances simultaneously</t>
  </si>
  <si>
    <t>For the rauchfilter code 0, datalog the time domain signal magnitude versus the full scale</t>
  </si>
  <si>
    <t>Benoit</t>
  </si>
  <si>
    <t>To update the fusemap under designsync. The RFE and SOC parts have changed significantly. TX_POW fields to review (3 bit in the RFE variants only)</t>
  </si>
  <si>
    <t>Benoît</t>
  </si>
  <si>
    <t>Matthias</t>
  </si>
  <si>
    <t>Leewe</t>
  </si>
  <si>
    <t>To provide details about the SOC trims</t>
  </si>
  <si>
    <t>24/2/2021</t>
  </si>
  <si>
    <t>Totyo/Gerhard</t>
  </si>
  <si>
    <t>To provide FreqDet trim equation at 3T</t>
  </si>
  <si>
    <t>Leewe/Dobson/Benoît</t>
  </si>
  <si>
    <t>To clarify the PA Vcasc strategy. The trim part is trim. The SPI register part is living</t>
  </si>
  <si>
    <t>20/2/2021</t>
  </si>
  <si>
    <t>To verify if the BBBIST strategy works in simulation if the RX IP BiST path + the SDADC are involved.</t>
  </si>
  <si>
    <t>To double check if a sampling rate at 160MSPS is feasible with the SDADC. If yes, to update the RFE M7 DfT SW spec</t>
  </si>
  <si>
    <r>
      <rPr>
        <u/>
        <sz val="11"/>
        <color theme="1"/>
        <rFont val="Calibri"/>
        <family val="2"/>
        <scheme val="minor"/>
      </rPr>
      <t>Note :</t>
    </r>
    <r>
      <rPr>
        <sz val="11"/>
        <color theme="1"/>
        <rFont val="Calibri"/>
        <family val="2"/>
        <scheme val="minor"/>
      </rPr>
      <t xml:space="preserve"> due to the contact impedance on unsoldered parts, there might be a offset on the GLDO output sense. 
It is due to a current in the sense path of 2mA. 
In an ATE environment with a contact impedance up to 10ohm worst case, it might cause an error up to 20mV ; not negligible.</t>
    </r>
  </si>
  <si>
    <t>To review in detail the ChirpGen &amp; RC trim strategy with the designers</t>
  </si>
  <si>
    <t>Trim flow</t>
  </si>
  <si>
    <t>(format will be 2’s complement and needs to be divided by 64</t>
  </si>
  <si>
    <t>Apply a Reference voltage of 1.25V with +/-1mV accuracy to the TDC</t>
  </si>
  <si>
    <t>Calculate xout_ideal with the formula below</t>
  </si>
  <si>
    <t>Calculate xoffset = xout_real – xout_ideal.</t>
  </si>
  <si>
    <t>Apply xoffset to val_xoffset&lt;15:0&gt;.</t>
  </si>
  <si>
    <t xml:space="preserve">Readout the temperature by temperature_out register </t>
  </si>
  <si>
    <t>TDC_CTL</t>
  </si>
  <si>
    <t>RES_MODE</t>
  </si>
  <si>
    <t>tdc_ctl_res_mode</t>
  </si>
  <si>
    <t>Determine most accurate 1.25 Volt by differential Board ADC measurement (see figure 1)</t>
  </si>
  <si>
    <t>Figure 1 :</t>
  </si>
  <si>
    <t>TDC_CAL0</t>
  </si>
  <si>
    <t>VAL_A</t>
  </si>
  <si>
    <t>VAL_B</t>
  </si>
  <si>
    <t>TDC_CAL1</t>
  </si>
  <si>
    <t>VAL_ALPHA</t>
  </si>
  <si>
    <t>VAL_XOFFSET</t>
  </si>
  <si>
    <t>tdc_cal0_val_a</t>
  </si>
  <si>
    <t>tdc_cal0_val_b</t>
  </si>
  <si>
    <t>tdc_cal1_val_alpha</t>
  </si>
  <si>
    <t>tdc_cal1_val_xoffset</t>
  </si>
  <si>
    <t>Readout adcout from adcout register</t>
  </si>
  <si>
    <t>TDC_OUT1</t>
  </si>
  <si>
    <t>Readout xout_real from xout register</t>
  </si>
  <si>
    <t>tdc_out0_xout</t>
  </si>
  <si>
    <t>TDC_OUT0</t>
  </si>
  <si>
    <t>XOUT</t>
  </si>
  <si>
    <t>TEMPOUT</t>
  </si>
  <si>
    <t>tdc_out0_tempout</t>
  </si>
  <si>
    <t>in the tsenseTX12 instance</t>
  </si>
  <si>
    <t>in the tsenseTX34 instance</t>
  </si>
  <si>
    <t>in the tsenseXO instance</t>
  </si>
  <si>
    <t>in the tsenseRX instance</t>
  </si>
  <si>
    <t>Sha</t>
  </si>
  <si>
    <t>To provide details about the TDC trim</t>
  </si>
  <si>
    <t>284</t>
  </si>
  <si>
    <t>288</t>
  </si>
  <si>
    <t>28C</t>
  </si>
  <si>
    <t>290</t>
  </si>
  <si>
    <t>2A4</t>
  </si>
  <si>
    <t>2B8</t>
  </si>
  <si>
    <t>2BC</t>
  </si>
  <si>
    <t>2C0</t>
  </si>
  <si>
    <t>2C4</t>
  </si>
  <si>
    <t>2C8</t>
  </si>
  <si>
    <t>2D8</t>
  </si>
  <si>
    <t>2DC</t>
  </si>
  <si>
    <t>2E0</t>
  </si>
  <si>
    <t>2E4</t>
  </si>
  <si>
    <t>2E8</t>
  </si>
  <si>
    <t>2EC</t>
  </si>
  <si>
    <t>2F0</t>
  </si>
  <si>
    <t>2F4</t>
  </si>
  <si>
    <t>2F8</t>
  </si>
  <si>
    <t>2FC</t>
  </si>
  <si>
    <t>310</t>
  </si>
  <si>
    <t>314</t>
  </si>
  <si>
    <t>318</t>
  </si>
  <si>
    <t>31C</t>
  </si>
  <si>
    <t>320</t>
  </si>
  <si>
    <t>338</t>
  </si>
  <si>
    <t>2B0</t>
  </si>
  <si>
    <t>2B4</t>
  </si>
  <si>
    <t>33C</t>
  </si>
  <si>
    <t>340</t>
  </si>
  <si>
    <t>344</t>
  </si>
  <si>
    <t>348</t>
  </si>
  <si>
    <t>34C</t>
  </si>
  <si>
    <t>350</t>
  </si>
  <si>
    <t>This column is each sub-trim procedure indicates if it is mandatory to search for the optimum trim value for the early sample delivery. The assumption is that the trim algorithm won't be fully debugged in the time frame of the first delivery. The trims which don't affect the system functionality are marked as not mandatory. A default trim value is proposed. The potential side effects of not-optimized values is indicated.
In the 'TRIM VALID' fuses, there is a specific coding to identify how was the trim maturity for already delivered parts.</t>
  </si>
  <si>
    <t>To provide the OTPrefTable template &amp; recipe</t>
  </si>
  <si>
    <t>To feed the OTPrefTable</t>
  </si>
  <si>
    <t>Bernd Brunkhorst</t>
  </si>
  <si>
    <t>Set val_xoffset&lt;15:0&gt; to h0000.</t>
  </si>
  <si>
    <t>See equations below</t>
  </si>
  <si>
    <t>OPR_MODE</t>
  </si>
  <si>
    <t>Set operation_mode to b001 ( = voltage calibration function).</t>
  </si>
  <si>
    <t>tdc_ctl_opr_mode</t>
  </si>
  <si>
    <t>Set operation_mode to b000 ( = Normal temperature conversion function).</t>
  </si>
  <si>
    <t>Calculate Tdie :</t>
  </si>
  <si>
    <t>After trimming the temp measurement accuracy should be better than +/- 1°C</t>
  </si>
  <si>
    <t>Force the voltage through ATB1, and measure it back through ATB2. In the TDC IP :
1)	d_enbl_atb1, this must be set to ‘1’
2)	d_enbl_atb2, this must be set to ‘1’
3)	d_sel_atb1, this must be set to ‘16’h10’
4)	d_sel_atb2, this must be set to ‘8’h1’</t>
  </si>
  <si>
    <t>4/3 : details received. Procedure updated</t>
  </si>
  <si>
    <t>Set resolution_mode&lt;1:0&gt; to b11.</t>
  </si>
  <si>
    <t>OTP location</t>
  </si>
  <si>
    <t>Address</t>
  </si>
  <si>
    <t>bit start</t>
  </si>
  <si>
    <t>bit stop</t>
  </si>
  <si>
    <t>2A8</t>
  </si>
  <si>
    <t>2AC</t>
  </si>
  <si>
    <t xml:space="preserve"> RFE OTP Version</t>
  </si>
  <si>
    <t>VERSION</t>
  </si>
  <si>
    <t>CONT_MONO</t>
  </si>
  <si>
    <t>START</t>
  </si>
  <si>
    <t>tdc_ctl_start</t>
  </si>
  <si>
    <t>tdc_ctl_cont_mono</t>
  </si>
  <si>
    <t>Execute a temperature conversion :</t>
  </si>
  <si>
    <t>The val_a, val_b, val_alpha values have to be optimized at lab to get the +/-1°C accuracy over the full temperature range.</t>
  </si>
  <si>
    <t>Data acquisition duration</t>
  </si>
  <si>
    <t>initial version still at draft level</t>
  </si>
  <si>
    <t>draft</t>
  </si>
  <si>
    <r>
      <t>To check if the '</t>
    </r>
    <r>
      <rPr>
        <i/>
        <sz val="11"/>
        <color theme="1"/>
        <rFont val="Calibri"/>
        <family val="2"/>
        <scheme val="minor"/>
      </rPr>
      <t>Mandatory for the functionality for early sample</t>
    </r>
    <r>
      <rPr>
        <sz val="11"/>
        <color theme="1"/>
        <rFont val="Calibri"/>
        <family val="2"/>
        <scheme val="minor"/>
      </rPr>
      <t>s' default trim values are aligned with the OCII maps contents</t>
    </r>
  </si>
  <si>
    <r>
      <rPr>
        <sz val="11"/>
        <color theme="1"/>
        <rFont val="Calibri"/>
        <family val="2"/>
        <scheme val="minor"/>
      </rPr>
      <t>The value is in the '</t>
    </r>
    <r>
      <rPr>
        <i/>
        <sz val="11"/>
        <color theme="1"/>
        <rFont val="Calibri"/>
        <family val="2"/>
        <scheme val="minor"/>
      </rPr>
      <t>Revision history</t>
    </r>
    <r>
      <rPr>
        <sz val="11"/>
        <color theme="1"/>
        <rFont val="Calibri"/>
        <family val="2"/>
        <scheme val="minor"/>
      </rPr>
      <t>' sheet</t>
    </r>
  </si>
  <si>
    <t>shift_under = a_under * code_under + b_under</t>
  </si>
  <si>
    <t>shift_over = a_over * code_over + b_over</t>
  </si>
  <si>
    <t>15/3:action cancelled, this wokbook is part of the test program development, not part of the trim strategy</t>
  </si>
  <si>
    <t>Closed</t>
  </si>
  <si>
    <t>no, value 50 by default if not trimmed</t>
  </si>
  <si>
    <r>
      <t xml:space="preserve">If these parameters are written in the OTP at the default value proposed in the table about, the MCGEN frequency detector shouldn't flag errors for the typical process.
</t>
    </r>
    <r>
      <rPr>
        <b/>
        <sz val="11"/>
        <color rgb="FFFF0000"/>
        <rFont val="Calibri"/>
        <family val="2"/>
        <scheme val="minor"/>
      </rPr>
      <t>For slow/fast process the under_error_n flag will trig an error. The error flag has to be ignored by the SW if the trim is not done</t>
    </r>
  </si>
  <si>
    <t>LV_OFFS&lt;5:0&gt;</t>
  </si>
  <si>
    <t>LV_GAIN&lt;9:0&gt;</t>
  </si>
  <si>
    <t>HV_OFFS&lt;5:0&gt;</t>
  </si>
  <si>
    <t>HV_GAIN&lt;9:0&gt;</t>
  </si>
  <si>
    <t>At 125°C, the over_error_n should toggles from '1' to '0' between 40.67MHz and 44.53MHz</t>
  </si>
  <si>
    <t>9/3 : coefficients received at -40, 65 and 125°C. 65°C to be updated to 25°C.
17/3:data received, trim strategy updated</t>
  </si>
  <si>
    <t>RFE/SOC</t>
  </si>
  <si>
    <t>link</t>
  </si>
  <si>
    <t>Designers</t>
  </si>
  <si>
    <t>Steffen Rode</t>
  </si>
  <si>
    <t>ATP / Aurora PLL / GPADPLL</t>
  </si>
  <si>
    <t>GPADPLL LDO</t>
  </si>
  <si>
    <t xml:space="preserve"> ATB_SEL[13]=2  selects the current of both analog Iref instances to the ATB[1] and ATB[3]</t>
  </si>
  <si>
    <t>Connect the Irefs  to the ATB :</t>
  </si>
  <si>
    <t xml:space="preserve"> Activate GPADPLL ATB</t>
  </si>
  <si>
    <t>Activate GPADPLL ATB</t>
  </si>
  <si>
    <t xml:space="preserve"> Enable biasing of GPADPLL</t>
  </si>
  <si>
    <t>18/3/2021</t>
  </si>
  <si>
    <t>Mani/Gerhard</t>
  </si>
  <si>
    <t>Ronald van der Werf</t>
  </si>
  <si>
    <t>MHz</t>
  </si>
  <si>
    <t>Expose clk_out via TMUX (external pads)</t>
  </si>
  <si>
    <t>Divide by 4 -&gt; nominal 48 MHz @ 192 Mhz internal</t>
  </si>
  <si>
    <t>Store setting that brings us closest to 48 MHz.</t>
  </si>
  <si>
    <t xml:space="preserve">For production TE can decide on whether to use binary search, a gradient descent-like approach (Newton search?). </t>
  </si>
  <si>
    <t>Maybe it is found that the trim is always in the range of e.g. +/- 20 bits so that the search window can be optimized.</t>
  </si>
  <si>
    <t>5 bits linked to the trim temp compensation might be tweaked or trimmed at another temperature. 3T characterization is needed to assess.</t>
  </si>
  <si>
    <t>v3</t>
  </si>
  <si>
    <t>To propose a 10bit ADC offset and gain correction trim procedure</t>
  </si>
  <si>
    <t>hvldo_bg_set_dc &lt;3:0&gt;</t>
  </si>
  <si>
    <t>pgm_vout&lt;6:0&gt;</t>
  </si>
  <si>
    <t>ChirpGen : Salvatore Drago</t>
  </si>
  <si>
    <r>
      <rPr>
        <u/>
        <sz val="11"/>
        <color theme="1"/>
        <rFont val="Calibri"/>
        <family val="2"/>
        <scheme val="minor"/>
      </rPr>
      <t>Note :</t>
    </r>
    <r>
      <rPr>
        <sz val="11"/>
        <color theme="1"/>
        <rFont val="Calibri"/>
        <family val="2"/>
        <scheme val="minor"/>
      </rPr>
      <t xml:space="preserve"> due to the contact impedance on unsoldered parts, there might be a offset on the GLDO output voltage. 
It is due to a current in the sense path of 2mA. 
In an ATE environment with a contact impedance up to 10ohm worst case, it might cause an error up to 20mV ; not negligible.</t>
    </r>
  </si>
  <si>
    <t>ChirpGen</t>
  </si>
  <si>
    <t>ana_bias_ctl_res_v2i</t>
  </si>
  <si>
    <t>RES_V2I</t>
  </si>
  <si>
    <t>Andreas Drejfert</t>
  </si>
  <si>
    <t>ChirpGen BG has to be trimmed ahead</t>
  </si>
  <si>
    <t>The trim code distribution should centered on the code 32.</t>
  </si>
  <si>
    <t>LDO_PDIV</t>
  </si>
  <si>
    <t>PGM_VOUT</t>
  </si>
  <si>
    <t>ldo_pdiv_pgm_vout</t>
  </si>
  <si>
    <t>Salvatore Drago</t>
  </si>
  <si>
    <t>ana_lpf_vtune_ctl_vtune_high</t>
  </si>
  <si>
    <t>ana_lpf_vtune_ctl_vtune_low</t>
  </si>
  <si>
    <t>VTUNE_HIGH</t>
  </si>
  <si>
    <t>VTUNE_LOW</t>
  </si>
  <si>
    <t>ANA_LPF_VTUNE_CTL</t>
  </si>
  <si>
    <t>vtune_vco_high&lt;5:0&gt;</t>
  </si>
  <si>
    <t>vtune_vco_low&lt;5:0&gt;</t>
  </si>
  <si>
    <t>For the vtune vco low/high DACs</t>
  </si>
  <si>
    <t>Measure the DAC output voltages (vrefl and vrefh respectively) for all trim values</t>
  </si>
  <si>
    <t>Vtune Detector</t>
  </si>
  <si>
    <t>Select the trim code to get the voltage the closest to the targets</t>
  </si>
  <si>
    <t>Amplitude Detector</t>
  </si>
  <si>
    <t>To provide the BG &amp; OVUV trim targets (need simulations)</t>
  </si>
  <si>
    <t>LLDO PDC</t>
  </si>
  <si>
    <t>GPADC : Dobson Simanjuntak</t>
  </si>
  <si>
    <t>To trim as a first step</t>
  </si>
  <si>
    <t>SOC GPADC and the SOC ATB to trim ahead (to use this measurement resource)</t>
  </si>
  <si>
    <t>Not used</t>
  </si>
  <si>
    <t>LVDS</t>
  </si>
  <si>
    <t>adc1_ctl_0_set_ldo_bias_vdda</t>
  </si>
  <si>
    <t>adc1_ctl_0_set_ldo_bias_vrefp</t>
  </si>
  <si>
    <t>adc1_ctl_0_set_ldo_vrefp</t>
  </si>
  <si>
    <t>adc1_ctl_0_set_ldo_vdda</t>
  </si>
  <si>
    <t>adc1_ctl_1_div2_cal</t>
  </si>
  <si>
    <t>2d</t>
  </si>
  <si>
    <t>adc1_ctl_1_set_vref_out_buf</t>
  </si>
  <si>
    <t>adc1_ctl_1_set_dc_bg</t>
  </si>
  <si>
    <t>adc1_ctl_1_set_curve_bg</t>
  </si>
  <si>
    <t>For the GPADC BG trim</t>
  </si>
  <si>
    <t>Measure via the ATB the 'vref_out_buf' bandgap voltage (via the buffer) for all set_dc_bg&lt;3:0&gt; codes. See figure 2</t>
  </si>
  <si>
    <r>
      <t>Set </t>
    </r>
    <r>
      <rPr>
        <i/>
        <sz val="11"/>
        <rFont val="Segoe UI"/>
        <family val="2"/>
      </rPr>
      <t>set_vref_out_buf&lt;2:0&gt; </t>
    </r>
    <r>
      <rPr>
        <sz val="11"/>
        <rFont val="Segoe UI"/>
        <family val="2"/>
      </rPr>
      <t>= 010b (</t>
    </r>
    <r>
      <rPr>
        <i/>
        <sz val="11"/>
        <rFont val="Segoe UI"/>
        <family val="2"/>
      </rPr>
      <t>vref_out_buf</t>
    </r>
    <r>
      <rPr>
        <sz val="11"/>
        <rFont val="Segoe UI"/>
        <family val="2"/>
      </rPr>
      <t> monitors 0.8V bandgap output)</t>
    </r>
  </si>
  <si>
    <t>For the GLDO/OVUV BG, for the GBIAS BG, for the SOC OVUV BG</t>
  </si>
  <si>
    <r>
      <rPr>
        <b/>
        <sz val="11"/>
        <color theme="1"/>
        <rFont val="Calibri"/>
        <family val="2"/>
        <scheme val="minor"/>
      </rPr>
      <t>Figure 2 :</t>
    </r>
    <r>
      <rPr>
        <sz val="11"/>
        <color theme="1"/>
        <rFont val="Calibri"/>
        <family val="2"/>
        <scheme val="minor"/>
      </rPr>
      <t xml:space="preserve"> BG output measurement (the GBIAS test setup is similar)</t>
    </r>
  </si>
  <si>
    <t>freq_sel</t>
  </si>
  <si>
    <t>bg_hld_ctl_setdc_bg_ovuv</t>
  </si>
  <si>
    <t>bg_hld_ctl_setcur_bg_ovuv</t>
  </si>
  <si>
    <t>bg_hld_ctl_setdc_bg_hld1v8</t>
  </si>
  <si>
    <t>bg_hld_ctl_setcur_bg_hld1v8</t>
  </si>
  <si>
    <t>por_wdog_timeout_fuse&lt;1:0&gt;</t>
  </si>
  <si>
    <t>RFE OCII</t>
  </si>
  <si>
    <t>SOC OCII</t>
  </si>
  <si>
    <t>bg_hld_ctl_prog_out_hld1v8</t>
  </si>
  <si>
    <t>por_wdog_disable_fuse</t>
  </si>
  <si>
    <t>ovuv_pmic0v9_trim_ov_pmc0v9</t>
  </si>
  <si>
    <t>ovuv_pmic0v9_trim_uv_pmc0v9</t>
  </si>
  <si>
    <t>bg_hld_ctl_setdc_bg_buf</t>
  </si>
  <si>
    <t>The SOC OVUV BG buffer bits have to let at 0. They are not used anymore in the IP.</t>
  </si>
  <si>
    <t>Registers to write at the default value from the table above</t>
  </si>
  <si>
    <t>Registers at the default value from the table above for all parts</t>
  </si>
  <si>
    <t>GLDO BG GLDO1v45</t>
  </si>
  <si>
    <t>GLDO OVUV GLDO 1v45</t>
  </si>
  <si>
    <t>GLDO OVUV GLDO1v3</t>
  </si>
  <si>
    <t>GLDO BG HVLDO1v8 FuSa</t>
  </si>
  <si>
    <t>GLDO OVUV HVLDO1v8 FuSa</t>
  </si>
  <si>
    <t>GLDO BG OVUV</t>
  </si>
  <si>
    <t>ATB BG</t>
  </si>
  <si>
    <t>ATB Rcal</t>
  </si>
  <si>
    <t>ATB ADC OffGain corr</t>
  </si>
  <si>
    <t>GBIAS 20uFl3b</t>
  </si>
  <si>
    <t>GBIAS 20uFl5b</t>
  </si>
  <si>
    <t>GBIAS 90uFl3b</t>
  </si>
  <si>
    <t>GBIAS 90uFl5b</t>
  </si>
  <si>
    <t>GBIAS 30uPt5b</t>
  </si>
  <si>
    <t>GBIAS BG</t>
  </si>
  <si>
    <t>GBIAS V2I</t>
  </si>
  <si>
    <t>TS TX12</t>
  </si>
  <si>
    <t>TS TX34</t>
  </si>
  <si>
    <t>TS XO</t>
  </si>
  <si>
    <t>TS RX</t>
  </si>
  <si>
    <t>TX ADC OffGaincorr</t>
  </si>
  <si>
    <t>TX ADC HW ctrl</t>
  </si>
  <si>
    <t>ATB ADC HW ctrl</t>
  </si>
  <si>
    <t>BBBIST Ccal</t>
  </si>
  <si>
    <t>MCGEN Freq Det</t>
  </si>
  <si>
    <t>MCGEN Iref</t>
  </si>
  <si>
    <t>RFE OTP Version</t>
  </si>
  <si>
    <t>GPADC HW ctrl</t>
  </si>
  <si>
    <t>GPADC BG</t>
  </si>
  <si>
    <t>GPADC OffGain corr</t>
  </si>
  <si>
    <t>ANA_VCO_CTL3</t>
  </si>
  <si>
    <t>LEVEL_VCO_HIGH</t>
  </si>
  <si>
    <t>LEVEL_VCO_LOW</t>
  </si>
  <si>
    <t>LEVEL_VCO_MAX</t>
  </si>
  <si>
    <t>LEVEL_VCO_MIN</t>
  </si>
  <si>
    <t>ana_vco_ctl3_level_vco_high</t>
  </si>
  <si>
    <t>ana_vco_ctl3_level_vco_low</t>
  </si>
  <si>
    <t>ana_vco_ctl3_level_vco_max</t>
  </si>
  <si>
    <t>ana_vco_ctl3_level_vco_min</t>
  </si>
  <si>
    <t>Level detector</t>
  </si>
  <si>
    <t>Vtune detector</t>
  </si>
  <si>
    <t>Not used for the one chip. Usefull for Shark</t>
  </si>
  <si>
    <t>LVDS&lt;3:0&gt;</t>
  </si>
  <si>
    <t>The LVDS is not used for the OneChip.</t>
  </si>
  <si>
    <t>This is a provision for the Shark</t>
  </si>
  <si>
    <t>Draft of procedure for Shark :</t>
  </si>
  <si>
    <t>1. Have a starting guess of VOD(diff voltage) and VOS(common mode)</t>
  </si>
  <si>
    <t>2. Measurement: apply VOS+VOD/2 and IOP and VOS-VOD/2 at IOM, and measure the pad currents (IIOP and -IIOM)</t>
  </si>
  <si>
    <t>3. New value of VOD = average of (IIOP and IIOM) * 100 ohm</t>
  </si>
  <si>
    <t>4. Adjust VOS up or down with the end goal of getting IIOP equal to IIOM. Go back to step 2 and repeat</t>
  </si>
  <si>
    <t>Disable the ADC div2</t>
  </si>
  <si>
    <t xml:space="preserve">For at least 16 voltages distributed between 80mV and 680mV </t>
  </si>
  <si>
    <t>Apply the voltage at the ADC input via the ATB</t>
  </si>
  <si>
    <t>Calculate the Gain correction :</t>
  </si>
  <si>
    <t>Calculate a linear regression on this data with the best fit criteria</t>
  </si>
  <si>
    <t>code_raw = Voltage * Gain + Offset</t>
  </si>
  <si>
    <r>
      <rPr>
        <b/>
        <sz val="11"/>
        <color theme="1"/>
        <rFont val="Calibri"/>
        <family val="2"/>
        <scheme val="minor"/>
      </rPr>
      <t>Figure :</t>
    </r>
    <r>
      <rPr>
        <sz val="11"/>
        <color theme="1"/>
        <rFont val="Calibri"/>
        <family val="2"/>
        <scheme val="minor"/>
      </rPr>
      <t xml:space="preserve"> SOC code correction</t>
    </r>
  </si>
  <si>
    <t>Apply the corrections :</t>
  </si>
  <si>
    <t>Enable the ADC div2</t>
  </si>
  <si>
    <t xml:space="preserve">For at least 16 voltages distributed between 160mV and 1360mV </t>
  </si>
  <si>
    <t>tx1_adcdig_offsetcorr&lt;5:0&gt;</t>
  </si>
  <si>
    <t>tx2_adcdig_offsetcorr&lt;5:0&gt;</t>
  </si>
  <si>
    <t>tx4_adcdig_offsetcorr&lt;5:0&gt;</t>
  </si>
  <si>
    <t>tx3_adcdig_offsetcorr&lt;5:0&gt;</t>
  </si>
  <si>
    <t>atb1_adcdig_offsetcorr&lt;4:0&gt;</t>
  </si>
  <si>
    <t>atb1_adcdig_gaincorr&lt;7:0&gt;</t>
  </si>
  <si>
    <t>atb1_adcdig_gaincorr_div2&lt;7:0&gt;</t>
  </si>
  <si>
    <t>atb2_adcdig_gaincorr&lt;7:0&gt;</t>
  </si>
  <si>
    <t>atb2_adcdig_gaincorr_div2&lt;7:0&gt;</t>
  </si>
  <si>
    <t>atb1_adcdig_offsetcorr_div2&lt;4:0&gt;</t>
  </si>
  <si>
    <t>atb2_adcdig_offsetcorr&lt;4:0&gt;</t>
  </si>
  <si>
    <t>atb2_adcdig_offsetcorr_div2&lt;4:0&gt;</t>
  </si>
  <si>
    <t>tx1_adcdig_gaincorr&lt;9:0&gt;</t>
  </si>
  <si>
    <t>tx2_adcdig_gaincorr&lt;9:0&gt;</t>
  </si>
  <si>
    <t>tx3_adcdig_gaincorr&lt;9:0&gt;</t>
  </si>
  <si>
    <t>tx4_adcdig_gaincorr&lt;9:0&gt;</t>
  </si>
  <si>
    <r>
      <rPr>
        <u/>
        <sz val="11"/>
        <color theme="1"/>
        <rFont val="Calibri"/>
        <family val="2"/>
        <scheme val="minor"/>
      </rPr>
      <t>Note:</t>
    </r>
    <r>
      <rPr>
        <sz val="11"/>
        <color theme="1"/>
        <rFont val="Calibri"/>
        <family val="2"/>
        <scheme val="minor"/>
      </rPr>
      <t xml:space="preserve"> the RFE ATB ADC has two bits less on the gain correction</t>
    </r>
  </si>
  <si>
    <r>
      <rPr>
        <u/>
        <sz val="11"/>
        <color theme="1"/>
        <rFont val="Calibri"/>
        <family val="2"/>
        <scheme val="minor"/>
      </rPr>
      <t>Note:</t>
    </r>
    <r>
      <rPr>
        <sz val="11"/>
        <color theme="1"/>
        <rFont val="Calibri"/>
        <family val="2"/>
        <scheme val="minor"/>
      </rPr>
      <t xml:space="preserve"> the RFE ATB ADC has one bit less on the offset correction</t>
    </r>
  </si>
  <si>
    <t>The gain corrections are HV_GAIN&lt;9:0&gt;, atbx_adcdig_gaincorr_div2&lt;7:0&gt; and txx_adcdig_gaincorr_div2&lt;9:0&gt;</t>
  </si>
  <si>
    <t>The gain corrections are LV_GAIN&lt;9:0&gt;, atbx_adcdig_gaincorr&lt;7:0&gt; and txx_adcdig_gaincorr&lt;9:0&gt;</t>
  </si>
  <si>
    <t>PDC LLDO</t>
  </si>
  <si>
    <t>PDC : Joerg Wenzel</t>
  </si>
  <si>
    <t>Measure the LLDO output voltage dedicated to the PDC34  for the trimmed code</t>
  </si>
  <si>
    <t>vref_trim&lt;4:0&gt;</t>
  </si>
  <si>
    <t>PMC WDOG</t>
  </si>
  <si>
    <t>HVLDO BG</t>
  </si>
  <si>
    <t>V2I</t>
  </si>
  <si>
    <t>MMD LDO</t>
  </si>
  <si>
    <t>SOC OVUV PMIC0v9</t>
  </si>
  <si>
    <t>SOC OVUV HVLDO1v8</t>
  </si>
  <si>
    <t>SOC BG OVUV</t>
  </si>
  <si>
    <t>SOC BG HVLDO1v8</t>
  </si>
  <si>
    <t>SOC TMU</t>
  </si>
  <si>
    <t>ChirpGen HVLDO BG</t>
  </si>
  <si>
    <t>ChirpGen V2I</t>
  </si>
  <si>
    <t>ChirpGen MMD LDO</t>
  </si>
  <si>
    <t>ChirpGen LevelDet</t>
  </si>
  <si>
    <t>ChirpGen VtuneDet</t>
  </si>
  <si>
    <t>26/3 : Alignment meeting done</t>
  </si>
  <si>
    <r>
      <rPr>
        <u/>
        <sz val="11"/>
        <color theme="1"/>
        <rFont val="Calibri"/>
        <family val="2"/>
        <scheme val="minor"/>
      </rPr>
      <t>Note:</t>
    </r>
    <r>
      <rPr>
        <sz val="11"/>
        <color theme="1"/>
        <rFont val="Calibri"/>
        <family val="2"/>
        <scheme val="minor"/>
      </rPr>
      <t xml:space="preserve"> A subtract of the INL/DNL measurement from the structural test can be reused.</t>
    </r>
  </si>
  <si>
    <t>24C</t>
  </si>
  <si>
    <t>3/3 : fuse map with the RFE modification sent to Marc Klassen &amp; Bernd.
5/3 : new version sent to Marc without changing the Lock Bit
Few updates will be needed : 
•	description needed of fuses 270, 274, 278 in fuse description tab (Action Benoit)
•	description needed of aurora_pll 258 (Action Benoit)
16/3 : SOC GPADCMisc not used anymore (address 26C) Fusemap to update
30/3 : update done, sent to Marc</t>
  </si>
  <si>
    <t>closed</t>
  </si>
  <si>
    <t>v4</t>
  </si>
  <si>
    <t>30/3/2021</t>
  </si>
  <si>
    <t>Artifact artf827882 : Gbias: Change of a current ibias_rx_2_90ua_flat for the Rx</t>
  </si>
  <si>
    <t>For the GLDO/OVUV BG and the SOC OVUV BG, the voltage to measure is  'vref_0v9_ovuv'</t>
  </si>
  <si>
    <t>For the GBIAS BG, the voltage to measure is 'vbg_filtered'</t>
  </si>
  <si>
    <t>Measure via the ATB the bandgap output voltage (via the buffer) for all BG setdc codes. See figure 2</t>
  </si>
  <si>
    <t>31/3/2021</t>
  </si>
  <si>
    <t>Leewe/Peter Blinzer</t>
  </si>
  <si>
    <t>4/3 :  Joerg Wenzel : it is possible using the 1bit-sample. 
RFE M7 SW capability to check with Kai =&gt; yes it is possible</t>
  </si>
  <si>
    <t>Bernd/Salvo</t>
  </si>
  <si>
    <t>31/3:trim procedure reviewed</t>
  </si>
  <si>
    <t>Birama/Achal</t>
  </si>
  <si>
    <t>artf829295 : Need to add the GLDO control bits in the TX profile
Impact on the GLDO1v3 to assess</t>
  </si>
  <si>
    <r>
      <rPr>
        <b/>
        <sz val="11"/>
        <color theme="1"/>
        <rFont val="Calibri"/>
        <family val="2"/>
        <scheme val="minor"/>
      </rPr>
      <t>Note :</t>
    </r>
    <r>
      <rPr>
        <sz val="11"/>
        <color theme="1"/>
        <rFont val="Calibri"/>
        <family val="2"/>
        <scheme val="minor"/>
      </rPr>
      <t xml:space="preserve"> the temp noted as plan of record is the one at which will be performed the trim in production.</t>
    </r>
  </si>
  <si>
    <t>To calculate the trim targets, the assumption is that the OVUV trim is done at the same temperature than the BG trim.</t>
  </si>
  <si>
    <t>To calculate the trim targets, the assumption is that the OVUV trim is done at the same temperature than the BG trim. It takes into the BG curve versus Temp.</t>
  </si>
  <si>
    <t>The ov_threshold is expected to be a rectangular distribution [4.85 % ; 5 %] for an initial target at 5%</t>
  </si>
  <si>
    <t>The uv_threshold is expected to be a rectangular distribution [-5 % ; -4.85%] for an initial target at -5%</t>
  </si>
  <si>
    <t>25/3 : BG targets received. Meeting schedule the 1/4 for the OVUV
1/4 : OVUV targets reviewed with Matthias, it takes into account the BG curve</t>
  </si>
  <si>
    <t>Trim complexity</t>
  </si>
  <si>
    <t>More advanced</t>
  </si>
  <si>
    <t>R, I or V best value</t>
  </si>
  <si>
    <t>1/4:obsolete, the vcasc isn't part of the trim anymore</t>
  </si>
  <si>
    <t>tkt dependent</t>
  </si>
  <si>
    <t>flat</t>
  </si>
  <si>
    <t>30/4/2021</t>
  </si>
  <si>
    <t>17/4/2021</t>
  </si>
  <si>
    <t>v5</t>
  </si>
  <si>
    <t>1/4:BG output voltage to use as trim criteria, and judge later if there is an error on the ADC vref. Trim criteria might change if needed</t>
  </si>
  <si>
    <t>For the ATB BG</t>
  </si>
  <si>
    <t>Measure via the ATB the 'vref_0v7' bandgap output voltage (via the buffer) for all BG setdc codes. See figure 2</t>
  </si>
  <si>
    <r>
      <rPr>
        <u/>
        <sz val="11"/>
        <color theme="1"/>
        <rFont val="Calibri"/>
        <family val="2"/>
        <scheme val="minor"/>
      </rPr>
      <t>Note:</t>
    </r>
    <r>
      <rPr>
        <sz val="11"/>
        <color theme="1"/>
        <rFont val="Calibri"/>
        <family val="2"/>
        <scheme val="minor"/>
      </rPr>
      <t xml:space="preserve"> for the ATB BG, the buffer offset isn't compensated</t>
    </r>
  </si>
  <si>
    <t>For the ATB BG, it is needed to judge with the distributions if the BG buffer offset (not compensated in the trim procedure) has an impact on the ADC reference voltages (vrefp &amp; vdda). And if it is compensated by the offset and gain correction.</t>
  </si>
  <si>
    <t>2/4:no impact on the trim procedure</t>
  </si>
  <si>
    <t>Benoit/Michiel</t>
  </si>
  <si>
    <t>Benoit/Birama/…</t>
  </si>
  <si>
    <t>Trim Flow</t>
  </si>
  <si>
    <t>#</t>
  </si>
  <si>
    <t>Item</t>
  </si>
  <si>
    <t>Trim state</t>
  </si>
  <si>
    <t>The 'Trim state' sheet describes the default configuration of the IPs during the trim. This configuration is common for all trims.</t>
  </si>
  <si>
    <t>The trims have to be performed at the first test insertion : WT 125°C.</t>
  </si>
  <si>
    <t>The variants have to be written in the OTP at the last test insertion.</t>
  </si>
  <si>
    <t>General information &amp; Definitions</t>
  </si>
  <si>
    <t>Trim flow item / 
Trim valid item</t>
  </si>
  <si>
    <t>ATB 10b-ADC is ready to be used</t>
  </si>
  <si>
    <t>RFE/SOC FuseMap</t>
  </si>
  <si>
    <t>The system setup information described in the trim sub-procedures is a delta compared to this default 'trim state'.</t>
  </si>
  <si>
    <r>
      <t>The RFE fuse mapping might change over the time through the IP optimizations. The field '</t>
    </r>
    <r>
      <rPr>
        <i/>
        <sz val="11"/>
        <color theme="1"/>
        <rFont val="Calibri"/>
        <family val="2"/>
        <scheme val="minor"/>
      </rPr>
      <t>RFE OTP version</t>
    </r>
    <r>
      <rPr>
        <sz val="11"/>
        <color theme="1"/>
        <rFont val="Calibri"/>
        <family val="2"/>
        <scheme val="minor"/>
      </rPr>
      <t>' gives the indication to the SW which version of OTP recipe has been used to trim the parts. It can be used to identify the fusemap version for the parts already delivered to the customer/valid/qual…
Up to having the first parts back from the manufacturing, the '</t>
    </r>
    <r>
      <rPr>
        <i/>
        <sz val="11"/>
        <color theme="1"/>
        <rFont val="Calibri"/>
        <family val="2"/>
        <scheme val="minor"/>
      </rPr>
      <t>RFE OTP version</t>
    </r>
    <r>
      <rPr>
        <sz val="11"/>
        <color theme="1"/>
        <rFont val="Calibri"/>
        <family val="2"/>
        <scheme val="minor"/>
      </rPr>
      <t>' value stays at 0 despite the FuseMap changes. Afterward, the '</t>
    </r>
    <r>
      <rPr>
        <i/>
        <sz val="11"/>
        <color theme="1"/>
        <rFont val="Calibri"/>
        <family val="2"/>
        <scheme val="minor"/>
      </rPr>
      <t>RFE OTP version</t>
    </r>
    <r>
      <rPr>
        <sz val="11"/>
        <color theme="1"/>
        <rFont val="Calibri"/>
        <family val="2"/>
        <scheme val="minor"/>
      </rPr>
      <t xml:space="preserve">' has the be incremented at each RFE OTP change impacting the SW.
The </t>
    </r>
    <r>
      <rPr>
        <i/>
        <sz val="11"/>
        <color theme="1"/>
        <rFont val="Calibri"/>
        <family val="2"/>
        <scheme val="minor"/>
      </rPr>
      <t>'RFE OTP version'</t>
    </r>
    <r>
      <rPr>
        <sz val="11"/>
        <color theme="1"/>
        <rFont val="Calibri"/>
        <family val="2"/>
        <scheme val="minor"/>
      </rPr>
      <t xml:space="preserve"> value is indicated on the </t>
    </r>
    <r>
      <rPr>
        <i/>
        <sz val="11"/>
        <color theme="1"/>
        <rFont val="Calibri"/>
        <family val="2"/>
        <scheme val="minor"/>
      </rPr>
      <t>'revision history'</t>
    </r>
    <r>
      <rPr>
        <sz val="11"/>
        <color theme="1"/>
        <rFont val="Calibri"/>
        <family val="2"/>
        <scheme val="minor"/>
      </rPr>
      <t xml:space="preserve"> sheet.
</t>
    </r>
  </si>
  <si>
    <t>The recommendation is to write the 'trim valid' simulataneously with the trim bits in the relevant trim section.</t>
  </si>
  <si>
    <t>The Software based OTP are used as information recording.
The SW reads the OTP and copy the fuse content in SPI registers of the IPs.
Some information for the trackability can be stored in the SW-based OTP bits.</t>
  </si>
  <si>
    <t>To create trim RS in order to trig verification &amp; validation TS. 2 options : a dedicated module or in the IP module (preferred solution)</t>
  </si>
  <si>
    <t>To propose a trim flow. To be done once the full trim procedure is available (to take into account the dependencies)</t>
  </si>
  <si>
    <t>GPADPLL iref has no OCII to exercise the different trim settings, artf836743</t>
  </si>
  <si>
    <t>This page describes the trim flow taking into account the trim dependencies.</t>
  </si>
  <si>
    <t>Highlighted in yellow, it is the open point at the time of this document writing. It might need your attention.</t>
  </si>
  <si>
    <t xml:space="preserve">The relevant bits for each trim-flow sub-section are given in the 'RFE SOC FuseMap' sheet, column F. For each sub-section, there is a 'trim valid' field on 2 bits. It indicates for a given part what was the trim maturity when the trim has been performed. The recommendation is to write the 'trim valid' field simultaneously with the relevant bits. </t>
  </si>
  <si>
    <t xml:space="preserve">The 'trim flow' is slipped in sub-sections. The relevant bits for each sub-section are given in the 'RFE SOC FuseMap' sheet, column F. For each sub-section, there is a 'trim valid' field on 2 bits. It indicates for a given part what was the trim maturity when the trim has been performed. The recommendation is to write the 'trim valid' field simultaneously with the relevant bits. </t>
  </si>
  <si>
    <t>IP</t>
  </si>
  <si>
    <t>Trim state description</t>
  </si>
  <si>
    <t>The BG, the V2I and all current sources are enabled.</t>
  </si>
  <si>
    <t>The TXBIST VGA and its biasing is enabled. All the other sub-blocks are disabled.</t>
  </si>
  <si>
    <t>The 10b-ADC and its BG are enabled, ready to sample.</t>
  </si>
  <si>
    <t>The RX IP IF path is enabled, configured for a path from the BBBist to the SDADC.
The rest of the IP is disabled.</t>
  </si>
  <si>
    <t>The BG and the 10b-ADC are enabled, ready to sample.
The LDO for the AC buffer, the PN buffer and the PPD is disabled.</t>
  </si>
  <si>
    <t>All the temp sensors are enabled.</t>
  </si>
  <si>
    <t>All the BG and OVUV are enabled.</t>
  </si>
  <si>
    <t>The BBBIST is configured to generate an IF signal at 50MHz on the BBBIST path. 
All the other blocks are disabled.</t>
  </si>
  <si>
    <t>MCGEN in normal operation mode, the ADPLL is enabled.</t>
  </si>
  <si>
    <t>The chirpGen is in operational mode : VCO, VtuneDet, VrefVaractor, LevelDet are enabled.
No known constraint about a given frequency or open/closed loop.</t>
  </si>
  <si>
    <t>The FIRC is enabled.</t>
  </si>
  <si>
    <t>The temp sensor is enabled.</t>
  </si>
  <si>
    <t>The GPADPLL is enabled.</t>
  </si>
  <si>
    <t>All the supplies and the OVUV are enabled.</t>
  </si>
  <si>
    <t>NTR for the Onechip. The trim procedure might change for Shark.</t>
  </si>
  <si>
    <r>
      <rPr>
        <u/>
        <sz val="11"/>
        <color theme="1"/>
        <rFont val="Calibri"/>
        <family val="2"/>
        <scheme val="minor"/>
      </rPr>
      <t>Note:</t>
    </r>
    <r>
      <rPr>
        <sz val="11"/>
        <color theme="1"/>
        <rFont val="Calibri"/>
        <family val="2"/>
        <scheme val="minor"/>
      </rPr>
      <t xml:space="preserve"> this measurement cannot be done using the SOC GPADC or the ATB ADC because the 10b-ADC resolution is too small compared to the trim resolution</t>
    </r>
  </si>
  <si>
    <t>The ADC measurement might be a little bit less accurate.</t>
  </si>
  <si>
    <t>GBIAS BG to be trimmed ahead</t>
  </si>
  <si>
    <t>ATB I2V and ATB ADC to be trimmed ahead if the measurement is done with the ATB resources</t>
  </si>
  <si>
    <t>Measure the current for all trim codes.</t>
  </si>
  <si>
    <t>no, value 15 by default if not trimmed</t>
  </si>
  <si>
    <t xml:space="preserve">The ATB I/V converter cannot be used for the other trims.
The structural test current measurement are less accurate to catch marginal outliers. </t>
  </si>
  <si>
    <t>GBIAS 20uA Flat 3bits current reference</t>
  </si>
  <si>
    <t>ldo_pdc_ctl_1_ldo_vref_trim</t>
  </si>
  <si>
    <t>LDO_PDC_CTL_1</t>
  </si>
  <si>
    <t>LDO_VREF_TRIM</t>
  </si>
  <si>
    <t>Measure the LLDO output voltage dedicated to the PDC12  for the trim values from 0 to 31.</t>
  </si>
  <si>
    <t>Set the bypass RC at 1</t>
  </si>
  <si>
    <t>BYP_ACT_RC</t>
  </si>
  <si>
    <t>lldo_bypass_ldo_pdc1_byp</t>
  </si>
  <si>
    <t>The PDC LLDOs are enabled</t>
  </si>
  <si>
    <t>The target might be to increase to compensate the voltage drop between the LLDO and the PDC.</t>
  </si>
  <si>
    <r>
      <rPr>
        <u/>
        <sz val="11"/>
        <color theme="1"/>
        <rFont val="Calibri"/>
        <family val="2"/>
        <scheme val="minor"/>
      </rPr>
      <t>Note:</t>
    </r>
    <r>
      <rPr>
        <sz val="11"/>
        <color theme="1"/>
        <rFont val="Calibri"/>
        <family val="2"/>
        <scheme val="minor"/>
      </rPr>
      <t xml:space="preserve"> the register is on 7 bits, the 2 MSB haven't to be used.</t>
    </r>
  </si>
  <si>
    <t>GBIAS 20uA flat 3bits current reference has to be trimmed ahead to get the digital supply at 0v9.</t>
  </si>
  <si>
    <t>For RFE Tsense : set the conversion mode to 0 (mono conversion)</t>
  </si>
  <si>
    <t>The GBIAS V2I has to be trimmed ahead</t>
  </si>
  <si>
    <t>The GBIAS current references have to be trimmed ahead</t>
  </si>
  <si>
    <t>Apply externally all the supplies at their nominal values</t>
  </si>
  <si>
    <t>v6</t>
  </si>
  <si>
    <t>version for a first formal review in CollabNet</t>
  </si>
  <si>
    <t>STRX_RFE_SOC_trimming_Strategy_TO1</t>
  </si>
  <si>
    <t>proposed</t>
  </si>
  <si>
    <t>The OVUV trim have to be set at their min/max threshold to avoid to get false error. The OVUV BG can be let at a default value proposed here.</t>
  </si>
  <si>
    <t>The ATB ADC cannot be used for the trim measurement if its BG is not trimmed.</t>
  </si>
  <si>
    <t>no, value 0x9 by default if not trimmed</t>
  </si>
  <si>
    <t>4/4:No the default trim values for the early samples aren't aligned with the default SPI register values :
- the default trim values are safe values to get all parts functional (for example : OVUV thresholds as far as possible of the nominal monitored voltage, power supplies higher than the nominal values)
- the default SPI register values are the mean expected values (i.e. the center of the expected trim code distribution)
Harpreet, Anton, Jean informed.</t>
  </si>
  <si>
    <t>4/4:trim flow is available</t>
  </si>
  <si>
    <t>The MCGEN fusebus should be HW-based ? 
Artf824737 in SmartTRX_Security_tracker
Artf833395 : MCGEN Digital Needs to protect the glitch detector and freq detector related logic</t>
  </si>
  <si>
    <t>Ayoub</t>
  </si>
  <si>
    <t>[Gerhard] : I would guess that most of the samples should work with the default setting, if the process corner is not fare away from typical.
If we see in the lab that the voltage is too low or too high we can also use another fixed setting to compensate for this.
But for too high voltage I would not see functional issues, but reliability issues, which I think is not the focus of first samples.</t>
  </si>
  <si>
    <t>Quino Sandifort</t>
  </si>
  <si>
    <t>no, value d21 by default if not trimmed</t>
  </si>
  <si>
    <t>PDC LLDO output voltage is volontary put at an value higher than the nominal one to ensure the PDC functionality.
The lifetime might be impacted if the voltage is &gt; 1V.</t>
  </si>
  <si>
    <t>7/4: Confirmed by Mani, the MCGEN freqDet OTP bits are HW-based.
OTP addresses to double check</t>
  </si>
  <si>
    <t>If these parameters are written in the OTP at the default value proposed in the table about, the bbbist signal might have out of spec harmonics. It can degrade the folded noise in the sigma-delta ADC, affecting ADC measurements.</t>
  </si>
  <si>
    <t>v7</t>
  </si>
  <si>
    <t>Corrections after the CollabNet review</t>
  </si>
  <si>
    <t>The RFE fuse mapping might change over the time through the IP optimizations. For the parts already delivered to the customer/valid/qual…, the field 'RFE OTP version' gives the indication to the SW which version of OTP recipe has been used to trim the parts. 
Up to having first part trimmed, the 'RFE OTP version' value stays at 0 despite the FuseMap changes. Afterward, the 'RFE OTP version' has the be incremented at each RFE OTP change impacting the SW.
The 'RFE OTP version' value is indicated on the 'revision history' sheet.</t>
  </si>
  <si>
    <t>otp_rfe_version&lt;7:0&gt;</t>
  </si>
  <si>
    <t>ADC correction validation : meas few voltages and compare to ideal curve</t>
  </si>
  <si>
    <t>FIRC : discrepency between the OTP bit naming, versus the trim procedure, versus the design.</t>
  </si>
  <si>
    <t>Benoit/Salvo</t>
  </si>
  <si>
    <t>FIRC trim valid to add in the trim procedure : 1</t>
  </si>
  <si>
    <t>Mark Lehmann</t>
  </si>
  <si>
    <t>Kiran Gopal</t>
  </si>
  <si>
    <t>7/4:Send a message to Rajesh &amp; Marc Klassen to correct the FuseMap.</t>
  </si>
  <si>
    <t>firc_trim_valid</t>
  </si>
  <si>
    <t>From the customer point of view and the system point of view,  could it be acceptable to have a degraded Tsense accuracy for these early samples ? To skip the Tsense trim.</t>
  </si>
  <si>
    <t>done</t>
  </si>
  <si>
    <t>GBIAS ADPLL current sources are obsolete ?</t>
  </si>
  <si>
    <t>Michiel/Benoît</t>
  </si>
  <si>
    <t>At the SOC side, in SE mode : code_corrected&lt;11:0&gt; = (code_raw *2 + offset_correction * 2 ) x (1 + gain_correction / 2048 ) *2</t>
  </si>
  <si>
    <t>At the SOC side, in diff mode : code_corrected&lt;11:0&gt; = (code_raw *2 + offset_correction * 2 ) x (1 + gain_correction / 2048 )</t>
  </si>
  <si>
    <t>At the RFE side, in SE mode : code_corrected&lt;11:0&gt; = (code_raw  + offset_correction ) x (1 + gain_correction / 2048 )</t>
  </si>
  <si>
    <t>At the RFE side, in diff done : code_corrected&lt;11:0&gt; = code_raw  x (1 + gain_correction / 2048 )</t>
  </si>
  <si>
    <t>With div2 :</t>
  </si>
  <si>
    <t>Without div2 :</t>
  </si>
  <si>
    <t>At the SOC side, in SE mode : code_corrected&lt;11:0&gt; = (code_raw *2 + offset_correction_div2 * 2 ) x (1 + gain_correction_div2 / 2048 ) *2</t>
  </si>
  <si>
    <t>At the SOC side, in diff mode : code_corrected&lt;11:0&gt; = (code_raw *2 + offset_correction_div2 * 2 ) x (1 + gain_correction_div2 / 2048 )</t>
  </si>
  <si>
    <t>At the RFE side, in SE mode : code_corrected&lt;11:0&gt; = (code_raw  + offset_correction_div2 ) x (1 + gain_correction_div2 / 2048 )</t>
  </si>
  <si>
    <t>At the RFE side, in diff done : code_corrected&lt;11:0&gt; = code_raw  x (1 + gain_correction_div2 / 2048 )</t>
  </si>
  <si>
    <t>Usage</t>
  </si>
  <si>
    <t>Rational : 1 LSB from the offset correction resolution + 1 LSB due to the ADC INL/DNL.</t>
  </si>
  <si>
    <t>8/4:done</t>
  </si>
  <si>
    <t>Default value</t>
  </si>
  <si>
    <t>ATB ADC and its BG have to be trimmed ahead.</t>
  </si>
  <si>
    <t>to close : duplicate with GBIAS ADPLL action</t>
  </si>
  <si>
    <t xml:space="preserve">dig LDO will be removed : artf833991 </t>
  </si>
  <si>
    <t>The measured voltage shall be a rectangular distribution centered on 0.7V +/-7.9mV (res1 resolution is ~790ohm)</t>
  </si>
  <si>
    <t>The measured voltage shall be a rectangular distribution centered on 0.7V +/-8.1mV (the res0 resolution is ~180ohm)</t>
  </si>
  <si>
    <t>Cicero/Anton</t>
  </si>
  <si>
    <t>no, value 8 by default if not trimmed</t>
  </si>
  <si>
    <t>No side effect expected at the TXBist side.
Nevertheless, if this parameter is written in the OTP at the default value proposed in the table about, the VGA common mode output voltage might be too low or too high for the 10b-ADC.
The 10b-ADC input common mode voltage spec is from 0.36V to 0.6V.
The default trim code for the early samples is choosen to be at the middle of the ADC spec.</t>
  </si>
  <si>
    <t>The LO IP is in standby mode.</t>
  </si>
  <si>
    <t>The RX ADCs are in standby mode, ready to sample.</t>
  </si>
  <si>
    <t>The 10b-ADCs are in standby mode, ready to sample.
All the other blocks are disabled.</t>
  </si>
  <si>
    <t>In case of change of trim strategy with a voltage optimization, the GLDO HVLDO 1v8 BG and the ADC BG have to be trimmed ahead.</t>
  </si>
  <si>
    <t>The predecessors which have to be trimmed ahead are indicated and used with their found trim results afterward.</t>
  </si>
  <si>
    <t>Measure the clock. It should be 48MHz +/-0.075%, so +/-36kHz.</t>
  </si>
  <si>
    <t>-10mV</t>
  </si>
  <si>
    <t>Measure the voltage with the ADC in single ended. An averaging might be needed.</t>
  </si>
  <si>
    <t>Offset correction = round( - offset), it is a 2-complement signed value</t>
  </si>
  <si>
    <t>Voltage is measured with GPADC</t>
  </si>
  <si>
    <r>
      <rPr>
        <u/>
        <sz val="11"/>
        <color theme="1"/>
        <rFont val="Calibri"/>
        <family val="2"/>
        <scheme val="minor"/>
      </rPr>
      <t>Note:</t>
    </r>
    <r>
      <rPr>
        <sz val="11"/>
        <color theme="1"/>
        <rFont val="Calibri"/>
        <family val="2"/>
        <scheme val="minor"/>
      </rPr>
      <t xml:space="preserve"> the ATB ADC + div2 can be used for this measurement</t>
    </r>
  </si>
  <si>
    <t>Note : during this trim, the reference clock is at 40MHz. No frequency sweep is required.</t>
  </si>
  <si>
    <t>Expected results / procedure to validate the trim ?</t>
  </si>
  <si>
    <t>Note: The trim resolution is compatible with the ATB capability
Note: despite the ATB I2V can be used as measurement resource, the real I2V resource value has to be taken into account in the measurement. The res1 isn't strictly 35000.0000ohm…</t>
  </si>
  <si>
    <t>Sweep the frequency from 40MHz to 45MHz with a frequency step of 50kHz, and monitor the over_error_n through the TMUX</t>
  </si>
  <si>
    <t>Sweep the frequency from 40MHz to 33MHz with a frequency step of 20kHz, and monitor the under_error_n through the TMUX</t>
  </si>
  <si>
    <t>At the trim temperature :</t>
  </si>
  <si>
    <t>The temperature behavior of the gain and offset corrections has to be assess.</t>
  </si>
  <si>
    <t>Connect the BBBIST I path to a RX SDADC with the bist path (i.e. not the RX VGA path)</t>
  </si>
  <si>
    <t>Frequency resolution</t>
  </si>
  <si>
    <t>trim_bg_buf_LSB&lt;1:0&gt;</t>
  </si>
  <si>
    <t>trim_bg_buf_MSB&lt;3:2&gt;</t>
  </si>
  <si>
    <t>The BG buffer bits are splitted in 2 because they are stored in 2 different location in the OTP.</t>
  </si>
  <si>
    <t>v8</t>
  </si>
  <si>
    <t>General Information : add link to the fusemap under DesignSync
FuseMap, correct the addresses of the trim valid.
artf840045 : remove ADPLL GBIAS current reference</t>
  </si>
  <si>
    <t>8/4: linked to ChirpGen dig LDO removal artf833991 
artf840045 
14/4: ADPLL GBIAS current source removed</t>
  </si>
  <si>
    <t>In the sub-trim procedure, there is no indication about the measurement averaging. As the time of this document writing, we cannot provide this information. For the time being, a limited averaging (2 or 4) can be used. In the context of the ATE test program debug, this number will be increased if the gage isn't good enough.</t>
  </si>
  <si>
    <t>v9</t>
  </si>
  <si>
    <t>all</t>
  </si>
  <si>
    <t>all power supplies</t>
  </si>
  <si>
    <t>T0 +</t>
  </si>
  <si>
    <t>Assumptions :</t>
  </si>
  <si>
    <t>Not trimmed SW-based fuses are managed by SW, let blank in OTP.</t>
  </si>
  <si>
    <t>Criterias :</t>
  </si>
  <si>
    <t>Trivial</t>
  </si>
  <si>
    <t>Easy</t>
  </si>
  <si>
    <t>With algo</t>
  </si>
  <si>
    <t>Dominique naming :</t>
  </si>
  <si>
    <t>Not trimmed hardwired fuses are written at a default value in the OTP.</t>
  </si>
  <si>
    <t>General Information : add a note about the measurement averaging
Add trim coverage for the T0, T1 and T2 test program releases in the 'RFE SOC FuseMap' sheet, columns P to Z</t>
  </si>
  <si>
    <t>v10</t>
  </si>
  <si>
    <t>Default value from a charac on one part</t>
  </si>
  <si>
    <t>all known values</t>
  </si>
  <si>
    <t>FIRC value from a lab characterization</t>
  </si>
  <si>
    <t>31/5/2021</t>
  </si>
  <si>
    <t>GBIAS trim to update</t>
  </si>
  <si>
    <t>TempSensors</t>
  </si>
  <si>
    <t>all current refs</t>
  </si>
  <si>
    <t>All HW-based not trimmed</t>
  </si>
  <si>
    <t>GLDO 1v3 trim removed (artf829295)</t>
  </si>
  <si>
    <t>in all tsense instances</t>
  </si>
  <si>
    <t>Multimeter on ATB and GLDO sense pin</t>
  </si>
  <si>
    <t>Multimeter on ATB</t>
  </si>
  <si>
    <t>Independent power supply on GLDO sense pin</t>
  </si>
  <si>
    <t>Independent power supply on PMIC pin</t>
  </si>
  <si>
    <t>Current source and multimeter on ATB</t>
  </si>
  <si>
    <t>Power supply on ATB + ADC data acquisition</t>
  </si>
  <si>
    <t>Multimeter on ATB 0.125uA accuracy</t>
  </si>
  <si>
    <t>Reference voltage of 1.25V with +/-1mV
Multimeter on ATB</t>
  </si>
  <si>
    <t>Lab resource type needed</t>
  </si>
  <si>
    <t>No resource, only SW for RXSDADC 1bit-sample data acquisition and DSP capability</t>
  </si>
  <si>
    <t>Frequency meas with TMUX</t>
  </si>
  <si>
    <t>T0 bring-up</t>
  </si>
  <si>
    <t>T2 characterization</t>
  </si>
  <si>
    <t>T1 bring-up, fully functional</t>
  </si>
  <si>
    <t>Juan</t>
  </si>
  <si>
    <t>no, value 0x7 by default if not trimmed</t>
  </si>
  <si>
    <t>0x4</t>
  </si>
  <si>
    <t>BBBIST Gain</t>
  </si>
  <si>
    <t>Add BBBiST gain trim (4 bits). Ayoub to propose a trim strategy</t>
  </si>
  <si>
    <t xml:space="preserve">Add RX LD comparator offset recording in the OTP 5b per LD x2x4 LD. 3.75mV/LSB </t>
  </si>
  <si>
    <t>Dig LLDO</t>
  </si>
  <si>
    <t>23/6/2021</t>
  </si>
  <si>
    <t>Add LLDO dig trim (set dc bg) and LLDO OVUV trims</t>
  </si>
  <si>
    <t>Subject not in the scope of the trim strategy. It is handled in the tiger team.</t>
  </si>
  <si>
    <t>fusa_monitor_tr_fusa_ft</t>
  </si>
  <si>
    <t>fusa_monitor_tr_fusa_pt_0p2</t>
  </si>
  <si>
    <t>fusa_monitor_tr_fusa_pt_0p3</t>
  </si>
  <si>
    <t>FUSA</t>
  </si>
  <si>
    <t>TR_FUSA_PT_0P2</t>
  </si>
  <si>
    <t>TR_FUSA_PT_0P3</t>
  </si>
  <si>
    <t>FUSA_MONITOR</t>
  </si>
  <si>
    <t>ptat 200nA/K</t>
  </si>
  <si>
    <t>ptat 300nA/K</t>
  </si>
  <si>
    <t>ptat 67nA/K</t>
  </si>
  <si>
    <t>For thr 90uA 3 bits ptat currents, write the MSB trim code from the 90uA 5 bits ptat currents having the same slope</t>
  </si>
  <si>
    <t>90uA ptat with 5 bits with 300nA/K slope</t>
  </si>
  <si>
    <t>90uA ptat with 5 bits with 200nA/K slope</t>
  </si>
  <si>
    <t>Notes :</t>
  </si>
  <si>
    <t>The current selected as 'trim criteria' in the table above can be changed. As the time of this document writing, there is no specific criteria to select it.</t>
  </si>
  <si>
    <t>=&gt; it is mandatory to make the current measurement internally using the ATB resources.</t>
  </si>
  <si>
    <t>In this case, the res1 trim code from the ATB R trim shall be overwritten (through SPI or OCII) to select the code as close as possible of 30kohm</t>
  </si>
  <si>
    <t>GBIAS 90uPt5b200</t>
  </si>
  <si>
    <t>GBIAS 90uPt5b300</t>
  </si>
  <si>
    <t>ctrl_ibias_fusa_ft_90ua_flat&lt;2:0&gt;</t>
  </si>
  <si>
    <t>ctrl_ibias_fusa_pt_0p2_90ua_ptat&lt;2:0&gt;</t>
  </si>
  <si>
    <t>ctrl_ibias_fusa_pt_0p3_90ua_ptat&lt;2:0&gt;</t>
  </si>
  <si>
    <t>ctrl_v2i_ptat&lt;5:0&gt;</t>
  </si>
  <si>
    <t>v2i_conv_tr_v2i_pt_spare</t>
  </si>
  <si>
    <t>TR_V2I_PT_SPARE</t>
  </si>
  <si>
    <t>The leakage on the ATB pillar interface is between 400nA and 3uA (depending on the voltage and temp). It is too mush for the trim accuracy expected here.</t>
  </si>
  <si>
    <t>Measure the atb_out_pt current for all trim codes</t>
  </si>
  <si>
    <t>Measure the pad ESD protection leakage current :</t>
  </si>
  <si>
    <t>Open all ATB switches</t>
  </si>
  <si>
    <t>Apply 0v7 on the ATB_P_DEBUG pillars or balls</t>
  </si>
  <si>
    <t>Measure the leakage current in the pillar/ball</t>
  </si>
  <si>
    <t>The first step of this procedure is to measure this current leakage</t>
  </si>
  <si>
    <t>For the next measurements, the ATB ADC shall be used</t>
  </si>
  <si>
    <t>From the tester to both ATB, apply 90uA + the leakage current from the previous step</t>
  </si>
  <si>
    <t>From the tester to both ATB, apply 20uA + the leakage current from the previous step</t>
  </si>
  <si>
    <t>Select the code closest to get 0.7V to get 7.8kohm and write it in the OTP</t>
  </si>
  <si>
    <t>res0 trim :</t>
  </si>
  <si>
    <t>Select the code closest to get 0.7V to get 35kohm and write it in the OTP</t>
  </si>
  <si>
    <t>5/7 : update done</t>
  </si>
  <si>
    <t>The real I2V resource value has to be taken into account in the measurement. The res1 isn't strictly 35000.0000ohm…</t>
  </si>
  <si>
    <t>5/7:done</t>
  </si>
  <si>
    <t>Ayoub Rifai</t>
  </si>
  <si>
    <t>set_dc_bg_lldodig&lt;3:0&gt;</t>
  </si>
  <si>
    <t>trim_ov_lldodig&lt;3:0&gt;</t>
  </si>
  <si>
    <t>trim_uv_lldodig&lt;3:0&gt;</t>
  </si>
  <si>
    <t>LLDO Dig</t>
  </si>
  <si>
    <t>OVUV LLDO Dig</t>
  </si>
  <si>
    <t>TRIM_OV_LLDO</t>
  </si>
  <si>
    <t>TRIM_UV_LLDO</t>
  </si>
  <si>
    <t>OVUV_LLDO_CTL</t>
  </si>
  <si>
    <t>ovuv_lldo_ctl_trim_ov_lldo</t>
  </si>
  <si>
    <t>ovuv_lldo_ctl_trim_uv_lldo</t>
  </si>
  <si>
    <t>ovuv_lldo_ctl_vmon_sel_lldo</t>
  </si>
  <si>
    <t>ovuv_lldo_ctl_pk_sel_lldo</t>
  </si>
  <si>
    <t>ovuv_lldo_ctl_dip_sel_lldo</t>
  </si>
  <si>
    <t>ovuv_lldo_ctl_dly_sel_lldo</t>
  </si>
  <si>
    <t>VMON_SEL_LLDO</t>
  </si>
  <si>
    <t>PK_SEL_LLDO</t>
  </si>
  <si>
    <t>DIP_SEL_LLDO</t>
  </si>
  <si>
    <t>DLY_SEL_LLDO</t>
  </si>
  <si>
    <t>VDDA_RFE_LDODIG_1V45</t>
  </si>
  <si>
    <t>Apply the UV targeted threshold voltage on these balls/pillars with the setup described in the figure 1</t>
  </si>
  <si>
    <t>Apply the OV targeted threshold voltage on these balls/pillars. For the GLDOs, the voltages have to be increased by the sense-path contact voltage drop measured previously.</t>
  </si>
  <si>
    <t>The LLDO Dig has to be configured in bypass mode</t>
  </si>
  <si>
    <t>The LLDO Dig has to be in bypass mode</t>
  </si>
  <si>
    <t>LLDO Dig OVUV</t>
  </si>
  <si>
    <t>BG_OVUV_LLDO_CTL</t>
  </si>
  <si>
    <t>bg_ovuv_lldo_ctl_setdc_bg_ovuv</t>
  </si>
  <si>
    <t>OVUV LLDO BG</t>
  </si>
  <si>
    <t>LLDO OVUV</t>
  </si>
  <si>
    <t>LLDO OVUV BG</t>
  </si>
  <si>
    <t>LLDO Dig OVUV BG</t>
  </si>
  <si>
    <t>For the LLDO Dig OVUV BG</t>
  </si>
  <si>
    <r>
      <rPr>
        <b/>
        <sz val="11"/>
        <color theme="1"/>
        <rFont val="Calibri"/>
        <family val="2"/>
        <scheme val="minor"/>
      </rPr>
      <t>Figure 6 :</t>
    </r>
    <r>
      <rPr>
        <sz val="11"/>
        <color theme="1"/>
        <rFont val="Calibri"/>
        <family val="2"/>
        <scheme val="minor"/>
      </rPr>
      <t xml:space="preserve"> Measurement setup of the LLDO Dig OVUV BG output voltage</t>
    </r>
  </si>
  <si>
    <t>6/7 : done</t>
  </si>
  <si>
    <t>After trim, the resistor values won't be at 7800.00ohm, 35000.00ohm and 30000.00ohm. The real resistor values have to be stored in the test program. They will be used to improve the current measurement in the next trim and the structural tests</t>
  </si>
  <si>
    <t>missing =&gt; artf836743
Note : the OCII access is missing for this register. Leewe will provide patterns to program functional OCOTP registers and override the trim value</t>
  </si>
  <si>
    <t>The OCII access is missing for the register controlling the current. Leewe will provide patterns to program functional OCOTP registers and override the trim value</t>
  </si>
  <si>
    <t>Add RX trim in OTP (7bits for the 4 RX) to store some information about pmos / nmos  process. Juan to propose a trim strategy</t>
  </si>
  <si>
    <t>21/7/2021</t>
  </si>
  <si>
    <t>dBV</t>
  </si>
  <si>
    <t>GBIAS 90uFl5b to get the correct reference current of the PRDAC and PRDACBias</t>
  </si>
  <si>
    <t>No dependencies with the BBBiST Ccal as the gain trim is done in DC</t>
  </si>
  <si>
    <t>The PR mixers are disabled</t>
  </si>
  <si>
    <t>The BBBiST is enabled</t>
  </si>
  <si>
    <t>Apply on the PRDAC the max value (i.e. The 256 bits at 1)</t>
  </si>
  <si>
    <t>Calculate the average of I and Q</t>
  </si>
  <si>
    <t>The BBBiST signal magnitude will be less accurate</t>
  </si>
  <si>
    <t>I versus Q DC signal mismatched distribution centered on 0dBV</t>
  </si>
  <si>
    <t xml:space="preserve">Notes : </t>
  </si>
  <si>
    <t>Due to the leakage current in the ATB ESD protection (up to 3uA), an external resource cannot be used for this measurement</t>
  </si>
  <si>
    <t>12/7:done</t>
  </si>
  <si>
    <t>trim_ov_gldo1v3&lt;3:0&gt;</t>
  </si>
  <si>
    <t>Note : 1.4V for vmon isn't a typo.</t>
  </si>
  <si>
    <t>2/4:tkt analysis done, waiting for CCB decision
2/7:GLDO trim removed. OVUV statement asked to Matthias&amp;Birama
12/7:meeting with Birama, Thierry, Matthias, Ravi : decision to remove the UV from the trim. OV is trimmed with a criteria at 1v4+7.5%
Trim procedure update done</t>
  </si>
  <si>
    <r>
      <rPr>
        <u/>
        <sz val="11"/>
        <color theme="1"/>
        <rFont val="Calibri"/>
        <family val="2"/>
        <scheme val="minor"/>
      </rPr>
      <t>Note:</t>
    </r>
    <r>
      <rPr>
        <sz val="11"/>
        <color theme="1"/>
        <rFont val="Calibri"/>
        <family val="2"/>
        <scheme val="minor"/>
      </rPr>
      <t xml:space="preserve"> the ATB 10b-ADC with the div2 mode can be used for this measurement.</t>
    </r>
  </si>
  <si>
    <t>Measure the vdd_pdiv_0v9 signal for all trim values up to 31 (the MSB isn't used).</t>
  </si>
  <si>
    <t>The trimmed voltage shall be a distribution around the trim target</t>
  </si>
  <si>
    <t>The trimmed voltages shall be a distribution around the trim targets</t>
  </si>
  <si>
    <t>Select the code closest to get 0.7V to get 30kohm and store in a trim SW variable for future usage (in the GBIAS ibias &amp; I2V trims, and in the chripGen I2V trim)</t>
  </si>
  <si>
    <t>For the ChirpGen  HVLDO1v8 BG</t>
  </si>
  <si>
    <r>
      <rPr>
        <b/>
        <sz val="11"/>
        <color theme="1"/>
        <rFont val="Calibri"/>
        <family val="2"/>
        <scheme val="minor"/>
      </rPr>
      <t>Figure 7 :</t>
    </r>
    <r>
      <rPr>
        <sz val="11"/>
        <color theme="1"/>
        <rFont val="Calibri"/>
        <family val="2"/>
        <scheme val="minor"/>
      </rPr>
      <t xml:space="preserve"> Measurement setup of the VCO HVLDO vfb voltage for the ChirpGen BG trim</t>
    </r>
  </si>
  <si>
    <t>The ATB 10b-ADC in div2 mode has to be used</t>
  </si>
  <si>
    <r>
      <rPr>
        <u/>
        <sz val="11"/>
        <color theme="1"/>
        <rFont val="Calibri"/>
        <family val="2"/>
        <scheme val="minor"/>
      </rPr>
      <t>Note :</t>
    </r>
    <r>
      <rPr>
        <sz val="11"/>
        <color theme="1"/>
        <rFont val="Calibri"/>
        <family val="2"/>
        <scheme val="minor"/>
      </rPr>
      <t xml:space="preserve"> the div2 output voltage is high ohmic. Due to the current leakage in the ATB ESD protection, an external resource cannot be used for this measurement.</t>
    </r>
  </si>
  <si>
    <t>17/3:review done with Bernd. Benoit to progress on the procedure. Few criteria missing. Bernd to allign with Salvo's team
12/7:received all the info, trim procedure update done</t>
  </si>
  <si>
    <t>31/3 : simulations are ongoing including the first stage of the RX
12/7 : the simulations are done (Ayoub/Myriam). Update trim targets</t>
  </si>
  <si>
    <t>GPADC is ready to be used</t>
  </si>
  <si>
    <t>v11</t>
  </si>
  <si>
    <t>GBIAS V2I : update the current list, the measurement recommendations (no external measurement) Trim flow predecessor updated accordingly.
GBIAS ibias : update the current list, the trim targets, the measurement recommendations (no external measurement)
ATB R trim updated : ATB pillar interface leakage to be compensated in the measurement
RX : Level detector offsets trim added
RX : add provision for pmos/nmos process information storing (details aren't available)
GPADC BG default value update
RXBiST : add BBBiST gain trim, update the test signal frequency in BBBiST Ccal
LLDO Dig : add 0VUV BG and OVUV trims
ChirpGen : 
   Update Vtune detector and level detector trims
   Update MMD LDO trim
   Update the V2I and BG trims
   Remove the other trims
OVUV GLDO 1v3 : update OV trim target, remove the UV trim
BG HVLDO &amp; OVUV HVLDO : update the measurement recommendation about the 10b-ADC usage due to the ESD current leakage. Update the trim flow accordingly</t>
  </si>
  <si>
    <t>mcgen_set_iref&lt;4:0&gt;</t>
  </si>
  <si>
    <t>aurora_set_iref&lt;4:0&gt;</t>
  </si>
  <si>
    <t>set_dc_bg_gldo_ovuv&lt;3:0&gt;</t>
  </si>
  <si>
    <t>set_dc_bg_soc_ovuv&lt;3:0&gt;</t>
  </si>
  <si>
    <t>set_curve_bg_soc_ovuv&lt;2:0&gt;</t>
  </si>
  <si>
    <t>The res1 (=35kohm, at it trim code) I2V converter + the ATB ADC shall be used</t>
  </si>
  <si>
    <t>The real ATB I2V resource value has to be taken into account in the measurement. The res1 isn't strictly 35000.0000ohm…</t>
  </si>
  <si>
    <t>Measure the Ibias_res_cal_20u_1 current for all trim codes</t>
  </si>
  <si>
    <t>ChirpGen V2I has to be trimmed ahead</t>
  </si>
  <si>
    <t>ChirpGen ResOhm</t>
  </si>
  <si>
    <t>res_ohm&lt;15:0&gt;</t>
  </si>
  <si>
    <t>PCM_3</t>
  </si>
  <si>
    <t>RES_OHM</t>
  </si>
  <si>
    <t>pcm_3_res_ohm</t>
  </si>
  <si>
    <t>Step 1 :</t>
  </si>
  <si>
    <t>see below</t>
  </si>
  <si>
    <t>With the 3 current sources enabled and connected to the res_cal_top node :</t>
  </si>
  <si>
    <t>Step 2 :</t>
  </si>
  <si>
    <r>
      <rPr>
        <b/>
        <sz val="11"/>
        <color theme="1"/>
        <rFont val="Calibri"/>
        <family val="2"/>
        <scheme val="minor"/>
      </rPr>
      <t>Figure 1 :</t>
    </r>
    <r>
      <rPr>
        <sz val="11"/>
        <color theme="1"/>
        <rFont val="Calibri"/>
        <family val="2"/>
        <scheme val="minor"/>
      </rPr>
      <t xml:space="preserve"> ChirpGen test setup for the res_cal_top voltage measurement</t>
    </r>
  </si>
  <si>
    <t>=&gt; it is mandatory to make the current &amp; voltage measurements internally using the ATB resources.</t>
  </si>
  <si>
    <t>I1=20.1uA, I2=20.3uA, I3=19.9uA</t>
  </si>
  <si>
    <t>Step 3 :</t>
  </si>
  <si>
    <t>Measure the current for the 3 current sources individually see figure 2a, 2b, 2c</t>
  </si>
  <si>
    <r>
      <rPr>
        <b/>
        <sz val="11"/>
        <color theme="1"/>
        <rFont val="Calibri"/>
        <family val="2"/>
        <scheme val="minor"/>
      </rPr>
      <t>Figure 2a :</t>
    </r>
    <r>
      <rPr>
        <sz val="11"/>
        <color theme="1"/>
        <rFont val="Calibri"/>
        <family val="2"/>
        <scheme val="minor"/>
      </rPr>
      <t xml:space="preserve"> ChirpGen test setup for I1 current measurement</t>
    </r>
  </si>
  <si>
    <r>
      <rPr>
        <b/>
        <sz val="11"/>
        <color theme="1"/>
        <rFont val="Calibri"/>
        <family val="2"/>
        <scheme val="minor"/>
      </rPr>
      <t>Figure 2b :</t>
    </r>
    <r>
      <rPr>
        <sz val="11"/>
        <color theme="1"/>
        <rFont val="Calibri"/>
        <family val="2"/>
        <scheme val="minor"/>
      </rPr>
      <t xml:space="preserve"> ChirpGen test setup for I2 current measurement</t>
    </r>
  </si>
  <si>
    <r>
      <rPr>
        <b/>
        <sz val="11"/>
        <color theme="1"/>
        <rFont val="Calibri"/>
        <family val="2"/>
        <scheme val="minor"/>
      </rPr>
      <t>Figure 2c :</t>
    </r>
    <r>
      <rPr>
        <sz val="11"/>
        <color theme="1"/>
        <rFont val="Calibri"/>
        <family val="2"/>
        <scheme val="minor"/>
      </rPr>
      <t xml:space="preserve"> ChirpGen test setup for I3 current measurement</t>
    </r>
  </si>
  <si>
    <t>Calculate the Rcal resistor value</t>
  </si>
  <si>
    <t>Store in the OTP the Rcal value. 1LSB=1ohm</t>
  </si>
  <si>
    <t>RES OHM</t>
  </si>
  <si>
    <t>2CC</t>
  </si>
  <si>
    <t>It is 1.8V DAC on 6 bits, so a resolution of 1.8/2^6=28.1mV</t>
  </si>
  <si>
    <t>v12</t>
  </si>
  <si>
    <t>BG HVLDO : update default value
Rename few OTP fields to avoid duplicates :
   set_iref -&gt; mcgen_set_iref  (0x2B8)
   set_iref -&gt; aurora_set_iref  (0x258)
   set_dc_bg_ovuv -&gt; set_dc_bg_gldo_ovuv  (0x2B4)
   set_dc_bg_ovuv -&gt; set_dc_bg_soc_ovuv  (0x24C)
   set_curve_bg_ovuv -&gt; set_curve_bg_soc_ovuv  (0x24C)
ChirpGen : 
   Change V2I trim criteria
   Add res_ohm trim</t>
  </si>
  <si>
    <t>Set the BG low-noise filter in bypass mode</t>
  </si>
  <si>
    <t>no, these bits are not used in the analog for the ES1</t>
  </si>
  <si>
    <t>Florent C.</t>
  </si>
  <si>
    <t>BE_Process_Monitor</t>
  </si>
  <si>
    <t>RX BE</t>
  </si>
  <si>
    <t>RX FE</t>
  </si>
  <si>
    <t>VGA stability</t>
  </si>
  <si>
    <t>no, value 1 by default if not trimmed</t>
  </si>
  <si>
    <t>RX : Yuan Gao</t>
  </si>
  <si>
    <t>RC-Cal : Bernard Burdiek</t>
  </si>
  <si>
    <t>PON_CTL</t>
  </si>
  <si>
    <t>PON_LS</t>
  </si>
  <si>
    <t>CAL_CTL</t>
  </si>
  <si>
    <t>EN_RCCAL</t>
  </si>
  <si>
    <t>CAL_RESULT1</t>
  </si>
  <si>
    <t>COUNT_VALUE_N</t>
  </si>
  <si>
    <t>CAL_RESULT2</t>
  </si>
  <si>
    <t>COUNT_VALUE_M</t>
  </si>
  <si>
    <t>Ncorner</t>
  </si>
  <si>
    <t>Mcorner</t>
  </si>
  <si>
    <t>Calculate the ratio :</t>
  </si>
  <si>
    <t xml:space="preserve">ratio = </t>
  </si>
  <si>
    <t>Value</t>
  </si>
  <si>
    <t>ratio</t>
  </si>
  <si>
    <t>corner</t>
  </si>
  <si>
    <t>fast</t>
  </si>
  <si>
    <t>typ</t>
  </si>
  <si>
    <t>slow</t>
  </si>
  <si>
    <t>Calculate the BE_Process_Monitor value to trim :</t>
  </si>
  <si>
    <t>NA, used by the SW for the calibration</t>
  </si>
  <si>
    <t>BE_Process_Monitor&lt;3:0&gt;</t>
  </si>
  <si>
    <t>FE_Process_Monitor&lt;1:0&gt;</t>
  </si>
  <si>
    <t>On parts with a corner process, the RX VGAs might be instable at some temperatures</t>
  </si>
  <si>
    <r>
      <rPr>
        <i/>
        <u/>
        <sz val="11"/>
        <color theme="1"/>
        <rFont val="Calibri"/>
        <family val="2"/>
        <scheme val="minor"/>
      </rPr>
      <t>Note :</t>
    </r>
    <r>
      <rPr>
        <i/>
        <sz val="11"/>
        <color theme="1"/>
        <rFont val="Calibri"/>
        <family val="2"/>
        <scheme val="minor"/>
      </rPr>
      <t xml:space="preserve"> the FrontEnd process monitor is used in RX calibration SW function to setup the VGA setting. It is to keep it in the stable state.
This trim uses the ring oscillator at the SOC side as sensor of the process monitoring</t>
    </r>
  </si>
  <si>
    <r>
      <rPr>
        <i/>
        <u/>
        <sz val="11"/>
        <color theme="1"/>
        <rFont val="Calibri"/>
        <family val="2"/>
        <scheme val="minor"/>
      </rPr>
      <t>Note :</t>
    </r>
    <r>
      <rPr>
        <i/>
        <sz val="11"/>
        <color theme="1"/>
        <rFont val="Calibri"/>
        <family val="2"/>
        <scheme val="minor"/>
      </rPr>
      <t xml:space="preserve"> the BackEnd process monitor is used in RX calibration SW function to setup the VGA setting. It is to keep it in the stable state.
This trim uses the RC-cal as sensor of the process monitoring</t>
    </r>
  </si>
  <si>
    <t>Read the number of period N</t>
  </si>
  <si>
    <t>fnom_cal=7.6995e8 @ 125°C</t>
  </si>
  <si>
    <t>fnom_cal=a3*(tempK-273.15)^3 + a2*(tempK-273.15)^2 + a1*(tempK-273.15) + a0
with a0 = 790963864.1, a1 = -91092, a2 = -57.5733, a3 = -4.4702</t>
  </si>
  <si>
    <t>[fnom_cal - 0.053*fnom, fnom_cal + 0.06*fnom]</t>
  </si>
  <si>
    <t>[0, fnom_cal - 0.053*fnom[</t>
  </si>
  <si>
    <t>]fnom_cal + 0.06*fnom, +inf]</t>
  </si>
  <si>
    <t>with fnom=7.857e8</t>
  </si>
  <si>
    <t>freq</t>
  </si>
  <si>
    <t xml:space="preserve">Make the measurement 20 times and average the results </t>
  </si>
  <si>
    <t>Calculate fnom_cal for the trim temperature</t>
  </si>
  <si>
    <t>Select the code BackEnd process code :</t>
  </si>
  <si>
    <t>code 1 , typical process</t>
  </si>
  <si>
    <t>example of result :</t>
  </si>
  <si>
    <t>N</t>
  </si>
  <si>
    <t>Calculate frequency: freq = N/time_window</t>
  </si>
  <si>
    <t>Enable level shifters</t>
  </si>
  <si>
    <t>Start the RC Cal state machine</t>
  </si>
  <si>
    <t>Disable the IP</t>
  </si>
  <si>
    <t>There are 9 types of current sources :
- 20uA flat with 3 or 5 bits
- 90uA flat with 3 or 5 bits
- 90uA ptat with 5 bits with a slope of 200
- 90uA ptat with 3 bits with a slope of 200 or 300nA/K
- 30uA ptat with 5 bits with a slope of 66.7nA/K</t>
  </si>
  <si>
    <r>
      <t>Only one current reference per type of current source have to be used as '</t>
    </r>
    <r>
      <rPr>
        <i/>
        <sz val="11"/>
        <color theme="1"/>
        <rFont val="Calibri"/>
        <family val="2"/>
        <scheme val="minor"/>
      </rPr>
      <t>trim criteria</t>
    </r>
    <r>
      <rPr>
        <sz val="11"/>
        <color theme="1"/>
        <rFont val="Calibri"/>
        <family val="2"/>
        <scheme val="minor"/>
      </rPr>
      <t>' ; the same optimum trim value has to used (i.e. written in the OTP) for all current sources of the same type.
The 3 bits 90uA ptat currents with the 200nA/K slope isn't 'trim criteria'. It use the MSB of the 5 bits 90uA ptat currents with the same slope.</t>
    </r>
  </si>
  <si>
    <t>6/9:Confirmed that the TXBiST trim is still needed</t>
  </si>
  <si>
    <t>From the TXBiST golden DR :Check if the txbist is still needed</t>
  </si>
  <si>
    <t>6/9:Backend and frontend trim replace the pmos/nmos trim. Trim procedure updated</t>
  </si>
  <si>
    <t>Ringo oscillator : Ulf Menning</t>
  </si>
  <si>
    <t>Read the counter value Ncorner</t>
  </si>
  <si>
    <t>Read the counter value Mcorner</t>
  </si>
  <si>
    <r>
      <rPr>
        <i/>
        <u/>
        <sz val="11"/>
        <color theme="1"/>
        <rFont val="Calibri"/>
        <family val="2"/>
        <scheme val="minor"/>
      </rPr>
      <t>Note :</t>
    </r>
    <r>
      <rPr>
        <i/>
        <sz val="11"/>
        <color theme="1"/>
        <rFont val="Calibri"/>
        <family val="2"/>
        <scheme val="minor"/>
      </rPr>
      <t xml:space="preserve"> datalog Ncorner, Mcorner, Nnom and Mnom. 
Nnom and Mnom might be changed once statistical data is available on several lots </t>
    </r>
  </si>
  <si>
    <t>Starting measurement</t>
  </si>
  <si>
    <t>Assert that counter expired</t>
  </si>
  <si>
    <t>1 then 0</t>
  </si>
  <si>
    <t>wait for the ringo running</t>
  </si>
  <si>
    <t>v13</t>
  </si>
  <si>
    <t>BG trim : add a note to bypass the BG low-noise filter to get fast settling times
RX : replace pmos/nmos process information storing by BE and FE process monitoring. Give details
GBIAS ibias : update the TX 90uA slope for the artf891212, change trim criteria
GLDO 1v3 trim : put it back, trimmed at 0v9
RX : Level detector trim : add common mode voltage value</t>
  </si>
  <si>
    <t>0x100</t>
  </si>
  <si>
    <t>freq=4903/6.4e-6=7.6609e8</t>
  </si>
  <si>
    <t>v14</t>
  </si>
  <si>
    <t>Nnom and Mnom values have to be refined with statistical data from the production.</t>
  </si>
  <si>
    <t>The majority of the production should be with the typical process</t>
  </si>
  <si>
    <t>The rccal IP behavior is sensitive to the 0v9 power supply voltage. It is drived by a BG embeeded in the IP. The vout_0v9 and the BG voltages have to be datalogged for further analysis.</t>
  </si>
  <si>
    <t>Wait at least 210 us to let time to the fsm to make the measurement</t>
  </si>
  <si>
    <t>DfT : Leewe Behrendt</t>
  </si>
  <si>
    <t>Voltage source on ATB + ADC data acquisition</t>
  </si>
  <si>
    <t>LOx4</t>
  </si>
  <si>
    <t>lox4_tune_freq&lt;1:0&gt;</t>
  </si>
  <si>
    <t>Maarten Lont</t>
  </si>
  <si>
    <t>lox4_ctl_tune_freq</t>
  </si>
  <si>
    <t>LOX4_CTL</t>
  </si>
  <si>
    <t>TUNE_FREQ</t>
  </si>
  <si>
    <t>LOx4 Tune Freq</t>
  </si>
  <si>
    <t>During Gbias V2I trimming, the LLDODIG and MCGEN LDOs have to be bypassed</t>
  </si>
  <si>
    <t>ctrl_ibias_atb_ppd_20ua_flat&lt;2:0&gt;</t>
  </si>
  <si>
    <t>ctrl_spare_ctrl_spare&lt;2:0&gt;</t>
  </si>
  <si>
    <t>CTRL_SPARE</t>
  </si>
  <si>
    <t>CTRL_SPARE&lt;2:0&gt;</t>
  </si>
  <si>
    <t>19/10/2021</t>
  </si>
  <si>
    <t>Yuan Gao</t>
  </si>
  <si>
    <t>Update the BE process resolution</t>
  </si>
  <si>
    <r>
      <rPr>
        <sz val="10"/>
        <rFont val="Arial"/>
        <family val="2"/>
      </rPr>
      <t>RX IP : update few values in FE process monitoring trim</t>
    </r>
    <r>
      <rPr>
        <b/>
        <sz val="10"/>
        <rFont val="Arial"/>
        <family val="2"/>
      </rPr>
      <t xml:space="preserve">
</t>
    </r>
    <r>
      <rPr>
        <sz val="10"/>
        <rFont val="Arial"/>
        <family val="2"/>
      </rPr>
      <t>RX IP : BE process monitoring : add wait time
GBIAS ibias : artf895810, add one current reference for the ATB PPD</t>
    </r>
    <r>
      <rPr>
        <b/>
        <sz val="10"/>
        <rFont val="Arial"/>
        <family val="2"/>
      </rPr>
      <t xml:space="preserve">
</t>
    </r>
    <r>
      <rPr>
        <sz val="10"/>
        <rFont val="Arial"/>
        <family val="2"/>
      </rPr>
      <t>GBIAS V2I : During V2I trimming, LLDODIG and MCGEN have to be bypassed</t>
    </r>
    <r>
      <rPr>
        <b/>
        <sz val="10"/>
        <rFont val="Arial"/>
        <family val="2"/>
      </rPr>
      <t xml:space="preserve">
</t>
    </r>
    <r>
      <rPr>
        <sz val="10"/>
        <rFont val="Arial"/>
        <family val="2"/>
      </rPr>
      <t xml:space="preserve">LO IP : add LOx4 tune freq trim at 0x2 for all parts
RX IP : remove Level Detector trim </t>
    </r>
  </si>
  <si>
    <t>where Nnom = 3698 and Mnom = 1946 at 125°C, 
Nnom = 3816 and Mnom = 1998 at 25°C,
Nnom = 3902 and Mnom = 2040 at -40°C</t>
  </si>
  <si>
    <t>Means, if result is F600 =&gt; 2’s complement =&gt; -2560 / 64 =&gt; -40 degrees)</t>
  </si>
  <si>
    <t>v15</t>
  </si>
  <si>
    <t>SOC HVLDO : Anjanu Mishra, Govinda Gurugubelli</t>
  </si>
  <si>
    <r>
      <t>4. Sweep calibration bus ‘</t>
    </r>
    <r>
      <rPr>
        <b/>
        <sz val="11"/>
        <color rgb="FF000000"/>
        <rFont val="Arial"/>
        <family val="2"/>
      </rPr>
      <t xml:space="preserve">freq_det_cal_over&lt;6:0&gt;’ </t>
    </r>
    <r>
      <rPr>
        <sz val="11"/>
        <color rgb="FF000000"/>
        <rFont val="Arial"/>
        <family val="2"/>
      </rPr>
      <t>from 0 to 127 and monitor the state of output ‘</t>
    </r>
    <r>
      <rPr>
        <b/>
        <sz val="11"/>
        <color rgb="FF000000"/>
        <rFont val="Arial"/>
        <family val="2"/>
      </rPr>
      <t>over_error_n’</t>
    </r>
    <r>
      <rPr>
        <sz val="11"/>
        <color rgb="FF000000"/>
        <rFont val="Arial"/>
        <family val="2"/>
      </rPr>
      <t xml:space="preserve"> through the TMUX or ocii read</t>
    </r>
  </si>
  <si>
    <r>
      <t>1. Sweep calibration bus ‘</t>
    </r>
    <r>
      <rPr>
        <b/>
        <sz val="11"/>
        <color rgb="FF000000"/>
        <rFont val="Arial"/>
        <family val="2"/>
      </rPr>
      <t xml:space="preserve">freq_det_cal_under&lt;6:0&gt;’ </t>
    </r>
    <r>
      <rPr>
        <sz val="11"/>
        <color rgb="FF000000"/>
        <rFont val="Arial"/>
        <family val="2"/>
      </rPr>
      <t>from 127 to 0 and monitor the state of output ‘</t>
    </r>
    <r>
      <rPr>
        <b/>
        <sz val="11"/>
        <color rgb="FF000000"/>
        <rFont val="Arial"/>
        <family val="2"/>
      </rPr>
      <t>under_error_n’</t>
    </r>
    <r>
      <rPr>
        <sz val="11"/>
        <color rgb="FF000000"/>
        <rFont val="Arial"/>
        <family val="2"/>
      </rPr>
      <t xml:space="preserve"> through the TMUX or ocii read</t>
    </r>
  </si>
  <si>
    <t>yes, value 0 by default if not trimmed</t>
  </si>
  <si>
    <t>[ 0 , 0.65 [</t>
  </si>
  <si>
    <t>[ 0.65 , 0.7 [</t>
  </si>
  <si>
    <t>[ 0.7 , 0.75 [</t>
  </si>
  <si>
    <t>[ 0.75 , 0.8 [</t>
  </si>
  <si>
    <t>[ 0.8 , 0.85 [</t>
  </si>
  <si>
    <t>[ 0.85 , 0.9 [</t>
  </si>
  <si>
    <t>[ 0.9 , 0.95 [</t>
  </si>
  <si>
    <t>[ 0.95 , 1 [</t>
  </si>
  <si>
    <t>[ 1 , 1.05 [</t>
  </si>
  <si>
    <t>[ 1.05 , 1.1 [</t>
  </si>
  <si>
    <t>[ 1.1 , 1.15 [</t>
  </si>
  <si>
    <t>[ 1.15 , 1.2 [</t>
  </si>
  <si>
    <t>[ 1.2 , 1.25 [</t>
  </si>
  <si>
    <t>[ 1.25 , 1.3 [</t>
  </si>
  <si>
    <t>[ 1.3 , 1.35 [</t>
  </si>
  <si>
    <t>[ 1.35 , +inf [</t>
  </si>
  <si>
    <t>3/11: data received, procedure updated</t>
  </si>
  <si>
    <t>txbist1_vdvga&lt;4:0&gt;</t>
  </si>
  <si>
    <t>txbist2_vdvga&lt;4:0&gt;</t>
  </si>
  <si>
    <t>txbist3_vdvga&lt;4:0&gt;</t>
  </si>
  <si>
    <t>TXBIST VdVGA</t>
  </si>
  <si>
    <t>Measure few voltages between 80mV and 680mV. The code_corrected reading should be at +/-2LSB from the ideal_code = measured_voltage * 1024 / 0.8.</t>
  </si>
  <si>
    <t>Measure few voltages between 160mV and 1360mV. The code_corrected reading should be at +/-2LSB from the ideal_code = measured_voltage * 1024 / 1.6.</t>
  </si>
  <si>
    <t>Gain Correction = round ( (1024 / 1.6 / Gain - 1) * 2048 ), it is a 2-complement signed value</t>
  </si>
  <si>
    <t>Gain Correction = round ( (1024 / 0.8 / Gain - 1) * 2048 ), it is a 2-complement signed value</t>
  </si>
  <si>
    <t>Glich detector trimming to add</t>
  </si>
  <si>
    <t>Robert to identify somebody</t>
  </si>
  <si>
    <t>The OTP writing in several times in the same word is possible (as long as the ECC and the lock bits are not burned). The OTP-writing state machine takes care to mask the bit already burned (i.e. already at 1) to burn only the new bits.</t>
  </si>
  <si>
    <r>
      <rPr>
        <sz val="10"/>
        <rFont val="Arial"/>
        <family val="2"/>
      </rPr>
      <t>RX IP : BE process monitoring : add 3T Nnom and Mnom values, update the trim resolution</t>
    </r>
    <r>
      <rPr>
        <b/>
        <sz val="10"/>
        <rFont val="Arial"/>
        <family val="2"/>
      </rPr>
      <t xml:space="preserve">
</t>
    </r>
    <r>
      <rPr>
        <sz val="10"/>
        <rFont val="Arial"/>
        <family val="2"/>
      </rPr>
      <t>ChirpGen IP : MMD LDO trimming : add table with vout expected results</t>
    </r>
    <r>
      <rPr>
        <b/>
        <sz val="10"/>
        <rFont val="Arial"/>
        <family val="2"/>
      </rPr>
      <t xml:space="preserve">
</t>
    </r>
    <r>
      <rPr>
        <sz val="10"/>
        <rFont val="Arial"/>
        <family val="2"/>
      </rPr>
      <t>SOC HVLDO1v8 : add trimming default value for early samples</t>
    </r>
    <r>
      <rPr>
        <b/>
        <sz val="10"/>
        <rFont val="Arial"/>
        <family val="2"/>
      </rPr>
      <t xml:space="preserve">
</t>
    </r>
    <r>
      <rPr>
        <sz val="10"/>
        <rFont val="Arial"/>
        <family val="2"/>
      </rPr>
      <t>SOC TempSensor : add trimming default value for early samples</t>
    </r>
    <r>
      <rPr>
        <b/>
        <sz val="10"/>
        <rFont val="Arial"/>
        <family val="2"/>
      </rPr>
      <t xml:space="preserve">
</t>
    </r>
    <r>
      <rPr>
        <sz val="10"/>
        <rFont val="Arial"/>
        <family val="2"/>
      </rPr>
      <t>General information : Add note about OTP writing in several steps</t>
    </r>
    <r>
      <rPr>
        <b/>
        <sz val="10"/>
        <rFont val="Arial"/>
        <family val="2"/>
      </rPr>
      <t xml:space="preserve">
</t>
    </r>
    <r>
      <rPr>
        <sz val="10"/>
        <rFont val="Arial"/>
        <family val="2"/>
      </rPr>
      <t>MCGEN : the freq det trimming can be done by reading the ocii (TMUX isn't mandatory)</t>
    </r>
    <r>
      <rPr>
        <b/>
        <sz val="10"/>
        <rFont val="Arial"/>
        <family val="2"/>
      </rPr>
      <t xml:space="preserve">
</t>
    </r>
    <r>
      <rPr>
        <sz val="10"/>
        <rFont val="Arial"/>
        <family val="2"/>
      </rPr>
      <t>TBiST : rename VBGR trim in VdVGA trim</t>
    </r>
    <r>
      <rPr>
        <b/>
        <sz val="10"/>
        <rFont val="Arial"/>
        <family val="2"/>
      </rPr>
      <t xml:space="preserve">
</t>
    </r>
    <r>
      <rPr>
        <sz val="10"/>
        <rFont val="Arial"/>
        <family val="2"/>
      </rPr>
      <t>SOC LVDS : change the OTP bit status from "Not used" to "HW-based". Those bits stay trimmed at a default value.</t>
    </r>
    <r>
      <rPr>
        <b/>
        <sz val="10"/>
        <rFont val="Arial"/>
        <family val="2"/>
      </rPr>
      <t xml:space="preserve">
</t>
    </r>
    <r>
      <rPr>
        <sz val="10"/>
        <rFont val="Arial"/>
        <family val="2"/>
      </rPr>
      <t>ADC OffCorr Trim : correct LSB from 0.8V/1023 to 0.8V/1024</t>
    </r>
  </si>
  <si>
    <t>v16</t>
  </si>
  <si>
    <t>SOC HVLDO1v8 : add trimming default value for early samples</t>
  </si>
  <si>
    <t xml:space="preserve">IP Register </t>
  </si>
  <si>
    <t>Bit Field</t>
  </si>
  <si>
    <t>IP Module</t>
  </si>
  <si>
    <t>GLDO</t>
  </si>
  <si>
    <t xml:space="preserve"> </t>
  </si>
  <si>
    <t>0x0F</t>
  </si>
  <si>
    <t>0x00</t>
  </si>
  <si>
    <t>0x09</t>
  </si>
  <si>
    <t>0x08</t>
  </si>
  <si>
    <t>0x0</t>
  </si>
  <si>
    <t>0x32</t>
  </si>
  <si>
    <t>0x13</t>
  </si>
  <si>
    <t>0x07</t>
  </si>
  <si>
    <t>0x1F</t>
  </si>
  <si>
    <t>0x20</t>
  </si>
  <si>
    <t>0x15</t>
  </si>
  <si>
    <t>0x10</t>
  </si>
  <si>
    <t>0x04</t>
  </si>
  <si>
    <t>0x03</t>
  </si>
  <si>
    <t>0x02</t>
  </si>
  <si>
    <t>0x01</t>
  </si>
  <si>
    <t>Destination Register location</t>
  </si>
  <si>
    <t>v17</t>
  </si>
  <si>
    <t>Add default trim values in the 'RFE SOC FuseMap' sheet (input from Sandeep N V)</t>
  </si>
  <si>
    <t>For ES2 : Add rx bbd resistor trimming</t>
  </si>
  <si>
    <t>Charge Pump</t>
  </si>
  <si>
    <t>icp_ua&lt;15:0&gt;</t>
  </si>
  <si>
    <t>KVCO</t>
  </si>
  <si>
    <t>kvco1_mhzv&lt;15:0&gt;</t>
  </si>
  <si>
    <t>kvco2_mhzv&lt;15:0&gt;</t>
  </si>
  <si>
    <t>PCM_1</t>
  </si>
  <si>
    <t>ICP_UA</t>
  </si>
  <si>
    <t>PCM_2</t>
  </si>
  <si>
    <t>KVCO1_MHZV</t>
  </si>
  <si>
    <t>KVCO2_MHZV</t>
  </si>
  <si>
    <t>Cal DAC</t>
  </si>
  <si>
    <t>vco_r_ibias_set&lt;5:0&gt;</t>
  </si>
  <si>
    <t>RC_FREQ_MHZ</t>
  </si>
  <si>
    <t>rc_freq_mhz&lt;15:0&gt;</t>
  </si>
  <si>
    <t>2D0</t>
  </si>
  <si>
    <t>2D4</t>
  </si>
  <si>
    <t>v18</t>
  </si>
  <si>
    <t>ana_vco_ctl1_r_ibias_set</t>
  </si>
  <si>
    <t>ANA_VCO_CTL1</t>
  </si>
  <si>
    <t>R_IBIAS_SET</t>
  </si>
  <si>
    <r>
      <t>•</t>
    </r>
    <r>
      <rPr>
        <sz val="11"/>
        <color rgb="FF000000"/>
        <rFont val="Calibri"/>
        <family val="2"/>
        <scheme val="minor"/>
      </rPr>
      <t>Set VCO bias current to lowest value to avoid too high VCO amplitude.</t>
    </r>
  </si>
  <si>
    <r>
      <t>•</t>
    </r>
    <r>
      <rPr>
        <sz val="11"/>
        <color rgb="FF000000"/>
        <rFont val="Calibri"/>
        <family val="2"/>
        <scheme val="minor"/>
      </rPr>
      <t>Set VCO to lowest frequency to avoid too high VCO amplitude.</t>
    </r>
  </si>
  <si>
    <t>Jimmy Carlsson</t>
  </si>
  <si>
    <t>Andreas Dreyfert</t>
  </si>
  <si>
    <t>VCO</t>
  </si>
  <si>
    <t>P0_ANA_VCO_CTL1</t>
  </si>
  <si>
    <t>VCO_SEL</t>
  </si>
  <si>
    <t>CURRENT</t>
  </si>
  <si>
    <t>TUNING</t>
  </si>
  <si>
    <t>SW_CTL</t>
  </si>
  <si>
    <t>CHIRP_PROFILE_SEL</t>
  </si>
  <si>
    <t>TE_OVERRULE_EN</t>
  </si>
  <si>
    <t>DEBUG_CTL</t>
  </si>
  <si>
    <t>PROFILE_LOAD_CW</t>
  </si>
  <si>
    <t>VCO_EN</t>
  </si>
  <si>
    <t>ATB1_EN</t>
  </si>
  <si>
    <t>ATB1_SEL</t>
  </si>
  <si>
    <t>Sweep VCO bias block resistor programming from 0 to 31 (the MSB is not used)</t>
  </si>
  <si>
    <t>Measure current via RFE ATB ADC</t>
  </si>
  <si>
    <t>0 to 31</t>
  </si>
  <si>
    <t>The current shall be a centered distribution on 20uA</t>
  </si>
  <si>
    <t>With the same measurement procedure with the trimmed code, measure the current on 4GHz VCO</t>
  </si>
  <si>
    <t>It has to be after the ChirpGen HVLDO BG</t>
  </si>
  <si>
    <t>ChirpGen VCO</t>
  </si>
  <si>
    <t>RC Osc</t>
  </si>
  <si>
    <t>RCOsc</t>
  </si>
  <si>
    <t>Kamlesh Badiyari</t>
  </si>
  <si>
    <t>Kamal Gupta</t>
  </si>
  <si>
    <t>pcm_3_rc_freq_mhz</t>
  </si>
  <si>
    <t>p0_ana_vco_ctl1_vco_sel</t>
  </si>
  <si>
    <t>p0_ana_vco_ctl1_current</t>
  </si>
  <si>
    <t>p0_ana_vco_ctl1_tuning</t>
  </si>
  <si>
    <t>sw_ctl_chirp_profile_sel</t>
  </si>
  <si>
    <t>sw_ctl_te_overrule_en</t>
  </si>
  <si>
    <t>debug_ctl_profile_load_cw</t>
  </si>
  <si>
    <t>ana_vco_ctl1_vco_en</t>
  </si>
  <si>
    <t>atb_atb1_en</t>
  </si>
  <si>
    <t>atb_atb1_sel</t>
  </si>
  <si>
    <t>pcm_2_kvco1_mhzv</t>
  </si>
  <si>
    <t>pcm_2_kvco2_mhzv</t>
  </si>
  <si>
    <t>Trim RMS level-detector</t>
  </si>
  <si>
    <t>Trim VCO bias</t>
  </si>
  <si>
    <t>Program chirp profile 0</t>
  </si>
  <si>
    <t>Select profile 0</t>
  </si>
  <si>
    <t>Load profile via debug register</t>
  </si>
  <si>
    <t>Enable VCO</t>
  </si>
  <si>
    <t>Measure Vtune with ATB ADC</t>
  </si>
  <si>
    <t>0x25</t>
  </si>
  <si>
    <t>0x7</t>
  </si>
  <si>
    <t>0x0A</t>
  </si>
  <si>
    <t>0x3</t>
  </si>
  <si>
    <t>0x1</t>
  </si>
  <si>
    <t>0x0000</t>
  </si>
  <si>
    <t>Overrule timing engine</t>
  </si>
  <si>
    <t>Enable ATB1</t>
  </si>
  <si>
    <t>Connect 20uA 1GHz VCO bias block test current to ATB1</t>
  </si>
  <si>
    <t>Connect 20uA 4GHz VCO bias block test current to ATB1</t>
  </si>
  <si>
    <t>Calculate the average current between the 2 VCO ibias for each trim code</t>
  </si>
  <si>
    <t>Choose code for the averaged current closest to 20uA</t>
  </si>
  <si>
    <t>Sources</t>
  </si>
  <si>
    <t>Cal DAC documentation</t>
  </si>
  <si>
    <t>ChirpGen KVCO</t>
  </si>
  <si>
    <t>ChirpGen CalDAC</t>
  </si>
  <si>
    <t>ChirpGen CP</t>
  </si>
  <si>
    <t>ChirpGen RCOsc</t>
  </si>
  <si>
    <t>pcm_1_icp_ua</t>
  </si>
  <si>
    <t>Vladislav Dyachenko</t>
  </si>
  <si>
    <t>v19</t>
  </si>
  <si>
    <t>Lei Ma</t>
  </si>
  <si>
    <t>Update LLDOdig OVUV BG trimming</t>
  </si>
  <si>
    <t>0VUV BG 0v9 output voltage</t>
  </si>
  <si>
    <t>Measure via the ATB the 'vref_0v9_ovuv' bandgap output voltage for all BG setdc codes. See figure 6</t>
  </si>
  <si>
    <r>
      <rPr>
        <u/>
        <sz val="11"/>
        <color theme="1"/>
        <rFont val="Calibri"/>
        <family val="2"/>
        <scheme val="minor"/>
      </rPr>
      <t>Note :</t>
    </r>
    <r>
      <rPr>
        <sz val="11"/>
        <color theme="1"/>
        <rFont val="Calibri"/>
        <family val="2"/>
        <scheme val="minor"/>
      </rPr>
      <t xml:space="preserve"> the output voltage is buffered and with high ohmic. Due to the current leakage in the ATB ESD protection, an external resource cannot be used for this measurement.</t>
    </r>
  </si>
  <si>
    <t>The ATB 10b-ADC has to be used with Div/2 mode</t>
  </si>
  <si>
    <t>Default Trim value (hex)</t>
  </si>
  <si>
    <t>0x09C4</t>
  </si>
  <si>
    <t>0x1C20</t>
  </si>
  <si>
    <t>AAFC documentation</t>
  </si>
  <si>
    <t>Not applicable. See the procedure below</t>
  </si>
  <si>
    <r>
      <t>Trim CalDAC</t>
    </r>
    <r>
      <rPr>
        <sz val="11"/>
        <color rgb="FF000000"/>
        <rFont val="Calibri"/>
        <family val="2"/>
        <scheme val="minor"/>
      </rPr>
      <t xml:space="preserve"> isn't a predecessors because the CalDAC trimming compensation is SW-based. The CalDAC usage here, through the ocii, won't benefit of the trimming result. </t>
    </r>
  </si>
  <si>
    <t>ana_lpf_ctl5_lpf_prog_force_voltage</t>
  </si>
  <si>
    <t>LPF_PROG_FORCE_VOLTAGE</t>
  </si>
  <si>
    <t>ANA_LPF_CTL5</t>
  </si>
  <si>
    <t>LPF_FORCE_VTUNE_EN</t>
  </si>
  <si>
    <t>OTP register coding is 1LSB = 100kHz/V</t>
  </si>
  <si>
    <t>Calculate Kvco1=Abs(deltaF/deltaV)</t>
  </si>
  <si>
    <t>Note : To avoid any sudden high current surge, DAC must always be started with the highest code and gradually move, each code with interval of 10us, to the desired code.</t>
  </si>
  <si>
    <t>AAFC block diagram</t>
  </si>
  <si>
    <t>f_vco_div = 9.8GHz / 16 = 612.5MHz</t>
  </si>
  <si>
    <t>AFC_CTL2</t>
  </si>
  <si>
    <t>AFC_ENABLE</t>
  </si>
  <si>
    <t>AAC_ENABLE</t>
  </si>
  <si>
    <t>read</t>
  </si>
  <si>
    <t>Value
(dec)</t>
  </si>
  <si>
    <r>
      <rPr>
        <u/>
        <sz val="11"/>
        <color theme="1"/>
        <rFont val="Calibri"/>
        <family val="2"/>
        <scheme val="minor"/>
      </rPr>
      <t>Note:</t>
    </r>
    <r>
      <rPr>
        <sz val="11"/>
        <color theme="1"/>
        <rFont val="Calibri"/>
        <family val="2"/>
        <scheme val="minor"/>
      </rPr>
      <t xml:space="preserve"> the TX ADC can be used for this measurement.</t>
    </r>
  </si>
  <si>
    <t>'RFE SOC Fusemap' sheet : corrections in the destination register location register names, complete the HW-based default values
Chirpgen trimmings :
- artf915371 : add provision in the FuseMap for CAL DAC trimming. Procedure isn't available
- artf915465 : add VCO ibias trimming
- artf915504 : add provision in the FuseMap for RCOsc trimming. Procedure isn't available
- artf915501 : update VCO level detector trimming targets and default values
- artf915509 : add KVCO trimming
- artf915510 : update resohm trimming : measurement is done at res trim code 15. No res sweep anymore. Update default value
- artf915516 : add provision in the FuseMap for CP trimming. Procedure isn't available
TXBiST VdVGA trimming : update the recommandation about the ADC usage : shall be the TX ADC.
BBBiST Gain : update trimming target value
Update the 'RFE OTP Version' value</t>
  </si>
  <si>
    <r>
      <t>•</t>
    </r>
    <r>
      <rPr>
        <sz val="11"/>
        <color rgb="FF000000"/>
        <rFont val="Calibri"/>
        <family val="2"/>
        <scheme val="minor"/>
      </rPr>
      <t xml:space="preserve">Select VCO: </t>
    </r>
    <r>
      <rPr>
        <sz val="11"/>
        <color theme="1"/>
        <rFont val="Calibri"/>
        <family val="2"/>
        <scheme val="minor"/>
      </rPr>
      <t>1GHz (low gain) VCO</t>
    </r>
  </si>
  <si>
    <r>
      <t>•</t>
    </r>
    <r>
      <rPr>
        <sz val="11"/>
        <color rgb="FF000000"/>
        <rFont val="Calibri"/>
        <family val="2"/>
        <scheme val="minor"/>
      </rPr>
      <t xml:space="preserve">Select VCO: </t>
    </r>
    <r>
      <rPr>
        <sz val="11"/>
        <color theme="1"/>
        <rFont val="Calibri"/>
        <family val="2"/>
        <scheme val="minor"/>
      </rPr>
      <t>4GHz (high gain) VCO</t>
    </r>
  </si>
  <si>
    <t>afc_ctl2_afc_enable</t>
  </si>
  <si>
    <t>afc_ctl2_aac_enable</t>
  </si>
  <si>
    <t>freq_cnt_start_freq_start</t>
  </si>
  <si>
    <t>FREQ_CNT_START</t>
  </si>
  <si>
    <t>FREQ_START</t>
  </si>
  <si>
    <t>GLOBAL BIAS</t>
  </si>
  <si>
    <t>LO INTERFACE</t>
  </si>
  <si>
    <t>LDO PDC</t>
  </si>
  <si>
    <t>LDO DIG</t>
  </si>
  <si>
    <t>TX 1</t>
  </si>
  <si>
    <t>TX 2</t>
  </si>
  <si>
    <t>TX 3</t>
  </si>
  <si>
    <t>TX 4</t>
  </si>
  <si>
    <t>TEMP 2</t>
  </si>
  <si>
    <t>TEMP 3</t>
  </si>
  <si>
    <t>TEMP 4</t>
  </si>
  <si>
    <t>TEMP 1</t>
  </si>
  <si>
    <t>IP Prefix</t>
  </si>
  <si>
    <t>Bus</t>
  </si>
  <si>
    <t>SPI</t>
  </si>
  <si>
    <t>REG</t>
  </si>
  <si>
    <t>GBIAS</t>
  </si>
  <si>
    <t>TSENSE</t>
  </si>
  <si>
    <t>CHIRPPLL</t>
  </si>
  <si>
    <t>LLDOPDC</t>
  </si>
  <si>
    <t>LLDODIG</t>
  </si>
  <si>
    <t>hvldo_bg_set_dc&lt;3:0&gt;</t>
  </si>
  <si>
    <t>0xA4B3</t>
  </si>
  <si>
    <t>0xB80B</t>
  </si>
  <si>
    <t>0x7574</t>
  </si>
  <si>
    <t>Source</t>
  </si>
  <si>
    <r>
      <t xml:space="preserve">Unit cells to measure the unit cell current located in the cell </t>
    </r>
    <r>
      <rPr>
        <b/>
        <sz val="10"/>
        <color theme="1"/>
        <rFont val="Arial"/>
        <family val="2"/>
      </rPr>
      <t>ida_mmw_rfe_chirppll_cp_cells_main</t>
    </r>
    <r>
      <rPr>
        <sz val="10"/>
        <color theme="1"/>
        <rFont val="Arial"/>
        <family val="2"/>
      </rPr>
      <t xml:space="preserve"> under names </t>
    </r>
    <r>
      <rPr>
        <b/>
        <sz val="10"/>
        <color theme="1"/>
        <rFont val="Arial"/>
        <family val="2"/>
      </rPr>
      <t>i_cell_atb_pmos</t>
    </r>
    <r>
      <rPr>
        <sz val="10"/>
        <color theme="1"/>
        <rFont val="Arial"/>
        <family val="2"/>
      </rPr>
      <t xml:space="preserve"> and </t>
    </r>
    <r>
      <rPr>
        <b/>
        <sz val="10"/>
        <color theme="1"/>
        <rFont val="Arial"/>
        <family val="2"/>
      </rPr>
      <t>i_cell_atb_nmos</t>
    </r>
    <r>
      <rPr>
        <sz val="10"/>
        <color theme="1"/>
        <rFont val="Arial"/>
        <family val="2"/>
      </rPr>
      <t xml:space="preserve">. </t>
    </r>
  </si>
  <si>
    <r>
      <t xml:space="preserve">One of the cell is hard wired to provide NMOS current, and another one to provide PMOS current. Outputs of these cells are connected to </t>
    </r>
    <r>
      <rPr>
        <b/>
        <sz val="10"/>
        <color theme="1"/>
        <rFont val="Arial"/>
        <family val="2"/>
      </rPr>
      <t>ida_mmw_rfe_chirppll_atb_current_sense_10u</t>
    </r>
    <r>
      <rPr>
        <sz val="10"/>
        <color theme="1"/>
        <rFont val="Arial"/>
        <family val="2"/>
      </rPr>
      <t>, which shown below</t>
    </r>
    <r>
      <rPr>
        <b/>
        <sz val="10"/>
        <color theme="1"/>
        <rFont val="Arial"/>
        <family val="2"/>
      </rPr>
      <t>:</t>
    </r>
  </si>
  <si>
    <t xml:space="preserve">PMOS current is applied to i_in input, and NMOS current to i_out, these currents applied to resistors R1 and R0, creating voltage drop that can be measured via the ATB switches. When the voltage and resistors R0/R1 are known, currents can be calculated.  </t>
  </si>
  <si>
    <t>Values of the resistors R1/R0 can be estimated  by performing open and short measurements to exclude series resistance of the ATB switches and ATB routing.</t>
  </si>
  <si>
    <t>Store the averaged absolute current value with the resolution 1LSB = 1nA</t>
  </si>
  <si>
    <t>Average( Abs(In), Abs(Ip) )</t>
  </si>
  <si>
    <t>Trimming repeatability is limited by the measurement accuracy, not by the register resolution.</t>
  </si>
  <si>
    <t>It should be a distribution centered on 10 000nA.</t>
  </si>
  <si>
    <t>0x2710</t>
  </si>
  <si>
    <t>v20</t>
  </si>
  <si>
    <t>Documentation extract :</t>
  </si>
  <si>
    <r>
      <t>1.</t>
    </r>
    <r>
      <rPr>
        <sz val="11"/>
        <color theme="1"/>
        <rFont val="Calibri"/>
        <family val="2"/>
        <scheme val="minor"/>
      </rPr>
      <t>     Measure resistor value R1</t>
    </r>
  </si>
  <si>
    <r>
      <t>1.1</t>
    </r>
    <r>
      <rPr>
        <sz val="11"/>
        <color theme="1"/>
        <rFont val="Calibri"/>
        <family val="2"/>
        <scheme val="minor"/>
      </rPr>
      <t>  Set atb_ctl_cp_isense_en_cur_ls=0,  atb_ctl_cp_isense_sw_res_ls=0, atb_ctl_cp_pcell_i_pmos_ls = 1;  atb_ctl_cp_pcell_i_nmos_ls = 0;</t>
    </r>
  </si>
  <si>
    <r>
      <t>1.2</t>
    </r>
    <r>
      <rPr>
        <sz val="11"/>
        <color theme="1"/>
        <rFont val="Calibri"/>
        <family val="2"/>
        <scheme val="minor"/>
      </rPr>
      <t>  Apply a small current Iref between dcbbus_p and dcbus_n and measure ATB voltage Vo1. Alternatively, use multimeter to measure Ro1</t>
    </r>
  </si>
  <si>
    <r>
      <t>1.3</t>
    </r>
    <r>
      <rPr>
        <sz val="11"/>
        <color theme="1"/>
        <rFont val="Calibri"/>
        <family val="2"/>
        <scheme val="minor"/>
      </rPr>
      <t>  Set atb_ctl_cp_isense_sw_res_ls=1</t>
    </r>
  </si>
  <si>
    <r>
      <t>1.4</t>
    </r>
    <r>
      <rPr>
        <sz val="11"/>
        <color theme="1"/>
        <rFont val="Calibri"/>
        <family val="2"/>
        <scheme val="minor"/>
      </rPr>
      <t>  Apply a small current source Iref between dcbbus_p and dcbus_n and measure voltage Vs1. Alternatively, use multimeter to measure Rs1</t>
    </r>
  </si>
  <si>
    <r>
      <t>1.5</t>
    </r>
    <r>
      <rPr>
        <sz val="11"/>
        <color theme="1"/>
        <rFont val="Calibri"/>
        <family val="2"/>
        <scheme val="minor"/>
      </rPr>
      <t>  Calculate R1 = (Vo1 – Vs1)/Iref. If multimeter was used, simply R1 = Ro1 - Rs1</t>
    </r>
  </si>
  <si>
    <r>
      <t>2.</t>
    </r>
    <r>
      <rPr>
        <sz val="11"/>
        <color theme="1"/>
        <rFont val="Calibri"/>
        <family val="2"/>
        <scheme val="minor"/>
      </rPr>
      <t>     Measure PMOS current</t>
    </r>
  </si>
  <si>
    <r>
      <t>2.1</t>
    </r>
    <r>
      <rPr>
        <sz val="11"/>
        <color theme="1"/>
        <rFont val="Calibri"/>
        <family val="2"/>
        <scheme val="minor"/>
      </rPr>
      <t>  Set atb_ctl_cp_isense_en_cur_ls=1, atb_ctl_cp_isense_sw_res_ls=0, atb_ctl_cp_pcell_i_pmos_ls = 1;  atb_ctl_cp_pcell_i_nmos_ls= 0</t>
    </r>
  </si>
  <si>
    <r>
      <t>2.2</t>
    </r>
    <r>
      <rPr>
        <sz val="11"/>
        <color theme="1"/>
        <rFont val="Calibri"/>
        <family val="2"/>
        <scheme val="minor"/>
      </rPr>
      <t>  Measure ATB voltage Vo2</t>
    </r>
  </si>
  <si>
    <r>
      <t>2.3</t>
    </r>
    <r>
      <rPr>
        <sz val="11"/>
        <color theme="1"/>
        <rFont val="Calibri"/>
        <family val="2"/>
        <scheme val="minor"/>
      </rPr>
      <t>  Calculate PMOS current  Ip = Vo2/R1</t>
    </r>
  </si>
  <si>
    <r>
      <t>3.</t>
    </r>
    <r>
      <rPr>
        <sz val="11"/>
        <color theme="1"/>
        <rFont val="Calibri"/>
        <family val="2"/>
        <scheme val="minor"/>
      </rPr>
      <t>     Measure resistor value  R0</t>
    </r>
  </si>
  <si>
    <r>
      <t>4.</t>
    </r>
    <r>
      <rPr>
        <sz val="11"/>
        <color theme="1"/>
        <rFont val="Calibri"/>
        <family val="2"/>
        <scheme val="minor"/>
      </rPr>
      <t>     Measure NMOS current</t>
    </r>
  </si>
  <si>
    <r>
      <t>3.1</t>
    </r>
    <r>
      <rPr>
        <sz val="11"/>
        <color theme="1"/>
        <rFont val="Calibri"/>
        <family val="2"/>
        <scheme val="minor"/>
      </rPr>
      <t>  Set atb_ctl_cp_isense_en_cur_ls=0, atb_ctl_cp_isense_sw_res_ls=0, atb_ctl_cp_pcell_i_pmos_ls = 0;  atb_ctl_cp_pcell_i_nmos_ls = 1;</t>
    </r>
  </si>
  <si>
    <r>
      <t>3.2</t>
    </r>
    <r>
      <rPr>
        <sz val="11"/>
        <color theme="1"/>
        <rFont val="Calibri"/>
        <family val="2"/>
        <scheme val="minor"/>
      </rPr>
      <t>  Apply a small current source Iref between dcbbus_p and dcbus_n and measure ATB voltage Vo3. Alternatively, use multimeter to measure Ro3</t>
    </r>
  </si>
  <si>
    <r>
      <t>3.3</t>
    </r>
    <r>
      <rPr>
        <sz val="11"/>
        <color theme="1"/>
        <rFont val="Calibri"/>
        <family val="2"/>
        <scheme val="minor"/>
      </rPr>
      <t>  Set atb_ctl_cp_isense_sw_res_ls=1</t>
    </r>
  </si>
  <si>
    <r>
      <t>3.4</t>
    </r>
    <r>
      <rPr>
        <sz val="11"/>
        <color theme="1"/>
        <rFont val="Calibri"/>
        <family val="2"/>
        <scheme val="minor"/>
      </rPr>
      <t>  Apply current source Iref between dcbbus_p and dcbus_n and measure voltage Vs3. Alternatively, use multimeter to measure Rs3</t>
    </r>
  </si>
  <si>
    <r>
      <t>3.5</t>
    </r>
    <r>
      <rPr>
        <sz val="11"/>
        <color theme="1"/>
        <rFont val="Calibri"/>
        <family val="2"/>
        <scheme val="minor"/>
      </rPr>
      <t>  Calculate R0 = (Vo3 – Vs3)/Iref. If multimeter was used, simply R0 = Ro3 – Rs3</t>
    </r>
  </si>
  <si>
    <r>
      <t>4.1</t>
    </r>
    <r>
      <rPr>
        <sz val="11"/>
        <color theme="1"/>
        <rFont val="Calibri"/>
        <family val="2"/>
        <scheme val="minor"/>
      </rPr>
      <t>  Set atb_ctl_cp_isense_en_cur_ls=1, atb_ctl_cp_isense_sw_res_ls=0, atb_ctl_cp_pcell_i_pmos_ls = 0;  atb_ctl_cp_pcell_i_nmos_ls= 1</t>
    </r>
  </si>
  <si>
    <r>
      <t>4.2</t>
    </r>
    <r>
      <rPr>
        <sz val="11"/>
        <color theme="1"/>
        <rFont val="Calibri"/>
        <family val="2"/>
        <scheme val="minor"/>
      </rPr>
      <t>  Measure ATB voltage Vo4</t>
    </r>
  </si>
  <si>
    <t>4.3  Calculate PMOS current  In = Vo4/R0</t>
  </si>
  <si>
    <t>ANA_RMSDET_CTL</t>
  </si>
  <si>
    <t>RMS_EN</t>
  </si>
  <si>
    <t>VCO_AMP_MONITOR_EN</t>
  </si>
  <si>
    <t>RMS_EN_CAL_CUR</t>
  </si>
  <si>
    <t>RMS_EN_CAL_OFFSET</t>
  </si>
  <si>
    <t>RMS_SEL</t>
  </si>
  <si>
    <t>RMS_MEAS_IN_OUT</t>
  </si>
  <si>
    <t>RMS_CAL_CUR</t>
  </si>
  <si>
    <t>ANA_FUSA_CTL</t>
  </si>
  <si>
    <t>LVL_VCO_MIN_RST_ERR_DBG</t>
  </si>
  <si>
    <t>ANA_STATUS</t>
  </si>
  <si>
    <t>LEVEL_VCO_MIN_FLAG_N</t>
  </si>
  <si>
    <t>1. Charaterize the RMS detector Cal current :</t>
  </si>
  <si>
    <t>Connect RMS detector to ATB1</t>
  </si>
  <si>
    <t>Enable vco RMS detector</t>
  </si>
  <si>
    <t>Enable VCO amp monitor</t>
  </si>
  <si>
    <t>Enable RMS Detector calibration current</t>
  </si>
  <si>
    <t>Enable RMS detector cal offset</t>
  </si>
  <si>
    <t>Select RMS detector input (1 : Low-gain 1GHz VCO)</t>
  </si>
  <si>
    <t>Connect input of amplitude detector to RMS detector ATB test point</t>
  </si>
  <si>
    <t>Measure the RMS detector cal current on the ATB1 for all RMS_CAL_CUR codes</t>
  </si>
  <si>
    <t>Find the best code for :</t>
  </si>
  <si>
    <t>2. Trim the VCO MIN</t>
  </si>
  <si>
    <t>Connect output of RMS detector to ATB1</t>
  </si>
  <si>
    <t>0 to 63</t>
  </si>
  <si>
    <t>Store found code in the register and in OTP</t>
  </si>
  <si>
    <t>ana_rmsdet_ctl_rms_en</t>
  </si>
  <si>
    <t>ana_vco_ctl1_vco_amp_monitor_en</t>
  </si>
  <si>
    <t>ana_rmsdet_ctl_rms_en_cal_cur</t>
  </si>
  <si>
    <t>ana_rmsdet_ctl_rms_en_cal_offset</t>
  </si>
  <si>
    <t>ana_rmsdet_ctl_rms_sel</t>
  </si>
  <si>
    <t>ana_rmsdet_ctl_rms_meas_in_out</t>
  </si>
  <si>
    <t>ana_rmsdet_ctl_rms_cal_cur</t>
  </si>
  <si>
    <t>ana_fusa_ctl_lvl_vco_min_rst_err_dbg</t>
  </si>
  <si>
    <t>ana_status_level_vco_min_flag_n</t>
  </si>
  <si>
    <t>Set RMS_CAL_CUR to code found in previous step</t>
  </si>
  <si>
    <t>VCO_MIN code</t>
  </si>
  <si>
    <t>VCO_MIN RMS_CAL_CUR code</t>
  </si>
  <si>
    <t>VCO_MAX RMS_CAL_CUR code</t>
  </si>
  <si>
    <t>VCO_MAX code</t>
  </si>
  <si>
    <t>LVL_VCO_MAX_RST_ERR_DBG</t>
  </si>
  <si>
    <t>VCO_LOW RMS_CAL_CUR code</t>
  </si>
  <si>
    <t>VCO_LOW code</t>
  </si>
  <si>
    <t>VCO_HIGH RMS_CAL_CUR code</t>
  </si>
  <si>
    <t>VCO_HIGH code</t>
  </si>
  <si>
    <t>TEST_RESET_ERROR</t>
  </si>
  <si>
    <t>VCO_LEVEL_LO_ERR</t>
  </si>
  <si>
    <t>VCO_LEVEL_HI_ERR</t>
  </si>
  <si>
    <t>LEVEL_VCO_MAX_FLAG_N</t>
  </si>
  <si>
    <t>ERROR_STATUS</t>
  </si>
  <si>
    <t>ana_fusa_ctl_lvl_vco_max_rst_err_dbg</t>
  </si>
  <si>
    <t>ana_status_level_vco_max_flag_n</t>
  </si>
  <si>
    <t>test_reset_error_vco_level_lo_err</t>
  </si>
  <si>
    <t>test_reset_error_vco_level_hi_err</t>
  </si>
  <si>
    <t>3. Trim the VCO MAX</t>
  </si>
  <si>
    <t>4. Trim the VCO LOW</t>
  </si>
  <si>
    <t>5. Trim the VCO HIGH</t>
  </si>
  <si>
    <t>v21</t>
  </si>
  <si>
    <t>artf915501 : Add ChirpGen VCO level detector trimming procedure, update default values
'RFE SOC Fusemap' sheet : minor updates in 'destination register location' columns for SW</t>
  </si>
  <si>
    <r>
      <rPr>
        <sz val="10"/>
        <rFont val="Arial"/>
        <family val="2"/>
      </rPr>
      <t>artf915516 : Add ChirpGen CP trimming procedure, update default value
ATB : correct the register name for atb1_set_adc_ldo_vdda and atb1_set_adc_ldo_vdda trimmings</t>
    </r>
    <r>
      <rPr>
        <b/>
        <sz val="10"/>
        <rFont val="Arial"/>
        <family val="2"/>
      </rPr>
      <t xml:space="preserve">
</t>
    </r>
    <r>
      <rPr>
        <sz val="10"/>
        <rFont val="Arial"/>
        <family val="2"/>
      </rPr>
      <t>'RFE SOC Fusemap' sheet : adapt 'destination register location' columns to the SW needs
SOC &amp; RFE TempSensors : Update val_a, val_b, val_alpha default values</t>
    </r>
  </si>
  <si>
    <t>v22</t>
  </si>
  <si>
    <t>xout_ideal = val_a * ( val_alpha / ( Tdie - val_b ) ) - val_alpha</t>
  </si>
  <si>
    <t>0x31</t>
  </si>
  <si>
    <t>0x34</t>
  </si>
  <si>
    <t>63 to 0</t>
  </si>
  <si>
    <t>For each trim code from 0 to 63 :</t>
  </si>
  <si>
    <t>For each trim code from 63 to 0 :</t>
  </si>
  <si>
    <t>KVCO1 Trimming :</t>
  </si>
  <si>
    <t>KVCO2 trimming :</t>
  </si>
  <si>
    <t>Note : the ATB SOC resistors have to be calibrated ahead.</t>
  </si>
  <si>
    <t>AAFC_SW_CTL</t>
  </si>
  <si>
    <t>START_CHIRP_CALIBRATION</t>
  </si>
  <si>
    <t>aafc_sw_ctl_start_chirp_calibration</t>
  </si>
  <si>
    <t>Force Vtune to 0.6V using caldac</t>
  </si>
  <si>
    <t>0.59V</t>
  </si>
  <si>
    <t>Force Vtune to 1.4V using caldac</t>
  </si>
  <si>
    <t>1.38V</t>
  </si>
  <si>
    <t>Wait at least 450us</t>
  </si>
  <si>
    <t>Start the ADC measurement (via the SPI register field to set at 1, or via the OCII field to set at 1 and then to set back at 0 after at least 450us)</t>
  </si>
  <si>
    <t>Tdie = coef_3*dVbe^3 + coef_2*dVbe^2 + coef_1*dVbe + coef_0</t>
  </si>
  <si>
    <t>with</t>
  </si>
  <si>
    <t>coef_3</t>
  </si>
  <si>
    <t>coef_2</t>
  </si>
  <si>
    <t>coef_1</t>
  </si>
  <si>
    <t>coef_0</t>
  </si>
  <si>
    <t>Calculate dVbe :</t>
  </si>
  <si>
    <t>DBG_ADCOUT_VCAL</t>
  </si>
  <si>
    <t>SOC &amp; RFE Tsense : update the procedure (formulas &amp; registers)
artf892363 : update LLDO PDC output voltage target to 0v945
artf915501 : update ChirpGen VCO level detector trimming procedure, update default values
artf915509 : update ChirpGen KVCO trimming procedure as requested in the document review</t>
  </si>
  <si>
    <t>dVbe = adcout * Vref / Nadc   (Nadc = 6, Vref = ~1.25V as measured by the BADC ATE resource)</t>
  </si>
  <si>
    <t>v23</t>
  </si>
  <si>
    <t>Jürgen Marschner</t>
  </si>
  <si>
    <t>Added default value for FIRC freq_sel&lt;17:0&gt; based on first measurements in the lab</t>
  </si>
  <si>
    <t>v24</t>
  </si>
  <si>
    <t>0x4AC1</t>
  </si>
  <si>
    <r>
      <t xml:space="preserve">Ramp trim bits in the range of 000 10010 </t>
    </r>
    <r>
      <rPr>
        <sz val="11"/>
        <color rgb="FFED7D31"/>
        <rFont val="Calibri"/>
        <family val="2"/>
        <scheme val="minor"/>
      </rPr>
      <t xml:space="preserve">00 0000 0000 </t>
    </r>
    <r>
      <rPr>
        <sz val="11"/>
        <color theme="1"/>
        <rFont val="Calibri"/>
        <family val="2"/>
        <scheme val="minor"/>
      </rPr>
      <t xml:space="preserve">to 000 10010 </t>
    </r>
    <r>
      <rPr>
        <sz val="11"/>
        <color rgb="FFED7D31"/>
        <rFont val="Calibri"/>
        <family val="2"/>
        <scheme val="minor"/>
      </rPr>
      <t>11 1111 1111</t>
    </r>
    <r>
      <rPr>
        <sz val="11"/>
        <color theme="1"/>
        <rFont val="Calibri"/>
        <family val="2"/>
        <scheme val="minor"/>
      </rPr>
      <t xml:space="preserve"> (only yellow bits to be touched)</t>
    </r>
  </si>
  <si>
    <t>Update GPADC BG trimming procedure following the blueprint
Update the FIRC measurement range</t>
  </si>
  <si>
    <t>Set CAL_DAC to the highest code</t>
  </si>
  <si>
    <t>Enable current mirror bias</t>
  </si>
  <si>
    <t>LPF_BIASMIRROR_EN</t>
  </si>
  <si>
    <t>Enable CAL_DAC</t>
  </si>
  <si>
    <t>0x5</t>
  </si>
  <si>
    <t>0x3A</t>
  </si>
  <si>
    <t>The offset should be a distribution centered on 390mV</t>
  </si>
  <si>
    <t>no target, see below</t>
  </si>
  <si>
    <t>0x186</t>
  </si>
  <si>
    <t>v25</t>
  </si>
  <si>
    <t>artf915513 : ChirpGen Vtune detector trimming : update target and default values
artf915371 : ChirpGen CAL DAC trimming : update the procedure, the fusemap, the default value, the targetted SPI register
Update the T0 trimming program content (Column AC in RFE SOC FuseMap)
Update the 'RFE OTP Version' value</t>
  </si>
  <si>
    <t xml:space="preserve">          VCO_HIGH: 1.70*0.226/sqrt(2)=271.7mV</t>
  </si>
  <si>
    <t xml:space="preserve">          VCO_LOW: 0.60*0.226/sqrt(2)=95.9mV</t>
  </si>
  <si>
    <t xml:space="preserve">          VCO_MIN: 1.05*0.226/sqrt(2)=167.8mV</t>
  </si>
  <si>
    <t xml:space="preserve">          VCO_MAX: 1.55*0.226/sqrt(2)=247.7mV</t>
  </si>
  <si>
    <t>error_status_vco_level_lo_err_n</t>
  </si>
  <si>
    <t>error_status_vco_level_hi_err_n</t>
  </si>
  <si>
    <t>Reset relevant latch in analog</t>
  </si>
  <si>
    <t>Monitor the relevant error flag and when going low, record the code</t>
  </si>
  <si>
    <t>v26</t>
  </si>
  <si>
    <t>FUSA_FREQ_MEA_EN</t>
  </si>
  <si>
    <t>freq_cnt_start_fusa_freq_mea_en</t>
  </si>
  <si>
    <t>FREQ_CNT_READ</t>
  </si>
  <si>
    <t>DONE_FLAG</t>
  </si>
  <si>
    <t>freq_cnt_read_done_flag</t>
  </si>
  <si>
    <t>read expected at 1</t>
  </si>
  <si>
    <t>ana_misc_ctl_rcosc_enable</t>
  </si>
  <si>
    <t>RCOSC_ENABLE</t>
  </si>
  <si>
    <t>Measure F_20M frequency</t>
  </si>
  <si>
    <t>K1_20M = 0.784 , K2_100M = 0.631</t>
  </si>
  <si>
    <t>Write the result in the SPI register in the OTP. The register coding is 1LSB = 1KHz</t>
  </si>
  <si>
    <t>Cringo should be a centered distribution around 1.05935pF</t>
  </si>
  <si>
    <t>Measure F_100M frequency</t>
  </si>
  <si>
    <t>SEL_FREQ_CTR_CLK</t>
  </si>
  <si>
    <t>ana_misc_ctl_sel_freq_ctr_clk</t>
  </si>
  <si>
    <t>Measure the VCO div-16  frequency</t>
  </si>
  <si>
    <t>RCOSC_SPARE2</t>
  </si>
  <si>
    <t>ana_misc_ctl_rcosc_spare2</t>
  </si>
  <si>
    <t>Calculate Cringo = (  (1/6/F_20M) - (1/6/F_100M)  ) /  ( K1_20M*Rringo20M – K2_100M*Rringo100M)</t>
  </si>
  <si>
    <t>Rringo100M = R_bias/12/alpha100M</t>
  </si>
  <si>
    <t>R_bias is the measured impedance during the ChirpGen RES_OHM trimming</t>
  </si>
  <si>
    <t>alpha20M = 0.1467480  and alpha100M = 0.62493452</t>
  </si>
  <si>
    <t>Calculate the RC freq = 1/Cringo/R_bias/2/Pi</t>
  </si>
  <si>
    <t>with Rringo20M = R_bias/12/alpha20M</t>
  </si>
  <si>
    <t>1.108 / (20.1e-6 + 20.3e-6 + 19.9e-6) = 18374.79 Ohm</t>
  </si>
  <si>
    <t>RC freq should be a centered distribution around 8MHz</t>
  </si>
  <si>
    <t>read 1</t>
  </si>
  <si>
    <t>0x1F40</t>
  </si>
  <si>
    <t>ChirpGen Level detector : few correction in the procedure
RXIP destination register location update
artf915504 : Add ChirpGen RCOsc trimming procedure, update the default value
artf915510 : update ChirpGen ResOhm trimming procedure (code 13 instead of 15), update the default value
ChirpGen KVCO : corrections in the procedure</t>
  </si>
  <si>
    <t>RX BIST</t>
  </si>
  <si>
    <t>Set the min level detector DAC code</t>
  </si>
  <si>
    <t>Set the max level detector DAC code</t>
  </si>
  <si>
    <t>For ES2 :</t>
  </si>
  <si>
    <t>For ES1 :</t>
  </si>
  <si>
    <t xml:space="preserve">On the ES1, for the VCO min &amp; max level detectors, the force and reset signals are swapped, artf940910 </t>
  </si>
  <si>
    <t>ana_fusa_ctl_vco_min_force_err_dbg</t>
  </si>
  <si>
    <t>ana_fusa_ctl_vco_max_force_err_dbg</t>
  </si>
  <si>
    <t>VCO_MAX_FORCE_ERR_DBG</t>
  </si>
  <si>
    <t>VCO_MIN_FORCE_ERR_DBG</t>
  </si>
  <si>
    <t>Note : On ES1.0, due to the ATB1n grounded (artf931605), the differential voltage cannot be measured.
ATB1p versus vss can be measured only. (ATB1p(i)-ATB1p(0))*2 has to be taken to recover the differential voltage</t>
  </si>
  <si>
    <t>atb1_adcdig_offsetcorr_MSB&lt;6:5&gt;</t>
  </si>
  <si>
    <t>atb1_adcdig_offsetcorr_div2_MSB&lt;6:5&gt;</t>
  </si>
  <si>
    <t>atb2_adcdig_offsetcorr_MSB&lt;6:5&gt;</t>
  </si>
  <si>
    <t>atb2_adcdig_offsetcorr_div2_MSB&lt;6:5&gt;</t>
  </si>
  <si>
    <t>tx1_adcdig_offsetcorr_MSB&lt;6&gt;</t>
  </si>
  <si>
    <t>tx2_adcdig_offsetcorr_MSB&lt;6&gt;</t>
  </si>
  <si>
    <t>tx3_adcdig_offsetcorr_MSB&lt;6&gt;</t>
  </si>
  <si>
    <t>tx4_adcdig_offsetcorr_MSB&lt;6&gt;</t>
  </si>
  <si>
    <t>The offset corrections are LV_OFFS&lt;5:0&gt;, atbx_adcdig_offsetcorr&lt;6:0&gt; and txx_adcdig_offsetcorr&lt;6:0&gt;</t>
  </si>
  <si>
    <t>The offset corrections are HV_OFFS&lt;5:0&gt;, atbx_adcdig_offsetcorr_div2&lt;6:0&gt; and txx_adcdig_offsetcorr_div2&lt;6:0&gt;</t>
  </si>
  <si>
    <t>v27</t>
  </si>
  <si>
    <t>artf935448: increase the number of OTP bits for the TX &amp; ATB 10b-ADC offset trimming
Update the 'RFE OTP Version' value
'RFE SOC Fusemap' sheet : updates in 'destination register location' columns for SW
ChirpGen Level detector trimming : corrections in the procedure
SOC Bandgap curvature changed from 0x2 to 0x4 : default OTP value updated</t>
  </si>
  <si>
    <t>Monitor the relevant error flag and when going high, record the code</t>
  </si>
  <si>
    <t>v28</t>
  </si>
  <si>
    <t>Update BBBiST gain trimming to get it on ATB2</t>
  </si>
  <si>
    <t>For ES2 : artf944550 increase from 6 to 7 bits the 4 ChirpGen LevelDet trimming</t>
  </si>
  <si>
    <t>Benoit/Patrick Hogetoorn</t>
  </si>
  <si>
    <t>FE_Process_Monitor</t>
  </si>
  <si>
    <t>HVLDO Vfb voltage</t>
  </si>
  <si>
    <t>For the SOC HVLDO1v8</t>
  </si>
  <si>
    <t>Measure via the ATB the HVLDO vfb voltage for all BG setdc codes</t>
  </si>
  <si>
    <t>For the GLDO HVLDO1v8 BG</t>
  </si>
  <si>
    <t>PROFILE_LOAD</t>
  </si>
  <si>
    <t>sw_ctl_profile_load</t>
  </si>
  <si>
    <t>Load the profile</t>
  </si>
  <si>
    <t>PmMeasurecountIn0_cnt</t>
  </si>
  <si>
    <t xml:space="preserve">Set short ringo mode </t>
  </si>
  <si>
    <t>Disable the freq divider ByPass mode</t>
  </si>
  <si>
    <t>Select the divider by 64</t>
  </si>
  <si>
    <t>Configure the ringo output signals</t>
  </si>
  <si>
    <t>Initialize the refernce counter start value</t>
  </si>
  <si>
    <t>PmCtrl0_startcount</t>
  </si>
  <si>
    <t>PmStatus0_countbusy</t>
  </si>
  <si>
    <t>PmCapturecountOut0_cnt</t>
  </si>
  <si>
    <t>notes for the next versions</t>
  </si>
  <si>
    <t>Change frequency on REFCLKIN to 10 MHz</t>
  </si>
  <si>
    <t>MCGEN.XO_ALWAYS_ON</t>
  </si>
  <si>
    <t>XO_MAN_INTMUX</t>
  </si>
  <si>
    <t>XO_MANUAL_MODE</t>
  </si>
  <si>
    <t>Disable frequency divider</t>
  </si>
  <si>
    <t>RCOSC_SPARE1</t>
  </si>
  <si>
    <t>ana_misc_ctl_rcosc_spare1</t>
  </si>
  <si>
    <t>REF_CNT_INIT</t>
  </si>
  <si>
    <t>REF_COUNT_VALUE</t>
  </si>
  <si>
    <t>ref_cnt_init_ref_count_value</t>
  </si>
  <si>
    <t>VALUE</t>
  </si>
  <si>
    <t>freq_cnt_read_value</t>
  </si>
  <si>
    <t xml:space="preserve">wait 800us </t>
  </si>
  <si>
    <t>Enable and configure the RCOsc</t>
  </si>
  <si>
    <t>Configure the MCGEN for  XTAL to REFCLKIN (10 MHz)</t>
  </si>
  <si>
    <t>xo_always_on_xo_manual_mode</t>
  </si>
  <si>
    <t>xo_always_on_xo_man_intmux</t>
  </si>
  <si>
    <t>PmFeLl40Ctrl0_ebp</t>
  </si>
  <si>
    <t>PmFeLl40Ctrl0_sl</t>
  </si>
  <si>
    <t>PmFeLl40Ctrl0_fs</t>
  </si>
  <si>
    <t>PmFeLl40E0_e</t>
  </si>
  <si>
    <t>PmFeLl40Eo0_e0</t>
  </si>
  <si>
    <t>d64</t>
  </si>
  <si>
    <t>RX FE process monitoring procedure update
TXBiST vdvga trimming : update the trimming target at 0v52
artf946317/artf943449 : BG HVLDO1v8 FuSa trimming criteria changed
ChirpGen VCO ibias : add detail in the procedure
Chirpgen rcosc procedure update</t>
  </si>
  <si>
    <t>pdl/ams_sist/sist_HS28_FE_LL40/my_sist_HS28_FE_LL40.pdl</t>
  </si>
  <si>
    <t>Blueprint</t>
  </si>
  <si>
    <t>v29</t>
  </si>
  <si>
    <t>ADC1_CTRL_0</t>
  </si>
  <si>
    <t>DIV2_CAL</t>
  </si>
  <si>
    <t>ADC2_CTRL_0</t>
  </si>
  <si>
    <t>common for all ATB 10b-ADCs</t>
  </si>
  <si>
    <t>Tracability</t>
  </si>
  <si>
    <t>Trimming program version</t>
  </si>
  <si>
    <t>v30</t>
  </si>
  <si>
    <t>adc1_ctrl_0_div2_cal</t>
  </si>
  <si>
    <t>adc2_ctrl_0_div2_cal</t>
  </si>
  <si>
    <t>comb_trim_version&lt;2:0&gt;</t>
  </si>
  <si>
    <t>trim_setup&lt;1:0&gt;</t>
  </si>
  <si>
    <t>sub_trim_version&lt;13:0&gt;</t>
  </si>
  <si>
    <t>Sven Roesecke and Juergen Marschner are the key lab engineers to get the relationship between a lab program version and its content.</t>
  </si>
  <si>
    <t>Add trimming program version at the OTP address 338
artf946337 : ATB IP : store the 10b-ADC div2_cal setting
Update the 'RFE OTP Version' value</t>
  </si>
  <si>
    <t>trim_setup&lt;1:0&gt; bits are set to identify the trim setup used to trim the part :
   - trim_setup&lt;1&gt; to be set at 1 if the part is trimmed at Lab
   - trim_setup&lt;0&gt; to be set at 1 if the part is trimmed at the ATE</t>
  </si>
  <si>
    <t>sub_trim_version&lt;13:0&gt; bits are to identify the version of program used to trim the parts.
Those bits can be used by the lab for the program versionning</t>
  </si>
  <si>
    <t>comb_trim_version&lt;2:0&gt; bits are reserved for the lab for the trimming program versionning if part is already partially trimmed at the ATE (sub_trim_version already fused at the ATE)</t>
  </si>
  <si>
    <t>v31</t>
  </si>
  <si>
    <t>traceability of program version : correct typo and description</t>
  </si>
  <si>
    <t>The common mode voltage( ~0.525V) is compatible with a measurement in differential with the 10-bits ADC.</t>
  </si>
  <si>
    <t>ATB R</t>
  </si>
  <si>
    <t>ATB-SOC</t>
  </si>
  <si>
    <t>IPS</t>
  </si>
  <si>
    <t>IPS field name</t>
  </si>
  <si>
    <t>ATB_RES_R1_CAL&lt;4:0&gt;</t>
  </si>
  <si>
    <t>ATB_RES1_CAL
(4008_8024h)</t>
  </si>
  <si>
    <t>ATB_RES1_CAL</t>
  </si>
  <si>
    <t>ocii_ATB_RES_R1_CAL</t>
  </si>
  <si>
    <t>ATB_RES_R0_CAL&lt;4:0&gt;</t>
  </si>
  <si>
    <t>ATB_RES0_CAL
(4008_8020h)</t>
  </si>
  <si>
    <t>ATB_RES0_CAL</t>
  </si>
  <si>
    <t>ocii_ATB_RES_R0_CAL</t>
  </si>
  <si>
    <t>GPADC and its BG have to be trimmed ahead.</t>
  </si>
  <si>
    <t>The first step of this procedure is to measure the leakage current</t>
  </si>
  <si>
    <t>For the next measurements, the GPADC shall be used</t>
  </si>
  <si>
    <t>Apply 0v7 on the GPADC_CH0 pillars or balls</t>
  </si>
  <si>
    <t>res1 trim :</t>
  </si>
  <si>
    <t>program ATB_RES1_CAL to the different values</t>
  </si>
  <si>
    <t>Select the code closest to get 0.7V to get 7.8kohm and use it for follow-up measurements (can be stored in OTP for later test stage)</t>
  </si>
  <si>
    <t>res0 (=35kOhm) trim :</t>
  </si>
  <si>
    <t>program ATB_RES0_CAL to the different values</t>
  </si>
  <si>
    <t>Select the code closest to get 0.7V to get 35kohm and use it for follow-up measurements (can be stored in OTP for later test stage)</t>
  </si>
  <si>
    <t>After trim, the resistor values won't be at 7800.00ohm, 35000.00ohm. The real resistor values have to be stored in the test program. They will be used to improve the current measurement in the next trim and the structural tests</t>
  </si>
  <si>
    <t>SOC ATB block diagram</t>
  </si>
  <si>
    <t>Connect ATB1 res0 resistors to the tester and the GPADC</t>
  </si>
  <si>
    <t>From the tester to ATB, apply 90uA + the leakage current from the previous step</t>
  </si>
  <si>
    <t>Connect ATB res1 resistors to the tester and the GPADC</t>
  </si>
  <si>
    <t>From the tester to ATB, apply 20uA + the leakage current from the previous step</t>
  </si>
  <si>
    <t>Connect ATB res0 resistors to the tester and the GPADC</t>
  </si>
  <si>
    <t>Apply 90uA current from the tester to the ATB</t>
  </si>
  <si>
    <t>Apply 20uA current from the tester to the ATB</t>
  </si>
  <si>
    <t>SOC ATB Rcal</t>
  </si>
  <si>
    <t>v32</t>
  </si>
  <si>
    <t>artf915513 : ChirpGen Vtune detector trimming : update targets at 3T
artf951042 : add SOC ATB R trimming
Update the 'RFE OTP Version' value
Update the trim flow : SOC HVLDO1v8 has to be trimmed earlier as it supplies the GPADC, TDC, ATBSOC</t>
  </si>
  <si>
    <t>In the table below, the last level of predecessors is indicated : not the predecessors of predecessors</t>
  </si>
  <si>
    <t>Color code :</t>
  </si>
  <si>
    <t>v33</t>
  </si>
  <si>
    <t>Update predecessors in the Trim Flow</t>
  </si>
  <si>
    <t>v34</t>
  </si>
  <si>
    <t>1/4:Benoit to propose a trim state, to review with Anton
3/4:default trim state proposal available in this document, sent to Anton for review
4/4/22:trimming state handled in the blueprints</t>
  </si>
  <si>
    <t>ATB Rcal for ES2 only</t>
  </si>
  <si>
    <t>atb12_set_adc_div2_cal&lt;4:0&gt;</t>
  </si>
  <si>
    <t>If the targeted current is 20uA, the res1 at max code + the ATB ADC shall be used</t>
  </si>
  <si>
    <t>If the targeted current is &gt; 50uA, use the res0 and res1, both in // at max code + the ATB ADC shall be used</t>
  </si>
  <si>
    <t>ATB or TX ADC OffGain corr</t>
  </si>
  <si>
    <t>The res1 ATB I2V converter at DAC code max + the ATB ADC  shall be used</t>
  </si>
  <si>
    <t>For the GLDO1v45</t>
  </si>
  <si>
    <r>
      <rPr>
        <sz val="10"/>
        <rFont val="Arial"/>
        <family val="2"/>
      </rPr>
      <t>artf953400 : TX ADC div2 trimming suppressed</t>
    </r>
    <r>
      <rPr>
        <b/>
        <sz val="10"/>
        <rFont val="Arial"/>
        <family val="2"/>
      </rPr>
      <t xml:space="preserve">
</t>
    </r>
    <r>
      <rPr>
        <sz val="10"/>
        <rFont val="Arial"/>
        <family val="2"/>
      </rPr>
      <t>GBIAS V2I and GBIAS Ibias trimmings : update the procedure with the silicon learnings
Rename atb1_set_adc_div2_cal in atb12_set_adc_div2_cal and atb2_set_adc_div2_cal in atb12_set_adc_div2_cal</t>
    </r>
    <r>
      <rPr>
        <b/>
        <sz val="10"/>
        <rFont val="Arial"/>
        <family val="2"/>
      </rPr>
      <t xml:space="preserve">
</t>
    </r>
    <r>
      <rPr>
        <sz val="10"/>
        <rFont val="Arial"/>
        <family val="2"/>
      </rPr>
      <t>LLDODig OVUV BG predecessor update. No trim flow order change</t>
    </r>
    <r>
      <rPr>
        <b/>
        <sz val="10"/>
        <rFont val="Arial"/>
        <family val="2"/>
      </rPr>
      <t xml:space="preserve">
</t>
    </r>
    <r>
      <rPr>
        <sz val="10"/>
        <rFont val="Arial"/>
        <family val="2"/>
      </rPr>
      <t>artf954741 : Remove GLDO1v3 trimming</t>
    </r>
    <r>
      <rPr>
        <b/>
        <sz val="10"/>
        <rFont val="Arial"/>
        <family val="2"/>
      </rPr>
      <t xml:space="preserve">
</t>
    </r>
    <r>
      <rPr>
        <sz val="10"/>
        <rFont val="Arial"/>
        <family val="2"/>
      </rPr>
      <t>Update the 'RFE OTP Version' value</t>
    </r>
  </si>
  <si>
    <t>In the ‘RFE SOC FuseMap' sheet, there is the fuse map, with one section per IP. For each item to trim, in the column E, there is a link to a dedicated page where the trim sub-procedure is described. It is linked to the fusemap stored on DesignSync and CollabNet:
     sync://sync-14202:14202/Projects/adasr_S32R41/frontend/blocks/strxprocessingdig_top/doc/fuse_map_sys/
     https://www.collabnet.nxp.com/sf/go/doc503038</t>
  </si>
  <si>
    <t>Benoit/Venkata</t>
  </si>
  <si>
    <t>For ES2 : artf933065 : SOC HVLDO trim valid bit to add. See attached message</t>
  </si>
  <si>
    <t>Simulation results :</t>
  </si>
  <si>
    <t>The resolution is expected at about 10mV</t>
  </si>
  <si>
    <t>v35</t>
  </si>
  <si>
    <t>The ADC references have to be trimmed ahead :
- the ATB BG for RFE ATB ADC
- the GBIAS VI2 for the TX ADC
- the GPADC BG for the GPADC.</t>
  </si>
  <si>
    <t>Benoit/Ayoub</t>
  </si>
  <si>
    <t>For ES2 : BBBiST gain trimming number of bit has increased from 4 to 5bits (from Sch review)
Other trimmings to check</t>
  </si>
  <si>
    <t>Sweep all HVLDO BG setdc codes from 0000 to 0111 and measure the ov error_n flag via the TMUX</t>
  </si>
  <si>
    <t>Sweep all HVLDO BG setdc codes from 0111 to 0000 and measure the uv error_n flag via the TMUX</t>
  </si>
  <si>
    <t>The RFE ChirpGen BG curves are not written in the OTP. Default values are in the SW.</t>
  </si>
  <si>
    <t>Set the BG curve to 0x4</t>
  </si>
  <si>
    <t>Set the BG curve to value in the table above</t>
  </si>
  <si>
    <t>KVCO procedure to update (reverse engineering of the ATE TP)</t>
  </si>
  <si>
    <t>VCO LVLDO output</t>
  </si>
  <si>
    <t>Measure via the ATB theVCO LVLDO  voltage for all BG setdc codes</t>
  </si>
  <si>
    <t>hvldo_bg_set_curve&lt;2:0&gt;</t>
  </si>
  <si>
    <t>BG_SET_CURVE</t>
  </si>
  <si>
    <t>ana_misc_ctl_bg_set_curve</t>
  </si>
  <si>
    <t>RFE ChirpGen HVLDO BG trimming : add BG curve recording in the OTP as per artf940855
Update the 'RFE OTP Version' value</t>
  </si>
  <si>
    <t>v36</t>
  </si>
  <si>
    <t>BG trimming code isn't a predecessor as it has to be tweaked during the OVUV trimming</t>
  </si>
  <si>
    <t>Rcal=(res_cal_top voltage @ trim code 28)/(I1 + I2 + I3)</t>
  </si>
  <si>
    <t>v37</t>
  </si>
  <si>
    <t>https://www.collabnet.nxp.com/sf/go/doc548794</t>
  </si>
  <si>
    <t>https://www.collabnet.nxp.com/sf/go/doc541887</t>
  </si>
  <si>
    <t>https://www.collabnet.nxp.com/sf/go/doc543018</t>
  </si>
  <si>
    <t>nominal value (uA) at 150°C</t>
  </si>
  <si>
    <t>Reference documents</t>
  </si>
  <si>
    <t xml:space="preserve">As per artf932604, on the ES1, there is a lack a voltage headroom for the GBIAS current measurement using the ATB IP. To overcome that it is needed to : 
     use highest supply voltage (Vdda_1V45) possible for GBias:
          - trim GLDO output voltage to highest value, or
          - apply 1.55V in the case if forced externally (GLDO in bypass mode) </t>
  </si>
  <si>
    <t>If the targeted current is 30uA, the res0 at max code + the ATB ADC in div2 mode shall be used</t>
  </si>
  <si>
    <t>Sweep the uv code from 0000 to 1110 and measure the uv error_n flag state via the TMUX</t>
  </si>
  <si>
    <t>Sweep the ov code from 1110 to 0000 and measure the ov error_n flag state via the TMUX</t>
  </si>
  <si>
    <t>Remove the HVLDO BG from the HVLDO OVUV predecessors
artf960211 : update the cal_res register value during ChirpGen Res_ohm trimming. Update the default value
artf932604 : Update Gbias V2I and Gbias ibias trimming procedure and targets</t>
  </si>
  <si>
    <t>ChirpGen Vtune detector : correct the resolution
Correction in RFE SOC FuseMap sheet, trim complexity columns
OVUV trimmings : skip the trim code15 which is not used in the design
RFE ChirpGen HVLDO BG trimmings : update BG curve to 0x4 and trimming criteria becomes VCO LVLDO output as per artf940855</t>
  </si>
  <si>
    <t>artf963069 for ES2</t>
  </si>
  <si>
    <t>no, value 0xE by default if not trimmed</t>
  </si>
  <si>
    <t>0x0E</t>
  </si>
  <si>
    <t>0xE</t>
  </si>
  <si>
    <t>v38</t>
  </si>
  <si>
    <t>artf960211 for ES2</t>
  </si>
  <si>
    <t>Update UnderVoltage default value from 0xF to 0xE (0xF is not used in the IP)
artf960211 :revert the code change and the default value. This update is for ES2</t>
  </si>
  <si>
    <t>atb2_adcdig_gaincorr_div2_MSB&lt;8&gt;</t>
  </si>
  <si>
    <t>atb1_adcdig_gaincorr_div2_MSB&lt;8&gt;</t>
  </si>
  <si>
    <t>atb2_adcdig_gaincorr_div2_MSB&lt;7:0&gt;</t>
  </si>
  <si>
    <t>artf946337 : add 1 bit on the ATB 10b-ADC gain corrections with div2
Update the 'RFE OTP Version' value</t>
  </si>
  <si>
    <t>v39</t>
  </si>
  <si>
    <t>0x4747</t>
  </si>
  <si>
    <t>Measure the res_cal_top voltage for the trim code 28 (ana_bias_ctl_cal_res ocii register on 5bits to control it), see figure 1</t>
  </si>
  <si>
    <t>Benoît/Andreas D.</t>
  </si>
  <si>
    <t>6/20/2022 : Update done in draft of ES2 trimming procedure</t>
  </si>
  <si>
    <t>PCM_4</t>
  </si>
  <si>
    <t>CAL_DAC_OFFSET</t>
  </si>
  <si>
    <t>pcm_4_cal_dac_offset</t>
  </si>
  <si>
    <t>cal_dac_offset&lt;15:0&gt;</t>
  </si>
  <si>
    <t>cal_dac_step&lt;15:0&gt;</t>
  </si>
  <si>
    <t>Enable ATB1 - &gt; Vtune</t>
  </si>
  <si>
    <t>Decrease gradually the  CAL_DAC to 20 (=x1)</t>
  </si>
  <si>
    <t>Decrease gradually the  CAL_DAC to 100  (x2)</t>
  </si>
  <si>
    <t>Measure the Vtune via the ATB1 (=y2)</t>
  </si>
  <si>
    <t>Measure the Vtune via the ATB1 (=y1)</t>
  </si>
  <si>
    <t>The slope code is the measured voltage divided by 10uV (i.e. 1LSB is 10uV)</t>
  </si>
  <si>
    <t>pcm_4_cal_dac_step</t>
  </si>
  <si>
    <t>CAL_DAC_STEP</t>
  </si>
  <si>
    <t>artf963069</t>
  </si>
  <si>
    <t>sync:///Projects/strx_es0/data/ida_mmw_rfe_chirppll_lib/ida_mmw_rfe_chirppll/DOCS/datasheet/sub_IPs/STRX_ChirpPLL_CAL_DAC.docx</t>
  </si>
  <si>
    <t>COLUMN NOT MAINTENED FOR ES2</t>
  </si>
  <si>
    <t>On going</t>
  </si>
  <si>
    <t>level_vco_max&lt;6:0&gt;</t>
  </si>
  <si>
    <t>level_vco_high&lt;6:0&gt;</t>
  </si>
  <si>
    <t>level_vco_low&lt;6:0&gt;</t>
  </si>
  <si>
    <t>level_vco_min&lt;6:0&gt;</t>
  </si>
  <si>
    <t>RES_TRIM</t>
  </si>
  <si>
    <t>bbbist_trim_gain&lt;4:0&gt;</t>
  </si>
  <si>
    <t>no, value b01111 by default if not trimmed</t>
  </si>
  <si>
    <t>TBD after gold</t>
  </si>
  <si>
    <t>2. Pierre Savary</t>
  </si>
  <si>
    <t>1. Florent Cilici</t>
  </si>
  <si>
    <t>2. Ayoub Rifai</t>
  </si>
  <si>
    <t>Might be not needed any more. Ayoub to give inputs</t>
  </si>
  <si>
    <t>Trim code distribution centered on b01111</t>
  </si>
  <si>
    <t>bbbist_res_trim</t>
  </si>
  <si>
    <t>PRDAC Bias, PRDAC are enabled. The Bias PRDAC is at it default value (RF_PWR/DAC_TRIM_BIAS register)</t>
  </si>
  <si>
    <t>default value of the Bias PRDAC is 27. It might change to 15. Simu ongoing. Ayoub to give an update</t>
  </si>
  <si>
    <t>On the BBBiST I and Q, through the ATB, measure the DC differential signal magnitude on the BBBiST raugh filter outputs for all resistor trim codes.</t>
  </si>
  <si>
    <t>TXBiST VGA trimming might be removed. Ayoub to double check
bbbist_trim_ccal : Ayoub to provide new target values</t>
  </si>
  <si>
    <t>-0.5 to be updated for ES2</t>
  </si>
  <si>
    <t>20/6/22 :Andreas D. to clarify the slope/step calculation and default values</t>
  </si>
  <si>
    <t>Discarded</t>
  </si>
  <si>
    <t>1/4:Anton to create a ticket
9/4:tkt create : artf841570
Action discarded ; not in the scope of the trimming procedure</t>
  </si>
  <si>
    <t>HVLDO TRIM VALID</t>
  </si>
  <si>
    <t>hvldo_trim_valid</t>
  </si>
  <si>
    <t>HVLDO TRIM VALID' bit has to be wrote to 1 at the same time than the SOC HVLDO BG trimming</t>
  </si>
  <si>
    <t>Benoît / Sharayu Jagtap</t>
  </si>
  <si>
    <t>6/21/2022 : Yuan and Juan trigged</t>
  </si>
  <si>
    <t>Overwrite timing engine</t>
  </si>
  <si>
    <t>Disconnect the ATB from the Vtune</t>
  </si>
  <si>
    <t>ana_pdcp_ctl_div16_en</t>
  </si>
  <si>
    <t>ana_pdcp_ctl_mmd_en</t>
  </si>
  <si>
    <t>0x1400</t>
  </si>
  <si>
    <t>ANA_PDCP_CTL</t>
  </si>
  <si>
    <t>DIV16_EN</t>
  </si>
  <si>
    <t>MMD_EN</t>
  </si>
  <si>
    <t>prot_ctl_mode_otp_disable_overrule</t>
  </si>
  <si>
    <t>PROT_CTL</t>
  </si>
  <si>
    <t>MODE_OTP_DISABLE_OVERRULE</t>
  </si>
  <si>
    <t>Start the IP in CW with the VCO mode 0</t>
  </si>
  <si>
    <t>Start the IP in CW with the VCO mode 1</t>
  </si>
  <si>
    <t>Calculate Kvco2=Abs(deltaF/deltaV)</t>
  </si>
  <si>
    <t>6/21/2022 : done</t>
  </si>
  <si>
    <t>6/20/2022 : Jimmy trigged. Is the size of the register the only change ? Answer yes</t>
  </si>
  <si>
    <t>As the number of bit has increased, the default values need to be updated. Unknown by Jimmy the 21th June 2022</t>
  </si>
  <si>
    <r>
      <t xml:space="preserve">Document creation based on trimming procedure for TO1 version 39
Update the 'RFE OTP Version' value, starting from 1 for the ES2
artf960211 : update the cal_res register value during ChirpGen Res_ohm trimming. Update the default value
artf963069 : update ChirpGen Cal DAC trimming </t>
    </r>
    <r>
      <rPr>
        <sz val="10"/>
        <color rgb="FFFF0000"/>
        <rFont val="Arial"/>
        <family val="2"/>
      </rPr>
      <t>TO BE FINISHED</t>
    </r>
    <r>
      <rPr>
        <sz val="10"/>
        <rFont val="Arial"/>
        <family val="2"/>
      </rPr>
      <t xml:space="preserve">
BBBiST gain trimming : update number of trimming bit, procedure and default value
artf944550 : increase from 6 to 7 bits the 4 ChirpGen LevelDet trimming</t>
    </r>
    <r>
      <rPr>
        <sz val="10"/>
        <color rgb="FFFF0000"/>
        <rFont val="Arial"/>
        <family val="2"/>
      </rPr>
      <t xml:space="preserve"> TO BE FINISHED</t>
    </r>
    <r>
      <rPr>
        <sz val="10"/>
        <rFont val="Arial"/>
        <family val="2"/>
      </rPr>
      <t xml:space="preserve">
artf889356 : update default value of SOV BG OVUV
artf933065 : add HVLDO TRIM VALID bit in the fusemap
Align the ChirpGen KVCO trimming procedure to the ATE learnings</t>
    </r>
  </si>
  <si>
    <t>6/7 : Leewe will provide patterns to program functional OCOTP registers and override the trim value
3/11: issue solved, see ticket and blueprint
21/6/2022 : Leewe trigged
22/6 : Leewe : "The current procedure will still work but there is an alternative and lighter way now.
We might mention both ways (blue print yet to be made), I think TE might stick to the current approach in the beginning to focus on other items first"</t>
  </si>
  <si>
    <t>The nominal voltage level of the monitored supply</t>
  </si>
  <si>
    <t xml:space="preserve">artf933088 : RFE OVUV PMIC 1v8 is removed </t>
  </si>
  <si>
    <t>LLDO Dig : Ravi Karadi</t>
  </si>
  <si>
    <t>GLDO &amp; BG : Ravi Karadi</t>
  </si>
  <si>
    <t>Ravi Karadi</t>
  </si>
  <si>
    <t>LLDO : Ravi Karadi</t>
  </si>
  <si>
    <t>Berry Butter</t>
  </si>
  <si>
    <t>artf981280: Add programming bits for ibias mirror inside lldo_pdc</t>
  </si>
  <si>
    <t>artf981818: New OTP bits for the  PVT tracking LLDO</t>
  </si>
  <si>
    <t>ADC0_SAR_TRIM_VALID</t>
  </si>
  <si>
    <t>26C</t>
  </si>
  <si>
    <t>Configurable SW/HW based see artf935799</t>
  </si>
  <si>
    <t>artf968913 : Correct HVLDO OVUV procedure
artf919289 : Add rx bbd resistor trimming
artf963069 : update ChirpGen Cal DAC trimming TO BE FINISHED
artf981280: Add programming bits for ibias mirror inside lldo_pdc
outcomes from review
artf981818: New trimming for the PVT tracking LLDO ? Waiting for the green light from the tkt
artf960348 : [GBias] request to remove MasterDiode 300nA/K 
OVUV : safe default value are inverted (Koteswararao Nannapaneni)
artf984429 : TXADC : diff in given conf, ATB ADC : add diff, specify config</t>
  </si>
  <si>
    <r>
      <rPr>
        <sz val="10"/>
        <rFont val="Arial"/>
        <family val="2"/>
      </rPr>
      <t>artf981742 (tkt from S&amp;A database) : add GPADC ADC0_SAR_TRIM_VALID</t>
    </r>
    <r>
      <rPr>
        <b/>
        <sz val="10"/>
        <rFont val="Arial"/>
        <family val="2"/>
      </rPr>
      <t xml:space="preserve">
</t>
    </r>
    <r>
      <rPr>
        <sz val="10"/>
        <rFont val="Arial"/>
        <family val="2"/>
      </rPr>
      <t>artf935799 : Update MCGEN Freq det OTP type : it is configurable between SW/HW-based</t>
    </r>
    <r>
      <rPr>
        <b/>
        <sz val="10"/>
        <rFont val="Arial"/>
        <family val="2"/>
      </rPr>
      <t xml:space="preserve">
</t>
    </r>
    <r>
      <rPr>
        <sz val="10"/>
        <rFont val="Arial"/>
        <family val="2"/>
      </rPr>
      <t>artf976383 : update GLDO1v3 OV threshold to 5% instead of 7.5%</t>
    </r>
    <r>
      <rPr>
        <b/>
        <sz val="10"/>
        <rFont val="Arial"/>
        <family val="2"/>
      </rPr>
      <t xml:space="preserve">
</t>
    </r>
    <r>
      <rPr>
        <sz val="10"/>
        <rFont val="Arial"/>
        <family val="2"/>
      </rPr>
      <t>Suppress obsolete tables with the trimming procedure maturity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</si>
</sst>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mmm\ d\,\ yyyy\ \/\ hh:mm:ss"/>
    <numFmt numFmtId="165" formatCode="0.000"/>
    <numFmt numFmtId="166" formatCode="0000"/>
    <numFmt numFmtId="167" formatCode="0.0"/>
    <numFmt numFmtId="168" formatCode="0.0%"/>
    <numFmt numFmtId="169" formatCode="0.0000"/>
    <numFmt numFmtId="170" formatCode="0.000E+00"/>
  </numFmts>
  <fonts count="55"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8"/>
      <name val="Calibri"/>
      <family val="2"/>
      <scheme val="minor"/>
    </font>
    <font>
      <b/>
      <sz val="8"/>
      <name val="Calibri"/>
      <family val="2"/>
      <scheme val="minor"/>
    </font>
    <font>
      <strike/>
      <sz val="11"/>
      <name val="Calibri"/>
      <family val="2"/>
      <scheme val="minor"/>
    </font>
    <font>
      <sz val="12"/>
      <name val="Calibri"/>
      <family val="2"/>
      <scheme val="minor"/>
    </font>
    <font>
      <b/>
      <sz val="12"/>
      <name val="Calibri"/>
      <family val="2"/>
      <scheme val="minor"/>
    </font>
    <font>
      <b/>
      <sz val="9"/>
      <color indexed="81"/>
      <name val="Tahoma"/>
      <family val="2"/>
    </font>
    <font>
      <sz val="9"/>
      <color indexed="81"/>
      <name val="Tahoma"/>
      <family val="2"/>
    </font>
    <font>
      <sz val="9"/>
      <color indexed="10"/>
      <name val="Tahoma"/>
      <family val="2"/>
    </font>
    <font>
      <u/>
      <sz val="11"/>
      <color theme="10"/>
      <name val="Calibri"/>
      <family val="2"/>
      <scheme val="minor"/>
    </font>
    <font>
      <sz val="11"/>
      <color theme="0" tint="-0.499984740745262"/>
      <name val="Calibri"/>
      <family val="2"/>
      <scheme val="minor"/>
    </font>
    <font>
      <b/>
      <sz val="11"/>
      <color theme="0" tint="-0.499984740745262"/>
      <name val="Calibri"/>
      <family val="2"/>
      <scheme val="minor"/>
    </font>
    <font>
      <u/>
      <sz val="11"/>
      <color theme="1"/>
      <name val="Calibri"/>
      <family val="2"/>
      <scheme val="minor"/>
    </font>
    <font>
      <i/>
      <sz val="11"/>
      <color theme="1"/>
      <name val="Calibri"/>
      <family val="2"/>
      <scheme val="minor"/>
    </font>
    <font>
      <b/>
      <sz val="11"/>
      <color rgb="FFFA7D00"/>
      <name val="Calibri"/>
      <family val="2"/>
      <scheme val="minor"/>
    </font>
    <font>
      <b/>
      <sz val="28"/>
      <color theme="0"/>
      <name val="Calibri Light"/>
      <family val="2"/>
      <scheme val="major"/>
    </font>
    <font>
      <sz val="10"/>
      <color theme="1"/>
      <name val="Calibri"/>
      <family val="2"/>
      <scheme val="minor"/>
    </font>
    <font>
      <sz val="10"/>
      <name val="Arial"/>
      <family val="2"/>
    </font>
    <font>
      <b/>
      <sz val="11"/>
      <name val="Calibri Light"/>
      <family val="2"/>
      <scheme val="major"/>
    </font>
    <font>
      <b/>
      <sz val="10"/>
      <name val="Arial"/>
      <family val="2"/>
    </font>
    <font>
      <b/>
      <sz val="15"/>
      <color theme="3"/>
      <name val="Calibri Light"/>
      <family val="2"/>
      <scheme val="major"/>
    </font>
    <font>
      <sz val="11"/>
      <color rgb="FF000000"/>
      <name val="Arial"/>
      <family val="2"/>
    </font>
    <font>
      <b/>
      <sz val="11"/>
      <color rgb="FF000000"/>
      <name val="Arial"/>
      <family val="2"/>
    </font>
    <font>
      <sz val="11"/>
      <color rgb="FF7F7F7F"/>
      <name val="Arial"/>
      <family val="2"/>
    </font>
    <font>
      <i/>
      <sz val="11"/>
      <name val="Calibri"/>
      <family val="2"/>
      <scheme val="minor"/>
    </font>
    <font>
      <u/>
      <sz val="10"/>
      <color indexed="12"/>
      <name val="Arial"/>
      <family val="2"/>
    </font>
    <font>
      <b/>
      <sz val="11"/>
      <color rgb="FFFF0000"/>
      <name val="Calibri"/>
      <family val="2"/>
      <scheme val="minor"/>
    </font>
    <font>
      <sz val="11"/>
      <color rgb="FFED7D31"/>
      <name val="Calibri"/>
      <family val="2"/>
      <scheme val="minor"/>
    </font>
    <font>
      <sz val="11"/>
      <color rgb="FF000000"/>
      <name val="Calibri"/>
      <family val="2"/>
      <scheme val="minor"/>
    </font>
    <font>
      <sz val="11"/>
      <color theme="1"/>
      <name val="Segoe UI"/>
      <family val="2"/>
    </font>
    <font>
      <sz val="11"/>
      <color rgb="FFFFFFFF"/>
      <name val="Segoe UI"/>
      <family val="2"/>
    </font>
    <font>
      <sz val="11"/>
      <color rgb="FF000000"/>
      <name val="Calibri"/>
      <family val="2"/>
      <charset val="1"/>
      <scheme val="minor"/>
    </font>
    <font>
      <sz val="11"/>
      <name val="Segoe UI"/>
      <family val="2"/>
    </font>
    <font>
      <i/>
      <sz val="11"/>
      <name val="Segoe UI"/>
      <family val="2"/>
    </font>
    <font>
      <b/>
      <u/>
      <sz val="11"/>
      <color theme="1"/>
      <name val="Calibri"/>
      <family val="2"/>
      <scheme val="minor"/>
    </font>
    <font>
      <sz val="11"/>
      <color rgb="FFFF0000"/>
      <name val="Calibri"/>
      <family val="2"/>
      <scheme val="minor"/>
    </font>
    <font>
      <b/>
      <u/>
      <sz val="11"/>
      <name val="Calibri"/>
      <family val="2"/>
      <scheme val="minor"/>
    </font>
    <font>
      <sz val="11"/>
      <color rgb="FF000000"/>
      <name val="Calibri"/>
      <family val="2"/>
    </font>
    <font>
      <sz val="11"/>
      <color rgb="FF262626"/>
      <name val="Calibri"/>
      <family val="2"/>
      <scheme val="minor"/>
    </font>
    <font>
      <i/>
      <u/>
      <sz val="11"/>
      <color theme="1"/>
      <name val="Calibri"/>
      <family val="2"/>
      <scheme val="minor"/>
    </font>
    <font>
      <sz val="11"/>
      <color theme="1"/>
      <name val="Arial"/>
      <family val="2"/>
    </font>
    <font>
      <sz val="18"/>
      <color rgb="FF262626"/>
      <name val="Arial"/>
      <family val="2"/>
    </font>
    <font>
      <sz val="11"/>
      <color theme="0"/>
      <name val="Calibri"/>
      <family val="2"/>
      <scheme val="minor"/>
    </font>
    <font>
      <strike/>
      <sz val="11"/>
      <color rgb="FF000000"/>
      <name val="Calibri"/>
      <family val="2"/>
      <scheme val="minor"/>
    </font>
    <font>
      <sz val="10"/>
      <color theme="1"/>
      <name val="Arial"/>
      <family val="2"/>
    </font>
    <font>
      <b/>
      <sz val="10"/>
      <color theme="1"/>
      <name val="Arial"/>
      <family val="2"/>
    </font>
    <font>
      <b/>
      <sz val="11"/>
      <name val="Segoe UI"/>
      <family val="2"/>
    </font>
    <font>
      <b/>
      <sz val="11"/>
      <color rgb="FF000000"/>
      <name val="Calibri"/>
      <family val="2"/>
    </font>
    <font>
      <sz val="10"/>
      <color rgb="FFFF0000"/>
      <name val="Arial"/>
      <family val="2"/>
    </font>
  </fonts>
  <fills count="19">
    <fill>
      <patternFill patternType="none"/>
    </fill>
    <fill>
      <patternFill patternType="gray125"/>
    </fill>
    <fill>
      <patternFill patternType="solid">
        <fgColor theme="0" tint="-0.249977111117893"/>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5E89C1"/>
        <bgColor indexed="64"/>
      </patternFill>
    </fill>
    <fill>
      <patternFill patternType="solid">
        <fgColor rgb="FFEFF3F9"/>
        <bgColor indexed="64"/>
      </patternFill>
    </fill>
    <fill>
      <patternFill patternType="solid">
        <fgColor rgb="FFEFF1DE"/>
        <bgColor indexed="64"/>
      </patternFill>
    </fill>
    <fill>
      <patternFill patternType="solid">
        <fgColor indexed="9"/>
        <bgColor indexed="64"/>
      </patternFill>
    </fill>
    <fill>
      <patternFill patternType="solid">
        <fgColor theme="4" tint="-0.49998474074526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FF"/>
        <bgColor rgb="FF000000"/>
      </patternFill>
    </fill>
    <fill>
      <patternFill patternType="solid">
        <fgColor theme="6" tint="0.79998168889431442"/>
        <bgColor indexed="64"/>
      </patternFill>
    </fill>
    <fill>
      <gradientFill>
        <stop position="0">
          <color theme="8" tint="0.80001220740379042"/>
        </stop>
        <stop position="1">
          <color theme="9" tint="0.80001220740379042"/>
        </stop>
      </gradientFill>
    </fill>
  </fills>
  <borders count="105">
    <border>
      <left/>
      <right/>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style="double">
        <color auto="1"/>
      </left>
      <right/>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double">
        <color auto="1"/>
      </left>
      <right style="thin">
        <color indexed="64"/>
      </right>
      <top/>
      <bottom style="thin">
        <color indexed="64"/>
      </bottom>
      <diagonal/>
    </border>
    <border>
      <left style="double">
        <color auto="1"/>
      </left>
      <right style="thin">
        <color indexed="64"/>
      </right>
      <top style="thin">
        <color indexed="64"/>
      </top>
      <bottom style="thin">
        <color indexed="64"/>
      </bottom>
      <diagonal/>
    </border>
    <border>
      <left style="double">
        <color auto="1"/>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64"/>
      </top>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medium">
        <color theme="0"/>
      </left>
      <right style="medium">
        <color theme="0"/>
      </right>
      <top style="thin">
        <color rgb="FFCFDCEC"/>
      </top>
      <bottom style="thin">
        <color rgb="FFCFDCEC"/>
      </bottom>
      <diagonal/>
    </border>
    <border>
      <left style="medium">
        <color indexed="64"/>
      </left>
      <right style="thin">
        <color indexed="64"/>
      </right>
      <top/>
      <bottom style="medium">
        <color indexed="64"/>
      </bottom>
      <diagonal/>
    </border>
    <border>
      <left/>
      <right/>
      <top style="medium">
        <color rgb="FF5E89C1"/>
      </top>
      <bottom style="medium">
        <color rgb="FFCFDCEC"/>
      </bottom>
      <diagonal/>
    </border>
    <border>
      <left/>
      <right/>
      <top style="medium">
        <color rgb="FFCFDCEC"/>
      </top>
      <bottom style="medium">
        <color rgb="FFCFDCEC"/>
      </bottom>
      <diagonal/>
    </border>
    <border>
      <left/>
      <right/>
      <top style="medium">
        <color rgb="FFCFDCEC"/>
      </top>
      <bottom style="medium">
        <color rgb="FF5E89C1"/>
      </bottom>
      <diagonal/>
    </border>
    <border>
      <left/>
      <right/>
      <top style="medium">
        <color rgb="FFCFDCEC"/>
      </top>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bottom style="thin">
        <color indexed="64"/>
      </bottom>
      <diagonal/>
    </border>
    <border>
      <left style="double">
        <color indexed="64"/>
      </left>
      <right style="thin">
        <color indexed="64"/>
      </right>
      <top style="medium">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thin">
        <color indexed="64"/>
      </left>
      <right style="double">
        <color auto="1"/>
      </right>
      <top style="thin">
        <color indexed="64"/>
      </top>
      <bottom/>
      <diagonal/>
    </border>
    <border>
      <left style="thin">
        <color indexed="64"/>
      </left>
      <right style="double">
        <color auto="1"/>
      </right>
      <top/>
      <bottom style="thin">
        <color indexed="64"/>
      </bottom>
      <diagonal/>
    </border>
    <border>
      <left style="thin">
        <color indexed="64"/>
      </left>
      <right style="double">
        <color auto="1"/>
      </right>
      <top/>
      <bottom/>
      <diagonal/>
    </border>
    <border>
      <left style="double">
        <color auto="1"/>
      </left>
      <right/>
      <top style="thin">
        <color indexed="64"/>
      </top>
      <bottom style="thin">
        <color indexed="64"/>
      </bottom>
      <diagonal/>
    </border>
    <border>
      <left/>
      <right style="double">
        <color auto="1"/>
      </right>
      <top/>
      <bottom style="thin">
        <color indexed="64"/>
      </bottom>
      <diagonal/>
    </border>
    <border>
      <left/>
      <right style="double">
        <color auto="1"/>
      </right>
      <top style="thin">
        <color indexed="64"/>
      </top>
      <bottom/>
      <diagonal/>
    </border>
    <border>
      <left style="medium">
        <color rgb="FFA3A3A3"/>
      </left>
      <right style="medium">
        <color rgb="FFA3A3A3"/>
      </right>
      <top style="medium">
        <color rgb="FFA3A3A3"/>
      </top>
      <bottom style="medium">
        <color rgb="FFA3A3A3"/>
      </bottom>
      <diagonal/>
    </border>
    <border>
      <left/>
      <right style="thin">
        <color indexed="64"/>
      </right>
      <top/>
      <bottom/>
      <diagonal/>
    </border>
    <border>
      <left/>
      <right style="thin">
        <color indexed="64"/>
      </right>
      <top style="thin">
        <color indexed="64"/>
      </top>
      <bottom/>
      <diagonal/>
    </border>
    <border>
      <left style="thin">
        <color indexed="64"/>
      </left>
      <right style="double">
        <color auto="1"/>
      </right>
      <top style="medium">
        <color indexed="64"/>
      </top>
      <bottom/>
      <diagonal/>
    </border>
    <border>
      <left/>
      <right/>
      <top/>
      <bottom style="double">
        <color indexed="64"/>
      </bottom>
      <diagonal/>
    </border>
    <border>
      <left/>
      <right/>
      <top/>
      <bottom style="medium">
        <color rgb="FFCFDCEC"/>
      </bottom>
      <diagonal/>
    </border>
    <border>
      <left/>
      <right/>
      <top style="medium">
        <color rgb="FFCFDCEC"/>
      </top>
      <bottom style="double">
        <color indexed="64"/>
      </bottom>
      <diagonal/>
    </border>
    <border>
      <left style="thin">
        <color indexed="64"/>
      </left>
      <right style="thin">
        <color indexed="64"/>
      </right>
      <top style="medium">
        <color indexed="64"/>
      </top>
      <bottom style="medium">
        <color indexed="64"/>
      </bottom>
      <diagonal/>
    </border>
  </borders>
  <cellStyleXfs count="14">
    <xf numFmtId="0" fontId="0" fillId="0" borderId="0"/>
    <xf numFmtId="9" fontId="1" fillId="0" borderId="0" applyFont="0" applyFill="0" applyBorder="0" applyAlignment="0" applyProtection="0"/>
    <xf numFmtId="0" fontId="15" fillId="0" borderId="0" applyNumberFormat="0" applyFill="0" applyBorder="0" applyAlignment="0" applyProtection="0"/>
    <xf numFmtId="0" fontId="1" fillId="0" borderId="0"/>
    <xf numFmtId="0" fontId="21" fillId="9" borderId="0" applyNumberFormat="0" applyBorder="0" applyAlignment="0" applyProtection="0"/>
    <xf numFmtId="0" fontId="22" fillId="0" borderId="0"/>
    <xf numFmtId="0" fontId="24" fillId="10" borderId="72" applyNumberFormat="0" applyAlignment="0" applyProtection="0"/>
    <xf numFmtId="0" fontId="20" fillId="11" borderId="69" applyNumberFormat="0" applyFont="0" applyBorder="0" applyAlignment="0" applyProtection="0"/>
    <xf numFmtId="0" fontId="26" fillId="0" borderId="68" applyNumberFormat="0" applyFill="0" applyBorder="0" applyAlignment="0" applyProtection="0"/>
    <xf numFmtId="0" fontId="2" fillId="0" borderId="74" applyNumberFormat="0" applyFont="0" applyAlignment="0" applyProtection="0"/>
    <xf numFmtId="0" fontId="23" fillId="0" borderId="0"/>
    <xf numFmtId="0" fontId="31" fillId="0" borderId="0" applyNumberFormat="0" applyFill="0" applyBorder="0" applyAlignment="0" applyProtection="0"/>
    <xf numFmtId="49" fontId="23" fillId="0" borderId="0">
      <alignment shrinkToFit="1"/>
    </xf>
    <xf numFmtId="49" fontId="23" fillId="0" borderId="0">
      <alignment shrinkToFit="1"/>
    </xf>
  </cellStyleXfs>
  <cellXfs count="1605">
    <xf numFmtId="0" fontId="0" fillId="0" borderId="0" xfId="0"/>
    <xf numFmtId="0" fontId="3" fillId="0" borderId="0" xfId="0" applyFont="1"/>
    <xf numFmtId="0" fontId="4" fillId="0" borderId="0" xfId="0" applyFont="1"/>
    <xf numFmtId="0" fontId="3" fillId="4" borderId="12" xfId="0" applyFont="1" applyFill="1" applyBorder="1"/>
    <xf numFmtId="0" fontId="3" fillId="0" borderId="5" xfId="0" applyFont="1" applyBorder="1" applyAlignment="1">
      <alignment vertical="center"/>
    </xf>
    <xf numFmtId="0" fontId="3" fillId="5" borderId="5" xfId="0" applyFont="1" applyFill="1" applyBorder="1"/>
    <xf numFmtId="0" fontId="3" fillId="5" borderId="5" xfId="1" applyNumberFormat="1" applyFont="1" applyFill="1" applyBorder="1" applyAlignment="1">
      <alignment horizontal="center"/>
    </xf>
    <xf numFmtId="0" fontId="10" fillId="4" borderId="12" xfId="0" applyFont="1" applyFill="1" applyBorder="1"/>
    <xf numFmtId="0" fontId="4" fillId="0" borderId="5" xfId="0" applyFont="1" applyBorder="1" applyAlignment="1">
      <alignment horizontal="center"/>
    </xf>
    <xf numFmtId="0" fontId="3" fillId="0" borderId="5" xfId="0" applyFont="1" applyBorder="1" applyAlignment="1">
      <alignment wrapText="1"/>
    </xf>
    <xf numFmtId="0" fontId="3" fillId="0" borderId="5" xfId="0" applyFont="1" applyBorder="1"/>
    <xf numFmtId="0" fontId="3" fillId="0" borderId="0" xfId="0" applyFont="1" applyAlignment="1">
      <alignment horizontal="center"/>
    </xf>
    <xf numFmtId="0" fontId="3" fillId="4" borderId="0" xfId="0" applyFont="1" applyFill="1" applyBorder="1"/>
    <xf numFmtId="0" fontId="7" fillId="4" borderId="0" xfId="0" applyFont="1" applyFill="1" applyBorder="1"/>
    <xf numFmtId="0" fontId="10" fillId="4" borderId="0" xfId="0" applyFont="1" applyFill="1" applyBorder="1"/>
    <xf numFmtId="0" fontId="3" fillId="4" borderId="0" xfId="0" applyFont="1" applyFill="1" applyBorder="1" applyAlignment="1">
      <alignment horizontal="center" vertical="center"/>
    </xf>
    <xf numFmtId="0" fontId="15" fillId="0" borderId="0" xfId="2"/>
    <xf numFmtId="0" fontId="2" fillId="0" borderId="0" xfId="0" applyFont="1"/>
    <xf numFmtId="0" fontId="16" fillId="0" borderId="0" xfId="0" applyFont="1"/>
    <xf numFmtId="0" fontId="4" fillId="2" borderId="10" xfId="0" applyFont="1" applyFill="1" applyBorder="1" applyAlignment="1">
      <alignment horizontal="center" vertical="center" wrapText="1"/>
    </xf>
    <xf numFmtId="0" fontId="0" fillId="0" borderId="29" xfId="0" applyBorder="1"/>
    <xf numFmtId="0" fontId="0" fillId="0" borderId="30" xfId="0" applyBorder="1"/>
    <xf numFmtId="0" fontId="4" fillId="2" borderId="6" xfId="0" applyFont="1" applyFill="1" applyBorder="1" applyAlignment="1">
      <alignment horizontal="center" vertical="center" wrapText="1"/>
    </xf>
    <xf numFmtId="0" fontId="0" fillId="0" borderId="31" xfId="0" applyBorder="1"/>
    <xf numFmtId="0" fontId="0" fillId="0" borderId="5" xfId="0" applyBorder="1" applyAlignment="1">
      <alignment horizontal="center"/>
    </xf>
    <xf numFmtId="0" fontId="0" fillId="0" borderId="30" xfId="0" applyBorder="1" applyAlignment="1">
      <alignment horizontal="center"/>
    </xf>
    <xf numFmtId="0" fontId="0" fillId="0" borderId="31" xfId="0" quotePrefix="1" applyBorder="1" applyAlignment="1">
      <alignment horizontal="center"/>
    </xf>
    <xf numFmtId="0" fontId="2" fillId="0" borderId="11" xfId="0" applyFont="1" applyBorder="1" applyAlignment="1">
      <alignment horizontal="center"/>
    </xf>
    <xf numFmtId="0" fontId="2" fillId="0" borderId="30" xfId="0" applyFont="1" applyBorder="1" applyAlignment="1">
      <alignment horizontal="center"/>
    </xf>
    <xf numFmtId="0" fontId="2" fillId="0" borderId="7" xfId="0" applyFont="1" applyBorder="1" applyAlignment="1">
      <alignment horizontal="center"/>
    </xf>
    <xf numFmtId="0" fontId="2" fillId="0" borderId="5" xfId="0" applyFont="1" applyBorder="1" applyAlignment="1">
      <alignment horizontal="center"/>
    </xf>
    <xf numFmtId="0" fontId="4" fillId="2" borderId="37" xfId="0" applyFont="1" applyFill="1" applyBorder="1" applyAlignment="1">
      <alignment horizontal="center" vertical="center" wrapText="1"/>
    </xf>
    <xf numFmtId="0" fontId="4" fillId="2" borderId="34" xfId="0" applyFont="1" applyFill="1" applyBorder="1" applyAlignment="1">
      <alignment horizontal="center" vertical="center" wrapText="1"/>
    </xf>
    <xf numFmtId="0" fontId="2" fillId="0" borderId="38" xfId="0" applyFont="1" applyBorder="1" applyAlignment="1">
      <alignment horizontal="center"/>
    </xf>
    <xf numFmtId="0" fontId="2" fillId="0" borderId="39" xfId="0" applyFont="1" applyBorder="1" applyAlignment="1">
      <alignment horizontal="center"/>
    </xf>
    <xf numFmtId="0" fontId="0" fillId="0" borderId="40" xfId="0" quotePrefix="1" applyBorder="1" applyAlignment="1">
      <alignment horizontal="center"/>
    </xf>
    <xf numFmtId="0" fontId="0" fillId="0" borderId="10" xfId="0" quotePrefix="1" applyBorder="1"/>
    <xf numFmtId="0" fontId="2" fillId="0" borderId="29" xfId="0" quotePrefix="1" applyFont="1" applyBorder="1" applyAlignment="1">
      <alignment horizontal="center"/>
    </xf>
    <xf numFmtId="0" fontId="2" fillId="0" borderId="30" xfId="0" quotePrefix="1" applyFont="1" applyBorder="1" applyAlignment="1">
      <alignment horizontal="center"/>
    </xf>
    <xf numFmtId="0" fontId="0" fillId="0" borderId="4" xfId="0" applyBorder="1"/>
    <xf numFmtId="0" fontId="0" fillId="0" borderId="6" xfId="0" quotePrefix="1" applyBorder="1"/>
    <xf numFmtId="0" fontId="2" fillId="0" borderId="31" xfId="0" applyFont="1" applyBorder="1" applyAlignment="1">
      <alignment horizontal="center"/>
    </xf>
    <xf numFmtId="0" fontId="4" fillId="2" borderId="43" xfId="0" applyFont="1" applyFill="1" applyBorder="1" applyAlignment="1">
      <alignment horizontal="center" vertical="center" wrapText="1"/>
    </xf>
    <xf numFmtId="0" fontId="4" fillId="2" borderId="45" xfId="0" applyFont="1" applyFill="1" applyBorder="1" applyAlignment="1">
      <alignment horizontal="center" vertical="center" wrapText="1"/>
    </xf>
    <xf numFmtId="0" fontId="0" fillId="0" borderId="41" xfId="0" quotePrefix="1" applyBorder="1" applyAlignment="1">
      <alignment horizontal="center"/>
    </xf>
    <xf numFmtId="0" fontId="0" fillId="0" borderId="46" xfId="0" quotePrefix="1" applyBorder="1" applyAlignment="1">
      <alignment horizontal="center"/>
    </xf>
    <xf numFmtId="0" fontId="0" fillId="0" borderId="47" xfId="0" quotePrefix="1" applyBorder="1"/>
    <xf numFmtId="0" fontId="0" fillId="0" borderId="35" xfId="0" quotePrefix="1" applyBorder="1" applyAlignment="1">
      <alignment horizontal="center"/>
    </xf>
    <xf numFmtId="0" fontId="2" fillId="0" borderId="10" xfId="0" applyFont="1" applyBorder="1" applyAlignment="1">
      <alignment horizontal="center"/>
    </xf>
    <xf numFmtId="0" fontId="2" fillId="0" borderId="4" xfId="0" applyFont="1" applyBorder="1" applyAlignment="1">
      <alignment horizontal="center"/>
    </xf>
    <xf numFmtId="0" fontId="0" fillId="0" borderId="4" xfId="0" applyBorder="1" applyAlignment="1">
      <alignment horizontal="center"/>
    </xf>
    <xf numFmtId="0" fontId="2" fillId="0" borderId="6" xfId="0" applyFont="1" applyBorder="1" applyAlignment="1">
      <alignment horizontal="center"/>
    </xf>
    <xf numFmtId="0" fontId="4" fillId="2" borderId="28" xfId="0" applyFont="1" applyFill="1" applyBorder="1" applyAlignment="1">
      <alignment horizontal="center" vertical="center" wrapText="1"/>
    </xf>
    <xf numFmtId="0" fontId="0" fillId="0" borderId="0" xfId="0" applyBorder="1"/>
    <xf numFmtId="0" fontId="0" fillId="0" borderId="47" xfId="0" quotePrefix="1" applyBorder="1" applyAlignment="1">
      <alignment horizontal="center"/>
    </xf>
    <xf numFmtId="0" fontId="0" fillId="0" borderId="43" xfId="0" quotePrefix="1" applyBorder="1" applyAlignment="1">
      <alignment horizontal="center"/>
    </xf>
    <xf numFmtId="0" fontId="0" fillId="0" borderId="45" xfId="0" quotePrefix="1" applyBorder="1" applyAlignment="1">
      <alignment horizontal="center"/>
    </xf>
    <xf numFmtId="0" fontId="0" fillId="0" borderId="0" xfId="0" applyFont="1"/>
    <xf numFmtId="0" fontId="0" fillId="0" borderId="0" xfId="0" applyAlignment="1">
      <alignment vertical="center"/>
    </xf>
    <xf numFmtId="0" fontId="4" fillId="2" borderId="50" xfId="0" applyFont="1" applyFill="1" applyBorder="1" applyAlignment="1">
      <alignment horizontal="center" vertical="center" wrapText="1"/>
    </xf>
    <xf numFmtId="0" fontId="0" fillId="7" borderId="0" xfId="0" applyFill="1"/>
    <xf numFmtId="0" fontId="2" fillId="0" borderId="55" xfId="0" applyFont="1" applyBorder="1" applyAlignment="1">
      <alignment horizontal="center"/>
    </xf>
    <xf numFmtId="0" fontId="4" fillId="2" borderId="48" xfId="0" applyFont="1" applyFill="1" applyBorder="1" applyAlignment="1">
      <alignment horizontal="center" vertical="center" wrapText="1"/>
    </xf>
    <xf numFmtId="0" fontId="0" fillId="0" borderId="0" xfId="0" applyFill="1"/>
    <xf numFmtId="0" fontId="4" fillId="2" borderId="38" xfId="0" applyFont="1" applyFill="1" applyBorder="1" applyAlignment="1">
      <alignment horizontal="center" vertical="center" wrapText="1"/>
    </xf>
    <xf numFmtId="0" fontId="4" fillId="2" borderId="48" xfId="0" applyFont="1" applyFill="1" applyBorder="1" applyAlignment="1">
      <alignment vertical="center" wrapText="1"/>
    </xf>
    <xf numFmtId="0" fontId="17" fillId="0" borderId="0" xfId="0" applyFont="1"/>
    <xf numFmtId="0" fontId="0" fillId="0" borderId="17" xfId="0" applyBorder="1"/>
    <xf numFmtId="0" fontId="2" fillId="0" borderId="57" xfId="0" applyFont="1" applyBorder="1" applyAlignment="1">
      <alignment horizontal="center"/>
    </xf>
    <xf numFmtId="0" fontId="2" fillId="0" borderId="23" xfId="0" quotePrefix="1" applyFont="1" applyBorder="1" applyAlignment="1">
      <alignment horizontal="center"/>
    </xf>
    <xf numFmtId="0" fontId="2" fillId="0" borderId="47" xfId="0" applyFont="1" applyBorder="1" applyAlignment="1">
      <alignment horizontal="center"/>
    </xf>
    <xf numFmtId="0" fontId="2" fillId="0" borderId="22" xfId="0" applyFont="1" applyBorder="1" applyAlignment="1">
      <alignment horizontal="center"/>
    </xf>
    <xf numFmtId="0" fontId="2" fillId="0" borderId="43" xfId="0" applyFont="1" applyBorder="1" applyAlignment="1">
      <alignment horizontal="center"/>
    </xf>
    <xf numFmtId="0" fontId="2" fillId="0" borderId="44" xfId="0" applyFont="1" applyBorder="1" applyAlignment="1">
      <alignment horizontal="center"/>
    </xf>
    <xf numFmtId="0" fontId="0" fillId="8" borderId="7" xfId="0" applyFill="1" applyBorder="1"/>
    <xf numFmtId="0" fontId="0" fillId="6" borderId="40" xfId="0" applyFill="1" applyBorder="1"/>
    <xf numFmtId="0" fontId="0" fillId="0" borderId="47" xfId="0" quotePrefix="1" applyBorder="1" applyAlignment="1">
      <alignment horizontal="center" wrapText="1"/>
    </xf>
    <xf numFmtId="0" fontId="4" fillId="2" borderId="58" xfId="0" applyFont="1" applyFill="1" applyBorder="1" applyAlignment="1">
      <alignment horizontal="center" vertical="center" wrapText="1"/>
    </xf>
    <xf numFmtId="0" fontId="4" fillId="2" borderId="59" xfId="0" applyFont="1" applyFill="1" applyBorder="1" applyAlignment="1">
      <alignment horizontal="center" vertical="center" wrapText="1"/>
    </xf>
    <xf numFmtId="0" fontId="0" fillId="0" borderId="44" xfId="0" applyBorder="1"/>
    <xf numFmtId="0" fontId="0" fillId="0" borderId="31" xfId="0" quotePrefix="1" applyBorder="1"/>
    <xf numFmtId="0" fontId="0" fillId="0" borderId="45" xfId="0" quotePrefix="1" applyBorder="1"/>
    <xf numFmtId="0" fontId="0" fillId="0" borderId="29" xfId="0" quotePrefix="1" applyBorder="1"/>
    <xf numFmtId="0" fontId="0" fillId="0" borderId="43" xfId="0" quotePrefix="1" applyBorder="1"/>
    <xf numFmtId="0" fontId="0" fillId="0" borderId="23" xfId="0" quotePrefix="1" applyBorder="1"/>
    <xf numFmtId="0" fontId="0" fillId="0" borderId="21" xfId="0" applyBorder="1"/>
    <xf numFmtId="0" fontId="0" fillId="0" borderId="22" xfId="0" quotePrefix="1" applyBorder="1"/>
    <xf numFmtId="0" fontId="0" fillId="6" borderId="6" xfId="0" applyFill="1" applyBorder="1"/>
    <xf numFmtId="0" fontId="2" fillId="0" borderId="46" xfId="0" applyFont="1" applyBorder="1" applyAlignment="1">
      <alignment horizontal="center"/>
    </xf>
    <xf numFmtId="11" fontId="0" fillId="0" borderId="0" xfId="0" applyNumberFormat="1"/>
    <xf numFmtId="0" fontId="0" fillId="0" borderId="29" xfId="0" quotePrefix="1" applyBorder="1" applyAlignment="1">
      <alignment horizontal="center"/>
    </xf>
    <xf numFmtId="0" fontId="0" fillId="0" borderId="32" xfId="0" applyBorder="1"/>
    <xf numFmtId="0" fontId="0" fillId="0" borderId="24" xfId="0" applyBorder="1"/>
    <xf numFmtId="0" fontId="0" fillId="0" borderId="49" xfId="0" applyBorder="1"/>
    <xf numFmtId="0" fontId="4" fillId="2" borderId="43" xfId="0" applyFont="1" applyFill="1" applyBorder="1" applyAlignment="1">
      <alignment vertical="center" wrapText="1"/>
    </xf>
    <xf numFmtId="0" fontId="3" fillId="0" borderId="44" xfId="0" applyFont="1" applyBorder="1" applyAlignment="1">
      <alignment vertical="center"/>
    </xf>
    <xf numFmtId="0" fontId="3" fillId="0" borderId="5" xfId="0" applyFont="1" applyBorder="1" applyAlignment="1">
      <alignment horizontal="center"/>
    </xf>
    <xf numFmtId="0" fontId="4" fillId="2" borderId="8" xfId="0" applyFont="1" applyFill="1" applyBorder="1" applyAlignment="1">
      <alignment horizontal="center" vertical="center" wrapText="1"/>
    </xf>
    <xf numFmtId="0" fontId="4" fillId="2" borderId="48" xfId="0" applyFont="1" applyFill="1" applyBorder="1" applyAlignment="1">
      <alignment horizontal="center" vertical="center" wrapText="1"/>
    </xf>
    <xf numFmtId="0" fontId="4" fillId="2" borderId="54" xfId="0" applyFont="1" applyFill="1" applyBorder="1" applyAlignment="1">
      <alignment horizontal="center" vertical="center" wrapText="1"/>
    </xf>
    <xf numFmtId="0" fontId="4" fillId="2" borderId="53" xfId="0" applyFont="1" applyFill="1" applyBorder="1" applyAlignment="1">
      <alignment horizontal="center" vertical="center" wrapText="1"/>
    </xf>
    <xf numFmtId="0" fontId="0" fillId="0" borderId="10" xfId="0" applyBorder="1"/>
    <xf numFmtId="0" fontId="0" fillId="0" borderId="6" xfId="0" applyBorder="1"/>
    <xf numFmtId="0" fontId="2" fillId="0" borderId="30" xfId="0" quotePrefix="1" applyFont="1" applyFill="1" applyBorder="1" applyAlignment="1">
      <alignment horizontal="center"/>
    </xf>
    <xf numFmtId="0" fontId="0" fillId="0" borderId="47" xfId="0" quotePrefix="1" applyFill="1" applyBorder="1"/>
    <xf numFmtId="0" fontId="0" fillId="0" borderId="29" xfId="0" applyFill="1" applyBorder="1"/>
    <xf numFmtId="0" fontId="4" fillId="2" borderId="1" xfId="0" applyFont="1" applyFill="1" applyBorder="1" applyAlignment="1">
      <alignment horizontal="center" vertical="center" wrapText="1"/>
    </xf>
    <xf numFmtId="0" fontId="0" fillId="0" borderId="56" xfId="0" quotePrefix="1" applyBorder="1" applyAlignment="1">
      <alignment horizontal="center"/>
    </xf>
    <xf numFmtId="0" fontId="2" fillId="0" borderId="64" xfId="0" applyFont="1" applyBorder="1" applyAlignment="1">
      <alignment horizontal="center"/>
    </xf>
    <xf numFmtId="0" fontId="0" fillId="0" borderId="2" xfId="0" quotePrefix="1" applyBorder="1"/>
    <xf numFmtId="0" fontId="0" fillId="0" borderId="20" xfId="0" quotePrefix="1" applyBorder="1"/>
    <xf numFmtId="0" fontId="0" fillId="0" borderId="61" xfId="0" quotePrefix="1" applyBorder="1"/>
    <xf numFmtId="0" fontId="0" fillId="0" borderId="0" xfId="0" quotePrefix="1"/>
    <xf numFmtId="0" fontId="0" fillId="0" borderId="38" xfId="0" quotePrefix="1" applyBorder="1" applyAlignment="1">
      <alignment horizontal="center"/>
    </xf>
    <xf numFmtId="0" fontId="0" fillId="0" borderId="10" xfId="0" quotePrefix="1" applyFont="1" applyFill="1" applyBorder="1" applyAlignment="1">
      <alignment horizontal="center"/>
    </xf>
    <xf numFmtId="0" fontId="0" fillId="0" borderId="29" xfId="0" quotePrefix="1" applyFont="1" applyFill="1" applyBorder="1" applyAlignment="1">
      <alignment horizontal="center"/>
    </xf>
    <xf numFmtId="0" fontId="3" fillId="0" borderId="6" xfId="0" quotePrefix="1" applyFont="1" applyFill="1" applyBorder="1" applyAlignment="1">
      <alignment horizontal="center" vertical="center" wrapText="1"/>
    </xf>
    <xf numFmtId="0" fontId="3" fillId="0" borderId="31" xfId="0" quotePrefix="1" applyFont="1" applyFill="1" applyBorder="1" applyAlignment="1">
      <alignment horizontal="center" vertical="center" wrapText="1"/>
    </xf>
    <xf numFmtId="0" fontId="4" fillId="2" borderId="62" xfId="0" applyFont="1" applyFill="1" applyBorder="1" applyAlignment="1">
      <alignment horizontal="center" vertical="center" wrapText="1"/>
    </xf>
    <xf numFmtId="0" fontId="0" fillId="0" borderId="61" xfId="0" quotePrefix="1" applyBorder="1" applyAlignment="1">
      <alignment horizontal="left"/>
    </xf>
    <xf numFmtId="0" fontId="4" fillId="2" borderId="15" xfId="0" applyFont="1" applyFill="1" applyBorder="1" applyAlignment="1">
      <alignment horizontal="center" vertical="center" wrapText="1"/>
    </xf>
    <xf numFmtId="0" fontId="4" fillId="2" borderId="50" xfId="0" applyFont="1" applyFill="1" applyBorder="1" applyAlignment="1">
      <alignment vertical="center" wrapText="1"/>
    </xf>
    <xf numFmtId="0" fontId="3" fillId="0" borderId="44" xfId="0" applyFont="1" applyBorder="1"/>
    <xf numFmtId="0" fontId="0" fillId="0" borderId="0" xfId="0" applyFont="1" applyAlignment="1">
      <alignment vertical="center"/>
    </xf>
    <xf numFmtId="0" fontId="0" fillId="0" borderId="0" xfId="0" applyFont="1" applyAlignment="1">
      <alignment horizontal="left" indent="3"/>
    </xf>
    <xf numFmtId="0" fontId="0" fillId="0" borderId="0" xfId="0" applyAlignment="1">
      <alignment horizontal="left" indent="3"/>
    </xf>
    <xf numFmtId="0" fontId="4" fillId="2" borderId="58" xfId="0" applyFont="1" applyFill="1" applyBorder="1" applyAlignment="1">
      <alignment vertical="center" wrapText="1"/>
    </xf>
    <xf numFmtId="0" fontId="4" fillId="2" borderId="59" xfId="0" applyFont="1" applyFill="1" applyBorder="1" applyAlignment="1">
      <alignment vertical="center" wrapText="1"/>
    </xf>
    <xf numFmtId="0" fontId="0" fillId="0" borderId="61" xfId="0" applyBorder="1"/>
    <xf numFmtId="0" fontId="0" fillId="0" borderId="28" xfId="0" quotePrefix="1" applyBorder="1"/>
    <xf numFmtId="0" fontId="0" fillId="0" borderId="1" xfId="0" quotePrefix="1" applyBorder="1"/>
    <xf numFmtId="0" fontId="0" fillId="0" borderId="62" xfId="0" quotePrefix="1" applyBorder="1"/>
    <xf numFmtId="0" fontId="0" fillId="0" borderId="43" xfId="0" applyBorder="1"/>
    <xf numFmtId="0" fontId="0" fillId="0" borderId="45" xfId="0" applyBorder="1"/>
    <xf numFmtId="0" fontId="3" fillId="0" borderId="5" xfId="0" applyFont="1" applyBorder="1" applyAlignment="1"/>
    <xf numFmtId="0" fontId="0" fillId="0" borderId="0" xfId="0" quotePrefix="1" applyAlignment="1">
      <alignment horizontal="left" indent="3"/>
    </xf>
    <xf numFmtId="0" fontId="18" fillId="0" borderId="0" xfId="0" applyFont="1"/>
    <xf numFmtId="0" fontId="0" fillId="0" borderId="30" xfId="0" quotePrefix="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center" vertical="center"/>
    </xf>
    <xf numFmtId="0" fontId="3" fillId="4" borderId="47" xfId="0" applyFont="1" applyFill="1" applyBorder="1"/>
    <xf numFmtId="0" fontId="4" fillId="4" borderId="47" xfId="0" applyFont="1" applyFill="1" applyBorder="1"/>
    <xf numFmtId="0" fontId="0" fillId="0" borderId="70" xfId="0" applyBorder="1" applyAlignment="1">
      <alignment vertical="top"/>
    </xf>
    <xf numFmtId="0" fontId="23" fillId="0" borderId="0" xfId="5" applyFont="1" applyAlignment="1">
      <alignment vertical="top"/>
    </xf>
    <xf numFmtId="0" fontId="23" fillId="0" borderId="0" xfId="5" applyFont="1" applyAlignment="1">
      <alignment horizontal="center" vertical="top"/>
    </xf>
    <xf numFmtId="0" fontId="23" fillId="0" borderId="0" xfId="5" applyFont="1" applyAlignment="1" applyProtection="1">
      <alignment horizontal="left" vertical="top" indent="4"/>
      <protection locked="0"/>
    </xf>
    <xf numFmtId="0" fontId="25" fillId="10" borderId="0" xfId="6" applyFont="1" applyBorder="1" applyAlignment="1">
      <alignment horizontal="left" vertical="top" wrapText="1"/>
    </xf>
    <xf numFmtId="0" fontId="23" fillId="11" borderId="0" xfId="7" applyFont="1" applyBorder="1" applyAlignment="1">
      <alignment horizontal="left" vertical="top" wrapText="1"/>
    </xf>
    <xf numFmtId="0" fontId="26" fillId="0" borderId="0" xfId="8" applyBorder="1" applyAlignment="1">
      <alignment vertical="top"/>
    </xf>
    <xf numFmtId="0" fontId="25" fillId="10" borderId="72" xfId="6" applyFont="1" applyAlignment="1">
      <alignment horizontal="left" vertical="top" wrapText="1"/>
    </xf>
    <xf numFmtId="0" fontId="25" fillId="10" borderId="73" xfId="6" applyFont="1" applyBorder="1" applyAlignment="1">
      <alignment horizontal="left" vertical="top" wrapText="1"/>
    </xf>
    <xf numFmtId="0" fontId="25" fillId="10" borderId="74" xfId="6" applyFont="1" applyBorder="1" applyAlignment="1">
      <alignment horizontal="left" vertical="top" wrapText="1"/>
    </xf>
    <xf numFmtId="0" fontId="25" fillId="10" borderId="72" xfId="6" applyFont="1" applyAlignment="1">
      <alignment horizontal="center" vertical="top" wrapText="1"/>
    </xf>
    <xf numFmtId="0" fontId="23" fillId="0" borderId="73" xfId="5" applyFont="1" applyBorder="1" applyAlignment="1" applyProtection="1">
      <alignment horizontal="center" vertical="top" wrapText="1"/>
      <protection locked="0"/>
    </xf>
    <xf numFmtId="15" fontId="23" fillId="0" borderId="73" xfId="5" applyNumberFormat="1" applyFont="1" applyBorder="1" applyAlignment="1">
      <alignment horizontal="center" vertical="top" wrapText="1"/>
    </xf>
    <xf numFmtId="0" fontId="23" fillId="0" borderId="75" xfId="5" quotePrefix="1" applyFont="1" applyBorder="1" applyAlignment="1" applyProtection="1">
      <alignment horizontal="left" vertical="top" wrapText="1"/>
      <protection locked="0"/>
    </xf>
    <xf numFmtId="0" fontId="23" fillId="0" borderId="73" xfId="5" applyFont="1" applyBorder="1" applyAlignment="1">
      <alignment horizontal="center" vertical="top" wrapText="1"/>
    </xf>
    <xf numFmtId="0" fontId="23" fillId="0" borderId="75" xfId="5" quotePrefix="1" applyFont="1" applyBorder="1" applyAlignment="1">
      <alignment horizontal="left" vertical="top" wrapText="1"/>
    </xf>
    <xf numFmtId="0" fontId="23" fillId="0" borderId="75" xfId="5" applyFont="1" applyBorder="1" applyAlignment="1">
      <alignment horizontal="center" vertical="top" wrapText="1"/>
    </xf>
    <xf numFmtId="15" fontId="23" fillId="0" borderId="75" xfId="5" applyNumberFormat="1" applyFont="1" applyBorder="1" applyAlignment="1">
      <alignment horizontal="center" vertical="top" wrapText="1"/>
    </xf>
    <xf numFmtId="49" fontId="23" fillId="0" borderId="74" xfId="9" applyNumberFormat="1" applyFont="1" applyAlignment="1">
      <alignment horizontal="center" vertical="top" wrapText="1"/>
    </xf>
    <xf numFmtId="15" fontId="23" fillId="0" borderId="74" xfId="9" applyNumberFormat="1" applyFont="1" applyAlignment="1">
      <alignment horizontal="center" vertical="top" wrapText="1"/>
    </xf>
    <xf numFmtId="0" fontId="23" fillId="0" borderId="74" xfId="9" applyFont="1" applyAlignment="1">
      <alignment horizontal="center" vertical="top" wrapText="1"/>
    </xf>
    <xf numFmtId="0" fontId="23" fillId="0" borderId="74" xfId="9" applyFont="1" applyAlignment="1">
      <alignment horizontal="center" vertical="top"/>
    </xf>
    <xf numFmtId="0" fontId="23" fillId="0" borderId="74" xfId="9" applyFont="1" applyAlignment="1">
      <alignment horizontal="left" vertical="top" wrapText="1"/>
    </xf>
    <xf numFmtId="0" fontId="0" fillId="0" borderId="30" xfId="0" applyBorder="1" applyAlignment="1">
      <alignment horizontal="center" vertical="center" wrapText="1"/>
    </xf>
    <xf numFmtId="0" fontId="4" fillId="2" borderId="53" xfId="0" applyFont="1" applyFill="1" applyBorder="1" applyAlignment="1">
      <alignment horizontal="center" vertical="center" wrapText="1"/>
    </xf>
    <xf numFmtId="0" fontId="0" fillId="4" borderId="4" xfId="0" applyFill="1" applyBorder="1"/>
    <xf numFmtId="0" fontId="0" fillId="4" borderId="5" xfId="0" applyFill="1" applyBorder="1"/>
    <xf numFmtId="0" fontId="2" fillId="4" borderId="3" xfId="0" applyFont="1" applyFill="1" applyBorder="1" applyAlignment="1">
      <alignment horizontal="center" vertical="center"/>
    </xf>
    <xf numFmtId="0" fontId="2" fillId="0" borderId="5" xfId="0" applyFont="1" applyBorder="1"/>
    <xf numFmtId="0" fontId="0" fillId="0" borderId="5" xfId="0" applyBorder="1"/>
    <xf numFmtId="0" fontId="4" fillId="2" borderId="44" xfId="0" applyFont="1" applyFill="1" applyBorder="1" applyAlignment="1">
      <alignment horizontal="center" vertical="center" wrapText="1"/>
    </xf>
    <xf numFmtId="0" fontId="3" fillId="0" borderId="3" xfId="0" applyFont="1" applyBorder="1" applyAlignment="1">
      <alignment horizontal="center"/>
    </xf>
    <xf numFmtId="0" fontId="4" fillId="0" borderId="46" xfId="0" applyFont="1" applyFill="1" applyBorder="1" applyAlignment="1">
      <alignment horizontal="center" vertical="center" wrapText="1"/>
    </xf>
    <xf numFmtId="0" fontId="0" fillId="0" borderId="71" xfId="0" quotePrefix="1" applyBorder="1" applyAlignment="1">
      <alignment horizontal="center"/>
    </xf>
    <xf numFmtId="0" fontId="0" fillId="0" borderId="65" xfId="0" quotePrefix="1" applyBorder="1" applyAlignment="1">
      <alignment horizontal="center"/>
    </xf>
    <xf numFmtId="0" fontId="0" fillId="0" borderId="16" xfId="0" quotePrefix="1" applyBorder="1" applyAlignment="1">
      <alignment horizontal="center"/>
    </xf>
    <xf numFmtId="0" fontId="0" fillId="0" borderId="78" xfId="0" quotePrefix="1" applyBorder="1" applyAlignment="1">
      <alignment horizontal="center"/>
    </xf>
    <xf numFmtId="0" fontId="2" fillId="0" borderId="65" xfId="0" applyFont="1" applyBorder="1" applyAlignment="1">
      <alignment horizontal="center"/>
    </xf>
    <xf numFmtId="0" fontId="0" fillId="0" borderId="79" xfId="0" quotePrefix="1" applyBorder="1" applyAlignment="1">
      <alignment horizontal="center"/>
    </xf>
    <xf numFmtId="0" fontId="0" fillId="0" borderId="71" xfId="0" quotePrefix="1" applyBorder="1"/>
    <xf numFmtId="0" fontId="0" fillId="0" borderId="65" xfId="0" quotePrefix="1" applyBorder="1"/>
    <xf numFmtId="0" fontId="0" fillId="0" borderId="78" xfId="0" quotePrefix="1" applyBorder="1"/>
    <xf numFmtId="0" fontId="4" fillId="2" borderId="50" xfId="0" applyFont="1" applyFill="1" applyBorder="1" applyAlignment="1">
      <alignment horizontal="center" vertical="center" wrapText="1"/>
    </xf>
    <xf numFmtId="0" fontId="2" fillId="0" borderId="53" xfId="0" applyFont="1" applyBorder="1" applyAlignment="1">
      <alignment horizontal="center"/>
    </xf>
    <xf numFmtId="0" fontId="0" fillId="0" borderId="58" xfId="0" quotePrefix="1" applyBorder="1" applyAlignment="1">
      <alignment horizontal="center"/>
    </xf>
    <xf numFmtId="0" fontId="0" fillId="0" borderId="59" xfId="0" quotePrefix="1" applyBorder="1" applyAlignment="1">
      <alignment horizontal="center"/>
    </xf>
    <xf numFmtId="0" fontId="0" fillId="0" borderId="52" xfId="0" quotePrefix="1" applyBorder="1" applyAlignment="1">
      <alignment horizontal="center"/>
    </xf>
    <xf numFmtId="0" fontId="0" fillId="0" borderId="50" xfId="0" quotePrefix="1" applyBorder="1" applyAlignment="1">
      <alignment horizontal="center"/>
    </xf>
    <xf numFmtId="0" fontId="2" fillId="0" borderId="58" xfId="0" applyFont="1" applyBorder="1" applyAlignment="1">
      <alignment horizontal="center"/>
    </xf>
    <xf numFmtId="0" fontId="2" fillId="0" borderId="80" xfId="0" applyFont="1" applyBorder="1" applyAlignment="1">
      <alignment horizontal="center"/>
    </xf>
    <xf numFmtId="0" fontId="2" fillId="0" borderId="59" xfId="0" quotePrefix="1" applyFont="1" applyBorder="1" applyAlignment="1">
      <alignment horizontal="center"/>
    </xf>
    <xf numFmtId="0" fontId="0" fillId="0" borderId="58" xfId="0" quotePrefix="1" applyBorder="1"/>
    <xf numFmtId="0" fontId="0" fillId="0" borderId="59" xfId="0" quotePrefix="1" applyBorder="1"/>
    <xf numFmtId="0" fontId="0" fillId="0" borderId="50" xfId="0" quotePrefix="1" applyBorder="1"/>
    <xf numFmtId="0" fontId="0" fillId="0" borderId="29" xfId="0" applyBorder="1" applyAlignment="1">
      <alignment horizontal="center" vertical="center" wrapText="1"/>
    </xf>
    <xf numFmtId="0" fontId="3" fillId="0" borderId="46" xfId="0" applyFont="1" applyBorder="1"/>
    <xf numFmtId="0" fontId="0" fillId="0" borderId="4" xfId="0" applyFont="1" applyBorder="1" applyAlignment="1">
      <alignment horizontal="center"/>
    </xf>
    <xf numFmtId="0" fontId="0" fillId="0" borderId="5" xfId="0" applyFont="1" applyBorder="1" applyAlignment="1">
      <alignment horizontal="center"/>
    </xf>
    <xf numFmtId="0" fontId="0" fillId="0" borderId="30" xfId="0" quotePrefix="1" applyFont="1" applyBorder="1" applyAlignment="1">
      <alignment horizontal="center"/>
    </xf>
    <xf numFmtId="0" fontId="3" fillId="0" borderId="0" xfId="0" applyFont="1" applyFill="1"/>
    <xf numFmtId="0" fontId="3" fillId="0" borderId="5" xfId="0" applyFont="1" applyFill="1" applyBorder="1" applyAlignment="1">
      <alignment horizontal="center"/>
    </xf>
    <xf numFmtId="0" fontId="0" fillId="0" borderId="32" xfId="0" applyBorder="1" applyAlignment="1">
      <alignment horizontal="left" vertical="center"/>
    </xf>
    <xf numFmtId="0" fontId="2" fillId="0" borderId="39" xfId="0" applyFont="1" applyBorder="1" applyAlignment="1">
      <alignment horizontal="center" vertical="center"/>
    </xf>
    <xf numFmtId="0" fontId="0" fillId="0" borderId="21" xfId="0" applyBorder="1" applyAlignment="1">
      <alignment vertical="center"/>
    </xf>
    <xf numFmtId="0" fontId="0" fillId="0" borderId="44" xfId="0" applyBorder="1" applyAlignment="1">
      <alignment vertical="center"/>
    </xf>
    <xf numFmtId="0" fontId="3" fillId="0" borderId="21" xfId="0" applyFont="1" applyBorder="1" applyAlignment="1">
      <alignment vertical="center" wrapText="1"/>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0" fillId="0" borderId="30" xfId="0" quotePrefix="1" applyFont="1" applyBorder="1" applyAlignment="1">
      <alignment horizontal="center" vertical="center"/>
    </xf>
    <xf numFmtId="0" fontId="0" fillId="0" borderId="0" xfId="0" applyAlignment="1">
      <alignment horizontal="left" indent="2"/>
    </xf>
    <xf numFmtId="0" fontId="0" fillId="0" borderId="0" xfId="0" applyFont="1" applyFill="1" applyAlignment="1">
      <alignment horizontal="left" vertical="center"/>
    </xf>
    <xf numFmtId="0" fontId="27" fillId="0" borderId="0" xfId="0" applyFont="1" applyAlignment="1">
      <alignment horizontal="left" vertical="center" readingOrder="1"/>
    </xf>
    <xf numFmtId="0" fontId="29" fillId="0" borderId="0" xfId="0" applyFont="1" applyAlignment="1">
      <alignment horizontal="left" vertical="center" readingOrder="1"/>
    </xf>
    <xf numFmtId="0" fontId="4" fillId="2" borderId="50" xfId="0" applyFont="1" applyFill="1" applyBorder="1" applyAlignment="1">
      <alignment horizontal="center" vertical="center" wrapText="1"/>
    </xf>
    <xf numFmtId="0" fontId="4" fillId="2" borderId="78" xfId="0" applyFont="1" applyFill="1" applyBorder="1" applyAlignment="1">
      <alignment horizontal="center" vertical="center" wrapText="1"/>
    </xf>
    <xf numFmtId="0" fontId="4" fillId="2" borderId="44" xfId="0" applyFont="1" applyFill="1" applyBorder="1" applyAlignment="1">
      <alignment horizontal="center" vertical="center" wrapText="1"/>
    </xf>
    <xf numFmtId="0" fontId="3" fillId="0" borderId="47" xfId="0" applyFont="1" applyBorder="1"/>
    <xf numFmtId="0" fontId="3" fillId="5" borderId="21" xfId="0" applyFont="1" applyFill="1" applyBorder="1"/>
    <xf numFmtId="0" fontId="3" fillId="5" borderId="37" xfId="0" applyFont="1" applyFill="1" applyBorder="1"/>
    <xf numFmtId="0" fontId="3" fillId="5" borderId="57" xfId="0" applyFont="1" applyFill="1" applyBorder="1"/>
    <xf numFmtId="0" fontId="3" fillId="5" borderId="34" xfId="0" applyFont="1" applyFill="1" applyBorder="1"/>
    <xf numFmtId="0" fontId="2" fillId="0" borderId="15" xfId="0" applyFont="1" applyBorder="1" applyAlignment="1">
      <alignment horizontal="center"/>
    </xf>
    <xf numFmtId="0" fontId="2" fillId="0" borderId="82" xfId="0" applyFont="1" applyBorder="1" applyAlignment="1">
      <alignment horizontal="center"/>
    </xf>
    <xf numFmtId="0" fontId="0" fillId="0" borderId="42" xfId="0" applyBorder="1" applyAlignment="1">
      <alignment horizontal="center"/>
    </xf>
    <xf numFmtId="0" fontId="0" fillId="0" borderId="21" xfId="0" applyBorder="1" applyAlignment="1">
      <alignment horizontal="center"/>
    </xf>
    <xf numFmtId="0" fontId="2" fillId="0" borderId="45" xfId="0" applyFont="1" applyBorder="1" applyAlignment="1">
      <alignment horizontal="center"/>
    </xf>
    <xf numFmtId="0" fontId="27" fillId="0" borderId="0" xfId="0" applyFont="1" applyAlignment="1">
      <alignment horizontal="left" vertical="center" indent="2" readingOrder="1"/>
    </xf>
    <xf numFmtId="0" fontId="27" fillId="0" borderId="0" xfId="0" applyFont="1" applyAlignment="1">
      <alignment horizontal="left" vertical="center" indent="3" readingOrder="1"/>
    </xf>
    <xf numFmtId="0" fontId="2" fillId="0" borderId="39" xfId="0" quotePrefix="1" applyFont="1" applyBorder="1" applyAlignment="1">
      <alignment horizontal="center"/>
    </xf>
    <xf numFmtId="0" fontId="3" fillId="0" borderId="49" xfId="0" applyFont="1" applyBorder="1" applyAlignment="1">
      <alignment vertical="center"/>
    </xf>
    <xf numFmtId="0" fontId="0" fillId="0" borderId="60" xfId="0" quotePrefix="1" applyBorder="1" applyAlignment="1">
      <alignment horizontal="center"/>
    </xf>
    <xf numFmtId="0" fontId="2" fillId="0" borderId="32" xfId="0" applyFont="1" applyBorder="1" applyAlignment="1">
      <alignment horizontal="center"/>
    </xf>
    <xf numFmtId="0" fontId="2" fillId="0" borderId="13" xfId="0" applyFont="1" applyBorder="1" applyAlignment="1">
      <alignment horizontal="center"/>
    </xf>
    <xf numFmtId="0" fontId="2" fillId="0" borderId="33" xfId="0" applyFont="1" applyBorder="1" applyAlignment="1">
      <alignment horizontal="center"/>
    </xf>
    <xf numFmtId="0" fontId="0" fillId="0" borderId="0" xfId="0" applyBorder="1" applyAlignment="1">
      <alignment horizontal="left" vertical="center"/>
    </xf>
    <xf numFmtId="0" fontId="0" fillId="0" borderId="5" xfId="0" quotePrefix="1" applyBorder="1" applyAlignment="1">
      <alignment horizontal="center"/>
    </xf>
    <xf numFmtId="0" fontId="0" fillId="0" borderId="83" xfId="0" quotePrefix="1" applyBorder="1" applyAlignment="1">
      <alignment horizontal="center"/>
    </xf>
    <xf numFmtId="0" fontId="2" fillId="0" borderId="71" xfId="0" applyFont="1" applyBorder="1" applyAlignment="1">
      <alignment horizontal="center"/>
    </xf>
    <xf numFmtId="0" fontId="0" fillId="0" borderId="84" xfId="0" quotePrefix="1" applyBorder="1"/>
    <xf numFmtId="0" fontId="0" fillId="0" borderId="11" xfId="0" quotePrefix="1" applyBorder="1" applyAlignment="1">
      <alignment horizontal="center"/>
    </xf>
    <xf numFmtId="0" fontId="0" fillId="0" borderId="7" xfId="0" quotePrefix="1" applyBorder="1" applyAlignment="1">
      <alignment horizontal="center"/>
    </xf>
    <xf numFmtId="0" fontId="4" fillId="0" borderId="16" xfId="0" applyFont="1" applyFill="1" applyBorder="1" applyAlignment="1">
      <alignment horizontal="center" vertical="center" wrapText="1"/>
    </xf>
    <xf numFmtId="0" fontId="2" fillId="0" borderId="29" xfId="0" applyFont="1" applyBorder="1" applyAlignment="1">
      <alignment horizontal="center"/>
    </xf>
    <xf numFmtId="0" fontId="2" fillId="0" borderId="35" xfId="0" applyFont="1" applyBorder="1" applyAlignment="1">
      <alignment horizontal="center"/>
    </xf>
    <xf numFmtId="0" fontId="2" fillId="0" borderId="4" xfId="0" applyFont="1" applyFill="1" applyBorder="1" applyAlignment="1">
      <alignment horizontal="center"/>
    </xf>
    <xf numFmtId="0" fontId="2" fillId="0" borderId="5" xfId="0" applyFont="1" applyFill="1" applyBorder="1" applyAlignment="1">
      <alignment horizontal="center"/>
    </xf>
    <xf numFmtId="0" fontId="2" fillId="0" borderId="30" xfId="0" applyFont="1" applyFill="1" applyBorder="1" applyAlignment="1">
      <alignment horizontal="center"/>
    </xf>
    <xf numFmtId="0" fontId="2" fillId="0" borderId="7" xfId="0" applyFont="1" applyFill="1" applyBorder="1" applyAlignment="1">
      <alignment horizontal="center"/>
    </xf>
    <xf numFmtId="0" fontId="3" fillId="5" borderId="43" xfId="0" applyFont="1" applyFill="1" applyBorder="1"/>
    <xf numFmtId="0" fontId="3" fillId="5" borderId="44" xfId="0" applyFont="1" applyFill="1" applyBorder="1"/>
    <xf numFmtId="0" fontId="3" fillId="5" borderId="45" xfId="0" applyFont="1" applyFill="1" applyBorder="1"/>
    <xf numFmtId="0" fontId="3" fillId="5" borderId="42" xfId="0" applyFont="1" applyFill="1" applyBorder="1"/>
    <xf numFmtId="0" fontId="3" fillId="0" borderId="42" xfId="0" applyFont="1" applyBorder="1"/>
    <xf numFmtId="0" fontId="3" fillId="5" borderId="42" xfId="0" applyFont="1" applyFill="1" applyBorder="1" applyAlignment="1">
      <alignment horizontal="left"/>
    </xf>
    <xf numFmtId="0" fontId="3" fillId="0" borderId="42" xfId="0" applyFont="1" applyBorder="1" applyAlignment="1">
      <alignment horizontal="left" vertical="center"/>
    </xf>
    <xf numFmtId="0" fontId="3" fillId="0" borderId="42" xfId="0" applyFont="1" applyBorder="1" applyAlignment="1">
      <alignment vertical="center"/>
    </xf>
    <xf numFmtId="0" fontId="4" fillId="2" borderId="51" xfId="0" applyFont="1" applyFill="1" applyBorder="1" applyAlignment="1">
      <alignment vertical="center" wrapText="1"/>
    </xf>
    <xf numFmtId="0" fontId="0" fillId="0" borderId="62" xfId="0" applyBorder="1"/>
    <xf numFmtId="0" fontId="0" fillId="0" borderId="71" xfId="0" quotePrefix="1" applyBorder="1" applyAlignment="1">
      <alignment horizontal="left"/>
    </xf>
    <xf numFmtId="0" fontId="9" fillId="0" borderId="5" xfId="0" applyFont="1" applyBorder="1" applyAlignment="1">
      <alignment vertical="center" wrapText="1"/>
    </xf>
    <xf numFmtId="0" fontId="2" fillId="0" borderId="52" xfId="0" applyFont="1" applyBorder="1" applyAlignment="1">
      <alignment horizontal="center"/>
    </xf>
    <xf numFmtId="0" fontId="3" fillId="5" borderId="41" xfId="0" applyFont="1" applyFill="1" applyBorder="1"/>
    <xf numFmtId="0" fontId="0" fillId="0" borderId="10" xfId="0" applyBorder="1" applyAlignment="1">
      <alignment horizontal="left" vertical="center"/>
    </xf>
    <xf numFmtId="0" fontId="3" fillId="0" borderId="36" xfId="0" applyFont="1" applyBorder="1" applyAlignment="1">
      <alignment vertical="center"/>
    </xf>
    <xf numFmtId="0" fontId="0" fillId="0" borderId="23" xfId="0" applyBorder="1"/>
    <xf numFmtId="0" fontId="0" fillId="0" borderId="22" xfId="0" applyBorder="1"/>
    <xf numFmtId="0" fontId="0" fillId="0" borderId="85" xfId="0" quotePrefix="1" applyBorder="1" applyAlignment="1">
      <alignment horizontal="center"/>
    </xf>
    <xf numFmtId="0" fontId="0" fillId="0" borderId="80" xfId="0" quotePrefix="1" applyBorder="1" applyAlignment="1">
      <alignment horizontal="center"/>
    </xf>
    <xf numFmtId="0" fontId="0" fillId="0" borderId="82" xfId="0" quotePrefix="1" applyBorder="1" applyAlignment="1">
      <alignment horizontal="center"/>
    </xf>
    <xf numFmtId="0" fontId="2" fillId="0" borderId="86" xfId="0" applyFont="1" applyBorder="1" applyAlignment="1">
      <alignment horizontal="center"/>
    </xf>
    <xf numFmtId="0" fontId="2" fillId="0" borderId="83" xfId="0" applyFont="1" applyBorder="1" applyAlignment="1">
      <alignment horizontal="center"/>
    </xf>
    <xf numFmtId="0" fontId="4" fillId="2" borderId="3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2" fillId="0" borderId="10" xfId="0" quotePrefix="1" applyFont="1" applyBorder="1" applyAlignment="1">
      <alignment horizontal="center"/>
    </xf>
    <xf numFmtId="0" fontId="2" fillId="0" borderId="4" xfId="0" quotePrefix="1" applyFont="1" applyBorder="1" applyAlignment="1">
      <alignment horizontal="center"/>
    </xf>
    <xf numFmtId="0" fontId="2" fillId="0" borderId="6" xfId="0" quotePrefix="1" applyFont="1" applyBorder="1" applyAlignment="1">
      <alignment horizontal="center"/>
    </xf>
    <xf numFmtId="0" fontId="0" fillId="0" borderId="0" xfId="0" applyAlignment="1">
      <alignment wrapText="1"/>
    </xf>
    <xf numFmtId="0" fontId="0" fillId="0" borderId="5" xfId="0" applyBorder="1" applyAlignment="1">
      <alignment wrapText="1"/>
    </xf>
    <xf numFmtId="0" fontId="0" fillId="0" borderId="5" xfId="0" quotePrefix="1" applyBorder="1"/>
    <xf numFmtId="0" fontId="0" fillId="0" borderId="4" xfId="0" quotePrefix="1" applyBorder="1" applyAlignment="1">
      <alignment horizontal="left" indent="2"/>
    </xf>
    <xf numFmtId="0" fontId="0" fillId="0" borderId="6" xfId="0" quotePrefix="1" applyBorder="1" applyAlignment="1">
      <alignment horizontal="left" indent="2"/>
    </xf>
    <xf numFmtId="0" fontId="0" fillId="0" borderId="10" xfId="0" quotePrefix="1" applyBorder="1" applyAlignment="1">
      <alignment horizontal="left" indent="2"/>
    </xf>
    <xf numFmtId="0" fontId="0" fillId="0" borderId="11" xfId="0" applyBorder="1"/>
    <xf numFmtId="0" fontId="0" fillId="0" borderId="11" xfId="0" quotePrefix="1" applyBorder="1"/>
    <xf numFmtId="0" fontId="2" fillId="2" borderId="58" xfId="0" applyFont="1" applyFill="1" applyBorder="1" applyAlignment="1">
      <alignment horizontal="center" vertical="center" wrapText="1"/>
    </xf>
    <xf numFmtId="0" fontId="2" fillId="2" borderId="80" xfId="0" applyFont="1" applyFill="1" applyBorder="1" applyAlignment="1">
      <alignment horizontal="center" vertical="center" wrapText="1"/>
    </xf>
    <xf numFmtId="0" fontId="2" fillId="2" borderId="59" xfId="0" applyFont="1" applyFill="1" applyBorder="1" applyAlignment="1">
      <alignment horizontal="center" vertical="center" wrapText="1"/>
    </xf>
    <xf numFmtId="0" fontId="0" fillId="0" borderId="0" xfId="0" applyAlignment="1">
      <alignment horizontal="left"/>
    </xf>
    <xf numFmtId="0" fontId="0" fillId="0" borderId="7" xfId="0" quotePrefix="1" applyBorder="1"/>
    <xf numFmtId="0" fontId="4" fillId="2" borderId="50" xfId="0" applyFont="1" applyFill="1" applyBorder="1" applyAlignment="1">
      <alignment horizontal="center" vertical="center" wrapText="1"/>
    </xf>
    <xf numFmtId="0" fontId="4" fillId="2" borderId="5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4" fillId="2" borderId="59" xfId="0" applyFont="1" applyFill="1" applyBorder="1" applyAlignment="1">
      <alignment horizontal="center" vertical="center" wrapText="1"/>
    </xf>
    <xf numFmtId="0" fontId="4" fillId="2" borderId="53" xfId="0" applyFont="1" applyFill="1" applyBorder="1" applyAlignment="1">
      <alignment horizontal="center" vertical="center" wrapText="1"/>
    </xf>
    <xf numFmtId="0" fontId="0" fillId="0" borderId="0" xfId="0" applyAlignment="1">
      <alignment horizontal="left" wrapText="1"/>
    </xf>
    <xf numFmtId="0" fontId="4" fillId="2" borderId="50"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4" fillId="2" borderId="5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44" xfId="0" applyFont="1" applyFill="1" applyBorder="1" applyAlignment="1">
      <alignment horizontal="center" vertical="center" wrapText="1"/>
    </xf>
    <xf numFmtId="0" fontId="0" fillId="0" borderId="4" xfId="0" applyFill="1" applyBorder="1" applyAlignment="1">
      <alignment horizontal="center"/>
    </xf>
    <xf numFmtId="0" fontId="0" fillId="0" borderId="4" xfId="0" applyFill="1" applyBorder="1"/>
    <xf numFmtId="0" fontId="2" fillId="0" borderId="0" xfId="0" applyFont="1" applyBorder="1"/>
    <xf numFmtId="0" fontId="0" fillId="0" borderId="0" xfId="0" applyFont="1" applyBorder="1" applyAlignment="1">
      <alignment horizontal="left" indent="3"/>
    </xf>
    <xf numFmtId="0" fontId="0" fillId="0" borderId="0" xfId="0" applyFont="1" applyBorder="1"/>
    <xf numFmtId="0" fontId="0" fillId="0" borderId="0" xfId="0" quotePrefix="1" applyBorder="1"/>
    <xf numFmtId="0" fontId="0" fillId="0" borderId="0" xfId="0" quotePrefix="1" applyBorder="1" applyAlignment="1">
      <alignment vertical="center"/>
    </xf>
    <xf numFmtId="0" fontId="0" fillId="0" borderId="0" xfId="0" applyFill="1" applyBorder="1"/>
    <xf numFmtId="0" fontId="0" fillId="0" borderId="5" xfId="0" applyFill="1" applyBorder="1"/>
    <xf numFmtId="0" fontId="0" fillId="0" borderId="37" xfId="0" applyBorder="1"/>
    <xf numFmtId="0" fontId="0" fillId="0" borderId="57" xfId="0" applyBorder="1"/>
    <xf numFmtId="0" fontId="0" fillId="0" borderId="34" xfId="0" applyFill="1" applyBorder="1"/>
    <xf numFmtId="0" fontId="0" fillId="0" borderId="0" xfId="0" applyFont="1" applyFill="1"/>
    <xf numFmtId="0" fontId="0" fillId="0" borderId="0" xfId="0" applyAlignment="1">
      <alignment horizontal="left" indent="6"/>
    </xf>
    <xf numFmtId="0" fontId="0" fillId="0" borderId="0" xfId="0" applyFont="1" applyAlignment="1">
      <alignment horizontal="left"/>
    </xf>
    <xf numFmtId="0" fontId="0" fillId="0" borderId="0" xfId="0" applyFont="1" applyBorder="1" applyAlignment="1">
      <alignment horizontal="left"/>
    </xf>
    <xf numFmtId="0" fontId="0" fillId="0" borderId="4" xfId="0" applyFill="1" applyBorder="1" applyAlignment="1">
      <alignment wrapText="1"/>
    </xf>
    <xf numFmtId="0" fontId="0" fillId="0" borderId="4" xfId="0" quotePrefix="1" applyFill="1" applyBorder="1"/>
    <xf numFmtId="0" fontId="0" fillId="0" borderId="0" xfId="0" applyFont="1" applyFill="1" applyAlignment="1">
      <alignment vertical="center"/>
    </xf>
    <xf numFmtId="0" fontId="3" fillId="0" borderId="0" xfId="0" applyFont="1" applyAlignment="1">
      <alignment horizontal="left" wrapText="1"/>
    </xf>
    <xf numFmtId="0" fontId="0" fillId="0" borderId="39" xfId="0" quotePrefix="1" applyBorder="1" applyAlignment="1">
      <alignment horizontal="center"/>
    </xf>
    <xf numFmtId="0" fontId="0" fillId="0" borderId="76" xfId="0" applyBorder="1"/>
    <xf numFmtId="0" fontId="0" fillId="0" borderId="7" xfId="0" applyFill="1" applyBorder="1"/>
    <xf numFmtId="0" fontId="0" fillId="0" borderId="0" xfId="0" applyFill="1" applyAlignment="1">
      <alignment horizontal="left" indent="3"/>
    </xf>
    <xf numFmtId="0" fontId="0" fillId="0" borderId="0" xfId="0" applyFill="1" applyAlignment="1">
      <alignment horizontal="left" wrapText="1"/>
    </xf>
    <xf numFmtId="0" fontId="0" fillId="0" borderId="0" xfId="0" applyFill="1" applyAlignment="1">
      <alignment horizontal="left"/>
    </xf>
    <xf numFmtId="0" fontId="2" fillId="0" borderId="17" xfId="0" applyFont="1" applyBorder="1"/>
    <xf numFmtId="0" fontId="0" fillId="0" borderId="17" xfId="0" quotePrefix="1" applyBorder="1"/>
    <xf numFmtId="0" fontId="0" fillId="0" borderId="0" xfId="0" applyFont="1" applyFill="1" applyBorder="1" applyAlignment="1">
      <alignment horizontal="left"/>
    </xf>
    <xf numFmtId="0" fontId="0" fillId="0" borderId="0" xfId="0" applyFont="1" applyFill="1" applyBorder="1"/>
    <xf numFmtId="0" fontId="0" fillId="0" borderId="44" xfId="0" applyFill="1" applyBorder="1"/>
    <xf numFmtId="0" fontId="3" fillId="5" borderId="5" xfId="0" applyFont="1" applyFill="1" applyBorder="1" applyAlignment="1">
      <alignment horizontal="center" vertical="center"/>
    </xf>
    <xf numFmtId="14" fontId="0" fillId="0" borderId="5" xfId="0" applyNumberFormat="1" applyBorder="1"/>
    <xf numFmtId="0" fontId="0" fillId="0" borderId="0" xfId="0" applyAlignment="1">
      <alignment horizontal="left" indent="4"/>
    </xf>
    <xf numFmtId="0" fontId="0" fillId="0" borderId="1" xfId="0" applyBorder="1"/>
    <xf numFmtId="166" fontId="0" fillId="0" borderId="5" xfId="0" applyNumberFormat="1" applyBorder="1" applyAlignment="1">
      <alignment horizontal="center" vertical="center"/>
    </xf>
    <xf numFmtId="166" fontId="0" fillId="12" borderId="5" xfId="0" applyNumberFormat="1" applyFill="1" applyBorder="1" applyAlignment="1">
      <alignment horizontal="center" vertical="center"/>
    </xf>
    <xf numFmtId="0" fontId="3" fillId="4" borderId="57" xfId="0" applyFont="1" applyFill="1" applyBorder="1"/>
    <xf numFmtId="0" fontId="3" fillId="5" borderId="3" xfId="1" applyNumberFormat="1" applyFont="1" applyFill="1" applyBorder="1" applyAlignment="1">
      <alignment horizontal="center"/>
    </xf>
    <xf numFmtId="0" fontId="0" fillId="0" borderId="19" xfId="0" applyBorder="1"/>
    <xf numFmtId="0" fontId="0" fillId="0" borderId="28" xfId="0" applyBorder="1"/>
    <xf numFmtId="0" fontId="4" fillId="2" borderId="1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50"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4" fillId="2" borderId="59" xfId="0" applyFont="1" applyFill="1" applyBorder="1" applyAlignment="1">
      <alignment horizontal="center" vertical="center" wrapText="1"/>
    </xf>
    <xf numFmtId="0" fontId="4" fillId="2" borderId="44" xfId="0" applyFont="1" applyFill="1" applyBorder="1" applyAlignment="1">
      <alignment horizontal="center" vertical="center" wrapText="1"/>
    </xf>
    <xf numFmtId="0" fontId="27" fillId="0" borderId="0" xfId="0" applyFont="1" applyFill="1" applyAlignment="1">
      <alignment horizontal="left" vertical="center" indent="3" readingOrder="1"/>
    </xf>
    <xf numFmtId="0" fontId="27" fillId="0" borderId="0" xfId="0" applyFont="1" applyFill="1" applyAlignment="1">
      <alignment horizontal="left" vertical="center" indent="2" readingOrder="1"/>
    </xf>
    <xf numFmtId="0" fontId="0" fillId="4" borderId="3" xfId="0" applyFont="1" applyFill="1" applyBorder="1" applyAlignment="1">
      <alignment horizontal="center" vertical="center"/>
    </xf>
    <xf numFmtId="0" fontId="0" fillId="0" borderId="3" xfId="0" applyFont="1" applyBorder="1" applyAlignment="1">
      <alignment horizontal="center"/>
    </xf>
    <xf numFmtId="0" fontId="3" fillId="13" borderId="15" xfId="0" applyFont="1" applyFill="1" applyBorder="1"/>
    <xf numFmtId="0" fontId="3" fillId="13" borderId="16" xfId="0" applyFont="1" applyFill="1" applyBorder="1"/>
    <xf numFmtId="0" fontId="3" fillId="13" borderId="16" xfId="0" applyFont="1" applyFill="1" applyBorder="1" applyAlignment="1">
      <alignment horizontal="center" vertical="center"/>
    </xf>
    <xf numFmtId="0" fontId="4" fillId="13" borderId="16" xfId="0" applyFont="1" applyFill="1" applyBorder="1" applyAlignment="1">
      <alignment horizontal="center" vertical="center"/>
    </xf>
    <xf numFmtId="0" fontId="3" fillId="0" borderId="5" xfId="0" applyFont="1" applyFill="1" applyBorder="1" applyAlignment="1">
      <alignment horizontal="center" vertical="center"/>
    </xf>
    <xf numFmtId="0" fontId="0" fillId="0" borderId="5" xfId="0" applyFont="1" applyFill="1" applyBorder="1" applyAlignment="1">
      <alignment horizontal="center"/>
    </xf>
    <xf numFmtId="0" fontId="5" fillId="14" borderId="2" xfId="0" applyFont="1" applyFill="1" applyBorder="1" applyAlignment="1">
      <alignment horizontal="center" vertical="center"/>
    </xf>
    <xf numFmtId="0" fontId="4" fillId="14" borderId="4" xfId="0" applyFont="1" applyFill="1" applyBorder="1" applyAlignment="1">
      <alignment horizontal="center" vertical="center"/>
    </xf>
    <xf numFmtId="0" fontId="2" fillId="15" borderId="4" xfId="0" applyFont="1" applyFill="1" applyBorder="1" applyAlignment="1">
      <alignment horizontal="center" vertical="center"/>
    </xf>
    <xf numFmtId="0" fontId="3" fillId="0" borderId="44" xfId="0" applyFont="1" applyBorder="1" applyAlignment="1">
      <alignment horizontal="center"/>
    </xf>
    <xf numFmtId="0" fontId="0" fillId="0" borderId="44" xfId="0" applyFont="1" applyBorder="1" applyAlignment="1">
      <alignment horizontal="center"/>
    </xf>
    <xf numFmtId="0" fontId="3" fillId="0" borderId="44" xfId="0" applyFont="1" applyFill="1" applyBorder="1"/>
    <xf numFmtId="0" fontId="0" fillId="0" borderId="44" xfId="0" applyFont="1" applyBorder="1"/>
    <xf numFmtId="0" fontId="3" fillId="0" borderId="78" xfId="0" quotePrefix="1" applyFont="1" applyFill="1" applyBorder="1" applyAlignment="1">
      <alignment horizontal="center"/>
    </xf>
    <xf numFmtId="0" fontId="2" fillId="0" borderId="28" xfId="0" applyFont="1" applyBorder="1" applyAlignment="1">
      <alignment horizontal="center"/>
    </xf>
    <xf numFmtId="0" fontId="0" fillId="0" borderId="0" xfId="0" applyFill="1" applyAlignment="1">
      <alignment horizontal="left" indent="2"/>
    </xf>
    <xf numFmtId="0" fontId="2" fillId="0" borderId="43" xfId="0" applyFont="1" applyBorder="1" applyAlignment="1">
      <alignment horizontal="center" vertical="center"/>
    </xf>
    <xf numFmtId="0" fontId="2" fillId="0" borderId="45" xfId="0" applyFont="1" applyBorder="1" applyAlignment="1">
      <alignment horizontal="center" vertical="center"/>
    </xf>
    <xf numFmtId="166" fontId="0" fillId="0" borderId="5" xfId="0" applyNumberFormat="1" applyFill="1" applyBorder="1" applyAlignment="1">
      <alignment horizontal="center" vertical="center"/>
    </xf>
    <xf numFmtId="0" fontId="0" fillId="0" borderId="0" xfId="0" applyAlignment="1">
      <alignment horizontal="left" vertical="center" indent="1"/>
    </xf>
    <xf numFmtId="0" fontId="0" fillId="0" borderId="0" xfId="0" applyAlignment="1">
      <alignment horizontal="left" vertical="center" indent="2"/>
    </xf>
    <xf numFmtId="0" fontId="2" fillId="15" borderId="4" xfId="0" applyFont="1" applyFill="1" applyBorder="1" applyAlignment="1">
      <alignment horizontal="center" vertical="center"/>
    </xf>
    <xf numFmtId="0" fontId="4" fillId="14" borderId="4" xfId="0" applyFont="1" applyFill="1" applyBorder="1" applyAlignment="1">
      <alignment horizontal="center" vertical="center"/>
    </xf>
    <xf numFmtId="0" fontId="4" fillId="2" borderId="1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3" fillId="0" borderId="5" xfId="0" applyFont="1" applyBorder="1"/>
    <xf numFmtId="0" fontId="4" fillId="2" borderId="50"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4" fillId="2" borderId="59" xfId="0" applyFont="1" applyFill="1" applyBorder="1" applyAlignment="1">
      <alignment horizontal="center" vertical="center" wrapText="1"/>
    </xf>
    <xf numFmtId="0" fontId="4" fillId="2" borderId="44"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2" fillId="0" borderId="5" xfId="0" applyFont="1" applyBorder="1" applyAlignment="1">
      <alignment horizontal="center" vertical="center"/>
    </xf>
    <xf numFmtId="0" fontId="4" fillId="2" borderId="49" xfId="0" applyFont="1" applyFill="1" applyBorder="1" applyAlignment="1">
      <alignment horizontal="center" vertical="center" wrapText="1"/>
    </xf>
    <xf numFmtId="0" fontId="4" fillId="2" borderId="51" xfId="0" applyFont="1" applyFill="1" applyBorder="1" applyAlignment="1">
      <alignment horizontal="center" vertical="center" wrapText="1"/>
    </xf>
    <xf numFmtId="0" fontId="4" fillId="2" borderId="50" xfId="0" applyFont="1" applyFill="1" applyBorder="1" applyAlignment="1">
      <alignment horizontal="center" vertical="center" wrapText="1"/>
    </xf>
    <xf numFmtId="0" fontId="4" fillId="2" borderId="5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4" fillId="2" borderId="59" xfId="0" applyFont="1" applyFill="1" applyBorder="1" applyAlignment="1">
      <alignment horizontal="center" vertical="center" wrapText="1"/>
    </xf>
    <xf numFmtId="0" fontId="4" fillId="2" borderId="53" xfId="0" applyFont="1" applyFill="1" applyBorder="1" applyAlignment="1">
      <alignment horizontal="center" vertical="center" wrapText="1"/>
    </xf>
    <xf numFmtId="0" fontId="4" fillId="2" borderId="44" xfId="0" applyFont="1" applyFill="1" applyBorder="1" applyAlignment="1">
      <alignment horizontal="center" vertical="center" wrapText="1"/>
    </xf>
    <xf numFmtId="0" fontId="2" fillId="0" borderId="39" xfId="0" applyFont="1" applyBorder="1" applyAlignment="1">
      <alignment horizontal="center" vertical="center"/>
    </xf>
    <xf numFmtId="0" fontId="34" fillId="0" borderId="4" xfId="0" applyFont="1" applyBorder="1" applyAlignment="1">
      <alignment vertical="center" wrapText="1"/>
    </xf>
    <xf numFmtId="0" fontId="35" fillId="0" borderId="0" xfId="0" applyFont="1" applyAlignment="1">
      <alignment vertical="center"/>
    </xf>
    <xf numFmtId="0" fontId="34" fillId="0" borderId="42" xfId="0" applyFont="1" applyBorder="1" applyAlignment="1">
      <alignment horizontal="center" vertical="center" wrapText="1"/>
    </xf>
    <xf numFmtId="0" fontId="2" fillId="0" borderId="60" xfId="0" applyFont="1" applyBorder="1" applyAlignment="1">
      <alignment horizontal="center"/>
    </xf>
    <xf numFmtId="0" fontId="0" fillId="0" borderId="87" xfId="0" applyBorder="1" applyAlignment="1">
      <alignment horizontal="center"/>
    </xf>
    <xf numFmtId="0" fontId="0" fillId="0" borderId="3" xfId="0" applyBorder="1" applyAlignment="1">
      <alignment horizontal="center"/>
    </xf>
    <xf numFmtId="0" fontId="0" fillId="0" borderId="20" xfId="0" applyBorder="1" applyAlignment="1">
      <alignment horizontal="center"/>
    </xf>
    <xf numFmtId="0" fontId="0" fillId="0" borderId="5" xfId="0" applyFill="1" applyBorder="1" applyAlignment="1">
      <alignment horizontal="center"/>
    </xf>
    <xf numFmtId="0" fontId="0" fillId="0" borderId="31" xfId="0" applyBorder="1" applyAlignment="1">
      <alignment horizontal="center"/>
    </xf>
    <xf numFmtId="0" fontId="0" fillId="0" borderId="5" xfId="0" applyBorder="1" applyAlignment="1">
      <alignment vertical="center"/>
    </xf>
    <xf numFmtId="0" fontId="0" fillId="0" borderId="0" xfId="0" applyAlignment="1"/>
    <xf numFmtId="0" fontId="0" fillId="0" borderId="30" xfId="0" applyFill="1" applyBorder="1" applyAlignment="1">
      <alignment horizontal="center"/>
    </xf>
    <xf numFmtId="0" fontId="0" fillId="0" borderId="4" xfId="0" applyFont="1" applyFill="1" applyBorder="1" applyAlignment="1">
      <alignment horizontal="center"/>
    </xf>
    <xf numFmtId="0" fontId="37" fillId="0" borderId="43" xfId="0" applyFont="1" applyBorder="1"/>
    <xf numFmtId="0" fontId="37" fillId="0" borderId="44" xfId="0" applyFont="1" applyBorder="1"/>
    <xf numFmtId="0" fontId="37" fillId="0" borderId="45" xfId="0" applyFont="1" applyBorder="1"/>
    <xf numFmtId="0" fontId="2" fillId="0" borderId="41" xfId="0" applyFont="1" applyBorder="1" applyAlignment="1">
      <alignment horizontal="center"/>
    </xf>
    <xf numFmtId="0" fontId="2" fillId="0" borderId="42" xfId="0" applyFont="1" applyBorder="1" applyAlignment="1">
      <alignment horizontal="center"/>
    </xf>
    <xf numFmtId="0" fontId="2" fillId="0" borderId="42" xfId="0" applyFont="1" applyFill="1" applyBorder="1" applyAlignment="1">
      <alignment horizontal="center"/>
    </xf>
    <xf numFmtId="0" fontId="2" fillId="0" borderId="36" xfId="0" applyFont="1" applyFill="1" applyBorder="1" applyAlignment="1">
      <alignment horizontal="center"/>
    </xf>
    <xf numFmtId="0" fontId="0" fillId="0" borderId="44" xfId="0" quotePrefix="1" applyBorder="1" applyAlignment="1">
      <alignment horizontal="center"/>
    </xf>
    <xf numFmtId="0" fontId="2" fillId="0" borderId="23" xfId="0" applyFont="1" applyBorder="1" applyAlignment="1">
      <alignment horizontal="center"/>
    </xf>
    <xf numFmtId="0" fontId="2" fillId="0" borderId="21" xfId="0" applyFont="1" applyBorder="1" applyAlignment="1">
      <alignment horizontal="center"/>
    </xf>
    <xf numFmtId="0" fontId="2" fillId="0" borderId="21" xfId="0" applyFont="1" applyFill="1" applyBorder="1" applyAlignment="1">
      <alignment horizontal="center"/>
    </xf>
    <xf numFmtId="0" fontId="2" fillId="0" borderId="22" xfId="0" applyFont="1" applyFill="1" applyBorder="1" applyAlignment="1">
      <alignment horizontal="center"/>
    </xf>
    <xf numFmtId="0" fontId="36" fillId="0" borderId="0" xfId="0" applyFont="1" applyAlignment="1">
      <alignment vertical="center"/>
    </xf>
    <xf numFmtId="0" fontId="37" fillId="0" borderId="44" xfId="0" applyFont="1" applyBorder="1" applyAlignment="1">
      <alignment vertical="top"/>
    </xf>
    <xf numFmtId="0" fontId="2" fillId="0" borderId="44" xfId="0" applyFont="1" applyBorder="1" applyAlignment="1">
      <alignment horizontal="center" vertical="center"/>
    </xf>
    <xf numFmtId="0" fontId="0" fillId="0" borderId="47" xfId="0" applyFont="1" applyFill="1" applyBorder="1"/>
    <xf numFmtId="0" fontId="2" fillId="0" borderId="36" xfId="0" applyFont="1" applyBorder="1" applyAlignment="1">
      <alignment horizontal="center"/>
    </xf>
    <xf numFmtId="0" fontId="0" fillId="0" borderId="38" xfId="0" quotePrefix="1" applyBorder="1"/>
    <xf numFmtId="0" fontId="37" fillId="0" borderId="39" xfId="0" applyFont="1" applyBorder="1"/>
    <xf numFmtId="0" fontId="0" fillId="0" borderId="40" xfId="0" quotePrefix="1" applyBorder="1"/>
    <xf numFmtId="0" fontId="4" fillId="0" borderId="57" xfId="0" applyFont="1" applyBorder="1" applyAlignment="1">
      <alignment horizontal="center"/>
    </xf>
    <xf numFmtId="0" fontId="0" fillId="0" borderId="47" xfId="0" quotePrefix="1" applyBorder="1" applyAlignment="1">
      <alignment horizontal="center" vertical="center"/>
    </xf>
    <xf numFmtId="0" fontId="2" fillId="0" borderId="4" xfId="0" applyFont="1" applyFill="1" applyBorder="1" applyAlignment="1">
      <alignment horizontal="center" vertical="center"/>
    </xf>
    <xf numFmtId="0" fontId="2" fillId="0" borderId="30" xfId="0" quotePrefix="1" applyFont="1" applyBorder="1" applyAlignment="1">
      <alignment horizontal="center" vertical="center"/>
    </xf>
    <xf numFmtId="0" fontId="40" fillId="0" borderId="0" xfId="0" applyFont="1"/>
    <xf numFmtId="0" fontId="0" fillId="0" borderId="0" xfId="0" quotePrefix="1" applyFont="1"/>
    <xf numFmtId="0" fontId="4" fillId="0" borderId="52" xfId="0" applyFont="1" applyFill="1" applyBorder="1" applyAlignment="1">
      <alignment horizontal="center" vertical="center" wrapText="1"/>
    </xf>
    <xf numFmtId="0" fontId="4" fillId="0" borderId="10" xfId="0" applyFont="1" applyFill="1" applyBorder="1" applyAlignment="1">
      <alignment horizontal="center" vertical="center"/>
    </xf>
    <xf numFmtId="0" fontId="4" fillId="0" borderId="10" xfId="0" quotePrefix="1" applyFont="1" applyFill="1" applyBorder="1" applyAlignment="1">
      <alignment horizontal="center" vertical="center" wrapText="1"/>
    </xf>
    <xf numFmtId="0" fontId="4" fillId="0" borderId="29" xfId="0" quotePrefix="1" applyFont="1" applyFill="1" applyBorder="1" applyAlignment="1">
      <alignment horizontal="center" vertical="center" wrapText="1"/>
    </xf>
    <xf numFmtId="0" fontId="4" fillId="0" borderId="34" xfId="0" quotePrefix="1" applyFont="1" applyFill="1" applyBorder="1" applyAlignment="1">
      <alignment horizontal="center" vertical="center" wrapText="1"/>
    </xf>
    <xf numFmtId="0" fontId="4" fillId="0" borderId="31" xfId="0" quotePrefix="1" applyFont="1" applyFill="1" applyBorder="1" applyAlignment="1">
      <alignment horizontal="center" vertical="center" wrapText="1"/>
    </xf>
    <xf numFmtId="0" fontId="4" fillId="0" borderId="23" xfId="0" quotePrefix="1" applyFont="1" applyFill="1" applyBorder="1" applyAlignment="1">
      <alignment horizontal="center" vertical="center" wrapText="1"/>
    </xf>
    <xf numFmtId="0" fontId="4" fillId="0" borderId="22" xfId="0" quotePrefix="1" applyFont="1" applyFill="1" applyBorder="1" applyAlignment="1">
      <alignment horizontal="center" vertical="center" wrapText="1"/>
    </xf>
    <xf numFmtId="0" fontId="0" fillId="0" borderId="23" xfId="0" quotePrefix="1" applyFill="1" applyBorder="1" applyAlignment="1">
      <alignment horizontal="center"/>
    </xf>
    <xf numFmtId="0" fontId="0" fillId="0" borderId="22" xfId="0" quotePrefix="1" applyFill="1" applyBorder="1" applyAlignment="1">
      <alignment horizontal="center"/>
    </xf>
    <xf numFmtId="0" fontId="0" fillId="0" borderId="5" xfId="0" quotePrefix="1" applyBorder="1" applyAlignment="1">
      <alignment wrapText="1"/>
    </xf>
    <xf numFmtId="0" fontId="0" fillId="0" borderId="61" xfId="0" applyFont="1" applyBorder="1"/>
    <xf numFmtId="0" fontId="37" fillId="0" borderId="61" xfId="0" applyFont="1" applyBorder="1" applyAlignment="1">
      <alignment vertical="top"/>
    </xf>
    <xf numFmtId="0" fontId="3" fillId="0" borderId="45" xfId="0" applyFont="1" applyBorder="1" applyAlignment="1">
      <alignment horizontal="center"/>
    </xf>
    <xf numFmtId="0" fontId="3" fillId="0" borderId="45" xfId="0" applyFont="1" applyFill="1" applyBorder="1"/>
    <xf numFmtId="0" fontId="2" fillId="0" borderId="79" xfId="0" applyFont="1" applyBorder="1" applyAlignment="1">
      <alignment horizontal="center"/>
    </xf>
    <xf numFmtId="0" fontId="0" fillId="12" borderId="5" xfId="0" applyNumberFormat="1" applyFill="1" applyBorder="1" applyAlignment="1">
      <alignment horizontal="center" vertical="center"/>
    </xf>
    <xf numFmtId="0" fontId="0" fillId="0" borderId="21" xfId="0" quotePrefix="1" applyBorder="1" applyAlignment="1">
      <alignment horizontal="center" vertical="center" wrapText="1"/>
    </xf>
    <xf numFmtId="0" fontId="0" fillId="0" borderId="47" xfId="0" quotePrefix="1" applyBorder="1" applyAlignment="1">
      <alignment horizontal="center" vertical="center" wrapText="1"/>
    </xf>
    <xf numFmtId="167" fontId="0" fillId="0" borderId="4" xfId="0" applyNumberFormat="1" applyFill="1" applyBorder="1" applyAlignment="1">
      <alignment horizontal="center"/>
    </xf>
    <xf numFmtId="167" fontId="0" fillId="0" borderId="5" xfId="0" applyNumberFormat="1" applyFill="1" applyBorder="1" applyAlignment="1">
      <alignment horizontal="center"/>
    </xf>
    <xf numFmtId="167" fontId="0" fillId="0" borderId="30" xfId="0" applyNumberFormat="1" applyFill="1" applyBorder="1" applyAlignment="1">
      <alignment horizontal="center"/>
    </xf>
    <xf numFmtId="167" fontId="0" fillId="0" borderId="4" xfId="0" applyNumberFormat="1" applyFont="1" applyFill="1" applyBorder="1" applyAlignment="1">
      <alignment horizontal="center"/>
    </xf>
    <xf numFmtId="167" fontId="0" fillId="0" borderId="5" xfId="0" applyNumberFormat="1" applyFont="1" applyFill="1" applyBorder="1" applyAlignment="1">
      <alignment horizontal="center"/>
    </xf>
    <xf numFmtId="167" fontId="0" fillId="0" borderId="30" xfId="0" applyNumberFormat="1" applyFont="1" applyFill="1" applyBorder="1" applyAlignment="1">
      <alignment horizontal="center"/>
    </xf>
    <xf numFmtId="0" fontId="4" fillId="0" borderId="13"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3" fillId="0" borderId="5" xfId="0" applyFont="1" applyBorder="1" applyAlignment="1">
      <alignment horizontal="center" vertical="center"/>
    </xf>
    <xf numFmtId="0" fontId="4" fillId="0" borderId="5" xfId="0" applyFont="1" applyFill="1" applyBorder="1" applyAlignment="1">
      <alignment horizontal="center" vertical="center"/>
    </xf>
    <xf numFmtId="0" fontId="4" fillId="0" borderId="4" xfId="0" applyFont="1" applyBorder="1" applyAlignment="1">
      <alignment horizontal="center" vertical="center"/>
    </xf>
    <xf numFmtId="0" fontId="4" fillId="2" borderId="7" xfId="0" applyFont="1" applyFill="1" applyBorder="1" applyAlignment="1">
      <alignment horizontal="center" vertical="center"/>
    </xf>
    <xf numFmtId="0" fontId="3" fillId="0" borderId="5" xfId="0" applyFont="1" applyBorder="1" applyAlignment="1">
      <alignment horizontal="center" vertical="center" wrapText="1"/>
    </xf>
    <xf numFmtId="0" fontId="3" fillId="0" borderId="5" xfId="0" applyFont="1" applyBorder="1" applyAlignment="1">
      <alignment horizontal="left" vertical="center" wrapText="1"/>
    </xf>
    <xf numFmtId="0" fontId="2" fillId="0" borderId="5" xfId="0" applyFont="1" applyBorder="1" applyAlignment="1">
      <alignment horizontal="center" vertical="center"/>
    </xf>
    <xf numFmtId="0" fontId="2" fillId="0" borderId="4" xfId="0" applyFont="1" applyBorder="1" applyAlignment="1">
      <alignment horizontal="center" vertical="center"/>
    </xf>
    <xf numFmtId="0" fontId="4" fillId="2" borderId="44" xfId="0" applyFont="1" applyFill="1" applyBorder="1" applyAlignment="1">
      <alignment horizontal="center" vertical="center" wrapText="1"/>
    </xf>
    <xf numFmtId="0" fontId="2" fillId="0" borderId="39" xfId="0" applyFont="1" applyBorder="1" applyAlignment="1">
      <alignment horizontal="center" vertical="center"/>
    </xf>
    <xf numFmtId="0" fontId="0" fillId="0" borderId="5" xfId="0" applyBorder="1" applyAlignment="1">
      <alignment horizontal="center"/>
    </xf>
    <xf numFmtId="165" fontId="0" fillId="0" borderId="43" xfId="0" applyNumberFormat="1" applyBorder="1"/>
    <xf numFmtId="165" fontId="0" fillId="0" borderId="44" xfId="0" applyNumberFormat="1" applyBorder="1"/>
    <xf numFmtId="165" fontId="0" fillId="0" borderId="45" xfId="0" applyNumberFormat="1" applyBorder="1"/>
    <xf numFmtId="0" fontId="6" fillId="0" borderId="0" xfId="1" applyNumberFormat="1" applyFont="1" applyFill="1" applyBorder="1" applyAlignment="1">
      <alignment horizontal="center"/>
    </xf>
    <xf numFmtId="0" fontId="15" fillId="0" borderId="0" xfId="2" applyBorder="1" applyAlignment="1">
      <alignment horizontal="center"/>
    </xf>
    <xf numFmtId="0" fontId="15" fillId="0" borderId="0" xfId="2" applyBorder="1" applyAlignment="1">
      <alignment horizontal="center" vertical="center"/>
    </xf>
    <xf numFmtId="0" fontId="15" fillId="0" borderId="0" xfId="2" applyFill="1" applyBorder="1" applyAlignment="1">
      <alignment horizontal="center"/>
    </xf>
    <xf numFmtId="0" fontId="15" fillId="0" borderId="0" xfId="2" applyFill="1" applyBorder="1" applyAlignment="1">
      <alignment horizontal="center" vertical="center"/>
    </xf>
    <xf numFmtId="0" fontId="3" fillId="13" borderId="0" xfId="0" applyFont="1" applyFill="1" applyBorder="1"/>
    <xf numFmtId="0" fontId="0" fillId="4" borderId="0" xfId="0" applyFont="1" applyFill="1" applyBorder="1" applyAlignment="1">
      <alignment horizontal="center" vertical="center"/>
    </xf>
    <xf numFmtId="0" fontId="0" fillId="4" borderId="0" xfId="0" applyFill="1" applyBorder="1" applyAlignment="1">
      <alignment horizontal="center" vertical="center"/>
    </xf>
    <xf numFmtId="0" fontId="0" fillId="4" borderId="0" xfId="0" applyFont="1" applyFill="1" applyBorder="1" applyAlignment="1">
      <alignment vertical="center"/>
    </xf>
    <xf numFmtId="9" fontId="0" fillId="0" borderId="0" xfId="1" applyFont="1" applyBorder="1"/>
    <xf numFmtId="0" fontId="0" fillId="14" borderId="29" xfId="0" applyFill="1" applyBorder="1" applyAlignment="1"/>
    <xf numFmtId="0" fontId="0" fillId="14" borderId="30" xfId="0" applyFill="1" applyBorder="1" applyAlignment="1"/>
    <xf numFmtId="0" fontId="3" fillId="0" borderId="42" xfId="0" applyFont="1" applyFill="1" applyBorder="1"/>
    <xf numFmtId="0" fontId="0" fillId="17" borderId="0" xfId="0" applyFill="1" applyBorder="1" applyAlignment="1"/>
    <xf numFmtId="0" fontId="0" fillId="14" borderId="0" xfId="0" applyFill="1" applyBorder="1" applyAlignment="1"/>
    <xf numFmtId="0" fontId="2" fillId="0" borderId="30" xfId="0" applyFont="1" applyBorder="1"/>
    <xf numFmtId="0" fontId="0" fillId="17" borderId="30" xfId="0" applyFill="1" applyBorder="1" applyAlignment="1"/>
    <xf numFmtId="0" fontId="0" fillId="14" borderId="31" xfId="0" applyFill="1" applyBorder="1" applyAlignment="1"/>
    <xf numFmtId="0" fontId="2" fillId="0" borderId="31" xfId="0" applyFont="1" applyBorder="1" applyAlignment="1">
      <alignment vertical="center"/>
    </xf>
    <xf numFmtId="0" fontId="0" fillId="17" borderId="12" xfId="0" applyFill="1" applyBorder="1" applyAlignment="1"/>
    <xf numFmtId="0" fontId="0" fillId="14" borderId="12" xfId="0" applyFill="1" applyBorder="1" applyAlignment="1"/>
    <xf numFmtId="0" fontId="0" fillId="14" borderId="15" xfId="0" applyFill="1" applyBorder="1" applyAlignment="1"/>
    <xf numFmtId="0" fontId="0" fillId="14" borderId="16" xfId="0" applyFill="1" applyBorder="1" applyAlignment="1"/>
    <xf numFmtId="0" fontId="0" fillId="14" borderId="79" xfId="0" applyFill="1" applyBorder="1" applyAlignment="1"/>
    <xf numFmtId="0" fontId="0" fillId="0" borderId="4" xfId="0" applyBorder="1" applyAlignment="1">
      <alignment vertical="center"/>
    </xf>
    <xf numFmtId="0" fontId="2" fillId="0" borderId="6" xfId="0" applyFont="1" applyBorder="1" applyAlignment="1">
      <alignment horizontal="center" vertical="center"/>
    </xf>
    <xf numFmtId="0" fontId="0" fillId="5" borderId="12" xfId="0" applyFill="1" applyBorder="1"/>
    <xf numFmtId="0" fontId="0" fillId="5" borderId="0" xfId="0" applyFill="1" applyBorder="1"/>
    <xf numFmtId="0" fontId="0" fillId="5" borderId="81" xfId="0" applyFill="1" applyBorder="1"/>
    <xf numFmtId="0" fontId="0" fillId="5" borderId="0" xfId="0" applyFill="1"/>
    <xf numFmtId="0" fontId="0" fillId="5" borderId="50" xfId="0" applyFill="1" applyBorder="1" applyAlignment="1">
      <alignment vertical="center"/>
    </xf>
    <xf numFmtId="0" fontId="0" fillId="5" borderId="78" xfId="0" applyFill="1" applyBorder="1" applyAlignment="1">
      <alignment vertical="center"/>
    </xf>
    <xf numFmtId="0" fontId="2" fillId="0" borderId="4" xfId="0" quotePrefix="1" applyFont="1" applyBorder="1" applyAlignment="1">
      <alignment horizontal="center" vertical="center"/>
    </xf>
    <xf numFmtId="14" fontId="0" fillId="0" borderId="5" xfId="0" applyNumberFormat="1" applyBorder="1" applyAlignment="1">
      <alignment horizontal="center"/>
    </xf>
    <xf numFmtId="0" fontId="3" fillId="0" borderId="5" xfId="0" applyFont="1" applyBorder="1" applyAlignment="1">
      <alignment horizontal="left" vertical="center"/>
    </xf>
    <xf numFmtId="0" fontId="3" fillId="4" borderId="47" xfId="0" applyFont="1" applyFill="1" applyBorder="1" applyAlignment="1">
      <alignment horizontal="left" vertical="center"/>
    </xf>
    <xf numFmtId="0" fontId="6" fillId="5"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0" xfId="0" applyFont="1" applyAlignment="1">
      <alignment horizontal="left" vertical="center"/>
    </xf>
    <xf numFmtId="0" fontId="3" fillId="5" borderId="42" xfId="0" applyFont="1" applyFill="1" applyBorder="1" applyAlignment="1">
      <alignment horizontal="left" vertical="center"/>
    </xf>
    <xf numFmtId="0" fontId="3" fillId="0" borderId="42" xfId="0" applyFont="1" applyFill="1" applyBorder="1" applyAlignment="1">
      <alignment horizontal="left" vertical="center"/>
    </xf>
    <xf numFmtId="0" fontId="3" fillId="5" borderId="5" xfId="0" applyFont="1" applyFill="1" applyBorder="1" applyAlignment="1">
      <alignment horizontal="left" vertical="center"/>
    </xf>
    <xf numFmtId="0" fontId="3" fillId="13" borderId="16" xfId="0" applyFont="1" applyFill="1" applyBorder="1" applyAlignment="1">
      <alignment horizontal="left" vertical="center"/>
    </xf>
    <xf numFmtId="0" fontId="0" fillId="4" borderId="5" xfId="0" applyFont="1" applyFill="1" applyBorder="1" applyAlignment="1">
      <alignment horizontal="left" vertical="center"/>
    </xf>
    <xf numFmtId="0" fontId="0" fillId="4" borderId="5" xfId="0" applyFill="1" applyBorder="1" applyAlignment="1">
      <alignment horizontal="left" vertical="center"/>
    </xf>
    <xf numFmtId="0" fontId="15" fillId="0" borderId="25" xfId="2" applyNumberFormat="1" applyBorder="1" applyAlignment="1">
      <alignment horizontal="left"/>
    </xf>
    <xf numFmtId="0" fontId="15" fillId="0" borderId="26" xfId="2" applyNumberFormat="1" applyBorder="1" applyAlignment="1">
      <alignment horizontal="left"/>
    </xf>
    <xf numFmtId="0" fontId="3" fillId="4" borderId="18" xfId="0" applyFont="1" applyFill="1" applyBorder="1" applyAlignment="1">
      <alignment horizontal="left"/>
    </xf>
    <xf numFmtId="0" fontId="15" fillId="0" borderId="26" xfId="2" applyNumberFormat="1" applyFill="1" applyBorder="1" applyAlignment="1">
      <alignment horizontal="left"/>
    </xf>
    <xf numFmtId="0" fontId="15" fillId="5" borderId="26" xfId="2" applyNumberFormat="1" applyFill="1" applyBorder="1" applyAlignment="1">
      <alignment horizontal="left"/>
    </xf>
    <xf numFmtId="0" fontId="10" fillId="4" borderId="18" xfId="0" applyFont="1" applyFill="1" applyBorder="1" applyAlignment="1">
      <alignment horizontal="left"/>
    </xf>
    <xf numFmtId="0" fontId="15" fillId="0" borderId="26" xfId="2" applyBorder="1" applyAlignment="1">
      <alignment horizontal="left"/>
    </xf>
    <xf numFmtId="0" fontId="15" fillId="0" borderId="26" xfId="2" applyBorder="1" applyAlignment="1">
      <alignment horizontal="left" vertical="center"/>
    </xf>
    <xf numFmtId="0" fontId="15" fillId="0" borderId="26" xfId="2" applyFill="1" applyBorder="1" applyAlignment="1">
      <alignment horizontal="left"/>
    </xf>
    <xf numFmtId="0" fontId="15" fillId="0" borderId="26" xfId="2" applyBorder="1" applyAlignment="1">
      <alignment horizontal="left" wrapText="1"/>
    </xf>
    <xf numFmtId="0" fontId="15" fillId="0" borderId="26" xfId="2" applyBorder="1" applyAlignment="1">
      <alignment horizontal="left" vertical="center" wrapText="1"/>
    </xf>
    <xf numFmtId="0" fontId="15" fillId="0" borderId="26" xfId="2" applyFill="1" applyBorder="1" applyAlignment="1">
      <alignment horizontal="left" vertical="center"/>
    </xf>
    <xf numFmtId="0" fontId="3" fillId="13" borderId="27" xfId="0" applyFont="1" applyFill="1" applyBorder="1" applyAlignment="1">
      <alignment horizontal="left"/>
    </xf>
    <xf numFmtId="0" fontId="15" fillId="5" borderId="88" xfId="2" applyFill="1" applyBorder="1" applyAlignment="1">
      <alignment horizontal="left" vertical="center"/>
    </xf>
    <xf numFmtId="0" fontId="15" fillId="5" borderId="26" xfId="2" applyFill="1" applyBorder="1" applyAlignment="1">
      <alignment horizontal="left" vertical="center"/>
    </xf>
    <xf numFmtId="0" fontId="0" fillId="4" borderId="26" xfId="0" applyFont="1" applyFill="1" applyBorder="1" applyAlignment="1">
      <alignment horizontal="left" vertical="center"/>
    </xf>
    <xf numFmtId="0" fontId="15" fillId="0" borderId="26" xfId="2" applyFont="1" applyBorder="1" applyAlignment="1">
      <alignment horizontal="left" vertical="center"/>
    </xf>
    <xf numFmtId="0" fontId="15" fillId="5" borderId="26" xfId="2" applyFont="1" applyFill="1" applyBorder="1" applyAlignment="1">
      <alignment horizontal="left" vertical="center"/>
    </xf>
    <xf numFmtId="0" fontId="0" fillId="4" borderId="26" xfId="0" applyFill="1" applyBorder="1" applyAlignment="1">
      <alignment horizontal="left" vertical="center"/>
    </xf>
    <xf numFmtId="0" fontId="15" fillId="0" borderId="90" xfId="2" applyFill="1" applyBorder="1" applyAlignment="1">
      <alignment horizontal="left" vertical="center"/>
    </xf>
    <xf numFmtId="0" fontId="0" fillId="4" borderId="26" xfId="0" applyFill="1" applyBorder="1" applyAlignment="1">
      <alignment horizontal="left"/>
    </xf>
    <xf numFmtId="0" fontId="3" fillId="4" borderId="0" xfId="0" applyFont="1" applyFill="1" applyBorder="1" applyAlignment="1">
      <alignment horizontal="left" vertical="center"/>
    </xf>
    <xf numFmtId="0" fontId="4" fillId="4" borderId="0" xfId="0" applyFont="1" applyFill="1" applyBorder="1"/>
    <xf numFmtId="0" fontId="8" fillId="4" borderId="0" xfId="0" applyFont="1" applyFill="1" applyBorder="1"/>
    <xf numFmtId="0" fontId="10" fillId="4" borderId="0" xfId="0" applyFont="1" applyFill="1" applyBorder="1" applyAlignment="1">
      <alignment horizontal="left" vertical="center"/>
    </xf>
    <xf numFmtId="0" fontId="11" fillId="4" borderId="0" xfId="0" applyFont="1" applyFill="1" applyBorder="1"/>
    <xf numFmtId="0" fontId="4" fillId="4" borderId="0" xfId="0" applyFont="1" applyFill="1" applyBorder="1" applyAlignment="1">
      <alignment horizontal="center" vertical="center"/>
    </xf>
    <xf numFmtId="0" fontId="4" fillId="0" borderId="80" xfId="0" applyFont="1" applyFill="1" applyBorder="1" applyAlignment="1">
      <alignment horizontal="center" vertical="center"/>
    </xf>
    <xf numFmtId="0" fontId="4" fillId="0" borderId="59" xfId="0" applyFont="1" applyFill="1" applyBorder="1" applyAlignment="1">
      <alignment horizontal="center" vertical="center"/>
    </xf>
    <xf numFmtId="0" fontId="3" fillId="0" borderId="37" xfId="0" applyFont="1" applyBorder="1"/>
    <xf numFmtId="0" fontId="3" fillId="0" borderId="57" xfId="0" applyFont="1" applyBorder="1"/>
    <xf numFmtId="0" fontId="3" fillId="0" borderId="34" xfId="0" applyFont="1" applyBorder="1"/>
    <xf numFmtId="0" fontId="0" fillId="5" borderId="0" xfId="0" applyFill="1" applyAlignment="1">
      <alignment horizontal="left"/>
    </xf>
    <xf numFmtId="0" fontId="0" fillId="5" borderId="52" xfId="0" applyFill="1" applyBorder="1"/>
    <xf numFmtId="0" fontId="3" fillId="5" borderId="0" xfId="0" applyFont="1" applyFill="1"/>
    <xf numFmtId="0" fontId="3" fillId="5" borderId="0" xfId="0" applyFont="1" applyFill="1" applyAlignment="1">
      <alignment horizontal="left" vertical="center"/>
    </xf>
    <xf numFmtId="0" fontId="0" fillId="5" borderId="15" xfId="0" applyFill="1" applyBorder="1"/>
    <xf numFmtId="0" fontId="0" fillId="5" borderId="54" xfId="0" applyFill="1" applyBorder="1"/>
    <xf numFmtId="0" fontId="0" fillId="5" borderId="53" xfId="0" applyFill="1" applyBorder="1"/>
    <xf numFmtId="0" fontId="0" fillId="14" borderId="81" xfId="0" applyFill="1" applyBorder="1" applyAlignment="1"/>
    <xf numFmtId="0" fontId="3" fillId="0" borderId="21" xfId="0" applyFont="1" applyBorder="1" applyAlignment="1">
      <alignment horizontal="left"/>
    </xf>
    <xf numFmtId="0" fontId="3" fillId="0" borderId="21" xfId="0" applyFont="1" applyBorder="1" applyAlignment="1">
      <alignment horizontal="left" wrapText="1"/>
    </xf>
    <xf numFmtId="0" fontId="3" fillId="0" borderId="21" xfId="0" applyFont="1" applyFill="1" applyBorder="1" applyAlignment="1">
      <alignment horizontal="left"/>
    </xf>
    <xf numFmtId="0" fontId="0" fillId="0" borderId="21" xfId="0" applyFont="1" applyBorder="1" applyAlignment="1">
      <alignment horizontal="left"/>
    </xf>
    <xf numFmtId="0" fontId="0" fillId="0" borderId="22" xfId="0" applyFont="1" applyBorder="1" applyAlignment="1">
      <alignment horizontal="left"/>
    </xf>
    <xf numFmtId="0" fontId="0" fillId="0" borderId="44" xfId="0" applyBorder="1" applyAlignment="1">
      <alignment wrapText="1"/>
    </xf>
    <xf numFmtId="0" fontId="3" fillId="0" borderId="20" xfId="0" applyFont="1" applyBorder="1" applyAlignment="1">
      <alignment horizontal="left"/>
    </xf>
    <xf numFmtId="0" fontId="2" fillId="0" borderId="28" xfId="0" applyFont="1" applyBorder="1"/>
    <xf numFmtId="0" fontId="0" fillId="0" borderId="23" xfId="0" applyFont="1" applyBorder="1" applyAlignment="1">
      <alignment horizontal="left"/>
    </xf>
    <xf numFmtId="0" fontId="0" fillId="0" borderId="47" xfId="0" quotePrefix="1" applyBorder="1" applyAlignment="1">
      <alignment vertical="center"/>
    </xf>
    <xf numFmtId="0" fontId="3" fillId="16" borderId="44" xfId="0" applyFont="1" applyFill="1" applyBorder="1" applyAlignment="1">
      <alignment vertical="center"/>
    </xf>
    <xf numFmtId="0" fontId="41" fillId="0" borderId="0" xfId="0" applyFont="1" applyAlignment="1">
      <alignment horizontal="left" indent="2"/>
    </xf>
    <xf numFmtId="0" fontId="4" fillId="2" borderId="10" xfId="0" applyFont="1" applyFill="1" applyBorder="1" applyAlignment="1">
      <alignment vertical="center" wrapText="1"/>
    </xf>
    <xf numFmtId="0" fontId="4" fillId="2" borderId="11" xfId="0" applyFont="1" applyFill="1" applyBorder="1" applyAlignment="1">
      <alignment vertical="center" wrapText="1"/>
    </xf>
    <xf numFmtId="0" fontId="4" fillId="2" borderId="29" xfId="0" applyFont="1" applyFill="1" applyBorder="1" applyAlignment="1">
      <alignment vertical="center" wrapText="1"/>
    </xf>
    <xf numFmtId="0" fontId="0" fillId="0" borderId="7" xfId="0" applyBorder="1"/>
    <xf numFmtId="0" fontId="0" fillId="0" borderId="21" xfId="0" applyFill="1" applyBorder="1"/>
    <xf numFmtId="0" fontId="0" fillId="0" borderId="0" xfId="0" applyAlignment="1">
      <alignment horizontal="left" indent="5"/>
    </xf>
    <xf numFmtId="0" fontId="3" fillId="0" borderId="21" xfId="0" applyFont="1" applyBorder="1"/>
    <xf numFmtId="0" fontId="0" fillId="0" borderId="44" xfId="0" quotePrefix="1" applyBorder="1" applyAlignment="1">
      <alignment horizontal="center" vertical="center" wrapText="1"/>
    </xf>
    <xf numFmtId="0" fontId="3" fillId="0" borderId="5" xfId="0" applyFont="1" applyBorder="1" applyAlignment="1">
      <alignment horizontal="center" vertical="center"/>
    </xf>
    <xf numFmtId="0" fontId="4" fillId="5" borderId="5" xfId="0" applyFont="1" applyFill="1" applyBorder="1" applyAlignment="1">
      <alignment horizontal="center" vertical="center"/>
    </xf>
    <xf numFmtId="0" fontId="4" fillId="2" borderId="61" xfId="0" applyFont="1" applyFill="1" applyBorder="1" applyAlignment="1">
      <alignment horizontal="center" vertical="center" wrapText="1"/>
    </xf>
    <xf numFmtId="0" fontId="32" fillId="0" borderId="47" xfId="0" quotePrefix="1" applyFont="1" applyBorder="1" applyAlignment="1">
      <alignment horizontal="center" vertical="center"/>
    </xf>
    <xf numFmtId="0" fontId="25" fillId="10" borderId="75" xfId="6" applyFont="1" applyBorder="1" applyAlignment="1">
      <alignment vertical="top" wrapText="1"/>
    </xf>
    <xf numFmtId="0" fontId="0" fillId="0" borderId="3" xfId="0" applyFont="1" applyFill="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63" xfId="0" quotePrefix="1" applyFont="1" applyBorder="1" applyAlignment="1">
      <alignment horizontal="center"/>
    </xf>
    <xf numFmtId="0" fontId="0" fillId="0" borderId="56" xfId="0" quotePrefix="1" applyBorder="1" applyAlignment="1">
      <alignment horizontal="left"/>
    </xf>
    <xf numFmtId="0" fontId="0" fillId="0" borderId="0" xfId="0" applyAlignment="1">
      <alignment vertical="center" wrapText="1"/>
    </xf>
    <xf numFmtId="0" fontId="0" fillId="0" borderId="30" xfId="0" quotePrefix="1" applyFill="1" applyBorder="1" applyAlignment="1">
      <alignment horizontal="center" wrapText="1"/>
    </xf>
    <xf numFmtId="0" fontId="15" fillId="5" borderId="89" xfId="2" applyFill="1" applyBorder="1" applyAlignment="1">
      <alignment vertical="center"/>
    </xf>
    <xf numFmtId="0" fontId="5" fillId="0" borderId="20" xfId="0" applyFont="1" applyBorder="1" applyAlignment="1">
      <alignment vertical="center"/>
    </xf>
    <xf numFmtId="0" fontId="6" fillId="5" borderId="26" xfId="0" applyFont="1" applyFill="1" applyBorder="1"/>
    <xf numFmtId="0" fontId="3" fillId="4" borderId="5" xfId="0" applyFont="1" applyFill="1" applyBorder="1"/>
    <xf numFmtId="0" fontId="3" fillId="0" borderId="21" xfId="0" applyFont="1" applyBorder="1" applyAlignment="1">
      <alignment horizontal="center" vertical="center"/>
    </xf>
    <xf numFmtId="0" fontId="4" fillId="3" borderId="7" xfId="0" applyFont="1" applyFill="1" applyBorder="1" applyAlignment="1">
      <alignment horizontal="center" vertical="center" wrapText="1"/>
    </xf>
    <xf numFmtId="0" fontId="3" fillId="0" borderId="21" xfId="0" applyFont="1" applyFill="1" applyBorder="1" applyAlignment="1">
      <alignment horizontal="center" vertical="center"/>
    </xf>
    <xf numFmtId="9" fontId="0" fillId="0" borderId="0" xfId="0" applyNumberFormat="1" applyBorder="1"/>
    <xf numFmtId="168" fontId="0" fillId="0" borderId="0" xfId="1" applyNumberFormat="1" applyFont="1" applyBorder="1"/>
    <xf numFmtId="0" fontId="6" fillId="0" borderId="20" xfId="0" applyFont="1" applyBorder="1" applyAlignment="1">
      <alignment horizontal="center" vertical="center"/>
    </xf>
    <xf numFmtId="0" fontId="2" fillId="4" borderId="20" xfId="0" applyFont="1" applyFill="1" applyBorder="1" applyAlignment="1">
      <alignment horizontal="center" vertical="center"/>
    </xf>
    <xf numFmtId="0" fontId="3" fillId="5" borderId="21" xfId="0" applyFont="1" applyFill="1" applyBorder="1" applyAlignment="1">
      <alignment horizontal="center" vertical="center"/>
    </xf>
    <xf numFmtId="0" fontId="4" fillId="3" borderId="6" xfId="0" applyFont="1" applyFill="1" applyBorder="1" applyAlignment="1">
      <alignment horizontal="center" vertical="center" wrapText="1"/>
    </xf>
    <xf numFmtId="0" fontId="4" fillId="3" borderId="31" xfId="0" applyFont="1" applyFill="1" applyBorder="1" applyAlignment="1">
      <alignment horizontal="center" vertical="center" wrapText="1"/>
    </xf>
    <xf numFmtId="0" fontId="0" fillId="0" borderId="12" xfId="0" applyBorder="1"/>
    <xf numFmtId="0" fontId="0" fillId="0" borderId="81" xfId="0" applyBorder="1"/>
    <xf numFmtId="0" fontId="3" fillId="4" borderId="81" xfId="0" applyFont="1" applyFill="1" applyBorder="1"/>
    <xf numFmtId="0" fontId="6" fillId="0" borderId="12" xfId="1" applyNumberFormat="1" applyFont="1" applyFill="1" applyBorder="1" applyAlignment="1">
      <alignment horizontal="center"/>
    </xf>
    <xf numFmtId="0" fontId="6" fillId="0" borderId="81" xfId="1" applyNumberFormat="1" applyFont="1" applyFill="1" applyBorder="1" applyAlignment="1">
      <alignment horizontal="center"/>
    </xf>
    <xf numFmtId="0" fontId="0" fillId="0" borderId="81" xfId="0" applyFill="1" applyBorder="1"/>
    <xf numFmtId="0" fontId="10" fillId="4" borderId="81" xfId="0" applyFont="1" applyFill="1" applyBorder="1"/>
    <xf numFmtId="0" fontId="15" fillId="0" borderId="12" xfId="2" applyBorder="1" applyAlignment="1">
      <alignment horizontal="center"/>
    </xf>
    <xf numFmtId="0" fontId="15" fillId="0" borderId="81" xfId="2" applyBorder="1" applyAlignment="1">
      <alignment horizontal="center"/>
    </xf>
    <xf numFmtId="0" fontId="15" fillId="0" borderId="12" xfId="2" applyBorder="1" applyAlignment="1">
      <alignment horizontal="center" vertical="center"/>
    </xf>
    <xf numFmtId="0" fontId="15" fillId="0" borderId="81" xfId="2" applyBorder="1" applyAlignment="1">
      <alignment horizontal="center" vertical="center"/>
    </xf>
    <xf numFmtId="0" fontId="15" fillId="0" borderId="12" xfId="2" applyFill="1" applyBorder="1" applyAlignment="1">
      <alignment horizontal="center"/>
    </xf>
    <xf numFmtId="0" fontId="15" fillId="0" borderId="12" xfId="2" applyBorder="1" applyAlignment="1">
      <alignment horizontal="center" wrapText="1"/>
    </xf>
    <xf numFmtId="0" fontId="15" fillId="0" borderId="81" xfId="2" applyBorder="1" applyAlignment="1">
      <alignment horizontal="center" wrapText="1"/>
    </xf>
    <xf numFmtId="0" fontId="15" fillId="0" borderId="12" xfId="2" applyBorder="1" applyAlignment="1">
      <alignment horizontal="center" vertical="center" wrapText="1"/>
    </xf>
    <xf numFmtId="0" fontId="15" fillId="0" borderId="81" xfId="2" applyBorder="1" applyAlignment="1">
      <alignment horizontal="center" vertical="center" wrapText="1"/>
    </xf>
    <xf numFmtId="0" fontId="15" fillId="0" borderId="12" xfId="2" applyFill="1" applyBorder="1" applyAlignment="1">
      <alignment horizontal="center" vertical="center"/>
    </xf>
    <xf numFmtId="0" fontId="15" fillId="0" borderId="81" xfId="2" applyFill="1" applyBorder="1" applyAlignment="1">
      <alignment horizontal="center" vertical="center"/>
    </xf>
    <xf numFmtId="0" fontId="3" fillId="13" borderId="12" xfId="0" applyFont="1" applyFill="1" applyBorder="1"/>
    <xf numFmtId="0" fontId="3" fillId="13" borderId="81" xfId="0" applyFont="1" applyFill="1" applyBorder="1"/>
    <xf numFmtId="0" fontId="0" fillId="4" borderId="12" xfId="0" applyFont="1" applyFill="1" applyBorder="1" applyAlignment="1">
      <alignment horizontal="center" vertical="center"/>
    </xf>
    <xf numFmtId="0" fontId="0" fillId="4" borderId="81" xfId="0" applyFont="1" applyFill="1" applyBorder="1" applyAlignment="1">
      <alignment horizontal="center" vertical="center"/>
    </xf>
    <xf numFmtId="0" fontId="32" fillId="0" borderId="12" xfId="2" applyFont="1" applyFill="1" applyBorder="1" applyAlignment="1">
      <alignment horizontal="left" vertical="center"/>
    </xf>
    <xf numFmtId="0" fontId="0" fillId="4" borderId="12" xfId="0" applyFill="1" applyBorder="1" applyAlignment="1">
      <alignment horizontal="center" vertical="center"/>
    </xf>
    <xf numFmtId="0" fontId="0" fillId="4" borderId="81" xfId="0" applyFill="1" applyBorder="1" applyAlignment="1">
      <alignment horizontal="center" vertical="center"/>
    </xf>
    <xf numFmtId="0" fontId="0" fillId="4" borderId="12" xfId="0" applyFont="1" applyFill="1" applyBorder="1" applyAlignment="1">
      <alignment vertical="center"/>
    </xf>
    <xf numFmtId="0" fontId="0" fillId="4" borderId="81" xfId="0" applyFont="1" applyFill="1" applyBorder="1" applyAlignment="1">
      <alignment vertical="center"/>
    </xf>
    <xf numFmtId="0" fontId="0" fillId="4" borderId="15" xfId="0" applyFill="1" applyBorder="1"/>
    <xf numFmtId="0" fontId="0" fillId="4" borderId="16" xfId="0" applyFill="1" applyBorder="1"/>
    <xf numFmtId="0" fontId="0" fillId="4" borderId="79" xfId="0" applyFill="1" applyBorder="1"/>
    <xf numFmtId="0" fontId="0" fillId="0" borderId="0" xfId="0" applyBorder="1" applyAlignment="1">
      <alignment wrapText="1"/>
    </xf>
    <xf numFmtId="0" fontId="0" fillId="0" borderId="0" xfId="0" applyFill="1" applyBorder="1" applyAlignment="1">
      <alignment wrapText="1"/>
    </xf>
    <xf numFmtId="0" fontId="2" fillId="5" borderId="0" xfId="0" applyFont="1" applyFill="1" applyBorder="1"/>
    <xf numFmtId="0" fontId="32" fillId="0" borderId="0" xfId="2" applyFont="1" applyFill="1" applyBorder="1" applyAlignment="1">
      <alignment horizontal="left" vertical="center"/>
    </xf>
    <xf numFmtId="0" fontId="2" fillId="0" borderId="12" xfId="0" applyFont="1" applyBorder="1"/>
    <xf numFmtId="0" fontId="0" fillId="0" borderId="0" xfId="0" applyBorder="1" applyAlignment="1">
      <alignment horizontal="left" vertical="top" wrapText="1"/>
    </xf>
    <xf numFmtId="0" fontId="0" fillId="0" borderId="54" xfId="0" applyBorder="1"/>
    <xf numFmtId="0" fontId="0" fillId="0" borderId="52" xfId="0" applyBorder="1"/>
    <xf numFmtId="0" fontId="0" fillId="0" borderId="53" xfId="0" applyBorder="1"/>
    <xf numFmtId="9" fontId="0" fillId="0" borderId="12" xfId="1" applyFont="1" applyBorder="1"/>
    <xf numFmtId="168" fontId="0" fillId="0" borderId="81" xfId="1" applyNumberFormat="1" applyFont="1" applyBorder="1"/>
    <xf numFmtId="9" fontId="0" fillId="0" borderId="12" xfId="0" applyNumberFormat="1" applyBorder="1"/>
    <xf numFmtId="0" fontId="0" fillId="0" borderId="12" xfId="0" applyFill="1" applyBorder="1"/>
    <xf numFmtId="0" fontId="3" fillId="5" borderId="0" xfId="0" applyFont="1" applyFill="1" applyBorder="1"/>
    <xf numFmtId="0" fontId="3" fillId="0" borderId="0" xfId="0" applyFont="1" applyBorder="1"/>
    <xf numFmtId="0" fontId="3" fillId="0" borderId="0" xfId="0" applyFont="1" applyBorder="1" applyAlignment="1">
      <alignment horizontal="left" vertical="center"/>
    </xf>
    <xf numFmtId="0" fontId="4" fillId="0" borderId="0" xfId="0" applyFont="1" applyBorder="1"/>
    <xf numFmtId="0" fontId="16" fillId="0" borderId="0" xfId="0" applyFont="1" applyBorder="1"/>
    <xf numFmtId="0" fontId="16" fillId="0" borderId="81" xfId="0" applyFont="1" applyBorder="1" applyAlignment="1">
      <alignment wrapText="1"/>
    </xf>
    <xf numFmtId="0" fontId="0" fillId="0" borderId="12" xfId="0" applyBorder="1" applyAlignment="1">
      <alignment horizontal="left" wrapText="1"/>
    </xf>
    <xf numFmtId="0" fontId="4" fillId="2" borderId="80" xfId="0" applyFont="1" applyFill="1" applyBorder="1" applyAlignment="1">
      <alignment horizontal="center" vertical="center" wrapText="1"/>
    </xf>
    <xf numFmtId="0" fontId="4" fillId="2" borderId="82" xfId="0" applyFont="1" applyFill="1" applyBorder="1" applyAlignment="1">
      <alignment horizontal="center" vertical="center"/>
    </xf>
    <xf numFmtId="0" fontId="3" fillId="0" borderId="3" xfId="0" applyFont="1" applyBorder="1" applyAlignment="1">
      <alignment vertical="center"/>
    </xf>
    <xf numFmtId="0" fontId="3" fillId="4" borderId="47" xfId="0" applyFont="1" applyFill="1" applyBorder="1" applyAlignment="1">
      <alignment vertical="center"/>
    </xf>
    <xf numFmtId="0" fontId="3" fillId="4" borderId="0" xfId="0" applyFont="1" applyFill="1" applyBorder="1" applyAlignment="1">
      <alignment vertical="center"/>
    </xf>
    <xf numFmtId="0" fontId="3" fillId="5" borderId="3" xfId="0" applyFont="1" applyFill="1" applyBorder="1" applyAlignment="1">
      <alignment vertical="center"/>
    </xf>
    <xf numFmtId="0" fontId="10" fillId="4" borderId="0" xfId="0" applyFont="1" applyFill="1" applyBorder="1" applyAlignment="1">
      <alignment vertical="center"/>
    </xf>
    <xf numFmtId="0" fontId="3" fillId="0" borderId="5" xfId="0" quotePrefix="1" applyFont="1" applyFill="1" applyBorder="1" applyAlignment="1">
      <alignment vertical="center"/>
    </xf>
    <xf numFmtId="0" fontId="3" fillId="0" borderId="5" xfId="0" quotePrefix="1" applyFont="1" applyBorder="1" applyAlignment="1">
      <alignment vertical="center"/>
    </xf>
    <xf numFmtId="0" fontId="3" fillId="0" borderId="5" xfId="0" applyFont="1" applyBorder="1" applyAlignment="1">
      <alignment vertical="center" wrapText="1"/>
    </xf>
    <xf numFmtId="0" fontId="3" fillId="0" borderId="3" xfId="0" quotePrefix="1" applyFont="1" applyFill="1" applyBorder="1" applyAlignment="1">
      <alignment vertical="center"/>
    </xf>
    <xf numFmtId="0" fontId="3" fillId="13" borderId="16" xfId="0" applyFont="1" applyFill="1" applyBorder="1" applyAlignment="1">
      <alignment vertical="center"/>
    </xf>
    <xf numFmtId="0" fontId="0" fillId="4" borderId="3" xfId="0" applyFont="1" applyFill="1" applyBorder="1" applyAlignment="1">
      <alignment vertical="center"/>
    </xf>
    <xf numFmtId="0" fontId="0" fillId="0" borderId="3" xfId="0" applyFont="1" applyBorder="1" applyAlignment="1">
      <alignment vertical="center" wrapText="1"/>
    </xf>
    <xf numFmtId="0" fontId="0" fillId="4" borderId="3" xfId="0" applyFill="1" applyBorder="1" applyAlignment="1">
      <alignment vertical="center"/>
    </xf>
    <xf numFmtId="0" fontId="3" fillId="5" borderId="5" xfId="0" quotePrefix="1" applyFont="1" applyFill="1" applyBorder="1" applyAlignment="1">
      <alignment vertical="center"/>
    </xf>
    <xf numFmtId="0" fontId="3" fillId="0" borderId="5" xfId="0" applyFont="1" applyFill="1" applyBorder="1" applyAlignment="1">
      <alignment vertical="center" wrapText="1"/>
    </xf>
    <xf numFmtId="0" fontId="6" fillId="5" borderId="3" xfId="0" quotePrefix="1" applyFont="1" applyFill="1" applyBorder="1" applyAlignment="1">
      <alignment vertical="center"/>
    </xf>
    <xf numFmtId="0" fontId="3" fillId="0" borderId="13" xfId="0" applyFont="1" applyBorder="1" applyAlignment="1">
      <alignment vertical="center"/>
    </xf>
    <xf numFmtId="0" fontId="3" fillId="0" borderId="3" xfId="0" applyFont="1" applyBorder="1" applyAlignment="1">
      <alignment vertical="center"/>
    </xf>
    <xf numFmtId="0" fontId="3" fillId="0" borderId="13" xfId="0" applyFont="1" applyBorder="1" applyAlignment="1">
      <alignment vertical="center" wrapText="1"/>
    </xf>
    <xf numFmtId="0" fontId="3" fillId="0" borderId="3" xfId="0" applyFont="1" applyBorder="1" applyAlignment="1">
      <alignment horizontal="center" vertical="center"/>
    </xf>
    <xf numFmtId="0" fontId="4" fillId="0" borderId="5" xfId="0" applyFont="1" applyBorder="1" applyAlignment="1">
      <alignment horizontal="center" vertical="center"/>
    </xf>
    <xf numFmtId="0" fontId="4" fillId="0" borderId="13" xfId="0" applyFont="1" applyFill="1" applyBorder="1" applyAlignment="1">
      <alignment horizontal="center" vertical="center"/>
    </xf>
    <xf numFmtId="0" fontId="2" fillId="0" borderId="4" xfId="0" applyFont="1" applyBorder="1" applyAlignment="1">
      <alignment horizontal="center" vertical="center"/>
    </xf>
    <xf numFmtId="0" fontId="4" fillId="2" borderId="1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0" borderId="32" xfId="0" applyFont="1" applyFill="1" applyBorder="1" applyAlignment="1">
      <alignment horizontal="center" vertical="center"/>
    </xf>
    <xf numFmtId="0" fontId="4" fillId="5" borderId="5" xfId="0" applyFont="1" applyFill="1" applyBorder="1" applyAlignment="1">
      <alignment horizontal="center" vertical="center"/>
    </xf>
    <xf numFmtId="0" fontId="2" fillId="0" borderId="10" xfId="0" applyFont="1" applyBorder="1" applyAlignment="1">
      <alignment horizontal="center" vertical="center"/>
    </xf>
    <xf numFmtId="0" fontId="0" fillId="0" borderId="0" xfId="0" applyAlignment="1">
      <alignment horizontal="left" wrapText="1"/>
    </xf>
    <xf numFmtId="0" fontId="4" fillId="0" borderId="30" xfId="0" applyFont="1" applyFill="1" applyBorder="1" applyAlignment="1">
      <alignment horizontal="center" vertical="center" wrapText="1"/>
    </xf>
    <xf numFmtId="0" fontId="2" fillId="14" borderId="51" xfId="0" applyFont="1" applyFill="1" applyBorder="1" applyAlignment="1">
      <alignment horizontal="center" vertical="center"/>
    </xf>
    <xf numFmtId="0" fontId="4" fillId="2" borderId="44"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4" fillId="2" borderId="59" xfId="0" applyFont="1" applyFill="1" applyBorder="1" applyAlignment="1">
      <alignment horizontal="center" vertical="center" wrapText="1"/>
    </xf>
    <xf numFmtId="0" fontId="4" fillId="2" borderId="50" xfId="0" applyFont="1" applyFill="1" applyBorder="1" applyAlignment="1">
      <alignment horizontal="center" vertical="center" wrapText="1"/>
    </xf>
    <xf numFmtId="0" fontId="4" fillId="0" borderId="0" xfId="0" applyFont="1" applyBorder="1" applyAlignment="1">
      <alignment horizontal="center"/>
    </xf>
    <xf numFmtId="0" fontId="3" fillId="0" borderId="0" xfId="0" applyFont="1" applyFill="1" applyBorder="1" applyAlignment="1">
      <alignment horizontal="left" vertical="center"/>
    </xf>
    <xf numFmtId="0" fontId="3" fillId="0" borderId="0" xfId="0" applyFont="1" applyBorder="1" applyAlignment="1">
      <alignment vertical="center"/>
    </xf>
    <xf numFmtId="0" fontId="0" fillId="0" borderId="5" xfId="0" quotePrefix="1" applyFill="1" applyBorder="1" applyAlignment="1">
      <alignment horizontal="center"/>
    </xf>
    <xf numFmtId="0" fontId="0" fillId="0" borderId="32" xfId="0" applyBorder="1" applyAlignment="1">
      <alignment vertical="center"/>
    </xf>
    <xf numFmtId="0" fontId="0" fillId="0" borderId="7" xfId="0" quotePrefix="1" applyFill="1" applyBorder="1" applyAlignment="1">
      <alignment horizontal="center"/>
    </xf>
    <xf numFmtId="0" fontId="0" fillId="0" borderId="0" xfId="0" applyFont="1" applyAlignment="1">
      <alignment horizontal="left" indent="2"/>
    </xf>
    <xf numFmtId="0" fontId="0" fillId="0" borderId="0" xfId="0" quotePrefix="1" applyFill="1" applyAlignment="1">
      <alignment horizontal="left" indent="5"/>
    </xf>
    <xf numFmtId="0" fontId="3" fillId="5" borderId="87" xfId="0" applyFont="1" applyFill="1" applyBorder="1" applyAlignment="1">
      <alignment vertical="center"/>
    </xf>
    <xf numFmtId="0" fontId="3" fillId="0" borderId="0" xfId="0" applyFont="1" applyAlignment="1">
      <alignment horizontal="left" indent="2"/>
    </xf>
    <xf numFmtId="0" fontId="3" fillId="4" borderId="94" xfId="0" applyFont="1" applyFill="1" applyBorder="1" applyAlignment="1">
      <alignment horizontal="left"/>
    </xf>
    <xf numFmtId="0" fontId="3" fillId="4" borderId="47" xfId="0" applyFont="1" applyFill="1" applyBorder="1" applyAlignment="1">
      <alignment horizontal="center" vertical="center"/>
    </xf>
    <xf numFmtId="0" fontId="4" fillId="4" borderId="47" xfId="0" applyFont="1" applyFill="1" applyBorder="1" applyAlignment="1">
      <alignment horizontal="center" vertical="center"/>
    </xf>
    <xf numFmtId="0" fontId="3" fillId="4" borderId="39" xfId="0" applyFont="1" applyFill="1" applyBorder="1" applyAlignment="1">
      <alignment horizontal="center" vertical="center"/>
    </xf>
    <xf numFmtId="0" fontId="0" fillId="0" borderId="34" xfId="0" applyBorder="1"/>
    <xf numFmtId="0" fontId="0" fillId="0" borderId="41" xfId="0" applyFill="1" applyBorder="1"/>
    <xf numFmtId="0" fontId="0" fillId="0" borderId="42" xfId="0" applyFill="1" applyBorder="1"/>
    <xf numFmtId="0" fontId="0" fillId="0" borderId="36" xfId="0" applyFill="1" applyBorder="1"/>
    <xf numFmtId="169" fontId="0" fillId="0" borderId="45" xfId="0" applyNumberFormat="1" applyBorder="1"/>
    <xf numFmtId="169" fontId="0" fillId="0" borderId="43" xfId="0" applyNumberFormat="1" applyBorder="1"/>
    <xf numFmtId="169" fontId="0" fillId="0" borderId="44" xfId="0" applyNumberFormat="1" applyBorder="1"/>
    <xf numFmtId="0" fontId="4" fillId="14" borderId="12" xfId="0" applyFont="1" applyFill="1" applyBorder="1" applyAlignment="1">
      <alignment horizontal="center" vertical="center" wrapText="1"/>
    </xf>
    <xf numFmtId="0" fontId="3" fillId="0" borderId="56" xfId="0" applyFont="1" applyBorder="1"/>
    <xf numFmtId="0" fontId="2" fillId="0" borderId="56" xfId="0" applyFont="1" applyBorder="1" applyAlignment="1">
      <alignment horizontal="center"/>
    </xf>
    <xf numFmtId="0" fontId="0" fillId="0" borderId="45" xfId="0" quotePrefix="1" applyBorder="1" applyAlignment="1">
      <alignment horizontal="center" vertical="center" wrapText="1"/>
    </xf>
    <xf numFmtId="0" fontId="3" fillId="4" borderId="42" xfId="0" applyFont="1" applyFill="1" applyBorder="1" applyAlignment="1">
      <alignment horizontal="center" vertical="center"/>
    </xf>
    <xf numFmtId="0" fontId="0" fillId="7" borderId="44" xfId="0" applyFill="1" applyBorder="1" applyAlignment="1">
      <alignment wrapText="1"/>
    </xf>
    <xf numFmtId="11" fontId="0" fillId="7" borderId="0" xfId="0" applyNumberFormat="1" applyFill="1"/>
    <xf numFmtId="1" fontId="0" fillId="7" borderId="0" xfId="0" applyNumberFormat="1" applyFill="1"/>
    <xf numFmtId="0" fontId="0" fillId="14" borderId="33" xfId="0" applyFill="1" applyBorder="1" applyAlignment="1"/>
    <xf numFmtId="0" fontId="3" fillId="0" borderId="44" xfId="0" applyFont="1" applyFill="1" applyBorder="1" applyAlignment="1">
      <alignment wrapText="1"/>
    </xf>
    <xf numFmtId="0" fontId="2" fillId="0" borderId="0" xfId="0" applyFont="1" applyFill="1" applyBorder="1"/>
    <xf numFmtId="0" fontId="0" fillId="0" borderId="0" xfId="0" applyAlignment="1">
      <alignment vertical="top" wrapText="1"/>
    </xf>
    <xf numFmtId="0" fontId="41" fillId="0" borderId="0" xfId="0" applyFont="1" applyAlignment="1">
      <alignment wrapText="1"/>
    </xf>
    <xf numFmtId="0" fontId="0" fillId="0" borderId="0" xfId="0" applyFont="1" applyFill="1" applyAlignment="1">
      <alignment horizontal="left" vertical="center" indent="6"/>
    </xf>
    <xf numFmtId="0" fontId="0" fillId="17" borderId="30" xfId="0" applyFont="1" applyFill="1" applyBorder="1" applyAlignment="1"/>
    <xf numFmtId="0" fontId="3" fillId="0" borderId="5" xfId="0" applyFont="1" applyBorder="1" applyAlignment="1">
      <alignment horizontal="center" vertical="center"/>
    </xf>
    <xf numFmtId="0" fontId="4" fillId="0" borderId="13" xfId="0" applyFont="1" applyFill="1" applyBorder="1" applyAlignment="1">
      <alignment horizontal="center" vertical="center"/>
    </xf>
    <xf numFmtId="0" fontId="4" fillId="2" borderId="1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2" fillId="0" borderId="39" xfId="0" applyFont="1" applyBorder="1" applyAlignment="1">
      <alignment horizontal="center" vertical="center"/>
    </xf>
    <xf numFmtId="0" fontId="4" fillId="2" borderId="44"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4" fillId="2" borderId="59" xfId="0" applyFont="1" applyFill="1" applyBorder="1" applyAlignment="1">
      <alignment horizontal="center" vertical="center" wrapText="1"/>
    </xf>
    <xf numFmtId="0" fontId="4" fillId="2" borderId="50" xfId="0" applyFont="1" applyFill="1" applyBorder="1" applyAlignment="1">
      <alignment horizontal="center" vertical="center" wrapText="1"/>
    </xf>
    <xf numFmtId="0" fontId="0" fillId="0" borderId="51" xfId="0" applyBorder="1"/>
    <xf numFmtId="0" fontId="42" fillId="0" borderId="0" xfId="0" applyFont="1" applyAlignment="1">
      <alignment horizontal="left"/>
    </xf>
    <xf numFmtId="0" fontId="42" fillId="0" borderId="0" xfId="0" applyFont="1"/>
    <xf numFmtId="0" fontId="41" fillId="0" borderId="0" xfId="0" applyFont="1" applyAlignment="1">
      <alignment horizontal="left" indent="4"/>
    </xf>
    <xf numFmtId="0" fontId="3" fillId="0" borderId="17" xfId="0" applyFont="1" applyBorder="1"/>
    <xf numFmtId="0" fontId="4" fillId="2" borderId="1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44"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4" fillId="2" borderId="59" xfId="0" applyFont="1" applyFill="1" applyBorder="1" applyAlignment="1">
      <alignment horizontal="center" vertical="center" wrapText="1"/>
    </xf>
    <xf numFmtId="0" fontId="4" fillId="2" borderId="50" xfId="0" applyFont="1" applyFill="1" applyBorder="1" applyAlignment="1">
      <alignment horizontal="center" vertical="center" wrapText="1"/>
    </xf>
    <xf numFmtId="0" fontId="43" fillId="0" borderId="97" xfId="0" applyFont="1" applyBorder="1" applyAlignment="1">
      <alignment horizontal="left" vertical="top" wrapText="1" readingOrder="1"/>
    </xf>
    <xf numFmtId="0" fontId="2" fillId="0" borderId="39" xfId="0" quotePrefix="1" applyFont="1" applyBorder="1" applyAlignment="1">
      <alignment horizontal="center" vertical="center"/>
    </xf>
    <xf numFmtId="0" fontId="0" fillId="0" borderId="39" xfId="0" applyBorder="1" applyAlignment="1">
      <alignment horizontal="center"/>
    </xf>
    <xf numFmtId="0" fontId="0" fillId="0" borderId="40" xfId="0" applyBorder="1" applyAlignment="1">
      <alignment horizontal="center"/>
    </xf>
    <xf numFmtId="0" fontId="44" fillId="0" borderId="0" xfId="0" applyFont="1"/>
    <xf numFmtId="0" fontId="43" fillId="0" borderId="0" xfId="0" applyFont="1" applyFill="1" applyBorder="1" applyAlignment="1">
      <alignment horizontal="left" vertical="top" wrapText="1" readingOrder="1"/>
    </xf>
    <xf numFmtId="0" fontId="4" fillId="2" borderId="53" xfId="0" applyFont="1" applyFill="1" applyBorder="1" applyAlignment="1">
      <alignment vertical="center" wrapText="1"/>
    </xf>
    <xf numFmtId="0" fontId="43" fillId="0" borderId="38" xfId="0" applyFont="1" applyBorder="1" applyAlignment="1">
      <alignment horizontal="left" vertical="top" wrapText="1" readingOrder="1"/>
    </xf>
    <xf numFmtId="0" fontId="43" fillId="0" borderId="39" xfId="0" applyFont="1" applyBorder="1" applyAlignment="1">
      <alignment horizontal="left" vertical="top" wrapText="1" readingOrder="1"/>
    </xf>
    <xf numFmtId="0" fontId="43" fillId="0" borderId="40" xfId="0" applyFont="1" applyBorder="1" applyAlignment="1">
      <alignment horizontal="left" vertical="top" wrapText="1" readingOrder="1"/>
    </xf>
    <xf numFmtId="0" fontId="43" fillId="0" borderId="43" xfId="0" applyFont="1" applyBorder="1" applyAlignment="1">
      <alignment horizontal="left" vertical="top" wrapText="1" readingOrder="1"/>
    </xf>
    <xf numFmtId="0" fontId="43" fillId="0" borderId="44" xfId="0" applyFont="1" applyBorder="1" applyAlignment="1">
      <alignment horizontal="left" vertical="top" wrapText="1" readingOrder="1"/>
    </xf>
    <xf numFmtId="0" fontId="43" fillId="0" borderId="45" xfId="0" applyFont="1" applyBorder="1" applyAlignment="1">
      <alignment horizontal="left" vertical="top" wrapText="1" readingOrder="1"/>
    </xf>
    <xf numFmtId="0" fontId="19" fillId="0" borderId="0" xfId="0" applyFont="1" applyAlignment="1">
      <alignment horizontal="left" wrapText="1"/>
    </xf>
    <xf numFmtId="0" fontId="44" fillId="0" borderId="0" xfId="0" applyFont="1" applyAlignment="1">
      <alignment horizontal="left" indent="3"/>
    </xf>
    <xf numFmtId="0" fontId="44" fillId="0" borderId="0" xfId="0" applyFont="1" applyAlignment="1">
      <alignment horizontal="left"/>
    </xf>
    <xf numFmtId="0" fontId="4" fillId="2" borderId="85" xfId="0" applyFont="1" applyFill="1" applyBorder="1" applyAlignment="1">
      <alignment vertical="center" wrapText="1"/>
    </xf>
    <xf numFmtId="0" fontId="0" fillId="0" borderId="38" xfId="0" applyBorder="1" applyAlignment="1">
      <alignment horizontal="center"/>
    </xf>
    <xf numFmtId="0" fontId="0" fillId="0" borderId="30" xfId="0" applyFill="1" applyBorder="1"/>
    <xf numFmtId="0" fontId="0" fillId="0" borderId="6" xfId="0" applyFill="1" applyBorder="1"/>
    <xf numFmtId="0" fontId="0" fillId="0" borderId="31" xfId="0" applyFill="1" applyBorder="1"/>
    <xf numFmtId="0" fontId="0" fillId="0" borderId="10" xfId="0" applyFill="1" applyBorder="1"/>
    <xf numFmtId="0" fontId="0" fillId="0" borderId="0" xfId="0" applyBorder="1" applyAlignment="1">
      <alignment horizontal="center"/>
    </xf>
    <xf numFmtId="0" fontId="3" fillId="0" borderId="3" xfId="0" applyFont="1" applyBorder="1" applyAlignment="1">
      <alignment horizontal="center" vertical="center"/>
    </xf>
    <xf numFmtId="0" fontId="4" fillId="0" borderId="5" xfId="0" applyFont="1" applyBorder="1" applyAlignment="1">
      <alignment horizontal="center" vertical="center"/>
    </xf>
    <xf numFmtId="0" fontId="2" fillId="0" borderId="5" xfId="0" applyFont="1" applyBorder="1" applyAlignment="1">
      <alignment horizontal="center" vertical="center"/>
    </xf>
    <xf numFmtId="0" fontId="4" fillId="2" borderId="1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2" fillId="0" borderId="39" xfId="0" applyFont="1" applyBorder="1" applyAlignment="1">
      <alignment horizontal="center" vertical="center"/>
    </xf>
    <xf numFmtId="0" fontId="4" fillId="2" borderId="49" xfId="0" applyFont="1" applyFill="1" applyBorder="1" applyAlignment="1">
      <alignment horizontal="center" vertical="center" wrapText="1"/>
    </xf>
    <xf numFmtId="0" fontId="2" fillId="0" borderId="4" xfId="0" applyFont="1" applyFill="1" applyBorder="1" applyAlignment="1">
      <alignment horizontal="center" vertical="center"/>
    </xf>
    <xf numFmtId="0" fontId="4" fillId="2" borderId="59" xfId="0" applyFont="1" applyFill="1" applyBorder="1" applyAlignment="1">
      <alignment horizontal="center" vertical="center" wrapText="1"/>
    </xf>
    <xf numFmtId="0" fontId="4" fillId="2" borderId="50"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25" fillId="0" borderId="75" xfId="5" quotePrefix="1" applyFont="1" applyBorder="1" applyAlignment="1" applyProtection="1">
      <alignment horizontal="left" vertical="top" wrapText="1"/>
      <protection locked="0"/>
    </xf>
    <xf numFmtId="0" fontId="0" fillId="0" borderId="57" xfId="0" applyBorder="1" applyAlignment="1">
      <alignment vertical="center"/>
    </xf>
    <xf numFmtId="0" fontId="0" fillId="0" borderId="39" xfId="0" applyBorder="1" applyAlignment="1">
      <alignment vertical="center"/>
    </xf>
    <xf numFmtId="0" fontId="3" fillId="0" borderId="98" xfId="0" applyFont="1" applyFill="1" applyBorder="1" applyAlignment="1">
      <alignment horizontal="left" vertical="center"/>
    </xf>
    <xf numFmtId="0" fontId="0" fillId="0" borderId="81" xfId="0" applyFill="1" applyBorder="1" applyAlignment="1">
      <alignment horizontal="center"/>
    </xf>
    <xf numFmtId="0" fontId="25" fillId="0" borderId="0" xfId="5" quotePrefix="1" applyFont="1" applyAlignment="1">
      <alignment vertical="top" wrapText="1"/>
    </xf>
    <xf numFmtId="0" fontId="0" fillId="5" borderId="0" xfId="0" applyFill="1" applyAlignment="1">
      <alignment horizontal="left" wrapText="1"/>
    </xf>
    <xf numFmtId="0" fontId="23" fillId="0" borderId="0" xfId="5" applyFont="1" applyAlignment="1">
      <alignment vertical="top" wrapText="1"/>
    </xf>
    <xf numFmtId="0" fontId="25" fillId="0" borderId="0" xfId="5" applyFont="1" applyAlignment="1">
      <alignment vertical="top" wrapText="1"/>
    </xf>
    <xf numFmtId="0" fontId="3" fillId="0" borderId="21" xfId="0" applyFont="1" applyBorder="1" applyAlignment="1">
      <alignment horizontal="center" vertical="center"/>
    </xf>
    <xf numFmtId="0" fontId="3" fillId="0" borderId="5" xfId="0" applyFont="1" applyBorder="1" applyAlignment="1">
      <alignment horizontal="center" vertical="center"/>
    </xf>
    <xf numFmtId="0" fontId="0" fillId="0" borderId="5" xfId="0" applyFont="1" applyFill="1" applyBorder="1" applyAlignment="1">
      <alignment horizontal="center" vertical="center"/>
    </xf>
    <xf numFmtId="0" fontId="0" fillId="0" borderId="21" xfId="0" applyFont="1" applyBorder="1" applyAlignment="1">
      <alignment horizontal="center" vertical="center"/>
    </xf>
    <xf numFmtId="0" fontId="3" fillId="0" borderId="20" xfId="0" applyFont="1" applyBorder="1" applyAlignment="1">
      <alignment horizontal="center"/>
    </xf>
    <xf numFmtId="0" fontId="3" fillId="0" borderId="21" xfId="0" applyFont="1" applyBorder="1" applyAlignment="1">
      <alignment horizontal="center"/>
    </xf>
    <xf numFmtId="0" fontId="0" fillId="0" borderId="21" xfId="0" applyFont="1" applyBorder="1" applyAlignment="1">
      <alignment horizontal="center"/>
    </xf>
    <xf numFmtId="0" fontId="0" fillId="4" borderId="20" xfId="0" applyFont="1" applyFill="1" applyBorder="1" applyAlignment="1">
      <alignment horizontal="center" vertical="center"/>
    </xf>
    <xf numFmtId="0" fontId="0" fillId="0" borderId="20" xfId="0" applyFont="1" applyFill="1" applyBorder="1" applyAlignment="1">
      <alignment horizontal="center" vertical="center"/>
    </xf>
    <xf numFmtId="0" fontId="0" fillId="0" borderId="20" xfId="0" applyFont="1" applyBorder="1" applyAlignment="1">
      <alignment horizontal="center"/>
    </xf>
    <xf numFmtId="0" fontId="0" fillId="0" borderId="21" xfId="0" applyFont="1" applyFill="1" applyBorder="1" applyAlignment="1">
      <alignment horizontal="center"/>
    </xf>
    <xf numFmtId="0" fontId="3" fillId="0" borderId="87" xfId="1" applyNumberFormat="1" applyFont="1" applyBorder="1" applyAlignment="1">
      <alignment horizontal="center"/>
    </xf>
    <xf numFmtId="0" fontId="3" fillId="0" borderId="42" xfId="1" applyNumberFormat="1" applyFont="1" applyBorder="1" applyAlignment="1">
      <alignment horizontal="center"/>
    </xf>
    <xf numFmtId="0" fontId="6" fillId="5" borderId="87" xfId="1" applyNumberFormat="1" applyFont="1" applyFill="1" applyBorder="1" applyAlignment="1">
      <alignment horizontal="center"/>
    </xf>
    <xf numFmtId="0" fontId="3" fillId="5" borderId="42" xfId="1" applyNumberFormat="1" applyFont="1" applyFill="1" applyBorder="1" applyAlignment="1">
      <alignment horizontal="center"/>
    </xf>
    <xf numFmtId="0" fontId="3" fillId="0" borderId="42" xfId="1" applyNumberFormat="1" applyFont="1" applyFill="1" applyBorder="1" applyAlignment="1">
      <alignment horizontal="center"/>
    </xf>
    <xf numFmtId="0" fontId="3" fillId="0" borderId="42" xfId="0" applyFont="1" applyBorder="1" applyAlignment="1">
      <alignment horizontal="center"/>
    </xf>
    <xf numFmtId="0" fontId="3" fillId="0" borderId="42" xfId="0" applyFont="1" applyBorder="1" applyAlignment="1">
      <alignment horizontal="center" vertical="center"/>
    </xf>
    <xf numFmtId="0" fontId="3" fillId="0" borderId="42" xfId="0" applyFont="1" applyFill="1" applyBorder="1" applyAlignment="1">
      <alignment horizontal="center"/>
    </xf>
    <xf numFmtId="0" fontId="3" fillId="5" borderId="87" xfId="1" applyNumberFormat="1" applyFont="1" applyFill="1" applyBorder="1" applyAlignment="1">
      <alignment horizontal="center"/>
    </xf>
    <xf numFmtId="0" fontId="0" fillId="4" borderId="42" xfId="0" applyFont="1" applyFill="1" applyBorder="1"/>
    <xf numFmtId="0" fontId="0" fillId="0" borderId="42" xfId="0" applyFont="1" applyBorder="1" applyAlignment="1">
      <alignment horizontal="center"/>
    </xf>
    <xf numFmtId="0" fontId="0" fillId="0" borderId="42" xfId="0" applyFont="1" applyFill="1" applyBorder="1" applyAlignment="1">
      <alignment horizontal="center"/>
    </xf>
    <xf numFmtId="0" fontId="0" fillId="0" borderId="5" xfId="0" applyBorder="1" applyAlignment="1">
      <alignment horizontal="left" vertical="center"/>
    </xf>
    <xf numFmtId="0" fontId="10" fillId="4" borderId="5" xfId="0" applyFont="1" applyFill="1" applyBorder="1"/>
    <xf numFmtId="0" fontId="3" fillId="13" borderId="5" xfId="0" applyFont="1" applyFill="1" applyBorder="1"/>
    <xf numFmtId="0" fontId="0" fillId="4" borderId="5" xfId="0" applyFont="1" applyFill="1" applyBorder="1" applyAlignment="1">
      <alignment horizontal="center" vertical="center"/>
    </xf>
    <xf numFmtId="0" fontId="3" fillId="5" borderId="0" xfId="0" applyFont="1" applyFill="1" applyAlignment="1">
      <alignment horizontal="left"/>
    </xf>
    <xf numFmtId="0" fontId="0" fillId="0" borderId="5" xfId="0" applyBorder="1" applyAlignment="1">
      <alignment horizontal="left"/>
    </xf>
    <xf numFmtId="0" fontId="3" fillId="0" borderId="5" xfId="0" applyFont="1" applyBorder="1" applyAlignment="1">
      <alignment horizontal="left"/>
    </xf>
    <xf numFmtId="0" fontId="3" fillId="4" borderId="5" xfId="0" applyFont="1" applyFill="1" applyBorder="1" applyAlignment="1">
      <alignment horizontal="left"/>
    </xf>
    <xf numFmtId="0" fontId="0" fillId="0" borderId="5" xfId="0" quotePrefix="1" applyBorder="1" applyAlignment="1">
      <alignment horizontal="left"/>
    </xf>
    <xf numFmtId="0" fontId="10" fillId="4" borderId="5" xfId="0" applyFont="1" applyFill="1" applyBorder="1" applyAlignment="1">
      <alignment horizontal="left"/>
    </xf>
    <xf numFmtId="0" fontId="34" fillId="0" borderId="5" xfId="0" applyFont="1" applyBorder="1" applyAlignment="1">
      <alignment horizontal="left" vertical="center" wrapText="1"/>
    </xf>
    <xf numFmtId="0" fontId="0" fillId="0" borderId="5" xfId="0" applyFill="1" applyBorder="1" applyAlignment="1">
      <alignment horizontal="left"/>
    </xf>
    <xf numFmtId="0" fontId="3" fillId="13" borderId="5" xfId="0" applyFont="1" applyFill="1" applyBorder="1" applyAlignment="1">
      <alignment horizontal="left"/>
    </xf>
    <xf numFmtId="0" fontId="0" fillId="0" borderId="5" xfId="0" applyFont="1" applyBorder="1" applyAlignment="1">
      <alignment horizontal="left"/>
    </xf>
    <xf numFmtId="0" fontId="0" fillId="0" borderId="5" xfId="0" applyFont="1" applyFill="1" applyBorder="1" applyAlignment="1">
      <alignment horizontal="left" vertical="center"/>
    </xf>
    <xf numFmtId="0" fontId="0" fillId="0" borderId="5" xfId="0" applyFont="1" applyBorder="1" applyAlignment="1">
      <alignment horizontal="left" vertical="center"/>
    </xf>
    <xf numFmtId="0" fontId="0" fillId="0" borderId="5" xfId="0" applyFont="1" applyFill="1" applyBorder="1" applyAlignment="1">
      <alignment horizontal="left"/>
    </xf>
    <xf numFmtId="0" fontId="3" fillId="0" borderId="0" xfId="0" applyFont="1" applyAlignment="1">
      <alignment horizontal="left"/>
    </xf>
    <xf numFmtId="0" fontId="3" fillId="0" borderId="0" xfId="0" applyFont="1" applyBorder="1" applyAlignment="1">
      <alignment horizontal="left"/>
    </xf>
    <xf numFmtId="0" fontId="3" fillId="0" borderId="5" xfId="0" applyFont="1" applyBorder="1" applyAlignment="1">
      <alignment horizontal="center" vertical="center"/>
    </xf>
    <xf numFmtId="0" fontId="0" fillId="0" borderId="5" xfId="0" applyBorder="1" applyAlignment="1">
      <alignment horizontal="left" vertical="center"/>
    </xf>
    <xf numFmtId="0" fontId="0" fillId="0" borderId="5" xfId="0" quotePrefix="1" applyBorder="1" applyAlignment="1">
      <alignment vertical="center"/>
    </xf>
    <xf numFmtId="0" fontId="3" fillId="5" borderId="0" xfId="0" applyFont="1" applyFill="1" applyAlignment="1">
      <alignment horizontal="center"/>
    </xf>
    <xf numFmtId="0" fontId="3" fillId="4" borderId="5" xfId="0" applyFont="1" applyFill="1" applyBorder="1" applyAlignment="1">
      <alignment horizontal="center"/>
    </xf>
    <xf numFmtId="0" fontId="10" fillId="4" borderId="5" xfId="0" applyFont="1" applyFill="1" applyBorder="1" applyAlignment="1">
      <alignment horizontal="center"/>
    </xf>
    <xf numFmtId="0" fontId="3" fillId="13" borderId="5" xfId="0" applyFont="1" applyFill="1" applyBorder="1" applyAlignment="1">
      <alignment horizontal="center"/>
    </xf>
    <xf numFmtId="0" fontId="3" fillId="0" borderId="0" xfId="0" applyFont="1" applyBorder="1" applyAlignment="1">
      <alignment horizontal="center"/>
    </xf>
    <xf numFmtId="0" fontId="4" fillId="0" borderId="5" xfId="0" applyFont="1" applyFill="1" applyBorder="1" applyAlignment="1">
      <alignment horizontal="center" vertical="center"/>
    </xf>
    <xf numFmtId="0" fontId="3" fillId="0" borderId="5" xfId="0" applyFont="1" applyBorder="1" applyAlignment="1">
      <alignment horizontal="center" vertical="center"/>
    </xf>
    <xf numFmtId="0" fontId="4" fillId="2" borderId="1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xf>
    <xf numFmtId="0" fontId="0" fillId="0" borderId="5" xfId="0" applyBorder="1" applyAlignment="1">
      <alignment horizontal="center"/>
    </xf>
    <xf numFmtId="0" fontId="0" fillId="0" borderId="30"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4" xfId="0" applyBorder="1" applyAlignment="1">
      <alignment horizontal="center" vertical="center"/>
    </xf>
    <xf numFmtId="0" fontId="4" fillId="2" borderId="54" xfId="0" applyFont="1" applyFill="1" applyBorder="1" applyAlignment="1">
      <alignment horizontal="center" vertical="center" wrapText="1"/>
    </xf>
    <xf numFmtId="0" fontId="4" fillId="2" borderId="53" xfId="0" applyFont="1" applyFill="1" applyBorder="1" applyAlignment="1">
      <alignment horizontal="center" vertical="center" wrapText="1"/>
    </xf>
    <xf numFmtId="0" fontId="0" fillId="0" borderId="61" xfId="0" quotePrefix="1" applyBorder="1" applyAlignment="1">
      <alignment horizontal="center" vertical="center" wrapText="1"/>
    </xf>
    <xf numFmtId="0" fontId="4" fillId="2" borderId="44"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4" fillId="2" borderId="59" xfId="0" applyFont="1" applyFill="1" applyBorder="1" applyAlignment="1">
      <alignment horizontal="center" vertical="center" wrapText="1"/>
    </xf>
    <xf numFmtId="0" fontId="4" fillId="2" borderId="50" xfId="0" applyFont="1" applyFill="1" applyBorder="1" applyAlignment="1">
      <alignment horizontal="center" vertical="center" wrapText="1"/>
    </xf>
    <xf numFmtId="0" fontId="0" fillId="0" borderId="0" xfId="0" applyAlignment="1">
      <alignment horizontal="left" vertical="center" wrapText="1"/>
    </xf>
    <xf numFmtId="0" fontId="0" fillId="0" borderId="66" xfId="0" applyBorder="1" applyAlignment="1">
      <alignment horizontal="center" vertical="center"/>
    </xf>
    <xf numFmtId="0" fontId="3" fillId="0" borderId="14" xfId="0" quotePrefix="1" applyFont="1" applyBorder="1" applyAlignment="1">
      <alignment vertical="center" wrapText="1"/>
    </xf>
    <xf numFmtId="0" fontId="3" fillId="4" borderId="3" xfId="0" applyFont="1" applyFill="1" applyBorder="1"/>
    <xf numFmtId="0" fontId="3" fillId="4" borderId="3" xfId="0" applyFont="1" applyFill="1" applyBorder="1" applyAlignment="1">
      <alignment horizontal="left"/>
    </xf>
    <xf numFmtId="0" fontId="3" fillId="4" borderId="3" xfId="0" applyFont="1" applyFill="1" applyBorder="1" applyAlignment="1">
      <alignment horizontal="center"/>
    </xf>
    <xf numFmtId="0" fontId="3" fillId="7" borderId="5" xfId="0" applyFont="1" applyFill="1" applyBorder="1" applyAlignment="1">
      <alignment vertical="center"/>
    </xf>
    <xf numFmtId="0" fontId="3" fillId="4" borderId="44" xfId="0" applyFont="1" applyFill="1" applyBorder="1"/>
    <xf numFmtId="0" fontId="3" fillId="5" borderId="5" xfId="0" applyFont="1" applyFill="1" applyBorder="1" applyAlignment="1">
      <alignment vertical="center"/>
    </xf>
    <xf numFmtId="0" fontId="3" fillId="5" borderId="5" xfId="0" applyFont="1" applyFill="1" applyBorder="1" applyAlignment="1">
      <alignment horizontal="center"/>
    </xf>
    <xf numFmtId="0" fontId="34" fillId="5" borderId="5" xfId="0" applyFont="1" applyFill="1" applyBorder="1" applyAlignment="1">
      <alignment horizontal="left" vertical="center" wrapText="1"/>
    </xf>
    <xf numFmtId="0" fontId="0" fillId="5" borderId="5" xfId="0" applyFill="1" applyBorder="1" applyAlignment="1">
      <alignment horizontal="left" vertical="center"/>
    </xf>
    <xf numFmtId="0" fontId="15" fillId="5" borderId="26" xfId="2" applyFill="1" applyBorder="1" applyAlignment="1">
      <alignment horizontal="left"/>
    </xf>
    <xf numFmtId="0" fontId="23" fillId="0" borderId="0" xfId="5" quotePrefix="1" applyFont="1" applyAlignment="1">
      <alignment vertical="top" wrapText="1"/>
    </xf>
    <xf numFmtId="0" fontId="34" fillId="0" borderId="0" xfId="0" applyFont="1"/>
    <xf numFmtId="0" fontId="47" fillId="0" borderId="0" xfId="0" applyFont="1" applyAlignment="1">
      <alignment horizontal="left" vertical="center" readingOrder="1"/>
    </xf>
    <xf numFmtId="0" fontId="34" fillId="0" borderId="0" xfId="0" applyFont="1" applyAlignment="1">
      <alignment horizontal="left" vertical="center" indent="12" readingOrder="1"/>
    </xf>
    <xf numFmtId="0" fontId="34" fillId="0" borderId="0" xfId="0" applyFont="1" applyAlignment="1">
      <alignment horizontal="left" vertical="center" readingOrder="1"/>
    </xf>
    <xf numFmtId="0" fontId="34" fillId="0" borderId="0" xfId="0" applyFont="1" applyAlignment="1">
      <alignment horizontal="left" indent="4"/>
    </xf>
    <xf numFmtId="0" fontId="4" fillId="2" borderId="38" xfId="0" applyFont="1" applyFill="1" applyBorder="1" applyAlignment="1">
      <alignment vertical="center" wrapText="1"/>
    </xf>
    <xf numFmtId="0" fontId="0" fillId="0" borderId="39" xfId="0" applyBorder="1"/>
    <xf numFmtId="0" fontId="0" fillId="0" borderId="40" xfId="0" applyBorder="1"/>
    <xf numFmtId="0" fontId="16" fillId="0" borderId="0" xfId="0" applyFont="1" applyFill="1" applyAlignment="1">
      <alignment wrapText="1"/>
    </xf>
    <xf numFmtId="0" fontId="0" fillId="0" borderId="60" xfId="0" quotePrefix="1" applyBorder="1"/>
    <xf numFmtId="0" fontId="0" fillId="4" borderId="5" xfId="0" applyFill="1" applyBorder="1" applyAlignment="1">
      <alignment horizontal="center" vertical="center"/>
    </xf>
    <xf numFmtId="0" fontId="34" fillId="0" borderId="0" xfId="0" applyFont="1" applyAlignment="1">
      <alignment horizontal="left"/>
    </xf>
    <xf numFmtId="0" fontId="15" fillId="0" borderId="0" xfId="2" applyAlignment="1">
      <alignment horizontal="left" vertical="center" readingOrder="1"/>
    </xf>
    <xf numFmtId="0" fontId="0" fillId="14" borderId="0" xfId="0" applyFill="1" applyBorder="1"/>
    <xf numFmtId="0" fontId="0" fillId="0" borderId="46" xfId="0" quotePrefix="1" applyBorder="1" applyAlignment="1">
      <alignment horizontal="center" wrapText="1"/>
    </xf>
    <xf numFmtId="0" fontId="0" fillId="0" borderId="10" xfId="0" applyBorder="1" applyAlignment="1">
      <alignment horizontal="center"/>
    </xf>
    <xf numFmtId="0" fontId="0" fillId="0" borderId="11" xfId="0" applyBorder="1" applyAlignment="1">
      <alignment horizontal="center" wrapText="1"/>
    </xf>
    <xf numFmtId="0" fontId="0" fillId="0" borderId="29" xfId="0" applyBorder="1" applyAlignment="1">
      <alignment horizontal="center" wrapText="1"/>
    </xf>
    <xf numFmtId="0" fontId="0" fillId="0" borderId="60" xfId="0" quotePrefix="1" applyBorder="1" applyAlignment="1">
      <alignment horizontal="center" wrapText="1"/>
    </xf>
    <xf numFmtId="0" fontId="0" fillId="0" borderId="38" xfId="0" quotePrefix="1" applyBorder="1" applyAlignment="1">
      <alignment horizontal="center" wrapText="1"/>
    </xf>
    <xf numFmtId="0" fontId="0" fillId="0" borderId="39" xfId="0" quotePrefix="1" applyBorder="1" applyAlignment="1">
      <alignment horizontal="center" wrapText="1"/>
    </xf>
    <xf numFmtId="0" fontId="0" fillId="0" borderId="40" xfId="0" quotePrefix="1" applyBorder="1" applyAlignment="1">
      <alignment horizontal="center" wrapText="1"/>
    </xf>
    <xf numFmtId="0" fontId="0" fillId="0" borderId="0" xfId="0" applyAlignment="1">
      <alignment horizontal="left" vertical="center"/>
    </xf>
    <xf numFmtId="0" fontId="0" fillId="0" borderId="0" xfId="0" applyAlignment="1">
      <alignment horizontal="left" vertical="center" indent="3"/>
    </xf>
    <xf numFmtId="0" fontId="0" fillId="0" borderId="0" xfId="0" applyAlignment="1">
      <alignment horizontal="left" vertical="center" indent="5"/>
    </xf>
    <xf numFmtId="0" fontId="0" fillId="0" borderId="0" xfId="0" applyAlignment="1">
      <alignment horizontal="left" vertical="center" indent="6"/>
    </xf>
    <xf numFmtId="0" fontId="0" fillId="0" borderId="0" xfId="0" applyAlignment="1">
      <alignment horizontal="left" vertical="center" indent="11"/>
    </xf>
    <xf numFmtId="0" fontId="18" fillId="0" borderId="0" xfId="0" applyFont="1" applyAlignment="1">
      <alignment horizontal="left" vertical="center"/>
    </xf>
    <xf numFmtId="0" fontId="38" fillId="0" borderId="0" xfId="0" applyFont="1" applyAlignment="1">
      <alignment horizontal="left" vertical="center" indent="3"/>
    </xf>
    <xf numFmtId="0" fontId="4" fillId="2" borderId="7" xfId="0" applyFont="1" applyFill="1" applyBorder="1" applyAlignment="1">
      <alignment horizontal="center" vertical="center" wrapText="1"/>
    </xf>
    <xf numFmtId="0" fontId="15" fillId="0" borderId="0" xfId="2" applyAlignment="1">
      <alignment vertical="center" readingOrder="1"/>
    </xf>
    <xf numFmtId="0" fontId="49" fillId="0" borderId="0" xfId="0" applyFont="1" applyAlignment="1">
      <alignment horizontal="left" vertical="center" readingOrder="1"/>
    </xf>
    <xf numFmtId="0" fontId="34" fillId="0" borderId="0" xfId="0" applyFont="1" applyAlignment="1">
      <alignment horizontal="left" indent="3"/>
    </xf>
    <xf numFmtId="0" fontId="0" fillId="0" borderId="0" xfId="0" applyFont="1" applyAlignment="1">
      <alignment horizontal="left" vertical="center" indent="5" readingOrder="1"/>
    </xf>
    <xf numFmtId="0" fontId="3" fillId="0" borderId="0" xfId="0" applyFont="1" applyFill="1" applyAlignment="1">
      <alignment wrapText="1"/>
    </xf>
    <xf numFmtId="0" fontId="34" fillId="0" borderId="0" xfId="0" applyFont="1" applyFill="1" applyAlignment="1">
      <alignment horizontal="left" vertical="center" readingOrder="1"/>
    </xf>
    <xf numFmtId="0" fontId="3" fillId="0" borderId="5" xfId="0" applyFont="1" applyBorder="1" applyAlignment="1">
      <alignment horizontal="center" vertical="center"/>
    </xf>
    <xf numFmtId="0" fontId="4" fillId="2" borderId="7"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61" xfId="0" quotePrefix="1" applyBorder="1" applyAlignment="1">
      <alignment horizontal="center"/>
    </xf>
    <xf numFmtId="0" fontId="0" fillId="0" borderId="61" xfId="0" quotePrefix="1" applyBorder="1" applyAlignment="1">
      <alignment horizontal="center" wrapText="1"/>
    </xf>
    <xf numFmtId="0" fontId="0" fillId="0" borderId="30" xfId="0" applyFont="1" applyFill="1" applyBorder="1" applyAlignment="1">
      <alignment horizontal="center"/>
    </xf>
    <xf numFmtId="0" fontId="0" fillId="0" borderId="10" xfId="0" applyFont="1" applyFill="1" applyBorder="1" applyAlignment="1">
      <alignment horizontal="center"/>
    </xf>
    <xf numFmtId="0" fontId="0" fillId="0" borderId="11" xfId="0" applyFont="1" applyFill="1" applyBorder="1" applyAlignment="1">
      <alignment horizontal="center"/>
    </xf>
    <xf numFmtId="0" fontId="0" fillId="0" borderId="29" xfId="0" applyFont="1" applyFill="1" applyBorder="1" applyAlignment="1">
      <alignment horizontal="center"/>
    </xf>
    <xf numFmtId="0" fontId="16" fillId="0" borderId="0" xfId="0" applyFont="1" applyAlignment="1">
      <alignment horizontal="left" wrapText="1"/>
    </xf>
    <xf numFmtId="0" fontId="0" fillId="0" borderId="0" xfId="0" applyFont="1" applyAlignment="1">
      <alignment horizontal="left" wrapText="1"/>
    </xf>
    <xf numFmtId="0" fontId="0" fillId="0" borderId="0" xfId="0" applyFont="1" applyAlignment="1">
      <alignment horizontal="left" vertical="center" wrapText="1"/>
    </xf>
    <xf numFmtId="0" fontId="0" fillId="0" borderId="0" xfId="0" applyAlignment="1">
      <alignment horizontal="left" indent="8"/>
    </xf>
    <xf numFmtId="0" fontId="0" fillId="0" borderId="39" xfId="0" applyBorder="1" applyAlignment="1">
      <alignment horizontal="right"/>
    </xf>
    <xf numFmtId="0" fontId="48" fillId="0" borderId="0" xfId="0" applyFont="1" applyFill="1"/>
    <xf numFmtId="0" fontId="0" fillId="0" borderId="0" xfId="0" applyFill="1" applyAlignment="1">
      <alignment horizontal="left" indent="5"/>
    </xf>
    <xf numFmtId="0" fontId="43" fillId="0" borderId="0" xfId="0" applyFont="1" applyAlignment="1">
      <alignment vertical="center"/>
    </xf>
    <xf numFmtId="0" fontId="43" fillId="0" borderId="0" xfId="0" applyFont="1" applyAlignment="1">
      <alignment horizontal="right" vertical="center"/>
    </xf>
    <xf numFmtId="0" fontId="3" fillId="0" borderId="5" xfId="0" applyFont="1" applyBorder="1" applyAlignment="1">
      <alignment horizontal="center" vertical="top"/>
    </xf>
    <xf numFmtId="0" fontId="34" fillId="0" borderId="5" xfId="0" applyFont="1" applyFill="1" applyBorder="1" applyAlignment="1">
      <alignment horizontal="left" vertical="center" wrapText="1"/>
    </xf>
    <xf numFmtId="0" fontId="0" fillId="0" borderId="5" xfId="0" applyFill="1" applyBorder="1" applyAlignment="1">
      <alignment horizontal="left" vertical="center"/>
    </xf>
    <xf numFmtId="167" fontId="0" fillId="0" borderId="0" xfId="0" applyNumberFormat="1"/>
    <xf numFmtId="1" fontId="0" fillId="0" borderId="0" xfId="0" applyNumberFormat="1"/>
    <xf numFmtId="0" fontId="52" fillId="0" borderId="0" xfId="0" applyFont="1"/>
    <xf numFmtId="0" fontId="0" fillId="0" borderId="17" xfId="0" applyFill="1" applyBorder="1"/>
    <xf numFmtId="0" fontId="3" fillId="0" borderId="17" xfId="0" applyFont="1" applyFill="1" applyBorder="1"/>
    <xf numFmtId="0" fontId="48" fillId="0" borderId="0" xfId="0" applyFont="1"/>
    <xf numFmtId="0" fontId="16" fillId="0" borderId="30" xfId="0" applyFont="1" applyBorder="1"/>
    <xf numFmtId="0" fontId="16" fillId="0" borderId="39" xfId="0" applyFont="1" applyBorder="1"/>
    <xf numFmtId="0" fontId="0" fillId="0" borderId="0" xfId="0" applyBorder="1" applyAlignment="1">
      <alignment horizontal="right"/>
    </xf>
    <xf numFmtId="0" fontId="16" fillId="0" borderId="4" xfId="0" applyFont="1" applyBorder="1"/>
    <xf numFmtId="0" fontId="16" fillId="0" borderId="44" xfId="0" applyFont="1" applyBorder="1"/>
    <xf numFmtId="0" fontId="0" fillId="0" borderId="39" xfId="0" applyBorder="1" applyAlignment="1">
      <alignment horizontal="left"/>
    </xf>
    <xf numFmtId="0" fontId="0" fillId="0" borderId="0" xfId="0"/>
    <xf numFmtId="0" fontId="16" fillId="0" borderId="0" xfId="0" applyFont="1"/>
    <xf numFmtId="0" fontId="0" fillId="0" borderId="30" xfId="0" applyBorder="1"/>
    <xf numFmtId="0" fontId="0" fillId="0" borderId="5" xfId="0" applyBorder="1" applyAlignment="1">
      <alignment horizontal="center"/>
    </xf>
    <xf numFmtId="0" fontId="0" fillId="0" borderId="4" xfId="0" applyBorder="1"/>
    <xf numFmtId="0" fontId="2" fillId="0" borderId="55" xfId="0" applyFont="1" applyBorder="1" applyAlignment="1">
      <alignment horizontal="center"/>
    </xf>
    <xf numFmtId="0" fontId="0" fillId="0" borderId="47" xfId="0" quotePrefix="1" applyBorder="1" applyAlignment="1">
      <alignment horizontal="center" wrapText="1"/>
    </xf>
    <xf numFmtId="0" fontId="0" fillId="0" borderId="44" xfId="0" applyBorder="1"/>
    <xf numFmtId="0" fontId="3" fillId="0" borderId="5" xfId="0" applyFont="1" applyBorder="1" applyAlignment="1">
      <alignment horizontal="center"/>
    </xf>
    <xf numFmtId="0" fontId="0" fillId="0" borderId="61" xfId="0" quotePrefix="1" applyBorder="1" applyAlignment="1">
      <alignment horizontal="left"/>
    </xf>
    <xf numFmtId="0" fontId="23" fillId="0" borderId="73" xfId="5" applyFont="1" applyBorder="1" applyAlignment="1" applyProtection="1">
      <alignment horizontal="center" vertical="top" wrapText="1"/>
      <protection locked="0"/>
    </xf>
    <xf numFmtId="15" fontId="23" fillId="0" borderId="73" xfId="5" applyNumberFormat="1" applyFont="1" applyBorder="1" applyAlignment="1">
      <alignment horizontal="center" vertical="top" wrapText="1"/>
    </xf>
    <xf numFmtId="0" fontId="3" fillId="0" borderId="3" xfId="0" applyFont="1" applyBorder="1" applyAlignment="1">
      <alignment horizontal="center"/>
    </xf>
    <xf numFmtId="0" fontId="0" fillId="0" borderId="42" xfId="0" applyBorder="1" applyAlignment="1">
      <alignment horizontal="center"/>
    </xf>
    <xf numFmtId="0" fontId="0" fillId="0" borderId="21" xfId="0" applyBorder="1" applyAlignment="1">
      <alignment horizontal="center"/>
    </xf>
    <xf numFmtId="0" fontId="0" fillId="0" borderId="0" xfId="0" applyAlignment="1">
      <alignment horizontal="left" indent="4"/>
    </xf>
    <xf numFmtId="166" fontId="0" fillId="0" borderId="5" xfId="0" applyNumberFormat="1" applyBorder="1" applyAlignment="1">
      <alignment horizontal="center" vertical="center"/>
    </xf>
    <xf numFmtId="0" fontId="35" fillId="0" borderId="0" xfId="0" applyFont="1" applyAlignment="1">
      <alignment vertical="center"/>
    </xf>
    <xf numFmtId="0" fontId="15" fillId="0" borderId="0" xfId="2" applyBorder="1" applyAlignment="1">
      <alignment horizontal="center"/>
    </xf>
    <xf numFmtId="0" fontId="15" fillId="0" borderId="26" xfId="2" applyNumberFormat="1" applyBorder="1" applyAlignment="1">
      <alignment horizontal="left"/>
    </xf>
    <xf numFmtId="0" fontId="15" fillId="5" borderId="26" xfId="2" applyNumberFormat="1" applyFill="1" applyBorder="1" applyAlignment="1">
      <alignment horizontal="left"/>
    </xf>
    <xf numFmtId="0" fontId="15" fillId="0" borderId="26" xfId="2" applyBorder="1" applyAlignment="1">
      <alignment horizontal="left"/>
    </xf>
    <xf numFmtId="0" fontId="3" fillId="5" borderId="0" xfId="0" applyFont="1" applyFill="1"/>
    <xf numFmtId="0" fontId="3" fillId="0" borderId="24" xfId="0" applyFont="1" applyBorder="1" applyAlignment="1">
      <alignment horizontal="left"/>
    </xf>
    <xf numFmtId="0" fontId="0" fillId="0" borderId="12" xfId="0" applyBorder="1"/>
    <xf numFmtId="0" fontId="0" fillId="0" borderId="81" xfId="0" applyBorder="1"/>
    <xf numFmtId="0" fontId="15" fillId="0" borderId="12" xfId="2" applyBorder="1" applyAlignment="1">
      <alignment horizontal="center"/>
    </xf>
    <xf numFmtId="0" fontId="23" fillId="0" borderId="0" xfId="5" applyFont="1" applyAlignment="1">
      <alignment vertical="top" wrapText="1"/>
    </xf>
    <xf numFmtId="0" fontId="3" fillId="0" borderId="20" xfId="0" applyFont="1" applyBorder="1" applyAlignment="1">
      <alignment horizontal="center"/>
    </xf>
    <xf numFmtId="0" fontId="3" fillId="0" borderId="21" xfId="0" applyFont="1" applyBorder="1" applyAlignment="1">
      <alignment horizontal="center"/>
    </xf>
    <xf numFmtId="0" fontId="3" fillId="5" borderId="42" xfId="1" applyNumberFormat="1" applyFont="1" applyFill="1" applyBorder="1" applyAlignment="1">
      <alignment horizontal="center"/>
    </xf>
    <xf numFmtId="0" fontId="3" fillId="0" borderId="42" xfId="0" applyFont="1" applyBorder="1" applyAlignment="1">
      <alignment horizontal="center"/>
    </xf>
    <xf numFmtId="0" fontId="3" fillId="0" borderId="5" xfId="0" applyFont="1" applyBorder="1" applyAlignment="1">
      <alignment horizontal="left"/>
    </xf>
    <xf numFmtId="0" fontId="0" fillId="0" borderId="5" xfId="0" quotePrefix="1" applyBorder="1" applyAlignment="1">
      <alignment horizontal="left"/>
    </xf>
    <xf numFmtId="0" fontId="0" fillId="0" borderId="39" xfId="0" applyBorder="1"/>
    <xf numFmtId="0" fontId="0" fillId="0" borderId="21" xfId="0" quotePrefix="1" applyFill="1" applyBorder="1" applyAlignment="1">
      <alignment horizontal="center" vertical="center" wrapText="1"/>
    </xf>
    <xf numFmtId="0" fontId="0" fillId="0" borderId="0" xfId="0" applyAlignment="1">
      <alignment horizontal="left" vertical="center" wrapText="1"/>
    </xf>
    <xf numFmtId="0" fontId="0" fillId="0" borderId="4" xfId="0" applyFont="1" applyBorder="1"/>
    <xf numFmtId="0" fontId="0" fillId="0" borderId="4" xfId="0" applyFill="1" applyBorder="1" applyAlignment="1">
      <alignment vertical="center"/>
    </xf>
    <xf numFmtId="0" fontId="34" fillId="0" borderId="6" xfId="0" applyFont="1" applyFill="1" applyBorder="1" applyAlignment="1">
      <alignment vertical="top"/>
    </xf>
    <xf numFmtId="0" fontId="44" fillId="0" borderId="0" xfId="0" applyFont="1" applyAlignment="1">
      <alignment horizontal="left" indent="6"/>
    </xf>
    <xf numFmtId="0" fontId="3" fillId="0" borderId="5" xfId="0" applyFont="1" applyBorder="1" applyAlignment="1">
      <alignment horizontal="center" vertical="center"/>
    </xf>
    <xf numFmtId="0" fontId="3" fillId="0" borderId="5" xfId="0" applyFont="1" applyBorder="1" applyAlignment="1">
      <alignment horizontal="center" vertical="center" wrapText="1"/>
    </xf>
    <xf numFmtId="0" fontId="4" fillId="2" borderId="1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3" fillId="0" borderId="14" xfId="0" quotePrefix="1" applyFont="1" applyFill="1" applyBorder="1" applyAlignment="1">
      <alignment vertical="center"/>
    </xf>
    <xf numFmtId="0" fontId="3" fillId="0" borderId="3" xfId="0" applyFont="1" applyBorder="1" applyAlignment="1">
      <alignment horizontal="center"/>
    </xf>
    <xf numFmtId="0" fontId="4" fillId="2" borderId="59" xfId="0" applyFont="1" applyFill="1" applyBorder="1" applyAlignment="1">
      <alignment horizontal="center" vertical="center" wrapText="1"/>
    </xf>
    <xf numFmtId="0" fontId="4" fillId="2" borderId="50"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2" fillId="0" borderId="39" xfId="0" applyFont="1" applyBorder="1" applyAlignment="1">
      <alignment horizontal="center"/>
    </xf>
    <xf numFmtId="170" fontId="3" fillId="0" borderId="0" xfId="0" applyNumberFormat="1" applyFont="1"/>
    <xf numFmtId="1" fontId="3" fillId="0" borderId="0" xfId="0" applyNumberFormat="1" applyFont="1"/>
    <xf numFmtId="0" fontId="3" fillId="0" borderId="2" xfId="0" applyFont="1" applyBorder="1" applyAlignment="1">
      <alignment vertical="center" wrapText="1"/>
    </xf>
    <xf numFmtId="0" fontId="3" fillId="0" borderId="63" xfId="0" applyFont="1" applyBorder="1" applyAlignment="1">
      <alignment vertical="center" wrapText="1"/>
    </xf>
    <xf numFmtId="0" fontId="4" fillId="0" borderId="61" xfId="0" applyFont="1" applyBorder="1" applyAlignment="1">
      <alignment vertical="center" wrapText="1"/>
    </xf>
    <xf numFmtId="0" fontId="3" fillId="0" borderId="64" xfId="0" applyFont="1" applyBorder="1" applyAlignment="1">
      <alignment vertical="center" wrapText="1"/>
    </xf>
    <xf numFmtId="0" fontId="3" fillId="0" borderId="61" xfId="0" applyFont="1" applyBorder="1" applyAlignment="1">
      <alignment vertical="center" wrapText="1"/>
    </xf>
    <xf numFmtId="0" fontId="0" fillId="0" borderId="30" xfId="0" applyFont="1" applyBorder="1"/>
    <xf numFmtId="0" fontId="0" fillId="0" borderId="39" xfId="0" applyFont="1" applyBorder="1"/>
    <xf numFmtId="0" fontId="3" fillId="0" borderId="4" xfId="0" applyFont="1" applyBorder="1"/>
    <xf numFmtId="0" fontId="3" fillId="0" borderId="30" xfId="0" applyFont="1" applyBorder="1"/>
    <xf numFmtId="0" fontId="3" fillId="0" borderId="39" xfId="0" applyFont="1" applyBorder="1"/>
    <xf numFmtId="0" fontId="0" fillId="0" borderId="4" xfId="0" applyFont="1" applyFill="1" applyBorder="1"/>
    <xf numFmtId="0" fontId="0" fillId="0" borderId="30" xfId="0" applyFont="1" applyFill="1" applyBorder="1"/>
    <xf numFmtId="0" fontId="0" fillId="0" borderId="44" xfId="0" applyFont="1" applyFill="1" applyBorder="1"/>
    <xf numFmtId="0" fontId="0" fillId="0" borderId="39" xfId="0" applyFont="1" applyFill="1" applyBorder="1"/>
    <xf numFmtId="0" fontId="0" fillId="0" borderId="39" xfId="0" quotePrefix="1" applyFont="1" applyFill="1" applyBorder="1" applyAlignment="1">
      <alignment horizontal="right"/>
    </xf>
    <xf numFmtId="0" fontId="0" fillId="0" borderId="30" xfId="0" applyFill="1" applyBorder="1" applyAlignment="1">
      <alignment horizontal="right"/>
    </xf>
    <xf numFmtId="0" fontId="43" fillId="0" borderId="0" xfId="0" applyFont="1" applyBorder="1" applyAlignment="1">
      <alignment vertical="center"/>
    </xf>
    <xf numFmtId="0" fontId="3" fillId="0" borderId="5" xfId="1" applyNumberFormat="1" applyFont="1" applyBorder="1" applyAlignment="1">
      <alignment horizontal="center"/>
    </xf>
    <xf numFmtId="0" fontId="3" fillId="0" borderId="0" xfId="0" quotePrefix="1" applyFont="1" applyBorder="1" applyAlignment="1">
      <alignment vertical="center"/>
    </xf>
    <xf numFmtId="0" fontId="3" fillId="13" borderId="0" xfId="0" applyFont="1" applyFill="1" applyBorder="1" applyAlignment="1">
      <alignment horizontal="center" vertical="center"/>
    </xf>
    <xf numFmtId="0" fontId="4" fillId="13" borderId="0" xfId="0" applyFont="1" applyFill="1" applyBorder="1" applyAlignment="1">
      <alignment horizontal="center" vertical="center"/>
    </xf>
    <xf numFmtId="0" fontId="3" fillId="0" borderId="3" xfId="0" applyFont="1" applyFill="1" applyBorder="1" applyAlignment="1">
      <alignment horizontal="center"/>
    </xf>
    <xf numFmtId="0" fontId="3" fillId="0" borderId="20" xfId="0" applyFont="1" applyFill="1" applyBorder="1" applyAlignment="1">
      <alignment horizontal="center"/>
    </xf>
    <xf numFmtId="0" fontId="3" fillId="0" borderId="57" xfId="0" applyFont="1" applyBorder="1" applyAlignment="1">
      <alignment horizontal="left" vertical="center"/>
    </xf>
    <xf numFmtId="0" fontId="3" fillId="0" borderId="21" xfId="0" applyFont="1" applyFill="1" applyBorder="1" applyAlignment="1">
      <alignment horizontal="center"/>
    </xf>
    <xf numFmtId="0" fontId="23" fillId="0" borderId="73" xfId="5" applyFont="1" applyBorder="1" applyAlignment="1" applyProtection="1">
      <alignment horizontal="center" vertical="center" wrapText="1"/>
      <protection locked="0"/>
    </xf>
    <xf numFmtId="0" fontId="3" fillId="0" borderId="5" xfId="0" applyFont="1" applyBorder="1" applyAlignment="1">
      <alignment horizontal="center" vertical="center"/>
    </xf>
    <xf numFmtId="0" fontId="3" fillId="0" borderId="21" xfId="0" applyFont="1" applyBorder="1" applyAlignment="1">
      <alignment horizontal="center" vertical="center"/>
    </xf>
    <xf numFmtId="0" fontId="2" fillId="0" borderId="4" xfId="0" applyFont="1" applyBorder="1" applyAlignment="1">
      <alignment horizontal="center" vertical="center"/>
    </xf>
    <xf numFmtId="0" fontId="4" fillId="2" borderId="1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2" fillId="0" borderId="57" xfId="0" applyFont="1" applyBorder="1" applyAlignment="1">
      <alignment horizontal="center"/>
    </xf>
    <xf numFmtId="0" fontId="2" fillId="0" borderId="47" xfId="0" applyFont="1" applyBorder="1" applyAlignment="1">
      <alignment horizontal="center"/>
    </xf>
    <xf numFmtId="0" fontId="4" fillId="2" borderId="59" xfId="0" applyFont="1" applyFill="1" applyBorder="1" applyAlignment="1">
      <alignment horizontal="center" vertical="center" wrapText="1"/>
    </xf>
    <xf numFmtId="0" fontId="4" fillId="2" borderId="50"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0" fillId="0" borderId="29" xfId="0" quotePrefix="1" applyBorder="1" applyAlignment="1">
      <alignment horizontal="center"/>
    </xf>
    <xf numFmtId="0" fontId="0" fillId="0" borderId="31" xfId="0" quotePrefix="1" applyBorder="1" applyAlignment="1">
      <alignment horizontal="center"/>
    </xf>
    <xf numFmtId="0" fontId="0" fillId="0" borderId="21" xfId="0" quotePrefix="1" applyFill="1" applyBorder="1" applyAlignment="1">
      <alignment horizontal="center" wrapText="1"/>
    </xf>
    <xf numFmtId="0" fontId="0" fillId="0" borderId="4" xfId="0" applyBorder="1" applyAlignment="1">
      <alignment wrapText="1"/>
    </xf>
    <xf numFmtId="0" fontId="3" fillId="7" borderId="5" xfId="0" applyFont="1" applyFill="1" applyBorder="1" applyAlignment="1">
      <alignment horizontal="center" vertical="center"/>
    </xf>
    <xf numFmtId="0" fontId="2" fillId="0" borderId="37" xfId="0" applyFont="1" applyBorder="1" applyAlignment="1">
      <alignment horizontal="center"/>
    </xf>
    <xf numFmtId="0" fontId="0" fillId="0" borderId="34" xfId="0" quotePrefix="1" applyBorder="1" applyAlignment="1">
      <alignment horizontal="center"/>
    </xf>
    <xf numFmtId="0" fontId="40" fillId="5" borderId="0" xfId="0" applyFont="1" applyFill="1"/>
    <xf numFmtId="0" fontId="40" fillId="0" borderId="0" xfId="0" applyFont="1" applyFill="1"/>
    <xf numFmtId="0" fontId="2" fillId="0" borderId="4" xfId="0" applyFont="1" applyBorder="1" applyAlignment="1">
      <alignment horizontal="center" vertical="center"/>
    </xf>
    <xf numFmtId="0" fontId="0" fillId="0" borderId="5" xfId="0" applyBorder="1" applyAlignment="1">
      <alignment horizontal="center"/>
    </xf>
    <xf numFmtId="0" fontId="0" fillId="0" borderId="5" xfId="0" applyBorder="1" applyAlignment="1">
      <alignment vertical="top" wrapText="1"/>
    </xf>
    <xf numFmtId="0" fontId="0" fillId="14" borderId="0" xfId="0" applyFill="1"/>
    <xf numFmtId="0" fontId="3" fillId="0" borderId="3" xfId="0" applyFont="1" applyBorder="1" applyAlignment="1">
      <alignment horizontal="center" vertical="center"/>
    </xf>
    <xf numFmtId="0" fontId="3" fillId="0" borderId="3" xfId="0" applyFont="1" applyBorder="1" applyAlignment="1">
      <alignment horizontal="center"/>
    </xf>
    <xf numFmtId="0" fontId="0" fillId="0" borderId="5" xfId="0" applyBorder="1" applyAlignment="1">
      <alignment horizontal="center"/>
    </xf>
    <xf numFmtId="165" fontId="0" fillId="0" borderId="5" xfId="0" applyNumberFormat="1" applyBorder="1" applyAlignment="1">
      <alignment horizontal="center"/>
    </xf>
    <xf numFmtId="0" fontId="0" fillId="0" borderId="0" xfId="0" applyAlignment="1">
      <alignment horizontal="left" vertical="center" indent="8"/>
    </xf>
    <xf numFmtId="0" fontId="15" fillId="0" borderId="25" xfId="2" applyBorder="1" applyAlignment="1">
      <alignment horizontal="left"/>
    </xf>
    <xf numFmtId="0" fontId="0" fillId="0" borderId="3" xfId="0" applyBorder="1" applyAlignment="1">
      <alignment horizontal="left"/>
    </xf>
    <xf numFmtId="0" fontId="3" fillId="0" borderId="87" xfId="0" applyFont="1" applyBorder="1" applyAlignment="1">
      <alignment horizontal="center"/>
    </xf>
    <xf numFmtId="167" fontId="2" fillId="0" borderId="4" xfId="0" applyNumberFormat="1" applyFont="1" applyFill="1" applyBorder="1" applyAlignment="1">
      <alignment horizontal="center"/>
    </xf>
    <xf numFmtId="0" fontId="0" fillId="0" borderId="23" xfId="0" quotePrefix="1" applyBorder="1" applyAlignment="1">
      <alignment horizontal="center"/>
    </xf>
    <xf numFmtId="0" fontId="0" fillId="0" borderId="21" xfId="0" quotePrefix="1" applyBorder="1" applyAlignment="1">
      <alignment horizontal="center"/>
    </xf>
    <xf numFmtId="1" fontId="0" fillId="0" borderId="21" xfId="0" quotePrefix="1" applyNumberFormat="1" applyBorder="1" applyAlignment="1">
      <alignment horizontal="center"/>
    </xf>
    <xf numFmtId="0" fontId="0" fillId="0" borderId="22" xfId="0" quotePrefix="1" applyBorder="1" applyAlignment="1">
      <alignment horizontal="center"/>
    </xf>
    <xf numFmtId="167" fontId="2" fillId="0" borderId="5" xfId="0" applyNumberFormat="1" applyFont="1" applyFill="1" applyBorder="1" applyAlignment="1">
      <alignment horizontal="center"/>
    </xf>
    <xf numFmtId="167" fontId="2" fillId="0" borderId="30" xfId="0" applyNumberFormat="1" applyFont="1" applyFill="1" applyBorder="1" applyAlignment="1">
      <alignment horizontal="center"/>
    </xf>
    <xf numFmtId="167" fontId="2" fillId="0" borderId="6" xfId="0" applyNumberFormat="1" applyFont="1" applyFill="1" applyBorder="1" applyAlignment="1">
      <alignment horizontal="center"/>
    </xf>
    <xf numFmtId="167" fontId="2" fillId="0" borderId="7" xfId="0" applyNumberFormat="1" applyFont="1" applyFill="1" applyBorder="1" applyAlignment="1">
      <alignment horizontal="center"/>
    </xf>
    <xf numFmtId="167" fontId="2" fillId="0" borderId="31" xfId="0" applyNumberFormat="1" applyFont="1" applyFill="1" applyBorder="1" applyAlignment="1">
      <alignment horizontal="center"/>
    </xf>
    <xf numFmtId="0" fontId="3" fillId="0" borderId="3" xfId="0" applyFont="1" applyBorder="1" applyAlignment="1">
      <alignment horizontal="center"/>
    </xf>
    <xf numFmtId="0" fontId="0" fillId="0" borderId="30" xfId="0" quotePrefix="1" applyBorder="1" applyAlignment="1">
      <alignment horizontal="center" wrapText="1"/>
    </xf>
    <xf numFmtId="0" fontId="3" fillId="7" borderId="3" xfId="0" applyFont="1" applyFill="1" applyBorder="1" applyAlignment="1">
      <alignment horizontal="center" vertical="center"/>
    </xf>
    <xf numFmtId="0" fontId="0" fillId="0" borderId="5" xfId="0" applyBorder="1" applyAlignment="1">
      <alignment horizontal="center"/>
    </xf>
    <xf numFmtId="0" fontId="4" fillId="2" borderId="49" xfId="0" applyFont="1" applyFill="1" applyBorder="1" applyAlignment="1">
      <alignment horizontal="center" vertical="center" wrapText="1"/>
    </xf>
    <xf numFmtId="0" fontId="0" fillId="0" borderId="21" xfId="0" applyBorder="1" applyAlignment="1">
      <alignment horizontal="center" vertical="center"/>
    </xf>
    <xf numFmtId="0" fontId="23" fillId="0" borderId="102" xfId="5" applyFont="1" applyBorder="1" applyAlignment="1" applyProtection="1">
      <alignment horizontal="center" vertical="center" wrapText="1"/>
      <protection locked="0"/>
    </xf>
    <xf numFmtId="15" fontId="23" fillId="0" borderId="102" xfId="5" applyNumberFormat="1" applyFont="1" applyBorder="1" applyAlignment="1">
      <alignment horizontal="center" vertical="top" wrapText="1"/>
    </xf>
    <xf numFmtId="0" fontId="23" fillId="0" borderId="102" xfId="5" applyFont="1" applyBorder="1" applyAlignment="1" applyProtection="1">
      <alignment horizontal="center" vertical="top" wrapText="1"/>
      <protection locked="0"/>
    </xf>
    <xf numFmtId="0" fontId="23" fillId="0" borderId="103" xfId="5" applyFont="1" applyBorder="1" applyAlignment="1" applyProtection="1">
      <alignment horizontal="center" vertical="center" wrapText="1"/>
      <protection locked="0"/>
    </xf>
    <xf numFmtId="15" fontId="23" fillId="0" borderId="103" xfId="5" applyNumberFormat="1" applyFont="1" applyBorder="1" applyAlignment="1">
      <alignment horizontal="center" vertical="top" wrapText="1"/>
    </xf>
    <xf numFmtId="0" fontId="23" fillId="0" borderId="103" xfId="5" applyFont="1" applyBorder="1" applyAlignment="1" applyProtection="1">
      <alignment horizontal="center" vertical="top" wrapText="1"/>
      <protection locked="0"/>
    </xf>
    <xf numFmtId="0" fontId="23" fillId="0" borderId="101" xfId="5" applyFont="1" applyBorder="1" applyAlignment="1">
      <alignment vertical="top" wrapText="1"/>
    </xf>
    <xf numFmtId="0" fontId="0" fillId="0" borderId="49" xfId="0" applyFill="1" applyBorder="1"/>
    <xf numFmtId="0" fontId="3" fillId="7" borderId="5" xfId="0" applyFont="1" applyFill="1" applyBorder="1" applyAlignment="1">
      <alignment horizontal="center"/>
    </xf>
    <xf numFmtId="0" fontId="32" fillId="7" borderId="0" xfId="0" applyFont="1" applyFill="1"/>
    <xf numFmtId="0" fontId="2" fillId="7" borderId="30" xfId="0" applyFont="1" applyFill="1" applyBorder="1" applyAlignment="1">
      <alignment horizontal="center"/>
    </xf>
    <xf numFmtId="0" fontId="2" fillId="7" borderId="5" xfId="0" applyFont="1" applyFill="1" applyBorder="1" applyAlignment="1">
      <alignment horizontal="center"/>
    </xf>
    <xf numFmtId="0" fontId="0" fillId="0" borderId="47" xfId="0" quotePrefix="1" applyFill="1" applyBorder="1" applyAlignment="1">
      <alignment vertical="center"/>
    </xf>
    <xf numFmtId="0" fontId="23" fillId="0" borderId="103" xfId="5" applyFont="1" applyBorder="1" applyAlignment="1">
      <alignment horizontal="center" vertical="top" wrapText="1"/>
    </xf>
    <xf numFmtId="0" fontId="2" fillId="7" borderId="4" xfId="0" quotePrefix="1" applyFont="1" applyFill="1" applyBorder="1" applyAlignment="1">
      <alignment horizontal="center" wrapText="1"/>
    </xf>
    <xf numFmtId="0" fontId="0" fillId="7" borderId="5" xfId="0" applyFill="1" applyBorder="1" applyAlignment="1">
      <alignment vertical="center"/>
    </xf>
    <xf numFmtId="0" fontId="0" fillId="4" borderId="14" xfId="0" applyFont="1" applyFill="1" applyBorder="1" applyAlignment="1">
      <alignment vertical="center"/>
    </xf>
    <xf numFmtId="0" fontId="2" fillId="4" borderId="14" xfId="0" applyFont="1" applyFill="1" applyBorder="1" applyAlignment="1">
      <alignment horizontal="center" vertical="center"/>
    </xf>
    <xf numFmtId="0" fontId="2" fillId="4" borderId="17" xfId="0" applyFont="1" applyFill="1" applyBorder="1" applyAlignment="1">
      <alignment horizontal="center" vertical="center"/>
    </xf>
    <xf numFmtId="0" fontId="0" fillId="0" borderId="5" xfId="0" applyFill="1" applyBorder="1" applyAlignment="1">
      <alignment horizontal="center" vertical="center"/>
    </xf>
    <xf numFmtId="0" fontId="0" fillId="0" borderId="14" xfId="0" applyFont="1" applyFill="1" applyBorder="1" applyAlignment="1">
      <alignment horizontal="center" vertical="center"/>
    </xf>
    <xf numFmtId="0" fontId="0" fillId="0" borderId="42" xfId="0" applyFont="1" applyFill="1" applyBorder="1" applyAlignment="1">
      <alignment horizontal="center" vertical="center"/>
    </xf>
    <xf numFmtId="0" fontId="53" fillId="0" borderId="30" xfId="0" applyFont="1" applyBorder="1" applyAlignment="1">
      <alignment horizontal="center" vertical="center"/>
    </xf>
    <xf numFmtId="0" fontId="0" fillId="0" borderId="0" xfId="0" quotePrefix="1" applyAlignment="1">
      <alignment horizontal="left" vertical="center"/>
    </xf>
    <xf numFmtId="0" fontId="46" fillId="0" borderId="0" xfId="0" applyFont="1" applyAlignment="1">
      <alignment horizontal="left" vertical="center" readingOrder="1"/>
    </xf>
    <xf numFmtId="0" fontId="0" fillId="7" borderId="30" xfId="0" quotePrefix="1" applyFill="1" applyBorder="1" applyAlignment="1">
      <alignment horizontal="center" wrapText="1"/>
    </xf>
    <xf numFmtId="0" fontId="3" fillId="0" borderId="13" xfId="0" applyFont="1" applyBorder="1" applyAlignment="1">
      <alignment horizontal="left" vertical="center"/>
    </xf>
    <xf numFmtId="0" fontId="3" fillId="0" borderId="3" xfId="0" applyFont="1" applyBorder="1" applyAlignment="1">
      <alignment horizontal="left" vertical="center"/>
    </xf>
    <xf numFmtId="0" fontId="3" fillId="0" borderId="13" xfId="0" applyFont="1" applyFill="1" applyBorder="1" applyAlignment="1">
      <alignment horizontal="left" vertical="center"/>
    </xf>
    <xf numFmtId="0" fontId="2" fillId="0" borderId="4" xfId="0" applyFont="1" applyBorder="1" applyAlignment="1">
      <alignment horizontal="center" vertical="center"/>
    </xf>
    <xf numFmtId="0" fontId="3" fillId="0" borderId="5" xfId="0" applyFont="1" applyBorder="1" applyAlignment="1">
      <alignment horizontal="left" vertical="center" wrapText="1"/>
    </xf>
    <xf numFmtId="0" fontId="23" fillId="0" borderId="75" xfId="5" applyFont="1" applyBorder="1" applyAlignment="1" applyProtection="1">
      <alignment horizontal="center" vertical="center" wrapText="1"/>
      <protection locked="0"/>
    </xf>
    <xf numFmtId="0" fontId="23" fillId="0" borderId="75" xfId="5" applyFont="1" applyBorder="1" applyAlignment="1" applyProtection="1">
      <alignment horizontal="center" vertical="top" wrapText="1"/>
      <protection locked="0"/>
    </xf>
    <xf numFmtId="0" fontId="2" fillId="0" borderId="104" xfId="0" applyFont="1" applyBorder="1" applyAlignment="1">
      <alignment horizontal="center"/>
    </xf>
    <xf numFmtId="0" fontId="4" fillId="0" borderId="104" xfId="0" applyFont="1" applyFill="1" applyBorder="1" applyAlignment="1">
      <alignment horizontal="center" vertical="center"/>
    </xf>
    <xf numFmtId="0" fontId="3" fillId="6" borderId="5" xfId="0" applyFont="1" applyFill="1" applyBorder="1" applyAlignment="1">
      <alignment horizontal="left" vertical="center"/>
    </xf>
    <xf numFmtId="0" fontId="3" fillId="5" borderId="3" xfId="0" applyFont="1" applyFill="1" applyBorder="1" applyAlignment="1">
      <alignment horizontal="left" vertical="center"/>
    </xf>
    <xf numFmtId="0" fontId="2" fillId="0" borderId="5" xfId="0" applyFont="1" applyBorder="1" applyAlignment="1">
      <alignment horizontal="center" vertical="center"/>
    </xf>
    <xf numFmtId="0" fontId="3" fillId="0" borderId="3" xfId="0" applyFont="1" applyBorder="1" applyAlignment="1">
      <alignment horizontal="center" vertical="center"/>
    </xf>
    <xf numFmtId="0" fontId="3" fillId="0" borderId="3" xfId="0" applyFont="1" applyBorder="1" applyAlignment="1">
      <alignment vertical="center"/>
    </xf>
    <xf numFmtId="0" fontId="2" fillId="0" borderId="4" xfId="0" applyFont="1" applyBorder="1" applyAlignment="1">
      <alignment horizontal="center" vertical="center"/>
    </xf>
    <xf numFmtId="0" fontId="3" fillId="5" borderId="3" xfId="1" applyNumberFormat="1" applyFont="1" applyFill="1" applyBorder="1" applyAlignment="1">
      <alignment horizontal="center" vertical="center"/>
    </xf>
    <xf numFmtId="0" fontId="3" fillId="5" borderId="20" xfId="1" applyNumberFormat="1" applyFont="1" applyFill="1" applyBorder="1" applyAlignment="1">
      <alignment horizontal="center" vertical="center"/>
    </xf>
    <xf numFmtId="0" fontId="0" fillId="0" borderId="5" xfId="0" applyBorder="1" applyAlignment="1">
      <alignment horizontal="center"/>
    </xf>
    <xf numFmtId="0" fontId="0" fillId="0" borderId="3" xfId="0" applyBorder="1" applyAlignment="1">
      <alignment horizontal="center"/>
    </xf>
    <xf numFmtId="0" fontId="4" fillId="2" borderId="51" xfId="0" applyFont="1" applyFill="1" applyBorder="1" applyAlignment="1">
      <alignment horizontal="center" vertical="center" wrapText="1"/>
    </xf>
    <xf numFmtId="0" fontId="0" fillId="0" borderId="51" xfId="0" quotePrefix="1" applyBorder="1" applyAlignment="1">
      <alignment horizontal="center" vertical="center"/>
    </xf>
    <xf numFmtId="0" fontId="0" fillId="0" borderId="66" xfId="0" quotePrefix="1" applyBorder="1" applyAlignment="1">
      <alignment horizontal="center" vertical="center"/>
    </xf>
    <xf numFmtId="0" fontId="3" fillId="5" borderId="49" xfId="0" applyFont="1" applyFill="1" applyBorder="1"/>
    <xf numFmtId="0" fontId="0" fillId="0" borderId="17" xfId="0" quotePrefix="1" applyBorder="1" applyAlignment="1">
      <alignment horizontal="center" vertical="center"/>
    </xf>
    <xf numFmtId="0" fontId="2" fillId="0" borderId="30" xfId="0" applyFont="1" applyBorder="1" applyAlignment="1">
      <alignment horizontal="center" vertical="center"/>
    </xf>
    <xf numFmtId="0" fontId="21" fillId="9" borderId="0" xfId="4" applyAlignment="1">
      <alignment horizontal="center" vertical="top" shrinkToFit="1"/>
    </xf>
    <xf numFmtId="0" fontId="23" fillId="11" borderId="73" xfId="7" applyFont="1" applyBorder="1" applyAlignment="1">
      <alignment horizontal="left" vertical="top" wrapText="1"/>
    </xf>
    <xf numFmtId="0" fontId="23" fillId="11" borderId="74" xfId="7" applyFont="1" applyBorder="1" applyAlignment="1">
      <alignment horizontal="left" vertical="top" wrapText="1"/>
    </xf>
    <xf numFmtId="0" fontId="23" fillId="11" borderId="72" xfId="7" applyFont="1" applyBorder="1" applyAlignment="1">
      <alignment horizontal="left" vertical="top" wrapText="1"/>
    </xf>
    <xf numFmtId="164" fontId="23" fillId="11" borderId="73" xfId="7" applyNumberFormat="1" applyFont="1" applyBorder="1" applyAlignment="1">
      <alignment horizontal="left" vertical="top" wrapText="1"/>
    </xf>
    <xf numFmtId="0" fontId="23" fillId="11" borderId="0" xfId="7" applyFont="1" applyBorder="1" applyAlignment="1">
      <alignment horizontal="left" vertical="top" wrapText="1"/>
    </xf>
    <xf numFmtId="0" fontId="0" fillId="5" borderId="0" xfId="0" applyFill="1" applyAlignment="1">
      <alignment horizontal="left" wrapText="1"/>
    </xf>
    <xf numFmtId="0" fontId="21" fillId="9" borderId="0" xfId="4" applyFont="1" applyAlignment="1">
      <alignment horizontal="center" vertical="top" wrapText="1" shrinkToFit="1"/>
    </xf>
    <xf numFmtId="0" fontId="0" fillId="5" borderId="0" xfId="0" applyFill="1" applyAlignment="1">
      <alignment horizontal="left" vertical="top" wrapText="1"/>
    </xf>
    <xf numFmtId="0" fontId="0" fillId="5" borderId="0" xfId="0" applyFill="1" applyAlignment="1">
      <alignment horizontal="left"/>
    </xf>
    <xf numFmtId="0" fontId="2" fillId="0" borderId="91" xfId="0" applyFont="1" applyBorder="1" applyAlignment="1">
      <alignment horizontal="center" vertical="center"/>
    </xf>
    <xf numFmtId="0" fontId="2" fillId="0" borderId="93" xfId="0" applyFont="1" applyBorder="1" applyAlignment="1">
      <alignment horizontal="center" vertical="center"/>
    </xf>
    <xf numFmtId="0" fontId="2" fillId="0" borderId="92" xfId="0" applyFont="1" applyBorder="1" applyAlignment="1">
      <alignment horizontal="center" vertical="center"/>
    </xf>
    <xf numFmtId="0" fontId="3" fillId="5" borderId="13" xfId="0" applyFont="1" applyFill="1" applyBorder="1" applyAlignment="1">
      <alignment horizontal="left" vertical="center"/>
    </xf>
    <xf numFmtId="0" fontId="3" fillId="5" borderId="14" xfId="0" applyFont="1" applyFill="1" applyBorder="1" applyAlignment="1">
      <alignment horizontal="left" vertical="center"/>
    </xf>
    <xf numFmtId="0" fontId="3" fillId="5" borderId="3" xfId="0" applyFont="1" applyFill="1" applyBorder="1" applyAlignment="1">
      <alignment horizontal="left" vertical="center"/>
    </xf>
    <xf numFmtId="0" fontId="3" fillId="0" borderId="13" xfId="0" applyFont="1" applyBorder="1" applyAlignment="1">
      <alignment vertical="center"/>
    </xf>
    <xf numFmtId="0" fontId="3" fillId="0" borderId="14" xfId="0" applyFont="1" applyBorder="1" applyAlignment="1">
      <alignment vertical="center"/>
    </xf>
    <xf numFmtId="0" fontId="3" fillId="0" borderId="3" xfId="0" applyFont="1" applyBorder="1" applyAlignment="1">
      <alignment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3" xfId="0" applyFont="1" applyBorder="1" applyAlignment="1">
      <alignment horizontal="center" vertical="center"/>
    </xf>
    <xf numFmtId="0" fontId="2" fillId="15" borderId="50" xfId="0" applyFont="1" applyFill="1" applyBorder="1" applyAlignment="1">
      <alignment horizontal="center" vertical="center"/>
    </xf>
    <xf numFmtId="0" fontId="2" fillId="15" borderId="51" xfId="0" applyFont="1" applyFill="1" applyBorder="1" applyAlignment="1">
      <alignment horizontal="center" vertical="center"/>
    </xf>
    <xf numFmtId="0" fontId="2" fillId="15" borderId="61" xfId="0" applyFont="1" applyFill="1" applyBorder="1" applyAlignment="1">
      <alignment horizontal="center" vertical="center"/>
    </xf>
    <xf numFmtId="0" fontId="2" fillId="0" borderId="58" xfId="0" applyFont="1" applyBorder="1" applyAlignment="1">
      <alignment horizontal="center" vertical="center"/>
    </xf>
    <xf numFmtId="0" fontId="2" fillId="0" borderId="66" xfId="0" applyFont="1" applyBorder="1" applyAlignment="1">
      <alignment horizontal="center" vertical="center"/>
    </xf>
    <xf numFmtId="0" fontId="2" fillId="0" borderId="2" xfId="0" applyFont="1" applyBorder="1" applyAlignment="1">
      <alignment horizontal="center" vertical="center"/>
    </xf>
    <xf numFmtId="0" fontId="3" fillId="0" borderId="13" xfId="0" applyFont="1" applyFill="1" applyBorder="1" applyAlignment="1">
      <alignment horizontal="center" wrapText="1"/>
    </xf>
    <xf numFmtId="0" fontId="3" fillId="0" borderId="3" xfId="0" applyFont="1" applyFill="1" applyBorder="1" applyAlignment="1">
      <alignment horizontal="center" wrapText="1"/>
    </xf>
    <xf numFmtId="0" fontId="3" fillId="5" borderId="13" xfId="0" applyFont="1" applyFill="1" applyBorder="1" applyAlignment="1">
      <alignment horizontal="center" vertical="center"/>
    </xf>
    <xf numFmtId="0" fontId="3" fillId="5" borderId="3" xfId="0" applyFont="1" applyFill="1" applyBorder="1" applyAlignment="1">
      <alignment horizontal="center" vertical="center"/>
    </xf>
    <xf numFmtId="0" fontId="2" fillId="15" borderId="49" xfId="0" applyFont="1" applyFill="1" applyBorder="1" applyAlignment="1">
      <alignment horizontal="center" vertical="center"/>
    </xf>
    <xf numFmtId="0" fontId="2" fillId="0" borderId="32" xfId="0" applyFont="1" applyBorder="1" applyAlignment="1">
      <alignment horizontal="center" vertical="center"/>
    </xf>
    <xf numFmtId="0" fontId="3" fillId="5" borderId="99" xfId="0" applyFont="1" applyFill="1" applyBorder="1" applyAlignment="1">
      <alignment horizontal="left" vertical="center"/>
    </xf>
    <xf numFmtId="0" fontId="3" fillId="5" borderId="98" xfId="0" applyFont="1" applyFill="1" applyBorder="1" applyAlignment="1">
      <alignment horizontal="left" vertical="center"/>
    </xf>
    <xf numFmtId="0" fontId="3" fillId="5" borderId="87" xfId="0" applyFont="1" applyFill="1" applyBorder="1" applyAlignment="1">
      <alignment horizontal="left" vertical="center"/>
    </xf>
    <xf numFmtId="0" fontId="3" fillId="0" borderId="5" xfId="0" applyNumberFormat="1" applyFont="1" applyBorder="1" applyAlignment="1">
      <alignment horizontal="center" vertical="center"/>
    </xf>
    <xf numFmtId="0" fontId="3" fillId="0" borderId="13" xfId="0" applyFont="1" applyFill="1" applyBorder="1" applyAlignment="1">
      <alignment horizontal="left" vertical="center"/>
    </xf>
    <xf numFmtId="0" fontId="3" fillId="0" borderId="3" xfId="0" applyFont="1" applyFill="1" applyBorder="1" applyAlignment="1">
      <alignment horizontal="left" vertical="center"/>
    </xf>
    <xf numFmtId="0" fontId="2" fillId="0" borderId="5" xfId="0" applyFont="1" applyBorder="1" applyAlignment="1">
      <alignment horizontal="center" vertical="center"/>
    </xf>
    <xf numFmtId="0" fontId="4" fillId="0" borderId="91" xfId="0" applyFont="1" applyBorder="1" applyAlignment="1">
      <alignment horizontal="center" vertical="center"/>
    </xf>
    <xf numFmtId="0" fontId="4" fillId="0" borderId="92" xfId="0" applyFont="1" applyBorder="1" applyAlignment="1">
      <alignment horizontal="center" vertical="center"/>
    </xf>
    <xf numFmtId="0" fontId="2" fillId="0" borderId="14" xfId="0" applyFont="1" applyBorder="1" applyAlignment="1">
      <alignment horizontal="center" vertical="center"/>
    </xf>
    <xf numFmtId="0" fontId="2" fillId="0" borderId="3" xfId="0" applyFont="1" applyBorder="1" applyAlignment="1">
      <alignment horizontal="center" vertical="center"/>
    </xf>
    <xf numFmtId="0" fontId="3" fillId="5" borderId="80" xfId="0" applyFont="1" applyFill="1" applyBorder="1" applyAlignment="1">
      <alignment horizontal="left" vertical="center"/>
    </xf>
    <xf numFmtId="0" fontId="3" fillId="0" borderId="13"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80" xfId="0" applyFont="1" applyFill="1" applyBorder="1" applyAlignment="1">
      <alignment horizontal="center" vertical="center"/>
    </xf>
    <xf numFmtId="0" fontId="3" fillId="0" borderId="14" xfId="0" applyFont="1" applyFill="1" applyBorder="1" applyAlignment="1">
      <alignment horizontal="center" vertical="center"/>
    </xf>
    <xf numFmtId="0" fontId="3" fillId="5" borderId="99" xfId="1" applyNumberFormat="1" applyFont="1" applyFill="1" applyBorder="1" applyAlignment="1">
      <alignment horizontal="center" vertical="center"/>
    </xf>
    <xf numFmtId="0" fontId="3" fillId="5" borderId="87" xfId="1" applyNumberFormat="1" applyFont="1" applyFill="1" applyBorder="1" applyAlignment="1">
      <alignment horizontal="center" vertical="center"/>
    </xf>
    <xf numFmtId="0" fontId="4" fillId="14" borderId="49" xfId="0" applyFont="1" applyFill="1" applyBorder="1" applyAlignment="1">
      <alignment horizontal="center" vertical="center"/>
    </xf>
    <xf numFmtId="0" fontId="4" fillId="14" borderId="51" xfId="0" applyFont="1" applyFill="1" applyBorder="1" applyAlignment="1">
      <alignment horizontal="center" vertical="center"/>
    </xf>
    <xf numFmtId="0" fontId="4" fillId="14" borderId="61" xfId="0" applyFont="1" applyFill="1" applyBorder="1" applyAlignment="1">
      <alignment horizontal="center" vertical="center"/>
    </xf>
    <xf numFmtId="0" fontId="4" fillId="0" borderId="32" xfId="0" applyFont="1" applyBorder="1" applyAlignment="1">
      <alignment horizontal="center" vertical="center"/>
    </xf>
    <xf numFmtId="0" fontId="4" fillId="0" borderId="66" xfId="0" applyFont="1" applyBorder="1" applyAlignment="1">
      <alignment horizontal="center" vertical="center"/>
    </xf>
    <xf numFmtId="0" fontId="4" fillId="0" borderId="2" xfId="0" applyFont="1" applyBorder="1" applyAlignment="1">
      <alignment horizontal="center" vertical="center"/>
    </xf>
    <xf numFmtId="0" fontId="3" fillId="0" borderId="5" xfId="0" applyFont="1" applyBorder="1" applyAlignment="1">
      <alignment horizontal="center" vertical="center"/>
    </xf>
    <xf numFmtId="0" fontId="4" fillId="0" borderId="13" xfId="0" applyFont="1" applyBorder="1" applyAlignment="1">
      <alignment horizontal="center" vertical="center"/>
    </xf>
    <xf numFmtId="0" fontId="4" fillId="0" borderId="3" xfId="0" applyFont="1" applyBorder="1" applyAlignment="1">
      <alignment horizontal="center" vertical="center"/>
    </xf>
    <xf numFmtId="0" fontId="0" fillId="0" borderId="13" xfId="0" applyFont="1" applyFill="1" applyBorder="1" applyAlignment="1">
      <alignment horizontal="left" vertical="center"/>
    </xf>
    <xf numFmtId="0" fontId="0" fillId="0" borderId="3" xfId="0" applyFont="1" applyFill="1" applyBorder="1" applyAlignment="1">
      <alignment horizontal="left" vertical="center"/>
    </xf>
    <xf numFmtId="0" fontId="4" fillId="18" borderId="51" xfId="0" applyFont="1" applyFill="1" applyBorder="1" applyAlignment="1">
      <alignment horizontal="center" vertical="center"/>
    </xf>
    <xf numFmtId="0" fontId="4" fillId="18" borderId="78" xfId="0" applyFont="1" applyFill="1" applyBorder="1" applyAlignment="1">
      <alignment horizontal="center" vertical="center"/>
    </xf>
    <xf numFmtId="0" fontId="0" fillId="0" borderId="52" xfId="0" applyBorder="1" applyAlignment="1">
      <alignment horizontal="left" vertical="center"/>
    </xf>
    <xf numFmtId="0" fontId="0" fillId="0" borderId="0" xfId="0" applyAlignment="1">
      <alignment horizontal="left" vertical="center"/>
    </xf>
    <xf numFmtId="0" fontId="4" fillId="0" borderId="100" xfId="0" applyFont="1" applyBorder="1" applyAlignment="1">
      <alignment horizontal="center" vertical="center" wrapText="1"/>
    </xf>
    <xf numFmtId="0" fontId="4" fillId="0" borderId="93" xfId="0" applyFont="1" applyBorder="1" applyAlignment="1">
      <alignment horizontal="center" vertical="center" wrapText="1"/>
    </xf>
    <xf numFmtId="0" fontId="3" fillId="5" borderId="13" xfId="0" quotePrefix="1" applyFont="1" applyFill="1" applyBorder="1" applyAlignment="1">
      <alignment vertical="center"/>
    </xf>
    <xf numFmtId="0" fontId="3" fillId="5" borderId="14" xfId="0" quotePrefix="1" applyFont="1" applyFill="1" applyBorder="1" applyAlignment="1">
      <alignment vertical="center"/>
    </xf>
    <xf numFmtId="0" fontId="3" fillId="5" borderId="3" xfId="0" quotePrefix="1" applyFont="1" applyFill="1" applyBorder="1" applyAlignment="1">
      <alignment vertical="center"/>
    </xf>
    <xf numFmtId="0" fontId="2" fillId="15" borderId="32" xfId="0" applyFont="1" applyFill="1" applyBorder="1" applyAlignment="1">
      <alignment horizontal="center" vertical="center"/>
    </xf>
    <xf numFmtId="0" fontId="2" fillId="15" borderId="66" xfId="0" applyFont="1" applyFill="1" applyBorder="1" applyAlignment="1">
      <alignment horizontal="center" vertical="center"/>
    </xf>
    <xf numFmtId="0" fontId="2" fillId="15" borderId="4" xfId="0" applyFont="1" applyFill="1" applyBorder="1" applyAlignment="1">
      <alignment horizontal="center" vertical="center"/>
    </xf>
    <xf numFmtId="0" fontId="2" fillId="15" borderId="2" xfId="0" applyFont="1" applyFill="1" applyBorder="1" applyAlignment="1">
      <alignment horizontal="center" vertical="center"/>
    </xf>
    <xf numFmtId="0" fontId="3" fillId="0" borderId="80" xfId="0" applyFont="1" applyBorder="1" applyAlignment="1">
      <alignment horizontal="center" vertical="center"/>
    </xf>
    <xf numFmtId="0" fontId="2" fillId="0" borderId="0" xfId="0" applyFont="1" applyBorder="1" applyAlignment="1">
      <alignment horizontal="center" vertical="center"/>
    </xf>
    <xf numFmtId="0" fontId="0" fillId="0" borderId="13" xfId="0" applyFont="1" applyBorder="1" applyAlignment="1">
      <alignment horizontal="left" vertical="center"/>
    </xf>
    <xf numFmtId="0" fontId="0" fillId="0" borderId="14" xfId="0" applyFont="1" applyBorder="1" applyAlignment="1">
      <alignment horizontal="left" vertical="center"/>
    </xf>
    <xf numFmtId="0" fontId="0" fillId="0" borderId="3" xfId="0" applyFont="1" applyBorder="1" applyAlignment="1">
      <alignment horizontal="left" vertical="center"/>
    </xf>
    <xf numFmtId="0" fontId="34" fillId="0" borderId="13" xfId="0" applyFont="1" applyBorder="1" applyAlignment="1">
      <alignment horizontal="left" vertical="center" wrapText="1"/>
    </xf>
    <xf numFmtId="0" fontId="34" fillId="0" borderId="14" xfId="0" applyFont="1" applyBorder="1" applyAlignment="1">
      <alignment horizontal="left" vertical="center" wrapText="1"/>
    </xf>
    <xf numFmtId="0" fontId="34" fillId="0" borderId="3" xfId="0" applyFont="1" applyBorder="1" applyAlignment="1">
      <alignment horizontal="left" vertical="center" wrapText="1"/>
    </xf>
    <xf numFmtId="0" fontId="3" fillId="0" borderId="13" xfId="0" applyFont="1" applyBorder="1" applyAlignment="1">
      <alignment horizontal="left" vertical="center"/>
    </xf>
    <xf numFmtId="0" fontId="3" fillId="0" borderId="3" xfId="0" applyFont="1" applyBorder="1" applyAlignment="1">
      <alignment horizontal="left" vertical="center"/>
    </xf>
    <xf numFmtId="0" fontId="4" fillId="0" borderId="5" xfId="0" applyFont="1" applyFill="1" applyBorder="1" applyAlignment="1">
      <alignment horizontal="center" vertical="center"/>
    </xf>
    <xf numFmtId="0" fontId="4" fillId="0" borderId="13"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Border="1" applyAlignment="1">
      <alignment horizontal="center" vertical="center"/>
    </xf>
    <xf numFmtId="0" fontId="4" fillId="0" borderId="91" xfId="0" applyFont="1" applyFill="1" applyBorder="1" applyAlignment="1">
      <alignment horizontal="center" vertical="center"/>
    </xf>
    <xf numFmtId="0" fontId="4" fillId="0" borderId="92" xfId="0" applyFont="1" applyFill="1" applyBorder="1" applyAlignment="1">
      <alignment horizontal="center" vertical="center"/>
    </xf>
    <xf numFmtId="0" fontId="4" fillId="0" borderId="12" xfId="0" applyFont="1" applyBorder="1" applyAlignment="1">
      <alignment horizontal="center" vertical="center"/>
    </xf>
    <xf numFmtId="0" fontId="4" fillId="0" borderId="77" xfId="0" applyFont="1" applyBorder="1" applyAlignment="1">
      <alignment horizontal="center" vertical="center"/>
    </xf>
    <xf numFmtId="0" fontId="3" fillId="0" borderId="0" xfId="0" applyFont="1" applyBorder="1" applyAlignment="1">
      <alignment horizontal="left" vertical="center"/>
    </xf>
    <xf numFmtId="0" fontId="3" fillId="0" borderId="56" xfId="0" applyFont="1" applyBorder="1" applyAlignment="1">
      <alignment horizontal="left" vertical="center"/>
    </xf>
    <xf numFmtId="0" fontId="4" fillId="0" borderId="96" xfId="0" applyFont="1" applyBorder="1" applyAlignment="1">
      <alignment horizontal="center" vertical="center"/>
    </xf>
    <xf numFmtId="0" fontId="4" fillId="0" borderId="95" xfId="0" applyFont="1" applyBorder="1" applyAlignment="1">
      <alignment horizontal="center" vertical="center"/>
    </xf>
    <xf numFmtId="0" fontId="4" fillId="5" borderId="91" xfId="0" applyFont="1" applyFill="1" applyBorder="1" applyAlignment="1">
      <alignment horizontal="center" vertical="center"/>
    </xf>
    <xf numFmtId="0" fontId="4" fillId="5" borderId="92"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7" xfId="0" applyFont="1" applyFill="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3" fillId="0" borderId="24" xfId="0" applyFont="1" applyBorder="1" applyAlignment="1">
      <alignment horizontal="center" vertical="center"/>
    </xf>
    <xf numFmtId="0" fontId="3" fillId="0" borderId="17" xfId="0" applyFont="1" applyBorder="1" applyAlignment="1">
      <alignment horizontal="center" vertical="center"/>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3" xfId="0" applyFont="1" applyBorder="1" applyAlignment="1">
      <alignment horizontal="center" vertical="center" wrapText="1"/>
    </xf>
    <xf numFmtId="0" fontId="4" fillId="0" borderId="14" xfId="0" applyFont="1" applyBorder="1" applyAlignment="1">
      <alignment horizontal="center" vertical="center"/>
    </xf>
    <xf numFmtId="0" fontId="3" fillId="0" borderId="14" xfId="0" applyFont="1" applyFill="1" applyBorder="1" applyAlignment="1">
      <alignment horizontal="left" vertical="center"/>
    </xf>
    <xf numFmtId="0" fontId="4" fillId="5" borderId="5" xfId="0" applyFont="1" applyFill="1" applyBorder="1" applyAlignment="1">
      <alignment horizontal="center" vertical="center"/>
    </xf>
    <xf numFmtId="0" fontId="4" fillId="0" borderId="32" xfId="0" applyFont="1" applyFill="1" applyBorder="1" applyAlignment="1">
      <alignment horizontal="center" vertical="center"/>
    </xf>
    <xf numFmtId="0" fontId="4" fillId="0" borderId="2" xfId="0" applyFont="1" applyFill="1" applyBorder="1" applyAlignment="1">
      <alignment horizontal="center" vertical="center"/>
    </xf>
    <xf numFmtId="0" fontId="3" fillId="0" borderId="13" xfId="0" applyFont="1" applyBorder="1" applyAlignment="1">
      <alignment horizontal="left" vertical="center" wrapText="1"/>
    </xf>
    <xf numFmtId="0" fontId="3" fillId="0" borderId="3" xfId="0" applyFont="1" applyBorder="1" applyAlignment="1">
      <alignment horizontal="left" vertical="center" wrapText="1"/>
    </xf>
    <xf numFmtId="0" fontId="3" fillId="0" borderId="13" xfId="0" applyFont="1" applyFill="1" applyBorder="1" applyAlignment="1">
      <alignment horizontal="left" vertical="center" wrapText="1"/>
    </xf>
    <xf numFmtId="0" fontId="3" fillId="0" borderId="14" xfId="0" applyFont="1" applyFill="1" applyBorder="1" applyAlignment="1">
      <alignment horizontal="left" vertical="center" wrapText="1"/>
    </xf>
    <xf numFmtId="0" fontId="3" fillId="0" borderId="3" xfId="0" applyFont="1" applyFill="1" applyBorder="1" applyAlignment="1">
      <alignment horizontal="left" vertical="center" wrapText="1"/>
    </xf>
    <xf numFmtId="0" fontId="0" fillId="0" borderId="81" xfId="0" applyFill="1" applyBorder="1" applyAlignment="1">
      <alignment horizontal="center"/>
    </xf>
    <xf numFmtId="0" fontId="3" fillId="0" borderId="33" xfId="0" applyFont="1" applyBorder="1" applyAlignment="1">
      <alignment horizontal="center" vertical="center"/>
    </xf>
    <xf numFmtId="0" fontId="3" fillId="0" borderId="63" xfId="0" applyFont="1" applyBorder="1" applyAlignment="1">
      <alignment horizontal="center" vertical="center"/>
    </xf>
    <xf numFmtId="0" fontId="3" fillId="0" borderId="67" xfId="0" applyFont="1" applyBorder="1" applyAlignment="1">
      <alignment horizontal="center" vertical="center"/>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3" xfId="0" applyFont="1" applyBorder="1" applyAlignment="1">
      <alignment horizontal="center" vertical="center" wrapText="1"/>
    </xf>
    <xf numFmtId="0" fontId="3" fillId="0" borderId="13" xfId="0" quotePrefix="1" applyFont="1" applyFill="1" applyBorder="1" applyAlignment="1">
      <alignment vertical="center"/>
    </xf>
    <xf numFmtId="0" fontId="3" fillId="0" borderId="3" xfId="0" quotePrefix="1" applyFont="1" applyFill="1" applyBorder="1" applyAlignment="1">
      <alignment vertical="center"/>
    </xf>
    <xf numFmtId="0" fontId="3" fillId="5" borderId="24" xfId="0" applyFont="1" applyFill="1" applyBorder="1" applyAlignment="1">
      <alignment horizontal="center" vertical="center"/>
    </xf>
    <xf numFmtId="0" fontId="3" fillId="5" borderId="17" xfId="0" applyFont="1" applyFill="1" applyBorder="1" applyAlignment="1">
      <alignment horizontal="center" vertical="center"/>
    </xf>
    <xf numFmtId="0" fontId="3" fillId="5" borderId="20" xfId="0" applyFont="1" applyFill="1" applyBorder="1" applyAlignment="1">
      <alignment horizontal="center" vertical="center"/>
    </xf>
    <xf numFmtId="0" fontId="4" fillId="3" borderId="10"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3" borderId="29" xfId="0" applyFont="1" applyFill="1" applyBorder="1" applyAlignment="1">
      <alignment horizontal="center" vertical="center" wrapText="1"/>
    </xf>
    <xf numFmtId="0" fontId="3" fillId="0" borderId="17" xfId="0" applyFont="1" applyFill="1" applyBorder="1" applyAlignment="1">
      <alignment horizontal="center" vertical="center"/>
    </xf>
    <xf numFmtId="0" fontId="3" fillId="0" borderId="20" xfId="0" applyFont="1" applyFill="1" applyBorder="1" applyAlignment="1">
      <alignment horizontal="center" vertical="center"/>
    </xf>
    <xf numFmtId="0" fontId="4" fillId="0" borderId="0" xfId="0" applyFont="1" applyBorder="1" applyAlignment="1">
      <alignment horizontal="center" vertical="center"/>
    </xf>
    <xf numFmtId="0" fontId="4" fillId="0" borderId="56" xfId="0" applyFont="1" applyBorder="1" applyAlignment="1">
      <alignment horizontal="center" vertical="center"/>
    </xf>
    <xf numFmtId="0" fontId="3" fillId="0" borderId="81" xfId="0" applyFont="1" applyBorder="1" applyAlignment="1">
      <alignment horizontal="center" vertical="center"/>
    </xf>
    <xf numFmtId="0" fontId="3" fillId="0" borderId="64" xfId="0" applyFont="1" applyBorder="1" applyAlignment="1">
      <alignment horizontal="center" vertical="center"/>
    </xf>
    <xf numFmtId="0" fontId="0" fillId="0" borderId="81" xfId="0" applyBorder="1" applyAlignment="1">
      <alignment horizontal="center"/>
    </xf>
    <xf numFmtId="0" fontId="0" fillId="0" borderId="12" xfId="0" applyBorder="1" applyAlignment="1">
      <alignment horizontal="right"/>
    </xf>
    <xf numFmtId="0" fontId="0" fillId="0" borderId="0" xfId="0" applyBorder="1" applyAlignment="1">
      <alignment horizontal="center"/>
    </xf>
    <xf numFmtId="0" fontId="3" fillId="0" borderId="5" xfId="0" applyFont="1" applyBorder="1" applyAlignment="1">
      <alignment horizontal="center" vertical="center" wrapText="1"/>
    </xf>
    <xf numFmtId="0" fontId="3" fillId="5" borderId="80" xfId="1" applyNumberFormat="1" applyFont="1" applyFill="1" applyBorder="1" applyAlignment="1">
      <alignment horizontal="center" vertical="center"/>
    </xf>
    <xf numFmtId="0" fontId="3" fillId="5" borderId="14" xfId="1" applyNumberFormat="1" applyFont="1" applyFill="1" applyBorder="1" applyAlignment="1">
      <alignment horizontal="center" vertical="center"/>
    </xf>
    <xf numFmtId="0" fontId="3" fillId="0" borderId="55" xfId="0" applyFont="1" applyBorder="1" applyAlignment="1">
      <alignment horizontal="center" vertical="center"/>
    </xf>
    <xf numFmtId="0" fontId="4" fillId="0" borderId="24" xfId="0" applyFont="1" applyBorder="1" applyAlignment="1">
      <alignment horizontal="center" vertical="center"/>
    </xf>
    <xf numFmtId="0" fontId="4" fillId="0" borderId="20" xfId="0" applyFont="1" applyBorder="1" applyAlignment="1">
      <alignment horizontal="center" vertical="center"/>
    </xf>
    <xf numFmtId="0" fontId="2" fillId="0" borderId="13" xfId="0" applyFont="1" applyFill="1" applyBorder="1" applyAlignment="1">
      <alignment horizontal="center" vertical="center"/>
    </xf>
    <xf numFmtId="0" fontId="2" fillId="0" borderId="3" xfId="0" applyFont="1" applyFill="1" applyBorder="1" applyAlignment="1">
      <alignment horizontal="center" vertical="center"/>
    </xf>
    <xf numFmtId="0" fontId="3" fillId="5" borderId="85" xfId="1" applyNumberFormat="1" applyFont="1" applyFill="1" applyBorder="1" applyAlignment="1">
      <alignment horizontal="center" vertical="center"/>
    </xf>
    <xf numFmtId="0" fontId="3" fillId="5" borderId="17" xfId="1" applyNumberFormat="1" applyFont="1" applyFill="1" applyBorder="1" applyAlignment="1">
      <alignment horizontal="center" vertical="center"/>
    </xf>
    <xf numFmtId="0" fontId="3" fillId="0" borderId="53" xfId="0" applyFont="1" applyBorder="1" applyAlignment="1">
      <alignment horizontal="center" vertical="center"/>
    </xf>
    <xf numFmtId="0" fontId="3" fillId="5" borderId="14" xfId="0" applyFont="1" applyFill="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3" fillId="0" borderId="5" xfId="0" applyFont="1" applyBorder="1" applyAlignment="1">
      <alignment horizontal="left" vertical="center" wrapText="1"/>
    </xf>
    <xf numFmtId="0" fontId="4" fillId="3" borderId="7"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3" xfId="0" applyFont="1" applyFill="1" applyBorder="1" applyAlignment="1">
      <alignment vertical="center"/>
    </xf>
    <xf numFmtId="0" fontId="4" fillId="2" borderId="50" xfId="0" applyFont="1" applyFill="1" applyBorder="1" applyAlignment="1">
      <alignment horizontal="center" vertical="center"/>
    </xf>
    <xf numFmtId="0" fontId="4" fillId="2" borderId="78" xfId="0" applyFont="1" applyFill="1" applyBorder="1" applyAlignment="1">
      <alignment horizontal="center" vertical="center"/>
    </xf>
    <xf numFmtId="0" fontId="4" fillId="2" borderId="23" xfId="0" applyFont="1" applyFill="1" applyBorder="1" applyAlignment="1">
      <alignment horizontal="center" wrapText="1"/>
    </xf>
    <xf numFmtId="0" fontId="4" fillId="2" borderId="46" xfId="0" applyFont="1" applyFill="1" applyBorder="1" applyAlignment="1">
      <alignment horizontal="center" wrapText="1"/>
    </xf>
    <xf numFmtId="0" fontId="4" fillId="2" borderId="41" xfId="0" applyFont="1" applyFill="1" applyBorder="1" applyAlignment="1">
      <alignment horizontal="center" wrapText="1"/>
    </xf>
    <xf numFmtId="0" fontId="3" fillId="7" borderId="13" xfId="0" applyFont="1" applyFill="1" applyBorder="1" applyAlignment="1">
      <alignment horizontal="center" vertical="center"/>
    </xf>
    <xf numFmtId="0" fontId="3" fillId="7" borderId="3" xfId="0" applyFont="1" applyFill="1" applyBorder="1" applyAlignment="1">
      <alignment horizontal="center" vertical="center"/>
    </xf>
    <xf numFmtId="0" fontId="3" fillId="0" borderId="13" xfId="0" applyFont="1" applyFill="1" applyBorder="1" applyAlignment="1">
      <alignment vertical="center" wrapText="1"/>
    </xf>
    <xf numFmtId="0" fontId="3" fillId="0" borderId="14" xfId="0" applyFont="1" applyFill="1" applyBorder="1" applyAlignment="1">
      <alignment vertical="center" wrapText="1"/>
    </xf>
    <xf numFmtId="0" fontId="3" fillId="0" borderId="3" xfId="0" applyFont="1" applyFill="1" applyBorder="1" applyAlignment="1">
      <alignment vertical="center" wrapText="1"/>
    </xf>
    <xf numFmtId="0" fontId="3" fillId="0" borderId="13" xfId="0" quotePrefix="1" applyFont="1" applyBorder="1" applyAlignment="1">
      <alignment vertical="center"/>
    </xf>
    <xf numFmtId="0" fontId="3" fillId="0" borderId="3" xfId="0" quotePrefix="1" applyFont="1" applyBorder="1" applyAlignment="1">
      <alignment vertical="center"/>
    </xf>
    <xf numFmtId="0" fontId="3" fillId="0" borderId="14" xfId="0" quotePrefix="1" applyFont="1" applyBorder="1" applyAlignment="1">
      <alignment vertical="center"/>
    </xf>
    <xf numFmtId="0" fontId="3" fillId="5" borderId="80" xfId="0" quotePrefix="1" applyFont="1" applyFill="1" applyBorder="1" applyAlignment="1">
      <alignment vertical="center"/>
    </xf>
    <xf numFmtId="0" fontId="2" fillId="0" borderId="4" xfId="0" applyFont="1" applyBorder="1" applyAlignment="1">
      <alignment horizontal="center" vertical="center"/>
    </xf>
    <xf numFmtId="0" fontId="0" fillId="0" borderId="13" xfId="0" applyFont="1" applyBorder="1" applyAlignment="1">
      <alignment horizontal="center" vertical="center"/>
    </xf>
    <xf numFmtId="0" fontId="0" fillId="0" borderId="14" xfId="0" applyFont="1" applyBorder="1" applyAlignment="1">
      <alignment horizontal="center" vertical="center"/>
    </xf>
    <xf numFmtId="0" fontId="0" fillId="0" borderId="3" xfId="0" applyFont="1" applyBorder="1" applyAlignment="1">
      <alignment horizontal="center" vertical="center"/>
    </xf>
    <xf numFmtId="0" fontId="0" fillId="0" borderId="13" xfId="0" quotePrefix="1" applyFont="1" applyFill="1" applyBorder="1" applyAlignment="1">
      <alignment vertical="center"/>
    </xf>
    <xf numFmtId="0" fontId="0" fillId="0" borderId="3" xfId="0" quotePrefix="1" applyFont="1" applyFill="1" applyBorder="1" applyAlignment="1">
      <alignment vertical="center"/>
    </xf>
    <xf numFmtId="0" fontId="0" fillId="0" borderId="5" xfId="0" applyFont="1" applyFill="1" applyBorder="1" applyAlignment="1">
      <alignment horizontal="center" vertical="center"/>
    </xf>
    <xf numFmtId="0" fontId="0" fillId="0" borderId="13" xfId="0" quotePrefix="1" applyFont="1" applyBorder="1" applyAlignment="1">
      <alignment vertical="center"/>
    </xf>
    <xf numFmtId="0" fontId="0" fillId="0" borderId="14" xfId="0" quotePrefix="1" applyFont="1" applyBorder="1" applyAlignment="1">
      <alignment vertical="center"/>
    </xf>
    <xf numFmtId="0" fontId="0" fillId="0" borderId="3" xfId="0" quotePrefix="1" applyFont="1" applyBorder="1" applyAlignment="1">
      <alignment vertical="center"/>
    </xf>
    <xf numFmtId="0" fontId="4" fillId="14" borderId="10" xfId="0" applyFont="1" applyFill="1" applyBorder="1" applyAlignment="1">
      <alignment horizontal="center" vertical="center"/>
    </xf>
    <xf numFmtId="0" fontId="4" fillId="14" borderId="4" xfId="0" applyFont="1" applyFill="1" applyBorder="1" applyAlignment="1">
      <alignment horizontal="center" vertical="center"/>
    </xf>
    <xf numFmtId="0" fontId="4" fillId="14" borderId="49" xfId="0" applyFont="1" applyFill="1" applyBorder="1" applyAlignment="1">
      <alignment horizontal="center" vertical="center" wrapText="1"/>
    </xf>
    <xf numFmtId="0" fontId="4" fillId="14" borderId="51" xfId="0" applyFont="1" applyFill="1" applyBorder="1" applyAlignment="1">
      <alignment horizontal="center" vertical="center" wrapText="1"/>
    </xf>
    <xf numFmtId="0" fontId="4" fillId="14" borderId="61" xfId="0" applyFont="1" applyFill="1" applyBorder="1" applyAlignment="1">
      <alignment horizontal="center" vertical="center" wrapText="1"/>
    </xf>
    <xf numFmtId="0" fontId="4" fillId="0" borderId="32" xfId="0" applyFont="1" applyBorder="1" applyAlignment="1">
      <alignment horizontal="center" vertical="center" wrapText="1"/>
    </xf>
    <xf numFmtId="0" fontId="4" fillId="0" borderId="66" xfId="0" applyFont="1" applyBorder="1" applyAlignment="1">
      <alignment horizontal="center" vertical="center" wrapText="1"/>
    </xf>
    <xf numFmtId="0" fontId="4" fillId="0" borderId="2" xfId="0" applyFont="1" applyBorder="1" applyAlignment="1">
      <alignment horizontal="center" vertical="center" wrapText="1"/>
    </xf>
    <xf numFmtId="0" fontId="4" fillId="2" borderId="80" xfId="0" applyFont="1" applyFill="1" applyBorder="1" applyAlignment="1">
      <alignment horizontal="center" vertical="center" wrapText="1"/>
    </xf>
    <xf numFmtId="0" fontId="4" fillId="2" borderId="82" xfId="0" applyFont="1" applyFill="1" applyBorder="1" applyAlignment="1">
      <alignment horizontal="center" vertical="center"/>
    </xf>
    <xf numFmtId="0" fontId="4" fillId="2" borderId="11" xfId="0" applyFont="1" applyFill="1" applyBorder="1" applyAlignment="1">
      <alignment horizontal="center"/>
    </xf>
    <xf numFmtId="0" fontId="4" fillId="2" borderId="1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2" fillId="0" borderId="13" xfId="0" applyFont="1" applyBorder="1" applyAlignment="1">
      <alignment horizontal="center" vertical="center"/>
    </xf>
    <xf numFmtId="0" fontId="3" fillId="0" borderId="13" xfId="0" applyFont="1" applyBorder="1" applyAlignment="1">
      <alignment horizontal="center"/>
    </xf>
    <xf numFmtId="0" fontId="3" fillId="0" borderId="14" xfId="0" applyFont="1" applyBorder="1" applyAlignment="1">
      <alignment horizontal="center"/>
    </xf>
    <xf numFmtId="0" fontId="3" fillId="0" borderId="3" xfId="0" applyFont="1" applyBorder="1" applyAlignment="1">
      <alignment horizontal="center"/>
    </xf>
    <xf numFmtId="0" fontId="3" fillId="0" borderId="14" xfId="0" applyFont="1" applyBorder="1" applyAlignment="1">
      <alignment horizontal="left" vertical="center"/>
    </xf>
    <xf numFmtId="0" fontId="4" fillId="14" borderId="32" xfId="0" applyFont="1" applyFill="1" applyBorder="1" applyAlignment="1">
      <alignment horizontal="center" vertical="center"/>
    </xf>
    <xf numFmtId="0" fontId="4" fillId="14" borderId="2" xfId="0" applyFont="1" applyFill="1" applyBorder="1" applyAlignment="1">
      <alignment horizontal="center" vertical="center"/>
    </xf>
    <xf numFmtId="0" fontId="3" fillId="0" borderId="14" xfId="0" quotePrefix="1" applyFont="1" applyFill="1" applyBorder="1" applyAlignment="1">
      <alignment vertical="center"/>
    </xf>
    <xf numFmtId="0" fontId="4" fillId="0" borderId="4" xfId="0" applyFont="1" applyFill="1" applyBorder="1" applyAlignment="1">
      <alignment horizontal="center" vertical="center"/>
    </xf>
    <xf numFmtId="0" fontId="4" fillId="0" borderId="66" xfId="0" applyFont="1" applyFill="1" applyBorder="1" applyAlignment="1">
      <alignment horizontal="center" vertical="center"/>
    </xf>
    <xf numFmtId="0" fontId="4" fillId="0" borderId="93" xfId="0" applyFont="1" applyBorder="1" applyAlignment="1">
      <alignment horizontal="center" vertical="center"/>
    </xf>
    <xf numFmtId="0" fontId="4" fillId="5" borderId="93" xfId="0" applyFont="1" applyFill="1" applyBorder="1" applyAlignment="1">
      <alignment horizontal="center" vertical="center"/>
    </xf>
    <xf numFmtId="0" fontId="2" fillId="0" borderId="10" xfId="0" applyFont="1" applyBorder="1" applyAlignment="1">
      <alignment horizontal="center" vertical="center"/>
    </xf>
    <xf numFmtId="0" fontId="2" fillId="0" borderId="29" xfId="0" applyFont="1" applyBorder="1" applyAlignment="1">
      <alignment horizontal="center" vertical="center"/>
    </xf>
    <xf numFmtId="0" fontId="2" fillId="0" borderId="54" xfId="0" applyFont="1" applyBorder="1" applyAlignment="1">
      <alignment horizontal="center" vertical="center"/>
    </xf>
    <xf numFmtId="0" fontId="2" fillId="0" borderId="52" xfId="0" applyFont="1" applyBorder="1" applyAlignment="1">
      <alignment horizontal="center" vertical="center"/>
    </xf>
    <xf numFmtId="0" fontId="2" fillId="0" borderId="53" xfId="0" applyFont="1" applyBorder="1" applyAlignment="1">
      <alignment horizontal="center" vertical="center"/>
    </xf>
    <xf numFmtId="0" fontId="2" fillId="0" borderId="12" xfId="0" applyFont="1" applyBorder="1" applyAlignment="1">
      <alignment horizontal="center" vertical="center"/>
    </xf>
    <xf numFmtId="0" fontId="2" fillId="0" borderId="81" xfId="0" applyFont="1" applyBorder="1" applyAlignment="1">
      <alignment horizontal="center" vertical="center"/>
    </xf>
    <xf numFmtId="0" fontId="0" fillId="5" borderId="0" xfId="0" quotePrefix="1" applyFill="1" applyAlignment="1">
      <alignment horizontal="left"/>
    </xf>
    <xf numFmtId="0" fontId="2" fillId="0" borderId="1" xfId="0" applyFont="1" applyBorder="1" applyAlignment="1">
      <alignment horizontal="center"/>
    </xf>
    <xf numFmtId="0" fontId="2" fillId="0" borderId="19" xfId="0" applyFont="1" applyBorder="1" applyAlignment="1">
      <alignment horizontal="center"/>
    </xf>
    <xf numFmtId="0" fontId="2" fillId="15" borderId="10" xfId="0" applyFont="1" applyFill="1" applyBorder="1" applyAlignment="1">
      <alignment horizontal="center" vertical="center"/>
    </xf>
    <xf numFmtId="0" fontId="2" fillId="15" borderId="6" xfId="0" applyFont="1" applyFill="1" applyBorder="1" applyAlignment="1">
      <alignment horizontal="center" vertical="center"/>
    </xf>
    <xf numFmtId="0" fontId="0" fillId="14" borderId="4" xfId="0" applyFill="1" applyBorder="1" applyAlignment="1">
      <alignment horizontal="center"/>
    </xf>
    <xf numFmtId="0" fontId="0" fillId="14" borderId="5" xfId="0" applyFill="1" applyBorder="1" applyAlignment="1">
      <alignment horizontal="center"/>
    </xf>
    <xf numFmtId="0" fontId="0" fillId="17" borderId="7" xfId="0" applyFill="1" applyBorder="1" applyAlignment="1">
      <alignment horizontal="center"/>
    </xf>
    <xf numFmtId="0" fontId="0" fillId="17" borderId="31" xfId="0"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5" xfId="0" applyBorder="1" applyAlignment="1">
      <alignment horizontal="center"/>
    </xf>
    <xf numFmtId="0" fontId="0" fillId="0" borderId="30" xfId="0" applyBorder="1" applyAlignment="1">
      <alignment horizontal="center"/>
    </xf>
    <xf numFmtId="0" fontId="0" fillId="0" borderId="4" xfId="0" applyBorder="1" applyAlignment="1">
      <alignment horizontal="center"/>
    </xf>
    <xf numFmtId="0" fontId="0" fillId="14" borderId="30" xfId="0" applyFill="1" applyBorder="1" applyAlignment="1">
      <alignment horizontal="center"/>
    </xf>
    <xf numFmtId="0" fontId="0" fillId="14" borderId="11" xfId="0" applyFill="1" applyBorder="1" applyAlignment="1">
      <alignment horizontal="center"/>
    </xf>
    <xf numFmtId="0" fontId="0" fillId="14" borderId="29" xfId="0" applyFill="1" applyBorder="1" applyAlignment="1">
      <alignment horizontal="center"/>
    </xf>
    <xf numFmtId="0" fontId="0" fillId="14" borderId="10" xfId="0" applyFill="1" applyBorder="1" applyAlignment="1">
      <alignment horizontal="center"/>
    </xf>
    <xf numFmtId="0" fontId="0" fillId="0" borderId="3" xfId="0" applyBorder="1" applyAlignment="1">
      <alignment horizontal="center"/>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48" xfId="0" applyFont="1" applyFill="1" applyBorder="1" applyAlignment="1">
      <alignment horizontal="center" vertical="center" wrapText="1"/>
    </xf>
    <xf numFmtId="0" fontId="0" fillId="0" borderId="57" xfId="0" applyFont="1" applyBorder="1" applyAlignment="1">
      <alignment horizontal="center" vertical="center"/>
    </xf>
    <xf numFmtId="0" fontId="2" fillId="0" borderId="47" xfId="0" applyFont="1" applyBorder="1" applyAlignment="1">
      <alignment horizontal="center" vertical="center"/>
    </xf>
    <xf numFmtId="0" fontId="2" fillId="0" borderId="39" xfId="0" applyFont="1" applyBorder="1" applyAlignment="1">
      <alignment horizontal="center" vertical="center"/>
    </xf>
    <xf numFmtId="0" fontId="0" fillId="0" borderId="0" xfId="0" applyAlignment="1">
      <alignment horizontal="left" vertical="top" wrapText="1"/>
    </xf>
    <xf numFmtId="0" fontId="3" fillId="0" borderId="0" xfId="0" applyFont="1" applyAlignment="1">
      <alignment horizontal="left" wrapText="1"/>
    </xf>
    <xf numFmtId="0" fontId="0" fillId="0" borderId="0" xfId="0" applyBorder="1" applyAlignment="1">
      <alignment horizontal="left" wrapText="1"/>
    </xf>
    <xf numFmtId="0" fontId="4" fillId="2" borderId="49" xfId="0" applyFont="1" applyFill="1" applyBorder="1" applyAlignment="1">
      <alignment horizontal="center" vertical="center" wrapText="1"/>
    </xf>
    <xf numFmtId="0" fontId="4" fillId="2" borderId="51" xfId="0" applyFont="1" applyFill="1" applyBorder="1" applyAlignment="1">
      <alignment horizontal="center" vertical="center" wrapText="1"/>
    </xf>
    <xf numFmtId="0" fontId="4" fillId="2" borderId="61" xfId="0" applyFont="1" applyFill="1" applyBorder="1" applyAlignment="1">
      <alignment horizontal="center" vertical="center" wrapText="1"/>
    </xf>
    <xf numFmtId="0" fontId="2" fillId="0" borderId="57" xfId="0" applyFont="1" applyBorder="1" applyAlignment="1">
      <alignment horizontal="center"/>
    </xf>
    <xf numFmtId="0" fontId="2" fillId="0" borderId="47" xfId="0" applyFont="1" applyBorder="1" applyAlignment="1">
      <alignment horizontal="center"/>
    </xf>
    <xf numFmtId="0" fontId="2" fillId="0" borderId="39" xfId="0" applyFont="1" applyBorder="1" applyAlignment="1">
      <alignment horizontal="center"/>
    </xf>
    <xf numFmtId="0" fontId="0" fillId="0" borderId="76" xfId="0" applyBorder="1" applyAlignment="1">
      <alignment horizontal="center" vertical="center" wrapText="1"/>
    </xf>
    <xf numFmtId="0" fontId="0" fillId="0" borderId="55" xfId="0" applyBorder="1" applyAlignment="1">
      <alignment horizontal="center" vertical="center" wrapText="1"/>
    </xf>
    <xf numFmtId="0" fontId="0" fillId="0" borderId="77" xfId="0" applyBorder="1" applyAlignment="1">
      <alignment horizontal="center" vertical="center" wrapText="1"/>
    </xf>
    <xf numFmtId="0" fontId="0" fillId="0" borderId="64" xfId="0" applyBorder="1" applyAlignment="1">
      <alignment horizontal="center" vertical="center" wrapText="1"/>
    </xf>
    <xf numFmtId="0" fontId="0" fillId="0" borderId="57" xfId="0" applyBorder="1" applyAlignment="1">
      <alignment horizontal="center" vertical="center"/>
    </xf>
    <xf numFmtId="0" fontId="0" fillId="0" borderId="39" xfId="0" applyBorder="1" applyAlignment="1">
      <alignment horizontal="center" vertical="center"/>
    </xf>
    <xf numFmtId="0" fontId="3" fillId="0" borderId="21" xfId="0" applyFont="1" applyFill="1" applyBorder="1" applyAlignment="1">
      <alignment horizontal="center" vertical="center"/>
    </xf>
    <xf numFmtId="0" fontId="2" fillId="15" borderId="4" xfId="0" applyFont="1" applyFill="1" applyBorder="1" applyAlignment="1">
      <alignment horizontal="center" vertical="center" textRotation="90"/>
    </xf>
    <xf numFmtId="0" fontId="0" fillId="2" borderId="76" xfId="0" applyFill="1" applyBorder="1" applyAlignment="1">
      <alignment horizontal="center"/>
    </xf>
    <xf numFmtId="0" fontId="0" fillId="2" borderId="77" xfId="0" applyFill="1" applyBorder="1" applyAlignment="1">
      <alignment horizontal="center"/>
    </xf>
    <xf numFmtId="0" fontId="0" fillId="0" borderId="4" xfId="0" applyBorder="1" applyAlignment="1">
      <alignment horizontal="center" vertical="center"/>
    </xf>
    <xf numFmtId="0" fontId="0" fillId="0" borderId="30" xfId="0" applyBorder="1" applyAlignment="1">
      <alignment horizontal="center" vertical="center"/>
    </xf>
    <xf numFmtId="0" fontId="4" fillId="2" borderId="54" xfId="0" applyFont="1" applyFill="1" applyBorder="1" applyAlignment="1">
      <alignment horizontal="center" vertical="center" wrapText="1"/>
    </xf>
    <xf numFmtId="0" fontId="4" fillId="2" borderId="53" xfId="0" applyFont="1" applyFill="1" applyBorder="1" applyAlignment="1">
      <alignment horizontal="center" vertical="center" wrapText="1"/>
    </xf>
    <xf numFmtId="0" fontId="4" fillId="2" borderId="52" xfId="0" applyFont="1" applyFill="1" applyBorder="1" applyAlignment="1">
      <alignment horizontal="center" vertical="center" wrapText="1"/>
    </xf>
    <xf numFmtId="0" fontId="4" fillId="14" borderId="50" xfId="0" applyFont="1" applyFill="1" applyBorder="1" applyAlignment="1">
      <alignment horizontal="center" vertical="center" wrapText="1"/>
    </xf>
    <xf numFmtId="0" fontId="0" fillId="0" borderId="10" xfId="0" applyBorder="1" applyAlignment="1">
      <alignment horizontal="center" vertical="center" wrapText="1"/>
    </xf>
    <xf numFmtId="0" fontId="0" fillId="0" borderId="4" xfId="0" applyBorder="1" applyAlignment="1">
      <alignment horizontal="center" vertical="center" wrapText="1"/>
    </xf>
    <xf numFmtId="0" fontId="4" fillId="15" borderId="54" xfId="0" applyFont="1" applyFill="1" applyBorder="1" applyAlignment="1">
      <alignment horizontal="center" vertical="center" wrapText="1"/>
    </xf>
    <xf numFmtId="0" fontId="4" fillId="15" borderId="12" xfId="0" applyFont="1" applyFill="1" applyBorder="1" applyAlignment="1">
      <alignment horizontal="center" vertical="center" wrapText="1"/>
    </xf>
    <xf numFmtId="0" fontId="4" fillId="15" borderId="15" xfId="0" applyFont="1" applyFill="1" applyBorder="1" applyAlignment="1">
      <alignment horizontal="center" vertical="center" wrapText="1"/>
    </xf>
    <xf numFmtId="0" fontId="0" fillId="0" borderId="10" xfId="0"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32" xfId="0" applyBorder="1" applyAlignment="1">
      <alignment horizontal="center" vertical="center"/>
    </xf>
    <xf numFmtId="0" fontId="0" fillId="0" borderId="2" xfId="0" applyBorder="1" applyAlignment="1">
      <alignment horizontal="center" vertical="center"/>
    </xf>
    <xf numFmtId="0" fontId="3" fillId="0" borderId="33" xfId="0" applyFont="1" applyBorder="1" applyAlignment="1">
      <alignment horizontal="center" vertical="center" wrapText="1"/>
    </xf>
    <xf numFmtId="0" fontId="3" fillId="0" borderId="63" xfId="0" applyFont="1" applyBorder="1" applyAlignment="1">
      <alignment horizontal="center" vertical="center" wrapText="1"/>
    </xf>
    <xf numFmtId="0" fontId="0" fillId="0" borderId="66" xfId="0" applyBorder="1" applyAlignment="1">
      <alignment horizontal="center" vertical="center"/>
    </xf>
    <xf numFmtId="0" fontId="0" fillId="0" borderId="71" xfId="0" applyBorder="1" applyAlignment="1">
      <alignment horizontal="center" vertical="center"/>
    </xf>
    <xf numFmtId="0" fontId="0" fillId="0" borderId="0" xfId="0" applyAlignment="1">
      <alignment horizontal="left" vertical="center" wrapText="1" indent="3"/>
    </xf>
    <xf numFmtId="0" fontId="0" fillId="0" borderId="0" xfId="0" applyAlignment="1">
      <alignment horizontal="left" wrapText="1"/>
    </xf>
    <xf numFmtId="0" fontId="0" fillId="0" borderId="12" xfId="0" applyBorder="1" applyAlignment="1">
      <alignment horizontal="center" vertical="center"/>
    </xf>
    <xf numFmtId="0" fontId="0" fillId="0" borderId="81" xfId="0" applyBorder="1" applyAlignment="1">
      <alignment horizontal="center" vertical="center"/>
    </xf>
    <xf numFmtId="0" fontId="0" fillId="0" borderId="15" xfId="0" applyBorder="1" applyAlignment="1">
      <alignment horizontal="center" vertical="center"/>
    </xf>
    <xf numFmtId="0" fontId="0" fillId="0" borderId="79" xfId="0" applyBorder="1" applyAlignment="1">
      <alignment horizontal="center" vertical="center"/>
    </xf>
    <xf numFmtId="0" fontId="0" fillId="0" borderId="22" xfId="0" applyBorder="1" applyAlignment="1">
      <alignment horizontal="center" vertical="center"/>
    </xf>
    <xf numFmtId="0" fontId="0" fillId="0" borderId="0" xfId="0" applyAlignment="1">
      <alignment horizontal="left" vertical="center" wrapText="1"/>
    </xf>
    <xf numFmtId="0" fontId="2" fillId="0" borderId="5" xfId="0" applyFont="1" applyFill="1" applyBorder="1" applyAlignment="1">
      <alignment horizontal="center" vertical="center"/>
    </xf>
    <xf numFmtId="0" fontId="2" fillId="0" borderId="32" xfId="0" applyFont="1" applyFill="1" applyBorder="1" applyAlignment="1">
      <alignment horizontal="center" vertical="center"/>
    </xf>
    <xf numFmtId="0" fontId="2" fillId="0" borderId="66" xfId="0" applyFont="1" applyFill="1" applyBorder="1" applyAlignment="1">
      <alignment horizontal="center" vertical="center"/>
    </xf>
    <xf numFmtId="0" fontId="2" fillId="0" borderId="2" xfId="0" applyFont="1" applyFill="1" applyBorder="1" applyAlignment="1">
      <alignment horizontal="center" vertical="center"/>
    </xf>
    <xf numFmtId="0" fontId="0" fillId="0" borderId="49" xfId="0" quotePrefix="1" applyBorder="1" applyAlignment="1">
      <alignment horizontal="center" vertical="center" wrapText="1"/>
    </xf>
    <xf numFmtId="0" fontId="0" fillId="0" borderId="61" xfId="0" quotePrefix="1" applyBorder="1" applyAlignment="1">
      <alignment horizontal="center" vertical="center" wrapText="1"/>
    </xf>
    <xf numFmtId="0" fontId="0" fillId="0" borderId="32" xfId="0" applyFill="1" applyBorder="1" applyAlignment="1">
      <alignment horizontal="center"/>
    </xf>
    <xf numFmtId="0" fontId="0" fillId="0" borderId="2" xfId="0" applyFill="1" applyBorder="1" applyAlignment="1">
      <alignment horizontal="center"/>
    </xf>
    <xf numFmtId="0" fontId="0" fillId="0" borderId="13" xfId="0" applyFill="1" applyBorder="1" applyAlignment="1">
      <alignment horizontal="center"/>
    </xf>
    <xf numFmtId="0" fontId="0" fillId="0" borderId="3" xfId="0" applyFill="1" applyBorder="1" applyAlignment="1">
      <alignment horizontal="center"/>
    </xf>
    <xf numFmtId="0" fontId="2" fillId="0" borderId="33" xfId="0" applyFont="1" applyFill="1" applyBorder="1" applyAlignment="1">
      <alignment horizontal="center" vertical="center"/>
    </xf>
    <xf numFmtId="0" fontId="2" fillId="0" borderId="63" xfId="0" applyFont="1" applyFill="1" applyBorder="1" applyAlignment="1">
      <alignment horizontal="center" vertical="center"/>
    </xf>
    <xf numFmtId="0" fontId="4" fillId="0" borderId="30" xfId="0" applyFont="1" applyFill="1" applyBorder="1" applyAlignment="1">
      <alignment horizontal="center" vertical="center" wrapText="1"/>
    </xf>
    <xf numFmtId="0" fontId="0" fillId="0" borderId="76" xfId="0" applyBorder="1" applyAlignment="1">
      <alignment horizontal="center" vertical="center"/>
    </xf>
    <xf numFmtId="0" fontId="0" fillId="0" borderId="55" xfId="0" applyBorder="1" applyAlignment="1">
      <alignment horizontal="center" vertical="center"/>
    </xf>
    <xf numFmtId="0" fontId="0" fillId="0" borderId="77" xfId="0" applyBorder="1" applyAlignment="1">
      <alignment horizontal="center" vertical="center"/>
    </xf>
    <xf numFmtId="0" fontId="0" fillId="0" borderId="64" xfId="0" applyBorder="1" applyAlignment="1">
      <alignment horizontal="center" vertical="center"/>
    </xf>
    <xf numFmtId="0" fontId="0" fillId="0" borderId="33" xfId="0" applyFill="1" applyBorder="1" applyAlignment="1">
      <alignment horizontal="center"/>
    </xf>
    <xf numFmtId="0" fontId="0" fillId="0" borderId="63" xfId="0" applyFill="1" applyBorder="1" applyAlignment="1">
      <alignment horizontal="center"/>
    </xf>
    <xf numFmtId="0" fontId="0" fillId="2" borderId="49" xfId="0" applyFill="1" applyBorder="1" applyAlignment="1">
      <alignment horizontal="center"/>
    </xf>
    <xf numFmtId="0" fontId="0" fillId="2" borderId="51" xfId="0" applyFill="1" applyBorder="1" applyAlignment="1">
      <alignment horizontal="center"/>
    </xf>
    <xf numFmtId="0" fontId="2" fillId="0" borderId="4" xfId="0" applyFont="1" applyFill="1" applyBorder="1" applyAlignment="1">
      <alignment horizontal="center" vertical="center"/>
    </xf>
    <xf numFmtId="0" fontId="2" fillId="14" borderId="49" xfId="0" applyFont="1" applyFill="1" applyBorder="1" applyAlignment="1">
      <alignment horizontal="center" vertical="center"/>
    </xf>
    <xf numFmtId="0" fontId="2" fillId="14" borderId="51" xfId="0" applyFont="1" applyFill="1" applyBorder="1" applyAlignment="1">
      <alignment horizontal="center" vertical="center"/>
    </xf>
    <xf numFmtId="0" fontId="0" fillId="0" borderId="41" xfId="0" applyFill="1" applyBorder="1" applyAlignment="1">
      <alignment horizontal="center" vertical="center" wrapText="1"/>
    </xf>
    <xf numFmtId="0" fontId="0" fillId="0" borderId="42" xfId="0" applyFill="1" applyBorder="1" applyAlignment="1">
      <alignment horizontal="center" vertical="center" wrapText="1"/>
    </xf>
    <xf numFmtId="0" fontId="0" fillId="0" borderId="36" xfId="0" applyFill="1" applyBorder="1" applyAlignment="1">
      <alignment horizontal="center" vertical="center" wrapText="1"/>
    </xf>
    <xf numFmtId="0" fontId="0" fillId="0" borderId="29" xfId="0" quotePrefix="1" applyBorder="1" applyAlignment="1">
      <alignment horizontal="center" vertical="center"/>
    </xf>
    <xf numFmtId="0" fontId="0" fillId="0" borderId="30" xfId="0" quotePrefix="1" applyBorder="1" applyAlignment="1">
      <alignment horizontal="center" vertical="center"/>
    </xf>
    <xf numFmtId="0" fontId="0" fillId="0" borderId="31" xfId="0" quotePrefix="1" applyBorder="1" applyAlignment="1">
      <alignment horizontal="center" vertical="center"/>
    </xf>
    <xf numFmtId="0" fontId="2" fillId="0" borderId="49" xfId="0" applyFont="1" applyBorder="1" applyAlignment="1">
      <alignment horizontal="center"/>
    </xf>
    <xf numFmtId="0" fontId="2" fillId="0" borderId="61" xfId="0" applyFont="1" applyBorder="1" applyAlignment="1">
      <alignment horizontal="center"/>
    </xf>
    <xf numFmtId="0" fontId="0" fillId="0" borderId="49" xfId="0" applyBorder="1" applyAlignment="1">
      <alignment horizontal="center"/>
    </xf>
    <xf numFmtId="0" fontId="0" fillId="0" borderId="61" xfId="0" applyBorder="1" applyAlignment="1">
      <alignment horizontal="center"/>
    </xf>
    <xf numFmtId="0" fontId="0" fillId="2" borderId="61" xfId="0" applyFill="1" applyBorder="1" applyAlignment="1">
      <alignment horizontal="center"/>
    </xf>
    <xf numFmtId="0" fontId="4" fillId="0" borderId="21" xfId="0" applyFont="1" applyFill="1" applyBorder="1" applyAlignment="1">
      <alignment horizontal="center" vertical="center" wrapText="1"/>
    </xf>
    <xf numFmtId="0" fontId="2" fillId="14" borderId="61" xfId="0" applyFont="1" applyFill="1" applyBorder="1" applyAlignment="1">
      <alignment horizontal="center" vertical="center"/>
    </xf>
    <xf numFmtId="0" fontId="2" fillId="0" borderId="21" xfId="0" applyFont="1" applyFill="1" applyBorder="1" applyAlignment="1">
      <alignment horizontal="center" vertical="center"/>
    </xf>
    <xf numFmtId="0" fontId="0" fillId="0" borderId="0" xfId="0" applyFont="1" applyFill="1" applyAlignment="1">
      <alignment horizontal="left" vertical="center" wrapText="1"/>
    </xf>
    <xf numFmtId="0" fontId="0" fillId="0" borderId="0" xfId="0" applyFont="1" applyFill="1" applyAlignment="1">
      <alignment horizontal="center" vertical="center" wrapText="1"/>
    </xf>
    <xf numFmtId="0" fontId="0" fillId="0" borderId="43" xfId="0" applyBorder="1" applyAlignment="1">
      <alignment horizontal="left" vertical="center"/>
    </xf>
    <xf numFmtId="0" fontId="0" fillId="0" borderId="44" xfId="0" applyBorder="1" applyAlignment="1">
      <alignment horizontal="left" vertical="center"/>
    </xf>
    <xf numFmtId="0" fontId="0" fillId="0" borderId="45" xfId="0" applyBorder="1" applyAlignment="1">
      <alignment horizontal="left" vertical="center"/>
    </xf>
    <xf numFmtId="0" fontId="2" fillId="14" borderId="76" xfId="0" applyFont="1" applyFill="1" applyBorder="1" applyAlignment="1">
      <alignment horizontal="center" vertical="center" textRotation="90"/>
    </xf>
    <xf numFmtId="0" fontId="2" fillId="14" borderId="12" xfId="0" applyFont="1" applyFill="1" applyBorder="1" applyAlignment="1">
      <alignment horizontal="center" vertical="center" textRotation="90"/>
    </xf>
    <xf numFmtId="0" fontId="0" fillId="0" borderId="5" xfId="0" applyBorder="1" applyAlignment="1">
      <alignment horizontal="center" vertical="center"/>
    </xf>
    <xf numFmtId="0" fontId="0" fillId="0" borderId="30" xfId="0" applyFont="1" applyBorder="1" applyAlignment="1">
      <alignment horizontal="center" vertical="center"/>
    </xf>
    <xf numFmtId="0" fontId="3" fillId="0" borderId="30" xfId="0" applyFont="1" applyBorder="1" applyAlignment="1">
      <alignment horizontal="center" vertical="center"/>
    </xf>
    <xf numFmtId="0" fontId="0" fillId="2" borderId="12" xfId="0" applyFill="1" applyBorder="1" applyAlignment="1">
      <alignment horizontal="center"/>
    </xf>
    <xf numFmtId="0" fontId="0" fillId="0" borderId="52" xfId="0" applyBorder="1" applyAlignment="1">
      <alignment horizontal="center" vertical="center"/>
    </xf>
    <xf numFmtId="0" fontId="0" fillId="0" borderId="0" xfId="0" applyBorder="1" applyAlignment="1">
      <alignment horizontal="center" vertical="center"/>
    </xf>
    <xf numFmtId="0" fontId="0" fillId="0" borderId="16" xfId="0" applyBorder="1" applyAlignment="1">
      <alignment horizontal="center" vertical="center"/>
    </xf>
    <xf numFmtId="0" fontId="3" fillId="0" borderId="11" xfId="0" applyFont="1" applyBorder="1" applyAlignment="1">
      <alignment horizontal="center" vertical="center"/>
    </xf>
    <xf numFmtId="0" fontId="3" fillId="0" borderId="7" xfId="0" applyFont="1" applyBorder="1" applyAlignment="1">
      <alignment horizontal="center" vertical="center"/>
    </xf>
    <xf numFmtId="0" fontId="3" fillId="0" borderId="23" xfId="0" applyFont="1" applyBorder="1" applyAlignment="1">
      <alignment horizontal="center" vertical="center"/>
    </xf>
    <xf numFmtId="0" fontId="3" fillId="0" borderId="22" xfId="0" applyFont="1" applyBorder="1" applyAlignment="1">
      <alignment horizontal="center" vertical="center"/>
    </xf>
    <xf numFmtId="0" fontId="2" fillId="15" borderId="10" xfId="0" applyFont="1" applyFill="1" applyBorder="1" applyAlignment="1">
      <alignment horizontal="center" vertical="center" textRotation="90"/>
    </xf>
    <xf numFmtId="0" fontId="2" fillId="15" borderId="6" xfId="0" applyFont="1" applyFill="1" applyBorder="1" applyAlignment="1">
      <alignment horizontal="center" vertical="center" textRotation="90"/>
    </xf>
    <xf numFmtId="0" fontId="0" fillId="0" borderId="33" xfId="0" quotePrefix="1" applyBorder="1" applyAlignment="1">
      <alignment horizontal="center" vertical="center"/>
    </xf>
    <xf numFmtId="0" fontId="0" fillId="0" borderId="67" xfId="0" quotePrefix="1" applyBorder="1" applyAlignment="1">
      <alignment horizontal="center" vertical="center"/>
    </xf>
    <xf numFmtId="0" fontId="0" fillId="0" borderId="49" xfId="0" quotePrefix="1" applyBorder="1" applyAlignment="1">
      <alignment horizontal="center" vertical="center"/>
    </xf>
    <xf numFmtId="0" fontId="0" fillId="0" borderId="51" xfId="0" quotePrefix="1" applyBorder="1" applyAlignment="1">
      <alignment horizontal="center" vertical="center"/>
    </xf>
    <xf numFmtId="0" fontId="0" fillId="0" borderId="32" xfId="0" quotePrefix="1" applyBorder="1" applyAlignment="1">
      <alignment horizontal="center" vertical="center"/>
    </xf>
    <xf numFmtId="0" fontId="0" fillId="0" borderId="66" xfId="0" quotePrefix="1" applyBorder="1" applyAlignment="1">
      <alignment horizontal="center" vertical="center"/>
    </xf>
    <xf numFmtId="0" fontId="0" fillId="0" borderId="2" xfId="0" quotePrefix="1" applyBorder="1" applyAlignment="1">
      <alignment horizontal="center" vertical="center"/>
    </xf>
    <xf numFmtId="0" fontId="0" fillId="0" borderId="63" xfId="0" quotePrefix="1" applyBorder="1" applyAlignment="1">
      <alignment horizontal="center" vertical="center"/>
    </xf>
    <xf numFmtId="0" fontId="0" fillId="0" borderId="61" xfId="0" quotePrefix="1" applyBorder="1" applyAlignment="1">
      <alignment horizontal="center" vertical="center"/>
    </xf>
    <xf numFmtId="0" fontId="3" fillId="0" borderId="33" xfId="0" applyFont="1" applyFill="1" applyBorder="1" applyAlignment="1">
      <alignment horizontal="center" vertical="center" wrapText="1"/>
    </xf>
    <xf numFmtId="0" fontId="3" fillId="0" borderId="67" xfId="0" applyFont="1" applyFill="1" applyBorder="1" applyAlignment="1">
      <alignment horizontal="center" vertical="center" wrapText="1"/>
    </xf>
    <xf numFmtId="0" fontId="3" fillId="0" borderId="63"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3" fillId="0" borderId="66"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2" fillId="0" borderId="76" xfId="0" applyFont="1" applyBorder="1" applyAlignment="1">
      <alignment horizontal="center" vertical="center"/>
    </xf>
    <xf numFmtId="0" fontId="2" fillId="0" borderId="60" xfId="0" applyFont="1" applyBorder="1" applyAlignment="1">
      <alignment horizontal="center" vertical="center"/>
    </xf>
    <xf numFmtId="0" fontId="2" fillId="0" borderId="55" xfId="0" applyFont="1" applyBorder="1" applyAlignment="1">
      <alignment horizontal="center" vertical="center"/>
    </xf>
    <xf numFmtId="0" fontId="2" fillId="0" borderId="77" xfId="0" applyFont="1" applyBorder="1" applyAlignment="1">
      <alignment horizontal="center" vertical="center"/>
    </xf>
    <xf numFmtId="0" fontId="2" fillId="0" borderId="56" xfId="0" applyFont="1" applyBorder="1" applyAlignment="1">
      <alignment horizontal="center" vertical="center"/>
    </xf>
    <xf numFmtId="0" fontId="2" fillId="0" borderId="64" xfId="0" applyFont="1" applyBorder="1" applyAlignment="1">
      <alignment horizontal="center" vertical="center"/>
    </xf>
    <xf numFmtId="0" fontId="4" fillId="15" borderId="49" xfId="0" applyFont="1" applyFill="1" applyBorder="1" applyAlignment="1">
      <alignment horizontal="center" vertical="center" wrapText="1"/>
    </xf>
    <xf numFmtId="0" fontId="4" fillId="15" borderId="51" xfId="0" applyFont="1" applyFill="1" applyBorder="1" applyAlignment="1">
      <alignment horizontal="center" vertical="center" wrapText="1"/>
    </xf>
    <xf numFmtId="0" fontId="4" fillId="15" borderId="61" xfId="0" applyFont="1" applyFill="1" applyBorder="1" applyAlignment="1">
      <alignment horizontal="center" vertical="center" wrapText="1"/>
    </xf>
    <xf numFmtId="0" fontId="3" fillId="0" borderId="0" xfId="0" applyFont="1" applyFill="1" applyAlignment="1">
      <alignment horizontal="left" wrapText="1"/>
    </xf>
    <xf numFmtId="0" fontId="4" fillId="2" borderId="44" xfId="0" applyFont="1" applyFill="1" applyBorder="1" applyAlignment="1">
      <alignment horizontal="center" vertical="center" wrapText="1"/>
    </xf>
    <xf numFmtId="0" fontId="0" fillId="0" borderId="0" xfId="0" applyFill="1" applyAlignment="1">
      <alignment horizontal="left" wrapText="1"/>
    </xf>
    <xf numFmtId="0" fontId="0" fillId="0" borderId="0" xfId="0" applyAlignment="1">
      <alignment horizontal="left" wrapText="1" indent="2"/>
    </xf>
    <xf numFmtId="0" fontId="0" fillId="0" borderId="0" xfId="0" applyFont="1" applyAlignment="1">
      <alignment horizontal="left" wrapText="1" indent="2"/>
    </xf>
    <xf numFmtId="0" fontId="41" fillId="0" borderId="0" xfId="0" applyFont="1" applyAlignment="1">
      <alignment horizontal="left" wrapText="1"/>
    </xf>
    <xf numFmtId="0" fontId="4" fillId="2" borderId="59" xfId="0" applyFont="1" applyFill="1" applyBorder="1" applyAlignment="1">
      <alignment horizontal="center" vertical="center" wrapText="1"/>
    </xf>
    <xf numFmtId="0" fontId="4" fillId="2" borderId="65"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29"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2" borderId="79" xfId="0" applyFont="1" applyFill="1" applyBorder="1" applyAlignment="1">
      <alignment horizontal="center" vertical="center" wrapText="1"/>
    </xf>
    <xf numFmtId="0" fontId="4" fillId="2" borderId="50" xfId="0" applyFont="1" applyFill="1" applyBorder="1" applyAlignment="1">
      <alignment horizontal="center" vertical="center" wrapText="1"/>
    </xf>
    <xf numFmtId="0" fontId="4" fillId="2" borderId="78"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4" fillId="2" borderId="71" xfId="0" applyFont="1" applyFill="1" applyBorder="1" applyAlignment="1">
      <alignment horizontal="center" vertical="center" wrapText="1"/>
    </xf>
    <xf numFmtId="0" fontId="0" fillId="0" borderId="4" xfId="0" applyBorder="1" applyAlignment="1">
      <alignment horizontal="left" vertical="center"/>
    </xf>
    <xf numFmtId="0" fontId="4" fillId="0" borderId="32" xfId="0" applyFont="1" applyFill="1" applyBorder="1" applyAlignment="1">
      <alignment horizontal="center" vertical="center" wrapText="1"/>
    </xf>
    <xf numFmtId="0" fontId="4" fillId="0" borderId="66" xfId="0" applyFont="1" applyFill="1" applyBorder="1" applyAlignment="1">
      <alignment horizontal="center" vertical="center" wrapText="1"/>
    </xf>
    <xf numFmtId="0" fontId="4" fillId="0" borderId="71" xfId="0" applyFont="1" applyFill="1" applyBorder="1" applyAlignment="1">
      <alignment horizontal="center" vertical="center" wrapText="1"/>
    </xf>
    <xf numFmtId="0" fontId="0" fillId="0" borderId="6" xfId="0" applyBorder="1" applyAlignment="1">
      <alignment horizontal="left" vertical="center"/>
    </xf>
    <xf numFmtId="0" fontId="0" fillId="0" borderId="32" xfId="0" applyBorder="1" applyAlignment="1">
      <alignment horizontal="left" vertical="center"/>
    </xf>
    <xf numFmtId="0" fontId="0" fillId="0" borderId="2" xfId="0" applyBorder="1" applyAlignment="1">
      <alignment horizontal="left" vertical="center"/>
    </xf>
    <xf numFmtId="0" fontId="0" fillId="0" borderId="76" xfId="0" applyFont="1" applyBorder="1" applyAlignment="1">
      <alignment horizontal="center" vertical="center"/>
    </xf>
    <xf numFmtId="0" fontId="0" fillId="0" borderId="60" xfId="0" applyFont="1" applyBorder="1" applyAlignment="1">
      <alignment horizontal="center" vertical="center"/>
    </xf>
    <xf numFmtId="0" fontId="0" fillId="0" borderId="55" xfId="0" applyFont="1" applyBorder="1" applyAlignment="1">
      <alignment horizontal="center" vertical="center"/>
    </xf>
    <xf numFmtId="0" fontId="0" fillId="0" borderId="77" xfId="0" applyFont="1" applyBorder="1" applyAlignment="1">
      <alignment horizontal="center" vertical="center"/>
    </xf>
    <xf numFmtId="0" fontId="0" fillId="0" borderId="56" xfId="0" applyFont="1" applyBorder="1" applyAlignment="1">
      <alignment horizontal="center" vertical="center"/>
    </xf>
    <xf numFmtId="0" fontId="0" fillId="0" borderId="64" xfId="0" applyFont="1" applyBorder="1" applyAlignment="1">
      <alignment horizontal="center" vertical="center"/>
    </xf>
    <xf numFmtId="0" fontId="2" fillId="0" borderId="57" xfId="0" applyFont="1" applyFill="1" applyBorder="1" applyAlignment="1">
      <alignment horizontal="center"/>
    </xf>
    <xf numFmtId="0" fontId="2" fillId="0" borderId="47" xfId="0" applyFont="1" applyFill="1" applyBorder="1" applyAlignment="1">
      <alignment horizontal="center"/>
    </xf>
    <xf numFmtId="0" fontId="2" fillId="0" borderId="39" xfId="0" applyFont="1" applyFill="1" applyBorder="1" applyAlignment="1">
      <alignment horizontal="center"/>
    </xf>
    <xf numFmtId="0" fontId="41" fillId="0" borderId="0" xfId="0" applyFont="1" applyAlignment="1">
      <alignment horizontal="left" wrapText="1" indent="7"/>
    </xf>
    <xf numFmtId="0" fontId="2" fillId="0" borderId="57" xfId="0" applyFont="1" applyBorder="1" applyAlignment="1">
      <alignment horizontal="center" vertical="center"/>
    </xf>
    <xf numFmtId="0" fontId="0" fillId="0" borderId="0" xfId="0" applyFont="1" applyAlignment="1">
      <alignment horizontal="left" vertical="center" wrapText="1"/>
    </xf>
    <xf numFmtId="0" fontId="50" fillId="0" borderId="0" xfId="0" applyFont="1" applyAlignment="1">
      <alignment horizontal="left" wrapText="1"/>
    </xf>
    <xf numFmtId="0" fontId="16" fillId="0" borderId="0" xfId="0" applyFont="1" applyFill="1" applyAlignment="1">
      <alignment horizontal="left" wrapText="1"/>
    </xf>
    <xf numFmtId="0" fontId="50" fillId="0" borderId="0" xfId="0" applyFont="1" applyAlignment="1">
      <alignment horizontal="left" vertical="center" wrapText="1"/>
    </xf>
    <xf numFmtId="0" fontId="0" fillId="0" borderId="0" xfId="0" applyAlignment="1">
      <alignment horizontal="left" wrapText="1" indent="3"/>
    </xf>
    <xf numFmtId="0" fontId="3" fillId="0" borderId="44" xfId="0" applyFont="1" applyBorder="1" applyAlignment="1">
      <alignment horizontal="center" vertical="center"/>
    </xf>
    <xf numFmtId="0" fontId="0" fillId="0" borderId="10" xfId="0" quotePrefix="1" applyBorder="1" applyAlignment="1">
      <alignment horizontal="center"/>
    </xf>
    <xf numFmtId="0" fontId="0" fillId="0" borderId="29" xfId="0" quotePrefix="1" applyBorder="1" applyAlignment="1">
      <alignment horizontal="center"/>
    </xf>
    <xf numFmtId="0" fontId="0" fillId="0" borderId="51" xfId="0" quotePrefix="1" applyBorder="1" applyAlignment="1">
      <alignment horizontal="center" vertical="center" wrapText="1"/>
    </xf>
    <xf numFmtId="0" fontId="0" fillId="0" borderId="78" xfId="0" quotePrefix="1" applyBorder="1" applyAlignment="1">
      <alignment horizontal="center" vertical="center" wrapText="1"/>
    </xf>
    <xf numFmtId="0" fontId="0" fillId="0" borderId="50" xfId="0" applyFill="1" applyBorder="1" applyAlignment="1">
      <alignment horizontal="left" vertical="center"/>
    </xf>
    <xf numFmtId="0" fontId="0" fillId="0" borderId="51" xfId="0" applyFill="1" applyBorder="1" applyAlignment="1">
      <alignment horizontal="left" vertical="center"/>
    </xf>
    <xf numFmtId="0" fontId="0" fillId="0" borderId="78" xfId="0" applyFill="1" applyBorder="1" applyAlignment="1">
      <alignment horizontal="left" vertical="center"/>
    </xf>
    <xf numFmtId="0" fontId="0" fillId="0" borderId="32" xfId="0" quotePrefix="1" applyBorder="1" applyAlignment="1">
      <alignment horizontal="left" vertical="center"/>
    </xf>
    <xf numFmtId="0" fontId="0" fillId="0" borderId="66" xfId="0" quotePrefix="1" applyBorder="1" applyAlignment="1">
      <alignment horizontal="left" vertical="center"/>
    </xf>
    <xf numFmtId="0" fontId="0" fillId="0" borderId="71" xfId="0" quotePrefix="1" applyBorder="1" applyAlignment="1">
      <alignment horizontal="left" vertical="center"/>
    </xf>
    <xf numFmtId="0" fontId="0" fillId="0" borderId="33" xfId="0" quotePrefix="1" applyBorder="1" applyAlignment="1">
      <alignment horizontal="left" vertical="center"/>
    </xf>
    <xf numFmtId="0" fontId="0" fillId="0" borderId="67" xfId="0" quotePrefix="1" applyBorder="1" applyAlignment="1">
      <alignment horizontal="left" vertical="center"/>
    </xf>
    <xf numFmtId="0" fontId="0" fillId="0" borderId="65" xfId="0" quotePrefix="1" applyBorder="1" applyAlignment="1">
      <alignment horizontal="left" vertical="center"/>
    </xf>
    <xf numFmtId="0" fontId="0" fillId="0" borderId="49" xfId="0" quotePrefix="1" applyBorder="1" applyAlignment="1">
      <alignment horizontal="left" vertical="center"/>
    </xf>
    <xf numFmtId="0" fontId="0" fillId="0" borderId="51" xfId="0" quotePrefix="1" applyBorder="1" applyAlignment="1">
      <alignment horizontal="left" vertical="center"/>
    </xf>
    <xf numFmtId="0" fontId="0" fillId="0" borderId="78" xfId="0" quotePrefix="1" applyBorder="1" applyAlignment="1">
      <alignment horizontal="left" vertical="center"/>
    </xf>
    <xf numFmtId="0" fontId="2" fillId="0" borderId="76" xfId="0" applyFont="1" applyFill="1" applyBorder="1" applyAlignment="1">
      <alignment horizontal="center" vertical="center"/>
    </xf>
    <xf numFmtId="0" fontId="2" fillId="0" borderId="60" xfId="0" applyFont="1" applyFill="1" applyBorder="1" applyAlignment="1">
      <alignment horizontal="center" vertical="center"/>
    </xf>
    <xf numFmtId="0" fontId="2" fillId="0" borderId="55"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81"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6" xfId="0" applyFont="1" applyFill="1" applyBorder="1" applyAlignment="1">
      <alignment horizontal="center" vertical="center"/>
    </xf>
    <xf numFmtId="0" fontId="2" fillId="0" borderId="79" xfId="0" applyFont="1" applyFill="1" applyBorder="1" applyAlignment="1">
      <alignment horizontal="center" vertical="center"/>
    </xf>
    <xf numFmtId="0" fontId="0" fillId="0" borderId="6" xfId="0" quotePrefix="1" applyBorder="1" applyAlignment="1">
      <alignment horizontal="center"/>
    </xf>
    <xf numFmtId="0" fontId="0" fillId="0" borderId="31" xfId="0" quotePrefix="1" applyBorder="1" applyAlignment="1">
      <alignment horizontal="center"/>
    </xf>
    <xf numFmtId="0" fontId="2" fillId="0" borderId="57" xfId="0" applyFont="1" applyFill="1" applyBorder="1" applyAlignment="1">
      <alignment horizontal="center" vertical="center"/>
    </xf>
    <xf numFmtId="0" fontId="2" fillId="0" borderId="47" xfId="0" applyFont="1" applyFill="1" applyBorder="1" applyAlignment="1">
      <alignment horizontal="center" vertical="center"/>
    </xf>
    <xf numFmtId="0" fontId="2" fillId="0" borderId="39" xfId="0" applyFont="1" applyFill="1" applyBorder="1" applyAlignment="1">
      <alignment horizontal="center" vertical="center"/>
    </xf>
    <xf numFmtId="0" fontId="0" fillId="0" borderId="12" xfId="0" quotePrefix="1" applyBorder="1" applyAlignment="1">
      <alignment horizontal="center" vertical="center"/>
    </xf>
    <xf numFmtId="0" fontId="0" fillId="0" borderId="0" xfId="0" quotePrefix="1" applyBorder="1" applyAlignment="1">
      <alignment horizontal="center" vertical="center"/>
    </xf>
    <xf numFmtId="0" fontId="0" fillId="0" borderId="77" xfId="0" quotePrefix="1" applyBorder="1" applyAlignment="1">
      <alignment horizontal="center" vertical="center"/>
    </xf>
    <xf numFmtId="0" fontId="0" fillId="0" borderId="56" xfId="0" quotePrefix="1" applyBorder="1" applyAlignment="1">
      <alignment horizontal="center" vertical="center"/>
    </xf>
    <xf numFmtId="0" fontId="2" fillId="0" borderId="8" xfId="0" applyFont="1" applyBorder="1" applyAlignment="1">
      <alignment horizontal="center"/>
    </xf>
    <xf numFmtId="0" fontId="2" fillId="0" borderId="9" xfId="0" applyFont="1" applyBorder="1" applyAlignment="1">
      <alignment horizontal="center"/>
    </xf>
    <xf numFmtId="0" fontId="2" fillId="0" borderId="48" xfId="0" applyFont="1" applyBorder="1" applyAlignment="1">
      <alignment horizontal="center"/>
    </xf>
    <xf numFmtId="0" fontId="3" fillId="0" borderId="30" xfId="0" applyFont="1" applyFill="1" applyBorder="1" applyAlignment="1">
      <alignment horizontal="center" vertical="center" wrapText="1"/>
    </xf>
    <xf numFmtId="0" fontId="0" fillId="0" borderId="61" xfId="0" applyFont="1" applyBorder="1" applyAlignment="1">
      <alignment horizontal="center" vertical="center"/>
    </xf>
    <xf numFmtId="0" fontId="0" fillId="0" borderId="44" xfId="0" applyFont="1" applyBorder="1" applyAlignment="1">
      <alignment horizontal="center" vertical="center"/>
    </xf>
    <xf numFmtId="0" fontId="4" fillId="14" borderId="4" xfId="0" applyFont="1" applyFill="1" applyBorder="1" applyAlignment="1">
      <alignment horizontal="center" vertical="center" wrapText="1"/>
    </xf>
    <xf numFmtId="0" fontId="4" fillId="14" borderId="6" xfId="0" applyFont="1" applyFill="1" applyBorder="1" applyAlignment="1">
      <alignment horizontal="center" vertical="center" wrapText="1"/>
    </xf>
    <xf numFmtId="0" fontId="4" fillId="15" borderId="2" xfId="0" applyFont="1" applyFill="1" applyBorder="1" applyAlignment="1">
      <alignment horizontal="center" vertical="center" wrapText="1"/>
    </xf>
    <xf numFmtId="0" fontId="4" fillId="15" borderId="4" xfId="0" applyFont="1" applyFill="1" applyBorder="1" applyAlignment="1">
      <alignment horizontal="center" vertical="center" wrapText="1"/>
    </xf>
    <xf numFmtId="0" fontId="0" fillId="0" borderId="31" xfId="0" applyFont="1" applyBorder="1" applyAlignment="1">
      <alignment horizontal="center" vertical="center"/>
    </xf>
    <xf numFmtId="0" fontId="19" fillId="0" borderId="0" xfId="0" applyFont="1" applyAlignment="1">
      <alignment horizontal="left" vertical="center" wrapText="1"/>
    </xf>
    <xf numFmtId="0" fontId="0" fillId="0" borderId="47" xfId="0" applyBorder="1" applyAlignment="1">
      <alignment horizontal="center" vertical="center"/>
    </xf>
    <xf numFmtId="0" fontId="19" fillId="0" borderId="0" xfId="0" applyFont="1" applyAlignment="1">
      <alignment horizontal="left" wrapText="1"/>
    </xf>
    <xf numFmtId="0" fontId="4" fillId="2" borderId="54" xfId="0" applyFont="1" applyFill="1" applyBorder="1" applyAlignment="1">
      <alignment horizontal="left" vertical="center" wrapText="1"/>
    </xf>
    <xf numFmtId="0" fontId="4" fillId="2" borderId="52" xfId="0" applyFont="1" applyFill="1" applyBorder="1" applyAlignment="1">
      <alignment horizontal="left" vertical="center" wrapText="1"/>
    </xf>
    <xf numFmtId="0" fontId="43" fillId="0" borderId="6" xfId="0" applyFont="1" applyBorder="1" applyAlignment="1">
      <alignment horizontal="left" vertical="top" wrapText="1" readingOrder="1"/>
    </xf>
    <xf numFmtId="0" fontId="43" fillId="0" borderId="22" xfId="0" applyFont="1" applyBorder="1" applyAlignment="1">
      <alignment horizontal="left" vertical="top" wrapText="1" readingOrder="1"/>
    </xf>
    <xf numFmtId="0" fontId="43" fillId="0" borderId="4" xfId="0" applyFont="1" applyBorder="1" applyAlignment="1">
      <alignment horizontal="left" vertical="top" wrapText="1" readingOrder="1"/>
    </xf>
    <xf numFmtId="0" fontId="43" fillId="0" borderId="21" xfId="0" applyFont="1" applyBorder="1" applyAlignment="1">
      <alignment horizontal="left" vertical="top" wrapText="1" readingOrder="1"/>
    </xf>
    <xf numFmtId="0" fontId="43" fillId="0" borderId="10" xfId="0" applyFont="1" applyBorder="1" applyAlignment="1">
      <alignment horizontal="left" vertical="top" wrapText="1" readingOrder="1"/>
    </xf>
    <xf numFmtId="0" fontId="43" fillId="0" borderId="23" xfId="0" applyFont="1" applyBorder="1" applyAlignment="1">
      <alignment horizontal="left" vertical="top" wrapText="1" readingOrder="1"/>
    </xf>
    <xf numFmtId="0" fontId="0" fillId="7" borderId="76" xfId="0" applyFill="1" applyBorder="1" applyAlignment="1">
      <alignment horizontal="center" vertical="center"/>
    </xf>
    <xf numFmtId="0" fontId="0" fillId="7" borderId="12" xfId="0" applyFill="1" applyBorder="1" applyAlignment="1">
      <alignment horizontal="center" vertical="center"/>
    </xf>
    <xf numFmtId="0" fontId="0" fillId="7" borderId="77" xfId="0" applyFill="1" applyBorder="1" applyAlignment="1">
      <alignment horizontal="center" vertical="center"/>
    </xf>
    <xf numFmtId="0" fontId="0" fillId="7" borderId="33" xfId="0" applyFill="1" applyBorder="1" applyAlignment="1">
      <alignment horizontal="center" vertical="center"/>
    </xf>
    <xf numFmtId="0" fontId="0" fillId="7" borderId="67" xfId="0" applyFill="1" applyBorder="1" applyAlignment="1">
      <alignment horizontal="center" vertical="center"/>
    </xf>
    <xf numFmtId="0" fontId="0" fillId="7" borderId="63" xfId="0" applyFill="1" applyBorder="1" applyAlignment="1">
      <alignment horizontal="center" vertical="center"/>
    </xf>
    <xf numFmtId="0" fontId="0" fillId="7" borderId="0" xfId="0" applyFill="1" applyAlignment="1">
      <alignment horizontal="left" wrapText="1"/>
    </xf>
    <xf numFmtId="11" fontId="0" fillId="7" borderId="0" xfId="0" applyNumberFormat="1" applyFill="1" applyAlignment="1">
      <alignment horizontal="center"/>
    </xf>
    <xf numFmtId="2" fontId="0" fillId="7" borderId="0" xfId="0" applyNumberFormat="1" applyFill="1" applyAlignment="1">
      <alignment horizontal="center"/>
    </xf>
  </cellXfs>
  <cellStyles count="14">
    <cellStyle name="Calculation 2" xfId="7" xr:uid="{FA377387-8B96-43A5-829E-CB45D48676EC}"/>
    <cellStyle name="Heading 1 2" xfId="8" xr:uid="{70E12A7A-82DA-4B3B-BD2A-C761BBDB82AA}"/>
    <cellStyle name="Heading 2 2" xfId="6" xr:uid="{8C5CD01C-5728-4898-B86D-072F01974E59}"/>
    <cellStyle name="Hyperlink" xfId="2" builtinId="8"/>
    <cellStyle name="Hyperlink 2" xfId="11" xr:uid="{75628096-911E-4A03-BB28-C5DE7D638A1D}"/>
    <cellStyle name="Normal" xfId="0" builtinId="0"/>
    <cellStyle name="Normal 10" xfId="10" xr:uid="{86392578-9E96-433A-B9C1-F7605524187E}"/>
    <cellStyle name="Normal 113" xfId="12" xr:uid="{30910BE9-B370-4F92-939D-E72A81AEA27F}"/>
    <cellStyle name="Normal 13 3" xfId="13" xr:uid="{D5AB6046-083F-4AE2-B7A0-E7D9C8043DF2}"/>
    <cellStyle name="Normal 2" xfId="3" xr:uid="{9CEEB71D-A361-4215-A208-CB1C8156ECD3}"/>
    <cellStyle name="Normal 2 2" xfId="5" xr:uid="{4DB3C803-8242-45AB-BD53-39A3C51B5014}"/>
    <cellStyle name="Percent" xfId="1" builtinId="5"/>
    <cellStyle name="Title 2" xfId="4" xr:uid="{DE19E31F-C21A-40D5-B3FE-A006A207B907}"/>
    <cellStyle name="Total 2" xfId="9" xr:uid="{80A1383D-A7BC-4FED-A98F-1EFA12DEE606}"/>
  </cellStyles>
  <dxfs count="4">
    <dxf>
      <fill>
        <patternFill>
          <bgColor indexed="10"/>
        </patternFill>
      </fill>
    </dxf>
    <dxf>
      <fill>
        <patternFill>
          <bgColor indexed="44"/>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3.xml"/><Relationship Id="rId50" Type="http://schemas.openxmlformats.org/officeDocument/2006/relationships/sharedStrings" Target="sharedStrings.xml"/><Relationship Id="rId55"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3"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4.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4" Type="http://schemas.openxmlformats.org/officeDocument/2006/relationships/image" Target="../media/image30.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1.png"/></Relationships>
</file>

<file path=xl/drawings/_rels/drawing17.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 Id="rId4" Type="http://schemas.openxmlformats.org/officeDocument/2006/relationships/image" Target="../media/image35.png"/></Relationships>
</file>

<file path=xl/drawings/_rels/drawing18.xml.rels><?xml version="1.0" encoding="UTF-8" standalone="yes"?>
<Relationships xmlns="http://schemas.openxmlformats.org/package/2006/relationships"><Relationship Id="rId2" Type="http://schemas.openxmlformats.org/officeDocument/2006/relationships/image" Target="../media/image37.emf"/><Relationship Id="rId1" Type="http://schemas.openxmlformats.org/officeDocument/2006/relationships/image" Target="../media/image36.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38.png"/></Relationships>
</file>

<file path=xl/drawings/_rels/drawing20.xml.rels><?xml version="1.0" encoding="UTF-8" standalone="yes"?>
<Relationships xmlns="http://schemas.openxmlformats.org/package/2006/relationships"><Relationship Id="rId2" Type="http://schemas.openxmlformats.org/officeDocument/2006/relationships/image" Target="../media/image40.png"/><Relationship Id="rId1" Type="http://schemas.openxmlformats.org/officeDocument/2006/relationships/image" Target="../media/image39.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4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43.png"/></Relationships>
</file>

<file path=xl/drawings/_rels/drawing24.xml.rels><?xml version="1.0" encoding="UTF-8" standalone="yes"?>
<Relationships xmlns="http://schemas.openxmlformats.org/package/2006/relationships"><Relationship Id="rId1" Type="http://schemas.openxmlformats.org/officeDocument/2006/relationships/image" Target="../media/image44.png"/></Relationships>
</file>

<file path=xl/drawings/_rels/drawing25.xml.rels><?xml version="1.0" encoding="UTF-8" standalone="yes"?>
<Relationships xmlns="http://schemas.openxmlformats.org/package/2006/relationships"><Relationship Id="rId2" Type="http://schemas.openxmlformats.org/officeDocument/2006/relationships/image" Target="../media/image46.png"/><Relationship Id="rId1" Type="http://schemas.openxmlformats.org/officeDocument/2006/relationships/image" Target="../media/image45.png"/></Relationships>
</file>

<file path=xl/drawings/_rels/drawing26.xml.rels><?xml version="1.0" encoding="UTF-8" standalone="yes"?>
<Relationships xmlns="http://schemas.openxmlformats.org/package/2006/relationships"><Relationship Id="rId1" Type="http://schemas.openxmlformats.org/officeDocument/2006/relationships/image" Target="../media/image47.png"/></Relationships>
</file>

<file path=xl/drawings/_rels/drawing27.xml.rels><?xml version="1.0" encoding="UTF-8" standalone="yes"?>
<Relationships xmlns="http://schemas.openxmlformats.org/package/2006/relationships"><Relationship Id="rId1" Type="http://schemas.openxmlformats.org/officeDocument/2006/relationships/image" Target="../media/image48.png"/></Relationships>
</file>

<file path=xl/drawings/_rels/drawing28.xml.rels><?xml version="1.0" encoding="UTF-8" standalone="yes"?>
<Relationships xmlns="http://schemas.openxmlformats.org/package/2006/relationships"><Relationship Id="rId1" Type="http://schemas.openxmlformats.org/officeDocument/2006/relationships/image" Target="../media/image49.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6.png"/><Relationship Id="rId1" Type="http://schemas.openxmlformats.org/officeDocument/2006/relationships/image" Target="../media/image13.png"/></Relationships>
</file>

<file path=xl/drawings/_rels/drawing8.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2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7</xdr:col>
      <xdr:colOff>266700</xdr:colOff>
      <xdr:row>17</xdr:row>
      <xdr:rowOff>161925</xdr:rowOff>
    </xdr:from>
    <xdr:to>
      <xdr:col>17</xdr:col>
      <xdr:colOff>258025</xdr:colOff>
      <xdr:row>22</xdr:row>
      <xdr:rowOff>19579</xdr:rowOff>
    </xdr:to>
    <xdr:pic>
      <xdr:nvPicPr>
        <xdr:cNvPr id="2" name="Picture 1">
          <a:extLst>
            <a:ext uri="{FF2B5EF4-FFF2-40B4-BE49-F238E27FC236}">
              <a16:creationId xmlns:a16="http://schemas.microsoft.com/office/drawing/2014/main" id="{A7866666-DBD6-4A07-A805-A8CF8508C65C}"/>
            </a:ext>
          </a:extLst>
        </xdr:cNvPr>
        <xdr:cNvPicPr>
          <a:picLocks noChangeAspect="1"/>
        </xdr:cNvPicPr>
      </xdr:nvPicPr>
      <xdr:blipFill>
        <a:blip xmlns:r="http://schemas.openxmlformats.org/officeDocument/2006/relationships" r:embed="rId1"/>
        <a:stretch>
          <a:fillRect/>
        </a:stretch>
      </xdr:blipFill>
      <xdr:spPr>
        <a:xfrm>
          <a:off x="12106275" y="3638550"/>
          <a:ext cx="6087325" cy="379147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8</xdr:col>
      <xdr:colOff>0</xdr:colOff>
      <xdr:row>15</xdr:row>
      <xdr:rowOff>0</xdr:rowOff>
    </xdr:from>
    <xdr:to>
      <xdr:col>12</xdr:col>
      <xdr:colOff>47625</xdr:colOff>
      <xdr:row>34</xdr:row>
      <xdr:rowOff>95250</xdr:rowOff>
    </xdr:to>
    <xdr:pic>
      <xdr:nvPicPr>
        <xdr:cNvPr id="2" name="Picture 11">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67825" y="4238625"/>
          <a:ext cx="6296025" cy="390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2</xdr:col>
      <xdr:colOff>609600</xdr:colOff>
      <xdr:row>27</xdr:row>
      <xdr:rowOff>38100</xdr:rowOff>
    </xdr:from>
    <xdr:to>
      <xdr:col>11</xdr:col>
      <xdr:colOff>476250</xdr:colOff>
      <xdr:row>28</xdr:row>
      <xdr:rowOff>19050</xdr:rowOff>
    </xdr:to>
    <xdr:pic>
      <xdr:nvPicPr>
        <xdr:cNvPr id="2" name="Picture 1" descr="image001">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05050" y="5229225"/>
          <a:ext cx="939165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15</xdr:row>
      <xdr:rowOff>0</xdr:rowOff>
    </xdr:from>
    <xdr:to>
      <xdr:col>19</xdr:col>
      <xdr:colOff>526226</xdr:colOff>
      <xdr:row>28</xdr:row>
      <xdr:rowOff>105307</xdr:rowOff>
    </xdr:to>
    <xdr:pic>
      <xdr:nvPicPr>
        <xdr:cNvPr id="3" name="Pictur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2"/>
        <a:stretch>
          <a:fillRect/>
        </a:stretch>
      </xdr:blipFill>
      <xdr:spPr>
        <a:xfrm>
          <a:off x="12353925" y="4019550"/>
          <a:ext cx="4793426" cy="381053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12</xdr:col>
      <xdr:colOff>542925</xdr:colOff>
      <xdr:row>16</xdr:row>
      <xdr:rowOff>76200</xdr:rowOff>
    </xdr:from>
    <xdr:to>
      <xdr:col>19</xdr:col>
      <xdr:colOff>600678</xdr:colOff>
      <xdr:row>32</xdr:row>
      <xdr:rowOff>476731</xdr:rowOff>
    </xdr:to>
    <xdr:pic>
      <xdr:nvPicPr>
        <xdr:cNvPr id="2" name="Pictur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a:stretch>
          <a:fillRect/>
        </a:stretch>
      </xdr:blipFill>
      <xdr:spPr>
        <a:xfrm>
          <a:off x="12906375" y="3552825"/>
          <a:ext cx="4324954" cy="344853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285750</xdr:colOff>
      <xdr:row>24</xdr:row>
      <xdr:rowOff>152400</xdr:rowOff>
    </xdr:from>
    <xdr:to>
      <xdr:col>15</xdr:col>
      <xdr:colOff>391130</xdr:colOff>
      <xdr:row>38</xdr:row>
      <xdr:rowOff>76616</xdr:rowOff>
    </xdr:to>
    <xdr:pic>
      <xdr:nvPicPr>
        <xdr:cNvPr id="2" name="Picture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a:stretch>
          <a:fillRect/>
        </a:stretch>
      </xdr:blipFill>
      <xdr:spPr>
        <a:xfrm>
          <a:off x="11963400" y="5734050"/>
          <a:ext cx="4334480" cy="2981741"/>
        </a:xfrm>
        <a:prstGeom prst="rect">
          <a:avLst/>
        </a:prstGeom>
      </xdr:spPr>
    </xdr:pic>
    <xdr:clientData/>
  </xdr:twoCellAnchor>
  <xdr:twoCellAnchor editAs="oneCell">
    <xdr:from>
      <xdr:col>10</xdr:col>
      <xdr:colOff>19050</xdr:colOff>
      <xdr:row>40</xdr:row>
      <xdr:rowOff>9525</xdr:rowOff>
    </xdr:from>
    <xdr:to>
      <xdr:col>21</xdr:col>
      <xdr:colOff>391678</xdr:colOff>
      <xdr:row>59</xdr:row>
      <xdr:rowOff>143399</xdr:rowOff>
    </xdr:to>
    <xdr:pic>
      <xdr:nvPicPr>
        <xdr:cNvPr id="4" name="Picture 3">
          <a:extLst>
            <a:ext uri="{FF2B5EF4-FFF2-40B4-BE49-F238E27FC236}">
              <a16:creationId xmlns:a16="http://schemas.microsoft.com/office/drawing/2014/main" id="{00000000-0008-0000-1600-000004000000}"/>
            </a:ext>
          </a:extLst>
        </xdr:cNvPr>
        <xdr:cNvPicPr>
          <a:picLocks noChangeAspect="1"/>
        </xdr:cNvPicPr>
      </xdr:nvPicPr>
      <xdr:blipFill>
        <a:blip xmlns:r="http://schemas.openxmlformats.org/officeDocument/2006/relationships" r:embed="rId2"/>
        <a:stretch>
          <a:fillRect/>
        </a:stretch>
      </xdr:blipFill>
      <xdr:spPr>
        <a:xfrm>
          <a:off x="11696700" y="9439275"/>
          <a:ext cx="8259328" cy="375337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9</xdr:col>
      <xdr:colOff>457200</xdr:colOff>
      <xdr:row>14</xdr:row>
      <xdr:rowOff>114300</xdr:rowOff>
    </xdr:from>
    <xdr:to>
      <xdr:col>14</xdr:col>
      <xdr:colOff>476920</xdr:colOff>
      <xdr:row>27</xdr:row>
      <xdr:rowOff>25185</xdr:rowOff>
    </xdr:to>
    <xdr:pic>
      <xdr:nvPicPr>
        <xdr:cNvPr id="2" name="Picture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a:stretch>
          <a:fillRect/>
        </a:stretch>
      </xdr:blipFill>
      <xdr:spPr>
        <a:xfrm>
          <a:off x="10458450" y="3781425"/>
          <a:ext cx="4801270" cy="3810532"/>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11</xdr:col>
      <xdr:colOff>171450</xdr:colOff>
      <xdr:row>12</xdr:row>
      <xdr:rowOff>66675</xdr:rowOff>
    </xdr:from>
    <xdr:to>
      <xdr:col>30</xdr:col>
      <xdr:colOff>293468</xdr:colOff>
      <xdr:row>32</xdr:row>
      <xdr:rowOff>80566</xdr:rowOff>
    </xdr:to>
    <xdr:pic>
      <xdr:nvPicPr>
        <xdr:cNvPr id="2" name="Picture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a:stretch>
          <a:fillRect/>
        </a:stretch>
      </xdr:blipFill>
      <xdr:spPr>
        <a:xfrm>
          <a:off x="13125450" y="2971800"/>
          <a:ext cx="11704418" cy="4433491"/>
        </a:xfrm>
        <a:prstGeom prst="rect">
          <a:avLst/>
        </a:prstGeom>
      </xdr:spPr>
    </xdr:pic>
    <xdr:clientData/>
  </xdr:twoCellAnchor>
  <xdr:twoCellAnchor editAs="oneCell">
    <xdr:from>
      <xdr:col>11</xdr:col>
      <xdr:colOff>0</xdr:colOff>
      <xdr:row>41</xdr:row>
      <xdr:rowOff>0</xdr:rowOff>
    </xdr:from>
    <xdr:to>
      <xdr:col>28</xdr:col>
      <xdr:colOff>246324</xdr:colOff>
      <xdr:row>71</xdr:row>
      <xdr:rowOff>94524</xdr:rowOff>
    </xdr:to>
    <xdr:pic>
      <xdr:nvPicPr>
        <xdr:cNvPr id="3" name="Picture 2">
          <a:extLst>
            <a:ext uri="{FF2B5EF4-FFF2-40B4-BE49-F238E27FC236}">
              <a16:creationId xmlns:a16="http://schemas.microsoft.com/office/drawing/2014/main" id="{00000000-0008-0000-1800-000003000000}"/>
            </a:ext>
          </a:extLst>
        </xdr:cNvPr>
        <xdr:cNvPicPr>
          <a:picLocks noChangeAspect="1"/>
        </xdr:cNvPicPr>
      </xdr:nvPicPr>
      <xdr:blipFill>
        <a:blip xmlns:r="http://schemas.openxmlformats.org/officeDocument/2006/relationships" r:embed="rId2"/>
        <a:stretch>
          <a:fillRect/>
        </a:stretch>
      </xdr:blipFill>
      <xdr:spPr>
        <a:xfrm>
          <a:off x="12954000" y="7477125"/>
          <a:ext cx="10609524" cy="5809524"/>
        </a:xfrm>
        <a:prstGeom prst="rect">
          <a:avLst/>
        </a:prstGeom>
      </xdr:spPr>
    </xdr:pic>
    <xdr:clientData/>
  </xdr:twoCellAnchor>
  <xdr:twoCellAnchor editAs="oneCell">
    <xdr:from>
      <xdr:col>2</xdr:col>
      <xdr:colOff>0</xdr:colOff>
      <xdr:row>47</xdr:row>
      <xdr:rowOff>1</xdr:rowOff>
    </xdr:from>
    <xdr:to>
      <xdr:col>9</xdr:col>
      <xdr:colOff>800100</xdr:colOff>
      <xdr:row>59</xdr:row>
      <xdr:rowOff>78915</xdr:rowOff>
    </xdr:to>
    <xdr:pic>
      <xdr:nvPicPr>
        <xdr:cNvPr id="6" name="Picture 5">
          <a:extLst>
            <a:ext uri="{FF2B5EF4-FFF2-40B4-BE49-F238E27FC236}">
              <a16:creationId xmlns:a16="http://schemas.microsoft.com/office/drawing/2014/main" id="{00000000-0008-0000-1800-000006000000}"/>
            </a:ext>
          </a:extLst>
        </xdr:cNvPr>
        <xdr:cNvPicPr>
          <a:picLocks noChangeAspect="1"/>
        </xdr:cNvPicPr>
      </xdr:nvPicPr>
      <xdr:blipFill>
        <a:blip xmlns:r="http://schemas.openxmlformats.org/officeDocument/2006/relationships" r:embed="rId3"/>
        <a:stretch>
          <a:fillRect/>
        </a:stretch>
      </xdr:blipFill>
      <xdr:spPr>
        <a:xfrm>
          <a:off x="1695450" y="10944226"/>
          <a:ext cx="9105900" cy="2364914"/>
        </a:xfrm>
        <a:prstGeom prst="rect">
          <a:avLst/>
        </a:prstGeom>
      </xdr:spPr>
    </xdr:pic>
    <xdr:clientData/>
  </xdr:twoCellAnchor>
  <xdr:twoCellAnchor editAs="oneCell">
    <xdr:from>
      <xdr:col>9</xdr:col>
      <xdr:colOff>323850</xdr:colOff>
      <xdr:row>27</xdr:row>
      <xdr:rowOff>180976</xdr:rowOff>
    </xdr:from>
    <xdr:to>
      <xdr:col>10</xdr:col>
      <xdr:colOff>1456869</xdr:colOff>
      <xdr:row>41</xdr:row>
      <xdr:rowOff>47626</xdr:rowOff>
    </xdr:to>
    <xdr:pic>
      <xdr:nvPicPr>
        <xdr:cNvPr id="9" name="Picture 8">
          <a:extLst>
            <a:ext uri="{FF2B5EF4-FFF2-40B4-BE49-F238E27FC236}">
              <a16:creationId xmlns:a16="http://schemas.microsoft.com/office/drawing/2014/main" id="{00000000-0008-0000-1800-00000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325100" y="7124701"/>
          <a:ext cx="2428419" cy="253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10</xdr:col>
      <xdr:colOff>963706</xdr:colOff>
      <xdr:row>10</xdr:row>
      <xdr:rowOff>168089</xdr:rowOff>
    </xdr:from>
    <xdr:to>
      <xdr:col>23</xdr:col>
      <xdr:colOff>259402</xdr:colOff>
      <xdr:row>27</xdr:row>
      <xdr:rowOff>31866</xdr:rowOff>
    </xdr:to>
    <xdr:pic>
      <xdr:nvPicPr>
        <xdr:cNvPr id="2" name="Pictur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a:stretch>
          <a:fillRect/>
        </a:stretch>
      </xdr:blipFill>
      <xdr:spPr>
        <a:xfrm>
          <a:off x="11508441" y="3081618"/>
          <a:ext cx="7935432" cy="3505689"/>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13</xdr:col>
      <xdr:colOff>11207</xdr:colOff>
      <xdr:row>19</xdr:row>
      <xdr:rowOff>0</xdr:rowOff>
    </xdr:from>
    <xdr:to>
      <xdr:col>25</xdr:col>
      <xdr:colOff>485175</xdr:colOff>
      <xdr:row>34</xdr:row>
      <xdr:rowOff>187619</xdr:rowOff>
    </xdr:to>
    <xdr:pic>
      <xdr:nvPicPr>
        <xdr:cNvPr id="3" name="Picture 2">
          <a:extLst>
            <a:ext uri="{FF2B5EF4-FFF2-40B4-BE49-F238E27FC236}">
              <a16:creationId xmlns:a16="http://schemas.microsoft.com/office/drawing/2014/main" id="{00000000-0008-0000-1A00-000003000000}"/>
            </a:ext>
          </a:extLst>
        </xdr:cNvPr>
        <xdr:cNvPicPr>
          <a:picLocks noChangeAspect="1"/>
        </xdr:cNvPicPr>
      </xdr:nvPicPr>
      <xdr:blipFill>
        <a:blip xmlns:r="http://schemas.openxmlformats.org/officeDocument/2006/relationships" r:embed="rId1"/>
        <a:stretch>
          <a:fillRect/>
        </a:stretch>
      </xdr:blipFill>
      <xdr:spPr>
        <a:xfrm>
          <a:off x="12640236" y="4628029"/>
          <a:ext cx="7735380" cy="3448531"/>
        </a:xfrm>
        <a:prstGeom prst="rect">
          <a:avLst/>
        </a:prstGeom>
      </xdr:spPr>
    </xdr:pic>
    <xdr:clientData/>
  </xdr:twoCellAnchor>
  <xdr:twoCellAnchor editAs="oneCell">
    <xdr:from>
      <xdr:col>13</xdr:col>
      <xdr:colOff>0</xdr:colOff>
      <xdr:row>36</xdr:row>
      <xdr:rowOff>0</xdr:rowOff>
    </xdr:from>
    <xdr:to>
      <xdr:col>25</xdr:col>
      <xdr:colOff>35756</xdr:colOff>
      <xdr:row>53</xdr:row>
      <xdr:rowOff>76663</xdr:rowOff>
    </xdr:to>
    <xdr:pic>
      <xdr:nvPicPr>
        <xdr:cNvPr id="4" name="Picture 3">
          <a:extLst>
            <a:ext uri="{FF2B5EF4-FFF2-40B4-BE49-F238E27FC236}">
              <a16:creationId xmlns:a16="http://schemas.microsoft.com/office/drawing/2014/main" id="{00000000-0008-0000-1A00-000004000000}"/>
            </a:ext>
          </a:extLst>
        </xdr:cNvPr>
        <xdr:cNvPicPr>
          <a:picLocks noChangeAspect="1"/>
        </xdr:cNvPicPr>
      </xdr:nvPicPr>
      <xdr:blipFill>
        <a:blip xmlns:r="http://schemas.openxmlformats.org/officeDocument/2006/relationships" r:embed="rId2"/>
        <a:stretch>
          <a:fillRect/>
        </a:stretch>
      </xdr:blipFill>
      <xdr:spPr>
        <a:xfrm>
          <a:off x="12629029" y="8460441"/>
          <a:ext cx="7297168" cy="3315163"/>
        </a:xfrm>
        <a:prstGeom prst="rect">
          <a:avLst/>
        </a:prstGeom>
      </xdr:spPr>
    </xdr:pic>
    <xdr:clientData/>
  </xdr:twoCellAnchor>
  <xdr:twoCellAnchor editAs="oneCell">
    <xdr:from>
      <xdr:col>13</xdr:col>
      <xdr:colOff>0</xdr:colOff>
      <xdr:row>54</xdr:row>
      <xdr:rowOff>0</xdr:rowOff>
    </xdr:from>
    <xdr:to>
      <xdr:col>25</xdr:col>
      <xdr:colOff>54809</xdr:colOff>
      <xdr:row>71</xdr:row>
      <xdr:rowOff>67136</xdr:rowOff>
    </xdr:to>
    <xdr:pic>
      <xdr:nvPicPr>
        <xdr:cNvPr id="6" name="Picture 5">
          <a:extLst>
            <a:ext uri="{FF2B5EF4-FFF2-40B4-BE49-F238E27FC236}">
              <a16:creationId xmlns:a16="http://schemas.microsoft.com/office/drawing/2014/main" id="{00000000-0008-0000-1A00-000006000000}"/>
            </a:ext>
          </a:extLst>
        </xdr:cNvPr>
        <xdr:cNvPicPr>
          <a:picLocks noChangeAspect="1"/>
        </xdr:cNvPicPr>
      </xdr:nvPicPr>
      <xdr:blipFill>
        <a:blip xmlns:r="http://schemas.openxmlformats.org/officeDocument/2006/relationships" r:embed="rId3"/>
        <a:stretch>
          <a:fillRect/>
        </a:stretch>
      </xdr:blipFill>
      <xdr:spPr>
        <a:xfrm>
          <a:off x="12629029" y="12079941"/>
          <a:ext cx="7316221" cy="3305636"/>
        </a:xfrm>
        <a:prstGeom prst="rect">
          <a:avLst/>
        </a:prstGeom>
      </xdr:spPr>
    </xdr:pic>
    <xdr:clientData/>
  </xdr:twoCellAnchor>
  <xdr:twoCellAnchor editAs="oneCell">
    <xdr:from>
      <xdr:col>13</xdr:col>
      <xdr:colOff>0</xdr:colOff>
      <xdr:row>73</xdr:row>
      <xdr:rowOff>0</xdr:rowOff>
    </xdr:from>
    <xdr:to>
      <xdr:col>24</xdr:col>
      <xdr:colOff>602769</xdr:colOff>
      <xdr:row>90</xdr:row>
      <xdr:rowOff>143347</xdr:rowOff>
    </xdr:to>
    <xdr:pic>
      <xdr:nvPicPr>
        <xdr:cNvPr id="7" name="Picture 6">
          <a:extLst>
            <a:ext uri="{FF2B5EF4-FFF2-40B4-BE49-F238E27FC236}">
              <a16:creationId xmlns:a16="http://schemas.microsoft.com/office/drawing/2014/main" id="{00000000-0008-0000-1A00-000007000000}"/>
            </a:ext>
          </a:extLst>
        </xdr:cNvPr>
        <xdr:cNvPicPr>
          <a:picLocks noChangeAspect="1"/>
        </xdr:cNvPicPr>
      </xdr:nvPicPr>
      <xdr:blipFill>
        <a:blip xmlns:r="http://schemas.openxmlformats.org/officeDocument/2006/relationships" r:embed="rId4"/>
        <a:stretch>
          <a:fillRect/>
        </a:stretch>
      </xdr:blipFill>
      <xdr:spPr>
        <a:xfrm>
          <a:off x="12629029" y="15699441"/>
          <a:ext cx="7259063" cy="3381847"/>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8</xdr:col>
      <xdr:colOff>0</xdr:colOff>
      <xdr:row>27</xdr:row>
      <xdr:rowOff>0</xdr:rowOff>
    </xdr:from>
    <xdr:to>
      <xdr:col>18</xdr:col>
      <xdr:colOff>112059</xdr:colOff>
      <xdr:row>52</xdr:row>
      <xdr:rowOff>62614</xdr:rowOff>
    </xdr:to>
    <xdr:pic>
      <xdr:nvPicPr>
        <xdr:cNvPr id="3" name="Picture 1">
          <a:extLst>
            <a:ext uri="{FF2B5EF4-FFF2-40B4-BE49-F238E27FC236}">
              <a16:creationId xmlns:a16="http://schemas.microsoft.com/office/drawing/2014/main" id="{00000000-0008-0000-1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86265" y="6152029"/>
          <a:ext cx="8684559" cy="48251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56028</xdr:colOff>
      <xdr:row>14</xdr:row>
      <xdr:rowOff>168089</xdr:rowOff>
    </xdr:from>
    <xdr:to>
      <xdr:col>10</xdr:col>
      <xdr:colOff>874059</xdr:colOff>
      <xdr:row>20</xdr:row>
      <xdr:rowOff>100622</xdr:rowOff>
    </xdr:to>
    <xdr:pic>
      <xdr:nvPicPr>
        <xdr:cNvPr id="4" name="Picture 3">
          <a:extLst>
            <a:ext uri="{FF2B5EF4-FFF2-40B4-BE49-F238E27FC236}">
              <a16:creationId xmlns:a16="http://schemas.microsoft.com/office/drawing/2014/main" id="{00000000-0008-0000-1B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42293" y="3843618"/>
          <a:ext cx="3171266" cy="10755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11</xdr:col>
      <xdr:colOff>1411140</xdr:colOff>
      <xdr:row>9</xdr:row>
      <xdr:rowOff>520273</xdr:rowOff>
    </xdr:from>
    <xdr:to>
      <xdr:col>19</xdr:col>
      <xdr:colOff>184801</xdr:colOff>
      <xdr:row>26</xdr:row>
      <xdr:rowOff>181695</xdr:rowOff>
    </xdr:to>
    <xdr:pic>
      <xdr:nvPicPr>
        <xdr:cNvPr id="2" name="Picture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a:stretch>
          <a:fillRect/>
        </a:stretch>
      </xdr:blipFill>
      <xdr:spPr>
        <a:xfrm>
          <a:off x="15276819" y="3622702"/>
          <a:ext cx="7318946" cy="36755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19050</xdr:colOff>
          <xdr:row>45</xdr:row>
          <xdr:rowOff>247650</xdr:rowOff>
        </xdr:from>
        <xdr:to>
          <xdr:col>5</xdr:col>
          <xdr:colOff>885825</xdr:colOff>
          <xdr:row>48</xdr:row>
          <xdr:rowOff>0</xdr:rowOff>
        </xdr:to>
        <xdr:sp macro="" textlink="">
          <xdr:nvSpPr>
            <xdr:cNvPr id="104450" name="Object 2" hidden="1">
              <a:extLst>
                <a:ext uri="{63B3BB69-23CF-44E3-9099-C40C66FF867C}">
                  <a14:compatExt spid="_x0000_s104450"/>
                </a:ext>
                <a:ext uri="{FF2B5EF4-FFF2-40B4-BE49-F238E27FC236}">
                  <a16:creationId xmlns:a16="http://schemas.microsoft.com/office/drawing/2014/main" id="{00000000-0008-0000-0200-0000029801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editAs="oneCell">
    <xdr:from>
      <xdr:col>8</xdr:col>
      <xdr:colOff>1171575</xdr:colOff>
      <xdr:row>16</xdr:row>
      <xdr:rowOff>180975</xdr:rowOff>
    </xdr:from>
    <xdr:to>
      <xdr:col>13</xdr:col>
      <xdr:colOff>249680</xdr:colOff>
      <xdr:row>32</xdr:row>
      <xdr:rowOff>48032</xdr:rowOff>
    </xdr:to>
    <xdr:pic>
      <xdr:nvPicPr>
        <xdr:cNvPr id="3" name="Picture 2">
          <a:extLst>
            <a:ext uri="{FF2B5EF4-FFF2-40B4-BE49-F238E27FC236}">
              <a16:creationId xmlns:a16="http://schemas.microsoft.com/office/drawing/2014/main" id="{00000000-0008-0000-1D00-000003000000}"/>
            </a:ext>
          </a:extLst>
        </xdr:cNvPr>
        <xdr:cNvPicPr>
          <a:picLocks noChangeAspect="1"/>
        </xdr:cNvPicPr>
      </xdr:nvPicPr>
      <xdr:blipFill>
        <a:blip xmlns:r="http://schemas.openxmlformats.org/officeDocument/2006/relationships" r:embed="rId1"/>
        <a:stretch>
          <a:fillRect/>
        </a:stretch>
      </xdr:blipFill>
      <xdr:spPr>
        <a:xfrm>
          <a:off x="10067925" y="3657600"/>
          <a:ext cx="4801270" cy="2915057"/>
        </a:xfrm>
        <a:prstGeom prst="rect">
          <a:avLst/>
        </a:prstGeom>
      </xdr:spPr>
    </xdr:pic>
    <xdr:clientData/>
  </xdr:twoCellAnchor>
  <xdr:twoCellAnchor editAs="oneCell">
    <xdr:from>
      <xdr:col>8</xdr:col>
      <xdr:colOff>1319893</xdr:colOff>
      <xdr:row>36</xdr:row>
      <xdr:rowOff>68035</xdr:rowOff>
    </xdr:from>
    <xdr:to>
      <xdr:col>18</xdr:col>
      <xdr:colOff>542679</xdr:colOff>
      <xdr:row>69</xdr:row>
      <xdr:rowOff>183228</xdr:rowOff>
    </xdr:to>
    <xdr:pic>
      <xdr:nvPicPr>
        <xdr:cNvPr id="2" name="Picture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2"/>
        <a:stretch>
          <a:fillRect/>
        </a:stretch>
      </xdr:blipFill>
      <xdr:spPr>
        <a:xfrm>
          <a:off x="10218964" y="8327571"/>
          <a:ext cx="8013001" cy="640169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7</xdr:col>
      <xdr:colOff>228600</xdr:colOff>
      <xdr:row>12</xdr:row>
      <xdr:rowOff>28575</xdr:rowOff>
    </xdr:from>
    <xdr:to>
      <xdr:col>12</xdr:col>
      <xdr:colOff>400841</xdr:colOff>
      <xdr:row>24</xdr:row>
      <xdr:rowOff>9856</xdr:rowOff>
    </xdr:to>
    <xdr:pic>
      <xdr:nvPicPr>
        <xdr:cNvPr id="2" name="Picture 1">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1"/>
        <a:stretch>
          <a:fillRect/>
        </a:stretch>
      </xdr:blipFill>
      <xdr:spPr>
        <a:xfrm>
          <a:off x="8515350" y="3314700"/>
          <a:ext cx="5668166" cy="237205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11</xdr:col>
      <xdr:colOff>0</xdr:colOff>
      <xdr:row>14</xdr:row>
      <xdr:rowOff>0</xdr:rowOff>
    </xdr:from>
    <xdr:to>
      <xdr:col>20</xdr:col>
      <xdr:colOff>514350</xdr:colOff>
      <xdr:row>30</xdr:row>
      <xdr:rowOff>347345</xdr:rowOff>
    </xdr:to>
    <xdr:pic>
      <xdr:nvPicPr>
        <xdr:cNvPr id="2" name="Picture 1">
          <a:extLst>
            <a:ext uri="{FF2B5EF4-FFF2-40B4-BE49-F238E27FC236}">
              <a16:creationId xmlns:a16="http://schemas.microsoft.com/office/drawing/2014/main" id="{00000000-0008-0000-2200-000002000000}"/>
            </a:ext>
          </a:extLst>
        </xdr:cNvPr>
        <xdr:cNvPicPr/>
      </xdr:nvPicPr>
      <xdr:blipFill>
        <a:blip xmlns:r="http://schemas.openxmlformats.org/officeDocument/2006/relationships" r:embed="rId1"/>
        <a:stretch>
          <a:fillRect/>
        </a:stretch>
      </xdr:blipFill>
      <xdr:spPr>
        <a:xfrm>
          <a:off x="13706475" y="3924300"/>
          <a:ext cx="6000750" cy="358584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11</xdr:col>
      <xdr:colOff>28574</xdr:colOff>
      <xdr:row>32</xdr:row>
      <xdr:rowOff>142875</xdr:rowOff>
    </xdr:from>
    <xdr:to>
      <xdr:col>17</xdr:col>
      <xdr:colOff>242046</xdr:colOff>
      <xdr:row>51</xdr:row>
      <xdr:rowOff>190499</xdr:rowOff>
    </xdr:to>
    <xdr:pic>
      <xdr:nvPicPr>
        <xdr:cNvPr id="3" name="Picture 2">
          <a:extLst>
            <a:ext uri="{FF2B5EF4-FFF2-40B4-BE49-F238E27FC236}">
              <a16:creationId xmlns:a16="http://schemas.microsoft.com/office/drawing/2014/main" id="{00000000-0008-0000-2300-000003000000}"/>
            </a:ext>
          </a:extLst>
        </xdr:cNvPr>
        <xdr:cNvPicPr/>
      </xdr:nvPicPr>
      <xdr:blipFill>
        <a:blip xmlns:r="http://schemas.openxmlformats.org/officeDocument/2006/relationships" r:embed="rId1"/>
        <a:stretch>
          <a:fillRect/>
        </a:stretch>
      </xdr:blipFill>
      <xdr:spPr>
        <a:xfrm>
          <a:off x="13477874" y="8601075"/>
          <a:ext cx="7419975" cy="408622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2</xdr:col>
      <xdr:colOff>628651</xdr:colOff>
      <xdr:row>35</xdr:row>
      <xdr:rowOff>19050</xdr:rowOff>
    </xdr:from>
    <xdr:to>
      <xdr:col>2</xdr:col>
      <xdr:colOff>1643561</xdr:colOff>
      <xdr:row>36</xdr:row>
      <xdr:rowOff>0</xdr:rowOff>
    </xdr:to>
    <xdr:pic>
      <xdr:nvPicPr>
        <xdr:cNvPr id="2" name="Picture 1">
          <a:extLst>
            <a:ext uri="{FF2B5EF4-FFF2-40B4-BE49-F238E27FC236}">
              <a16:creationId xmlns:a16="http://schemas.microsoft.com/office/drawing/2014/main" id="{00000000-0008-0000-2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4101" y="8829675"/>
          <a:ext cx="101491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12</xdr:col>
      <xdr:colOff>0</xdr:colOff>
      <xdr:row>71</xdr:row>
      <xdr:rowOff>0</xdr:rowOff>
    </xdr:from>
    <xdr:to>
      <xdr:col>15</xdr:col>
      <xdr:colOff>114588</xdr:colOff>
      <xdr:row>89</xdr:row>
      <xdr:rowOff>114795</xdr:rowOff>
    </xdr:to>
    <xdr:pic>
      <xdr:nvPicPr>
        <xdr:cNvPr id="3" name="Picture 2">
          <a:extLst>
            <a:ext uri="{FF2B5EF4-FFF2-40B4-BE49-F238E27FC236}">
              <a16:creationId xmlns:a16="http://schemas.microsoft.com/office/drawing/2014/main" id="{00000000-0008-0000-2600-000003000000}"/>
            </a:ext>
          </a:extLst>
        </xdr:cNvPr>
        <xdr:cNvPicPr>
          <a:picLocks noChangeAspect="1"/>
        </xdr:cNvPicPr>
      </xdr:nvPicPr>
      <xdr:blipFill>
        <a:blip xmlns:r="http://schemas.openxmlformats.org/officeDocument/2006/relationships" r:embed="rId1"/>
        <a:stretch>
          <a:fillRect/>
        </a:stretch>
      </xdr:blipFill>
      <xdr:spPr>
        <a:xfrm>
          <a:off x="13763625" y="14773275"/>
          <a:ext cx="2067213" cy="3543795"/>
        </a:xfrm>
        <a:prstGeom prst="rect">
          <a:avLst/>
        </a:prstGeom>
      </xdr:spPr>
    </xdr:pic>
    <xdr:clientData/>
  </xdr:twoCellAnchor>
  <xdr:twoCellAnchor editAs="oneCell">
    <xdr:from>
      <xdr:col>9</xdr:col>
      <xdr:colOff>1200151</xdr:colOff>
      <xdr:row>46</xdr:row>
      <xdr:rowOff>152401</xdr:rowOff>
    </xdr:from>
    <xdr:to>
      <xdr:col>14</xdr:col>
      <xdr:colOff>600076</xdr:colOff>
      <xdr:row>60</xdr:row>
      <xdr:rowOff>86010</xdr:rowOff>
    </xdr:to>
    <xdr:pic>
      <xdr:nvPicPr>
        <xdr:cNvPr id="2" name="Picture 1">
          <a:extLst>
            <a:ext uri="{FF2B5EF4-FFF2-40B4-BE49-F238E27FC236}">
              <a16:creationId xmlns:a16="http://schemas.microsoft.com/office/drawing/2014/main" id="{00000000-0008-0000-2600-000002000000}"/>
            </a:ext>
          </a:extLst>
        </xdr:cNvPr>
        <xdr:cNvPicPr>
          <a:picLocks noChangeAspect="1"/>
        </xdr:cNvPicPr>
      </xdr:nvPicPr>
      <xdr:blipFill>
        <a:blip xmlns:r="http://schemas.openxmlformats.org/officeDocument/2006/relationships" r:embed="rId2"/>
        <a:stretch>
          <a:fillRect/>
        </a:stretch>
      </xdr:blipFill>
      <xdr:spPr>
        <a:xfrm>
          <a:off x="11191876" y="10515601"/>
          <a:ext cx="4514850" cy="2819684"/>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9</xdr:col>
      <xdr:colOff>0</xdr:colOff>
      <xdr:row>15</xdr:row>
      <xdr:rowOff>0</xdr:rowOff>
    </xdr:from>
    <xdr:to>
      <xdr:col>13</xdr:col>
      <xdr:colOff>76937</xdr:colOff>
      <xdr:row>24</xdr:row>
      <xdr:rowOff>819504</xdr:rowOff>
    </xdr:to>
    <xdr:pic>
      <xdr:nvPicPr>
        <xdr:cNvPr id="3" name="Picture 2">
          <a:extLst>
            <a:ext uri="{FF2B5EF4-FFF2-40B4-BE49-F238E27FC236}">
              <a16:creationId xmlns:a16="http://schemas.microsoft.com/office/drawing/2014/main" id="{00000000-0008-0000-2700-000003000000}"/>
            </a:ext>
          </a:extLst>
        </xdr:cNvPr>
        <xdr:cNvPicPr>
          <a:picLocks noChangeAspect="1"/>
        </xdr:cNvPicPr>
      </xdr:nvPicPr>
      <xdr:blipFill>
        <a:blip xmlns:r="http://schemas.openxmlformats.org/officeDocument/2006/relationships" r:embed="rId1"/>
        <a:stretch>
          <a:fillRect/>
        </a:stretch>
      </xdr:blipFill>
      <xdr:spPr>
        <a:xfrm>
          <a:off x="10582275" y="4067175"/>
          <a:ext cx="5277587" cy="2534004"/>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10</xdr:col>
      <xdr:colOff>0</xdr:colOff>
      <xdr:row>17</xdr:row>
      <xdr:rowOff>0</xdr:rowOff>
    </xdr:from>
    <xdr:to>
      <xdr:col>21</xdr:col>
      <xdr:colOff>472773</xdr:colOff>
      <xdr:row>41</xdr:row>
      <xdr:rowOff>0</xdr:rowOff>
    </xdr:to>
    <xdr:pic>
      <xdr:nvPicPr>
        <xdr:cNvPr id="2" name="Picture 1">
          <a:extLst>
            <a:ext uri="{FF2B5EF4-FFF2-40B4-BE49-F238E27FC236}">
              <a16:creationId xmlns:a16="http://schemas.microsoft.com/office/drawing/2014/main" id="{00000000-0008-0000-2800-000002000000}"/>
            </a:ext>
          </a:extLst>
        </xdr:cNvPr>
        <xdr:cNvPicPr>
          <a:picLocks noChangeAspect="1"/>
        </xdr:cNvPicPr>
      </xdr:nvPicPr>
      <xdr:blipFill>
        <a:blip xmlns:r="http://schemas.openxmlformats.org/officeDocument/2006/relationships" r:embed="rId1"/>
        <a:stretch>
          <a:fillRect/>
        </a:stretch>
      </xdr:blipFill>
      <xdr:spPr>
        <a:xfrm>
          <a:off x="11484429" y="4259036"/>
          <a:ext cx="8582630" cy="4966607"/>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9</xdr:col>
      <xdr:colOff>1131795</xdr:colOff>
      <xdr:row>13</xdr:row>
      <xdr:rowOff>89647</xdr:rowOff>
    </xdr:from>
    <xdr:to>
      <xdr:col>17</xdr:col>
      <xdr:colOff>576475</xdr:colOff>
      <xdr:row>22</xdr:row>
      <xdr:rowOff>480466</xdr:rowOff>
    </xdr:to>
    <xdr:pic>
      <xdr:nvPicPr>
        <xdr:cNvPr id="3" name="Picture 2">
          <a:extLst>
            <a:ext uri="{FF2B5EF4-FFF2-40B4-BE49-F238E27FC236}">
              <a16:creationId xmlns:a16="http://schemas.microsoft.com/office/drawing/2014/main" id="{00000000-0008-0000-2900-000003000000}"/>
            </a:ext>
          </a:extLst>
        </xdr:cNvPr>
        <xdr:cNvPicPr>
          <a:picLocks noChangeAspect="1"/>
        </xdr:cNvPicPr>
      </xdr:nvPicPr>
      <xdr:blipFill>
        <a:blip xmlns:r="http://schemas.openxmlformats.org/officeDocument/2006/relationships" r:embed="rId1"/>
        <a:stretch>
          <a:fillRect/>
        </a:stretch>
      </xdr:blipFill>
      <xdr:spPr>
        <a:xfrm>
          <a:off x="11127442" y="3608294"/>
          <a:ext cx="7535327" cy="21053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904875</xdr:colOff>
      <xdr:row>22</xdr:row>
      <xdr:rowOff>142876</xdr:rowOff>
    </xdr:from>
    <xdr:to>
      <xdr:col>20</xdr:col>
      <xdr:colOff>200025</xdr:colOff>
      <xdr:row>27</xdr:row>
      <xdr:rowOff>142876</xdr:rowOff>
    </xdr:to>
    <xdr:pic>
      <xdr:nvPicPr>
        <xdr:cNvPr id="2" name="Picture 4" descr="image002">
          <a:extLst>
            <a:ext uri="{FF2B5EF4-FFF2-40B4-BE49-F238E27FC236}">
              <a16:creationId xmlns:a16="http://schemas.microsoft.com/office/drawing/2014/main" id="{00000000-0008-0000-09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8699"/>
        <a:stretch/>
      </xdr:blipFill>
      <xdr:spPr bwMode="auto">
        <a:xfrm>
          <a:off x="9801225" y="5143501"/>
          <a:ext cx="76009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21</xdr:row>
      <xdr:rowOff>0</xdr:rowOff>
    </xdr:from>
    <xdr:to>
      <xdr:col>15</xdr:col>
      <xdr:colOff>361950</xdr:colOff>
      <xdr:row>42</xdr:row>
      <xdr:rowOff>152400</xdr:rowOff>
    </xdr:to>
    <xdr:pic>
      <xdr:nvPicPr>
        <xdr:cNvPr id="2" name="Picture 1" descr="image00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1250" y="4810125"/>
          <a:ext cx="7248525" cy="415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43</xdr:row>
      <xdr:rowOff>0</xdr:rowOff>
    </xdr:from>
    <xdr:to>
      <xdr:col>13</xdr:col>
      <xdr:colOff>352425</xdr:colOff>
      <xdr:row>60</xdr:row>
      <xdr:rowOff>28575</xdr:rowOff>
    </xdr:to>
    <xdr:pic>
      <xdr:nvPicPr>
        <xdr:cNvPr id="3" name="Picture 14" descr="image00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01250" y="9001125"/>
          <a:ext cx="6019800" cy="3267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61</xdr:row>
      <xdr:rowOff>0</xdr:rowOff>
    </xdr:from>
    <xdr:to>
      <xdr:col>16</xdr:col>
      <xdr:colOff>0</xdr:colOff>
      <xdr:row>67</xdr:row>
      <xdr:rowOff>76200</xdr:rowOff>
    </xdr:to>
    <xdr:pic>
      <xdr:nvPicPr>
        <xdr:cNvPr id="4" name="Picture 15" descr="image009">
          <a:extLst>
            <a:ext uri="{FF2B5EF4-FFF2-40B4-BE49-F238E27FC236}">
              <a16:creationId xmlns:a16="http://schemas.microsoft.com/office/drawing/2014/main" id="{00000000-0008-0000-0A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001250" y="12430125"/>
          <a:ext cx="7496175" cy="1219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0</xdr:colOff>
      <xdr:row>53</xdr:row>
      <xdr:rowOff>0</xdr:rowOff>
    </xdr:from>
    <xdr:to>
      <xdr:col>14</xdr:col>
      <xdr:colOff>1006928</xdr:colOff>
      <xdr:row>65</xdr:row>
      <xdr:rowOff>24697</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16687800" y="14449425"/>
          <a:ext cx="4978853" cy="2491673"/>
        </a:xfrm>
        <a:prstGeom prst="rect">
          <a:avLst/>
        </a:prstGeom>
      </xdr:spPr>
    </xdr:pic>
    <xdr:clientData/>
  </xdr:twoCellAnchor>
  <xdr:twoCellAnchor editAs="oneCell">
    <xdr:from>
      <xdr:col>12</xdr:col>
      <xdr:colOff>0</xdr:colOff>
      <xdr:row>38</xdr:row>
      <xdr:rowOff>81643</xdr:rowOff>
    </xdr:from>
    <xdr:to>
      <xdr:col>14</xdr:col>
      <xdr:colOff>1226714</xdr:colOff>
      <xdr:row>50</xdr:row>
      <xdr:rowOff>148024</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16687800" y="11673568"/>
          <a:ext cx="5198639" cy="2352381"/>
        </a:xfrm>
        <a:prstGeom prst="rect">
          <a:avLst/>
        </a:prstGeom>
      </xdr:spPr>
    </xdr:pic>
    <xdr:clientData/>
  </xdr:twoCellAnchor>
  <xdr:twoCellAnchor editAs="oneCell">
    <xdr:from>
      <xdr:col>12</xdr:col>
      <xdr:colOff>0</xdr:colOff>
      <xdr:row>24</xdr:row>
      <xdr:rowOff>0</xdr:rowOff>
    </xdr:from>
    <xdr:to>
      <xdr:col>14</xdr:col>
      <xdr:colOff>1169571</xdr:colOff>
      <xdr:row>35</xdr:row>
      <xdr:rowOff>171167</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3"/>
        <a:stretch>
          <a:fillRect/>
        </a:stretch>
      </xdr:blipFill>
      <xdr:spPr>
        <a:xfrm>
          <a:off x="16687800" y="8924925"/>
          <a:ext cx="5141496" cy="2266667"/>
        </a:xfrm>
        <a:prstGeom prst="rect">
          <a:avLst/>
        </a:prstGeom>
      </xdr:spPr>
    </xdr:pic>
    <xdr:clientData/>
  </xdr:twoCellAnchor>
  <xdr:twoCellAnchor editAs="oneCell">
    <xdr:from>
      <xdr:col>12</xdr:col>
      <xdr:colOff>0</xdr:colOff>
      <xdr:row>95</xdr:row>
      <xdr:rowOff>0</xdr:rowOff>
    </xdr:from>
    <xdr:to>
      <xdr:col>14</xdr:col>
      <xdr:colOff>1550523</xdr:colOff>
      <xdr:row>111</xdr:row>
      <xdr:rowOff>131583</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4"/>
        <a:stretch>
          <a:fillRect/>
        </a:stretch>
      </xdr:blipFill>
      <xdr:spPr>
        <a:xfrm>
          <a:off x="16687800" y="21678900"/>
          <a:ext cx="5522448" cy="3280276"/>
        </a:xfrm>
        <a:prstGeom prst="rect">
          <a:avLst/>
        </a:prstGeom>
      </xdr:spPr>
    </xdr:pic>
    <xdr:clientData/>
  </xdr:twoCellAnchor>
  <xdr:twoCellAnchor editAs="oneCell">
    <xdr:from>
      <xdr:col>12</xdr:col>
      <xdr:colOff>16810</xdr:colOff>
      <xdr:row>77</xdr:row>
      <xdr:rowOff>56830</xdr:rowOff>
    </xdr:from>
    <xdr:to>
      <xdr:col>14</xdr:col>
      <xdr:colOff>1050952</xdr:colOff>
      <xdr:row>92</xdr:row>
      <xdr:rowOff>33083</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5"/>
        <a:stretch>
          <a:fillRect/>
        </a:stretch>
      </xdr:blipFill>
      <xdr:spPr>
        <a:xfrm>
          <a:off x="16704610" y="18078130"/>
          <a:ext cx="5006067" cy="2858246"/>
        </a:xfrm>
        <a:prstGeom prst="rect">
          <a:avLst/>
        </a:prstGeom>
      </xdr:spPr>
    </xdr:pic>
    <xdr:clientData/>
  </xdr:twoCellAnchor>
  <xdr:twoCellAnchor editAs="oneCell">
    <xdr:from>
      <xdr:col>12</xdr:col>
      <xdr:colOff>0</xdr:colOff>
      <xdr:row>128</xdr:row>
      <xdr:rowOff>0</xdr:rowOff>
    </xdr:from>
    <xdr:to>
      <xdr:col>18</xdr:col>
      <xdr:colOff>367238</xdr:colOff>
      <xdr:row>141</xdr:row>
      <xdr:rowOff>38451</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6"/>
        <a:stretch>
          <a:fillRect/>
        </a:stretch>
      </xdr:blipFill>
      <xdr:spPr>
        <a:xfrm>
          <a:off x="16687800" y="29317950"/>
          <a:ext cx="8629495" cy="2514951"/>
        </a:xfrm>
        <a:prstGeom prst="rect">
          <a:avLst/>
        </a:prstGeom>
      </xdr:spPr>
    </xdr:pic>
    <xdr:clientData/>
  </xdr:twoCellAnchor>
  <xdr:twoCellAnchor editAs="oneCell">
    <xdr:from>
      <xdr:col>11</xdr:col>
      <xdr:colOff>1299881</xdr:colOff>
      <xdr:row>113</xdr:row>
      <xdr:rowOff>313764</xdr:rowOff>
    </xdr:from>
    <xdr:to>
      <xdr:col>14</xdr:col>
      <xdr:colOff>1069830</xdr:colOff>
      <xdr:row>125</xdr:row>
      <xdr:rowOff>149357</xdr:rowOff>
    </xdr:to>
    <xdr:pic>
      <xdr:nvPicPr>
        <xdr:cNvPr id="8" name="Picture 7">
          <a:extLst>
            <a:ext uri="{FF2B5EF4-FFF2-40B4-BE49-F238E27FC236}">
              <a16:creationId xmlns:a16="http://schemas.microsoft.com/office/drawing/2014/main" id="{00000000-0008-0000-0C00-000008000000}"/>
            </a:ext>
          </a:extLst>
        </xdr:cNvPr>
        <xdr:cNvPicPr>
          <a:picLocks noChangeAspect="1"/>
        </xdr:cNvPicPr>
      </xdr:nvPicPr>
      <xdr:blipFill>
        <a:blip xmlns:r="http://schemas.openxmlformats.org/officeDocument/2006/relationships" r:embed="rId2"/>
        <a:stretch>
          <a:fillRect/>
        </a:stretch>
      </xdr:blipFill>
      <xdr:spPr>
        <a:xfrm>
          <a:off x="16597031" y="25916964"/>
          <a:ext cx="5132524" cy="233930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16</xdr:col>
      <xdr:colOff>18649</xdr:colOff>
      <xdr:row>36</xdr:row>
      <xdr:rowOff>16008</xdr:rowOff>
    </xdr:from>
    <xdr:to>
      <xdr:col>23</xdr:col>
      <xdr:colOff>260696</xdr:colOff>
      <xdr:row>62</xdr:row>
      <xdr:rowOff>151170</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20413355" y="13429449"/>
          <a:ext cx="4477870" cy="5357103"/>
        </a:xfrm>
        <a:prstGeom prst="rect">
          <a:avLst/>
        </a:prstGeom>
      </xdr:spPr>
    </xdr:pic>
    <xdr:clientData/>
  </xdr:twoCellAnchor>
  <xdr:twoCellAnchor editAs="oneCell">
    <xdr:from>
      <xdr:col>9</xdr:col>
      <xdr:colOff>1181101</xdr:colOff>
      <xdr:row>70</xdr:row>
      <xdr:rowOff>219076</xdr:rowOff>
    </xdr:from>
    <xdr:to>
      <xdr:col>12</xdr:col>
      <xdr:colOff>828676</xdr:colOff>
      <xdr:row>85</xdr:row>
      <xdr:rowOff>22731</xdr:rowOff>
    </xdr:to>
    <xdr:pic>
      <xdr:nvPicPr>
        <xdr:cNvPr id="9" name="Picture 8">
          <a:extLst>
            <a:ext uri="{FF2B5EF4-FFF2-40B4-BE49-F238E27FC236}">
              <a16:creationId xmlns:a16="http://schemas.microsoft.com/office/drawing/2014/main" id="{00000000-0008-0000-0D00-000009000000}"/>
            </a:ext>
          </a:extLst>
        </xdr:cNvPr>
        <xdr:cNvPicPr>
          <a:picLocks noChangeAspect="1"/>
        </xdr:cNvPicPr>
      </xdr:nvPicPr>
      <xdr:blipFill>
        <a:blip xmlns:r="http://schemas.openxmlformats.org/officeDocument/2006/relationships" r:embed="rId2"/>
        <a:stretch>
          <a:fillRect/>
        </a:stretch>
      </xdr:blipFill>
      <xdr:spPr>
        <a:xfrm>
          <a:off x="11734801" y="16506826"/>
          <a:ext cx="4933950" cy="3051680"/>
        </a:xfrm>
        <a:prstGeom prst="rect">
          <a:avLst/>
        </a:prstGeom>
      </xdr:spPr>
    </xdr:pic>
    <xdr:clientData/>
  </xdr:twoCellAnchor>
  <xdr:twoCellAnchor editAs="oneCell">
    <xdr:from>
      <xdr:col>10</xdr:col>
      <xdr:colOff>0</xdr:colOff>
      <xdr:row>46</xdr:row>
      <xdr:rowOff>44823</xdr:rowOff>
    </xdr:from>
    <xdr:to>
      <xdr:col>12</xdr:col>
      <xdr:colOff>614180</xdr:colOff>
      <xdr:row>69</xdr:row>
      <xdr:rowOff>80207</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3"/>
        <a:stretch>
          <a:fillRect/>
        </a:stretch>
      </xdr:blipFill>
      <xdr:spPr>
        <a:xfrm>
          <a:off x="10791265" y="16752794"/>
          <a:ext cx="4715533" cy="462979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16</xdr:col>
      <xdr:colOff>18649</xdr:colOff>
      <xdr:row>28</xdr:row>
      <xdr:rowOff>0</xdr:rowOff>
    </xdr:from>
    <xdr:to>
      <xdr:col>23</xdr:col>
      <xdr:colOff>260696</xdr:colOff>
      <xdr:row>48</xdr:row>
      <xdr:rowOff>245620</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19354399" y="7828189"/>
          <a:ext cx="4509246" cy="5343656"/>
        </a:xfrm>
        <a:prstGeom prst="rect">
          <a:avLst/>
        </a:prstGeom>
      </xdr:spPr>
    </xdr:pic>
    <xdr:clientData/>
  </xdr:twoCellAnchor>
  <xdr:twoCellAnchor editAs="oneCell">
    <xdr:from>
      <xdr:col>16</xdr:col>
      <xdr:colOff>78443</xdr:colOff>
      <xdr:row>50</xdr:row>
      <xdr:rowOff>134470</xdr:rowOff>
    </xdr:from>
    <xdr:to>
      <xdr:col>30</xdr:col>
      <xdr:colOff>444891</xdr:colOff>
      <xdr:row>53</xdr:row>
      <xdr:rowOff>401041</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2"/>
        <a:stretch>
          <a:fillRect/>
        </a:stretch>
      </xdr:blipFill>
      <xdr:spPr>
        <a:xfrm>
          <a:off x="19408590" y="11766176"/>
          <a:ext cx="8838095" cy="1028571"/>
        </a:xfrm>
        <a:prstGeom prst="rect">
          <a:avLst/>
        </a:prstGeom>
      </xdr:spPr>
    </xdr:pic>
    <xdr:clientData/>
  </xdr:twoCellAnchor>
  <xdr:twoCellAnchor editAs="oneCell">
    <xdr:from>
      <xdr:col>7</xdr:col>
      <xdr:colOff>862854</xdr:colOff>
      <xdr:row>34</xdr:row>
      <xdr:rowOff>44823</xdr:rowOff>
    </xdr:from>
    <xdr:to>
      <xdr:col>11</xdr:col>
      <xdr:colOff>395649</xdr:colOff>
      <xdr:row>45</xdr:row>
      <xdr:rowOff>73522</xdr:rowOff>
    </xdr:to>
    <xdr:pic>
      <xdr:nvPicPr>
        <xdr:cNvPr id="5" name="Picture 4">
          <a:extLst>
            <a:ext uri="{FF2B5EF4-FFF2-40B4-BE49-F238E27FC236}">
              <a16:creationId xmlns:a16="http://schemas.microsoft.com/office/drawing/2014/main" id="{00000000-0008-0000-0E00-000005000000}"/>
            </a:ext>
          </a:extLst>
        </xdr:cNvPr>
        <xdr:cNvPicPr>
          <a:picLocks noChangeAspect="1"/>
        </xdr:cNvPicPr>
      </xdr:nvPicPr>
      <xdr:blipFill>
        <a:blip xmlns:r="http://schemas.openxmlformats.org/officeDocument/2006/relationships" r:embed="rId3"/>
        <a:stretch>
          <a:fillRect/>
        </a:stretch>
      </xdr:blipFill>
      <xdr:spPr>
        <a:xfrm>
          <a:off x="9144001" y="7866529"/>
          <a:ext cx="4978854" cy="250519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8</xdr:col>
      <xdr:colOff>1066800</xdr:colOff>
      <xdr:row>32</xdr:row>
      <xdr:rowOff>9525</xdr:rowOff>
    </xdr:from>
    <xdr:to>
      <xdr:col>14</xdr:col>
      <xdr:colOff>151488</xdr:colOff>
      <xdr:row>50</xdr:row>
      <xdr:rowOff>18956</xdr:rowOff>
    </xdr:to>
    <xdr:grpSp>
      <xdr:nvGrpSpPr>
        <xdr:cNvPr id="6" name="Group 5">
          <a:extLst>
            <a:ext uri="{FF2B5EF4-FFF2-40B4-BE49-F238E27FC236}">
              <a16:creationId xmlns:a16="http://schemas.microsoft.com/office/drawing/2014/main" id="{00000000-0008-0000-0F00-000006000000}"/>
            </a:ext>
          </a:extLst>
        </xdr:cNvPr>
        <xdr:cNvGrpSpPr/>
      </xdr:nvGrpSpPr>
      <xdr:grpSpPr>
        <a:xfrm>
          <a:off x="9734550" y="6734175"/>
          <a:ext cx="7609563" cy="3638456"/>
          <a:chOff x="10772775" y="9105900"/>
          <a:chExt cx="7295238" cy="3638456"/>
        </a:xfrm>
      </xdr:grpSpPr>
      <xdr:pic>
        <xdr:nvPicPr>
          <xdr:cNvPr id="3" name="Picture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a:stretch>
            <a:fillRect/>
          </a:stretch>
        </xdr:blipFill>
        <xdr:spPr>
          <a:xfrm>
            <a:off x="10820400" y="9686925"/>
            <a:ext cx="7228571" cy="2400000"/>
          </a:xfrm>
          <a:prstGeom prst="rect">
            <a:avLst/>
          </a:prstGeom>
        </xdr:spPr>
      </xdr:pic>
      <xdr:pic>
        <xdr:nvPicPr>
          <xdr:cNvPr id="4" name="Picture 3">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2"/>
          <a:stretch>
            <a:fillRect/>
          </a:stretch>
        </xdr:blipFill>
        <xdr:spPr>
          <a:xfrm>
            <a:off x="10791825" y="11991975"/>
            <a:ext cx="7266667" cy="752381"/>
          </a:xfrm>
          <a:prstGeom prst="rect">
            <a:avLst/>
          </a:prstGeom>
        </xdr:spPr>
      </xdr:pic>
      <xdr:pic>
        <xdr:nvPicPr>
          <xdr:cNvPr id="5" name="Picture 4">
            <a:extLst>
              <a:ext uri="{FF2B5EF4-FFF2-40B4-BE49-F238E27FC236}">
                <a16:creationId xmlns:a16="http://schemas.microsoft.com/office/drawing/2014/main" id="{00000000-0008-0000-0F00-000005000000}"/>
              </a:ext>
            </a:extLst>
          </xdr:cNvPr>
          <xdr:cNvPicPr>
            <a:picLocks noChangeAspect="1"/>
          </xdr:cNvPicPr>
        </xdr:nvPicPr>
        <xdr:blipFill>
          <a:blip xmlns:r="http://schemas.openxmlformats.org/officeDocument/2006/relationships" r:embed="rId3"/>
          <a:stretch>
            <a:fillRect/>
          </a:stretch>
        </xdr:blipFill>
        <xdr:spPr>
          <a:xfrm>
            <a:off x="10772775" y="9105900"/>
            <a:ext cx="7295238" cy="619048"/>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0</xdr:colOff>
      <xdr:row>53</xdr:row>
      <xdr:rowOff>0</xdr:rowOff>
    </xdr:from>
    <xdr:to>
      <xdr:col>21</xdr:col>
      <xdr:colOff>230193</xdr:colOff>
      <xdr:row>98</xdr:row>
      <xdr:rowOff>163144</xdr:rowOff>
    </xdr:to>
    <xdr:pic>
      <xdr:nvPicPr>
        <xdr:cNvPr id="6" name="Picture 5">
          <a:extLst>
            <a:ext uri="{FF2B5EF4-FFF2-40B4-BE49-F238E27FC236}">
              <a16:creationId xmlns:a16="http://schemas.microsoft.com/office/drawing/2014/main" id="{00000000-0008-0000-1000-000006000000}"/>
            </a:ext>
          </a:extLst>
        </xdr:cNvPr>
        <xdr:cNvPicPr>
          <a:picLocks noChangeAspect="1"/>
        </xdr:cNvPicPr>
      </xdr:nvPicPr>
      <xdr:blipFill>
        <a:blip xmlns:r="http://schemas.openxmlformats.org/officeDocument/2006/relationships" r:embed="rId1"/>
        <a:stretch>
          <a:fillRect/>
        </a:stretch>
      </xdr:blipFill>
      <xdr:spPr>
        <a:xfrm>
          <a:off x="12001500" y="11878235"/>
          <a:ext cx="7401958" cy="873564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20081/Documents/_AKSHAT_/DOCS/Project/Vybrid/Faraday/Systems/Fusemap/Faraday_Fusemap_v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bernd_polney_nxp_com/Documents/PROJECTS/STRX/OCII/OCII-STRX-RFE/SilverReview/SILVER_S3_16Feb21/ADC_register_template_ES0.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ersonal/bernd_polney_nxp_com/Documents/PROJECTS/STRX/OCII/OCII-STRX-RFE/SilverReview/SILVER_ALL_REG_FILES/TX_register_map.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 History"/>
      <sheetName val="Fuse Map"/>
      <sheetName val="Fuse Definitions"/>
      <sheetName val="Questions"/>
      <sheetName val="Analog fuse trim"/>
      <sheetName val="Banks_Classification"/>
      <sheetName val="AI"/>
      <sheetName val="Trimming"/>
      <sheetName val="Rough"/>
    </sheetNames>
    <sheetDataSet>
      <sheetData sheetId="0" refreshError="1"/>
      <sheetData sheetId="1">
        <row r="2">
          <cell r="G2">
            <v>6</v>
          </cell>
        </row>
      </sheetData>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Registers"/>
      <sheetName val="OCII"/>
      <sheetName val="Interface"/>
      <sheetName val="References"/>
      <sheetName val="STARTUP_INFO"/>
      <sheetName val="INIT_SEQ"/>
      <sheetName val="Registers Column Definitions"/>
      <sheetName val="Helper - Lookup"/>
      <sheetName val="ADC_register_template_ES0"/>
    </sheetNames>
    <sheetDataSet>
      <sheetData sheetId="0">
        <row r="10">
          <cell r="E10" t="str">
            <v>All</v>
          </cell>
        </row>
        <row r="12">
          <cell r="E12" t="str">
            <v>Y:\data\ida_mmw_rfe_adc_dig_lib\ida_mmw_rfe_adc_ctrl_top\excel</v>
          </cell>
        </row>
      </sheetData>
      <sheetData sheetId="1">
        <row r="3">
          <cell r="S3" t="str">
            <v/>
          </cell>
        </row>
        <row r="4">
          <cell r="S4" t="str">
            <v/>
          </cell>
        </row>
        <row r="5">
          <cell r="S5" t="str">
            <v>PON_CTL_PON_LS</v>
          </cell>
        </row>
        <row r="6">
          <cell r="S6" t="str">
            <v/>
          </cell>
        </row>
        <row r="7">
          <cell r="S7" t="str">
            <v>PON_CTL_ENABLE_DYN</v>
          </cell>
        </row>
        <row r="8">
          <cell r="S8" t="str">
            <v/>
          </cell>
        </row>
        <row r="9">
          <cell r="S9" t="str">
            <v>PON_CTL_FAST_ENABLE_DYN</v>
          </cell>
        </row>
        <row r="10">
          <cell r="S10" t="str">
            <v/>
          </cell>
        </row>
        <row r="11">
          <cell r="S11" t="str">
            <v>PON_CTL_EN_IREF</v>
          </cell>
        </row>
        <row r="12">
          <cell r="S12" t="str">
            <v/>
          </cell>
        </row>
        <row r="13">
          <cell r="S13" t="str">
            <v/>
          </cell>
        </row>
        <row r="14">
          <cell r="S14" t="str">
            <v>DAC_SERLDO_CTL_LDO_BW_I</v>
          </cell>
        </row>
        <row r="15">
          <cell r="S15" t="str">
            <v/>
          </cell>
        </row>
        <row r="16">
          <cell r="S16" t="str">
            <v>DAC_SERLDO_CTL_LDO_EN_I</v>
          </cell>
        </row>
        <row r="17">
          <cell r="S17" t="str">
            <v/>
          </cell>
        </row>
        <row r="18">
          <cell r="S18" t="str">
            <v>DAC_SERLDO_CTL_SEL_VOUT_I</v>
          </cell>
        </row>
        <row r="19">
          <cell r="S19" t="str">
            <v/>
          </cell>
        </row>
        <row r="20">
          <cell r="S20" t="str">
            <v>DAC_SERLDO_CTL_LDO_BW_Q</v>
          </cell>
        </row>
        <row r="21">
          <cell r="S21" t="str">
            <v/>
          </cell>
        </row>
        <row r="22">
          <cell r="S22" t="str">
            <v>DAC_SERLDO_CTL_LDO_EN_Q</v>
          </cell>
        </row>
        <row r="23">
          <cell r="S23" t="str">
            <v/>
          </cell>
        </row>
        <row r="24">
          <cell r="S24" t="str">
            <v>DAC_SERLDO_CTL_SEL_VOUT_Q</v>
          </cell>
        </row>
        <row r="25">
          <cell r="S25" t="str">
            <v/>
          </cell>
        </row>
        <row r="26">
          <cell r="S26" t="str">
            <v/>
          </cell>
        </row>
        <row r="27">
          <cell r="S27" t="str">
            <v>DAC_SHLDO_CTL_LDO_BW_I</v>
          </cell>
        </row>
        <row r="28">
          <cell r="S28" t="str">
            <v/>
          </cell>
        </row>
        <row r="29">
          <cell r="S29" t="str">
            <v>DAC_SHLDO_CTL_LDO_EN_I</v>
          </cell>
        </row>
        <row r="30">
          <cell r="S30" t="str">
            <v/>
          </cell>
        </row>
        <row r="31">
          <cell r="S31" t="str">
            <v>DAC_SHLDO_CTL_SEL_VOUT_I</v>
          </cell>
        </row>
        <row r="32">
          <cell r="S32" t="str">
            <v/>
          </cell>
        </row>
        <row r="33">
          <cell r="S33" t="str">
            <v>DAC_SHLDO_CTL_LDO_BW_Q</v>
          </cell>
        </row>
        <row r="34">
          <cell r="S34" t="str">
            <v/>
          </cell>
        </row>
        <row r="35">
          <cell r="S35" t="str">
            <v>DAC_SHLDO_CTL_LDO_EN_Q</v>
          </cell>
        </row>
        <row r="36">
          <cell r="S36" t="str">
            <v/>
          </cell>
        </row>
        <row r="37">
          <cell r="S37" t="str">
            <v>DAC_SHLDO_CTL_SEL_VOUT_Q</v>
          </cell>
        </row>
        <row r="38">
          <cell r="S38" t="str">
            <v/>
          </cell>
        </row>
        <row r="39">
          <cell r="S39" t="str">
            <v/>
          </cell>
        </row>
        <row r="40">
          <cell r="S40" t="str">
            <v>LF_LDO_CTL_LDO_BW_LF_I</v>
          </cell>
        </row>
        <row r="41">
          <cell r="S41" t="str">
            <v/>
          </cell>
        </row>
        <row r="42">
          <cell r="S42" t="str">
            <v>LF_LDO_CTL_LDO_EN_LF_I</v>
          </cell>
        </row>
        <row r="43">
          <cell r="S43" t="str">
            <v/>
          </cell>
        </row>
        <row r="44">
          <cell r="S44" t="str">
            <v>LF_LDO_CTL_SEL_VOUT_LF_I</v>
          </cell>
        </row>
        <row r="45">
          <cell r="S45" t="str">
            <v/>
          </cell>
        </row>
        <row r="46">
          <cell r="S46" t="str">
            <v>LF_LDO_CTL_LDO_EN_CAP_I</v>
          </cell>
        </row>
        <row r="47">
          <cell r="S47" t="str">
            <v/>
          </cell>
        </row>
        <row r="48">
          <cell r="S48" t="str">
            <v>LF_LDO_CTL_LDO_BW_LF_Q</v>
          </cell>
        </row>
        <row r="49">
          <cell r="S49" t="str">
            <v/>
          </cell>
        </row>
        <row r="50">
          <cell r="S50" t="str">
            <v>LF_LDO_CTL_LDO_EN_LF_Q</v>
          </cell>
        </row>
        <row r="51">
          <cell r="S51" t="str">
            <v/>
          </cell>
        </row>
        <row r="52">
          <cell r="S52" t="str">
            <v>LF_LDO_CTL_SEL_VOUT_LF_Q</v>
          </cell>
        </row>
        <row r="53">
          <cell r="S53" t="str">
            <v/>
          </cell>
        </row>
        <row r="54">
          <cell r="S54" t="str">
            <v>LF_LDO_CTL_LDO_EN_CAP_Q</v>
          </cell>
        </row>
        <row r="55">
          <cell r="S55" t="str">
            <v/>
          </cell>
        </row>
        <row r="56">
          <cell r="S56" t="str">
            <v/>
          </cell>
        </row>
        <row r="57">
          <cell r="S57" t="str">
            <v>Q_LDO_CTL_LDO_BW_I</v>
          </cell>
        </row>
        <row r="58">
          <cell r="S58" t="str">
            <v/>
          </cell>
        </row>
        <row r="59">
          <cell r="S59" t="str">
            <v>Q_LDO_CTL_LDO_EN_I</v>
          </cell>
        </row>
        <row r="60">
          <cell r="S60" t="str">
            <v/>
          </cell>
        </row>
        <row r="61">
          <cell r="S61" t="str">
            <v>Q_LDO_CTL_SEL_VOUT_I</v>
          </cell>
        </row>
        <row r="62">
          <cell r="S62" t="str">
            <v/>
          </cell>
        </row>
        <row r="63">
          <cell r="S63" t="str">
            <v>Q_LDO_CTL_LDO_BW_Q</v>
          </cell>
        </row>
        <row r="64">
          <cell r="S64" t="str">
            <v/>
          </cell>
        </row>
        <row r="65">
          <cell r="S65" t="str">
            <v>Q_LDO_CTL_LDO_EN_Q</v>
          </cell>
        </row>
        <row r="66">
          <cell r="S66" t="str">
            <v/>
          </cell>
        </row>
        <row r="67">
          <cell r="S67" t="str">
            <v>Q_LDO_CTL_SEL_VOUT_Q</v>
          </cell>
        </row>
        <row r="68">
          <cell r="S68" t="str">
            <v/>
          </cell>
        </row>
        <row r="69">
          <cell r="S69" t="str">
            <v/>
          </cell>
        </row>
        <row r="70">
          <cell r="S70" t="str">
            <v>CLK_LDO_CTL_LDO_BW_I</v>
          </cell>
        </row>
        <row r="71">
          <cell r="S71" t="str">
            <v/>
          </cell>
        </row>
        <row r="72">
          <cell r="S72" t="str">
            <v>CLK_LDO_CTL_LDO_EN_I</v>
          </cell>
        </row>
        <row r="73">
          <cell r="S73" t="str">
            <v/>
          </cell>
        </row>
        <row r="74">
          <cell r="S74" t="str">
            <v>CLK_LDO_CTL_SEL_VOUT_I</v>
          </cell>
        </row>
        <row r="75">
          <cell r="S75" t="str">
            <v/>
          </cell>
        </row>
        <row r="76">
          <cell r="S76" t="str">
            <v>CLK_LDO_CTL_LDO_BW_Q</v>
          </cell>
        </row>
        <row r="77">
          <cell r="S77" t="str">
            <v/>
          </cell>
        </row>
        <row r="78">
          <cell r="S78" t="str">
            <v>CLK_LDO_CTL_LDO_EN_Q</v>
          </cell>
        </row>
        <row r="79">
          <cell r="S79" t="str">
            <v/>
          </cell>
        </row>
        <row r="80">
          <cell r="S80" t="str">
            <v>CLK_LDO_CTL_SEL_VOUT_Q</v>
          </cell>
        </row>
        <row r="81">
          <cell r="S81" t="str">
            <v/>
          </cell>
        </row>
        <row r="82">
          <cell r="S82" t="str">
            <v/>
          </cell>
        </row>
        <row r="83">
          <cell r="S83" t="str">
            <v>DIV_LDO_CTL_LDO_BW_I</v>
          </cell>
        </row>
        <row r="84">
          <cell r="S84" t="str">
            <v/>
          </cell>
        </row>
        <row r="85">
          <cell r="S85" t="str">
            <v>DIV_LDO_CTL_LDO_EN_I</v>
          </cell>
        </row>
        <row r="86">
          <cell r="S86" t="str">
            <v/>
          </cell>
        </row>
        <row r="87">
          <cell r="S87" t="str">
            <v>DIV_LDO_CTL_SEL_VOUT_I</v>
          </cell>
        </row>
        <row r="88">
          <cell r="S88" t="str">
            <v/>
          </cell>
        </row>
        <row r="89">
          <cell r="S89" t="str">
            <v>DIV_LDO_CTL_LDO_BW_Q</v>
          </cell>
        </row>
        <row r="90">
          <cell r="S90" t="str">
            <v/>
          </cell>
        </row>
        <row r="91">
          <cell r="S91" t="str">
            <v>DIV_LDO_CTL_LDO_EN_Q</v>
          </cell>
        </row>
        <row r="92">
          <cell r="S92" t="str">
            <v/>
          </cell>
        </row>
        <row r="93">
          <cell r="S93" t="str">
            <v>DIV_LDO_CTL_SEL_VOUT_Q</v>
          </cell>
        </row>
        <row r="94">
          <cell r="S94" t="str">
            <v/>
          </cell>
        </row>
        <row r="95">
          <cell r="S95" t="str">
            <v/>
          </cell>
        </row>
        <row r="96">
          <cell r="S96" t="str">
            <v>DMUX_LDO_CTL_BW_LDO</v>
          </cell>
        </row>
        <row r="97">
          <cell r="S97" t="str">
            <v/>
          </cell>
        </row>
        <row r="98">
          <cell r="S98" t="str">
            <v>DMUX_LDO_CTL_EN_LDO</v>
          </cell>
        </row>
        <row r="99">
          <cell r="S99" t="str">
            <v/>
          </cell>
        </row>
        <row r="100">
          <cell r="S100" t="str">
            <v>DMUX_LDO_CTL_SEL_VOUT</v>
          </cell>
        </row>
        <row r="101">
          <cell r="S101" t="str">
            <v/>
          </cell>
        </row>
        <row r="102">
          <cell r="S102" t="str">
            <v/>
          </cell>
        </row>
        <row r="103">
          <cell r="S103" t="str">
            <v>SEL_MUX_IN_SEL_MUX_ADC_IN_I</v>
          </cell>
        </row>
        <row r="104">
          <cell r="S104" t="str">
            <v/>
          </cell>
        </row>
        <row r="105">
          <cell r="S105" t="str">
            <v/>
          </cell>
        </row>
        <row r="106">
          <cell r="S106" t="str">
            <v/>
          </cell>
        </row>
        <row r="107">
          <cell r="S107" t="str">
            <v/>
          </cell>
        </row>
        <row r="108">
          <cell r="S108" t="str">
            <v/>
          </cell>
        </row>
        <row r="109">
          <cell r="S109" t="str">
            <v>SEL_MUX_IN_SEL_MUX_ADC_IN_Q</v>
          </cell>
        </row>
        <row r="110">
          <cell r="S110" t="str">
            <v/>
          </cell>
        </row>
        <row r="111">
          <cell r="S111" t="str">
            <v/>
          </cell>
        </row>
        <row r="112">
          <cell r="S112" t="str">
            <v/>
          </cell>
        </row>
        <row r="113">
          <cell r="S113" t="str">
            <v/>
          </cell>
        </row>
        <row r="114">
          <cell r="S114" t="str">
            <v/>
          </cell>
        </row>
        <row r="115">
          <cell r="S115" t="str">
            <v>SEL_MUX_IN_SHORT_TEST_IN_I</v>
          </cell>
        </row>
        <row r="116">
          <cell r="S116" t="str">
            <v/>
          </cell>
        </row>
        <row r="117">
          <cell r="S117" t="str">
            <v>SEL_MUX_IN_SHORT_TEST_IN_Q</v>
          </cell>
        </row>
        <row r="118">
          <cell r="S118" t="str">
            <v/>
          </cell>
        </row>
        <row r="119">
          <cell r="S119" t="str">
            <v/>
          </cell>
        </row>
        <row r="120">
          <cell r="S120" t="str">
            <v>LF_LPF_CTL_CLPF_I</v>
          </cell>
        </row>
        <row r="121">
          <cell r="S121" t="str">
            <v/>
          </cell>
        </row>
        <row r="122">
          <cell r="S122" t="str">
            <v>LF_LPF_CTL_CLPF_Q</v>
          </cell>
        </row>
        <row r="123">
          <cell r="S123" t="str">
            <v/>
          </cell>
        </row>
        <row r="124">
          <cell r="S124" t="str">
            <v/>
          </cell>
        </row>
        <row r="125">
          <cell r="S125" t="str">
            <v>LF_BQ1_FB_CTL_C1_I</v>
          </cell>
        </row>
        <row r="126">
          <cell r="S126" t="str">
            <v/>
          </cell>
        </row>
        <row r="127">
          <cell r="S127" t="str">
            <v>LF_BQ1_FB_CTL_C2_I</v>
          </cell>
        </row>
        <row r="128">
          <cell r="S128" t="str">
            <v/>
          </cell>
        </row>
        <row r="129">
          <cell r="S129" t="str">
            <v>LF_BQ1_FB_CTL_C1_Q</v>
          </cell>
        </row>
        <row r="130">
          <cell r="S130" t="str">
            <v/>
          </cell>
        </row>
        <row r="131">
          <cell r="S131" t="str">
            <v>LF_BQ1_FB_CTL_C2_Q</v>
          </cell>
        </row>
        <row r="132">
          <cell r="S132" t="str">
            <v/>
          </cell>
        </row>
        <row r="133">
          <cell r="S133" t="str">
            <v/>
          </cell>
        </row>
        <row r="134">
          <cell r="S134" t="str">
            <v>LF_BQ2_FB_CTL_C1_I</v>
          </cell>
        </row>
        <row r="135">
          <cell r="S135" t="str">
            <v/>
          </cell>
        </row>
        <row r="136">
          <cell r="S136" t="str">
            <v>LF_BQ2_FB_CTL_C2_I</v>
          </cell>
        </row>
        <row r="137">
          <cell r="S137" t="str">
            <v/>
          </cell>
        </row>
        <row r="138">
          <cell r="S138" t="str">
            <v>LF_BQ2_FB_CTL_C1_Q</v>
          </cell>
        </row>
        <row r="139">
          <cell r="S139" t="str">
            <v/>
          </cell>
        </row>
        <row r="140">
          <cell r="S140" t="str">
            <v>LF_BQ2_FB_CTL_C2_Q</v>
          </cell>
        </row>
        <row r="141">
          <cell r="S141" t="str">
            <v/>
          </cell>
        </row>
        <row r="142">
          <cell r="S142" t="str">
            <v/>
          </cell>
        </row>
        <row r="143">
          <cell r="S143" t="str">
            <v>LF_BQ2_IN1_CTL_CIN1_I</v>
          </cell>
        </row>
        <row r="144">
          <cell r="S144" t="str">
            <v/>
          </cell>
        </row>
        <row r="145">
          <cell r="S145" t="str">
            <v>LF_BQ2_IN1_CTL_CX1_I</v>
          </cell>
        </row>
        <row r="146">
          <cell r="S146" t="str">
            <v/>
          </cell>
        </row>
        <row r="147">
          <cell r="S147" t="str">
            <v>LF_BQ2_IN1_CTL_CIN1_Q</v>
          </cell>
        </row>
        <row r="148">
          <cell r="S148" t="str">
            <v/>
          </cell>
        </row>
        <row r="149">
          <cell r="S149" t="str">
            <v>LF_BQ2_IN1_CTL_CX1_Q</v>
          </cell>
        </row>
        <row r="150">
          <cell r="S150" t="str">
            <v/>
          </cell>
        </row>
        <row r="151">
          <cell r="S151" t="str">
            <v/>
          </cell>
        </row>
        <row r="152">
          <cell r="S152" t="str">
            <v>LF_BQ2_IN2_CTL_CIN2_I</v>
          </cell>
        </row>
        <row r="153">
          <cell r="S153" t="str">
            <v/>
          </cell>
        </row>
        <row r="154">
          <cell r="S154" t="str">
            <v>LF_BQ2_IN2_CTL_CX2_I</v>
          </cell>
        </row>
        <row r="155">
          <cell r="S155" t="str">
            <v/>
          </cell>
        </row>
        <row r="156">
          <cell r="S156" t="str">
            <v>LF_BQ2_IN2_CTL_CIN2_Q</v>
          </cell>
        </row>
        <row r="157">
          <cell r="S157" t="str">
            <v/>
          </cell>
        </row>
        <row r="158">
          <cell r="S158" t="str">
            <v>LF_BQ2_IN2_CTL_CX2_Q</v>
          </cell>
        </row>
        <row r="159">
          <cell r="S159" t="str">
            <v/>
          </cell>
        </row>
        <row r="160">
          <cell r="S160" t="str">
            <v/>
          </cell>
        </row>
        <row r="161">
          <cell r="S161" t="str">
            <v>OV_DET_CTL_I_PON_OVERLOAD_DET</v>
          </cell>
        </row>
        <row r="162">
          <cell r="S162" t="str">
            <v>OV_DET_CTL_I_EN_CMP</v>
          </cell>
        </row>
        <row r="163">
          <cell r="S163" t="str">
            <v>OV_DET_CTL_I_INPUT_SEL</v>
          </cell>
        </row>
        <row r="164">
          <cell r="S164" t="str">
            <v/>
          </cell>
        </row>
        <row r="165">
          <cell r="S165" t="str">
            <v/>
          </cell>
        </row>
        <row r="166">
          <cell r="S166" t="str">
            <v/>
          </cell>
        </row>
        <row r="167">
          <cell r="S167" t="str">
            <v>OV_DET_CTL_I_SET_ZERO_TH</v>
          </cell>
        </row>
        <row r="168">
          <cell r="S168" t="str">
            <v/>
          </cell>
        </row>
        <row r="169">
          <cell r="S169" t="str">
            <v>OV_DET_CTL_I_CTL_TH</v>
          </cell>
        </row>
        <row r="170">
          <cell r="S170" t="str">
            <v>OV_DET_CTL_I_CTL_DEL</v>
          </cell>
        </row>
        <row r="171">
          <cell r="S171" t="str">
            <v/>
          </cell>
        </row>
        <row r="172">
          <cell r="S172" t="str">
            <v>OV_DET_CTL_I_CTL_RST_PULSE</v>
          </cell>
        </row>
        <row r="173">
          <cell r="S173" t="str">
            <v/>
          </cell>
        </row>
        <row r="174">
          <cell r="S174" t="str">
            <v>OV_DET_CTL_I_LF_RESET_EN</v>
          </cell>
        </row>
        <row r="175">
          <cell r="S175" t="str">
            <v/>
          </cell>
        </row>
        <row r="176">
          <cell r="S176" t="str">
            <v/>
          </cell>
        </row>
        <row r="177">
          <cell r="S177" t="str">
            <v/>
          </cell>
        </row>
        <row r="178">
          <cell r="S178" t="str">
            <v/>
          </cell>
        </row>
        <row r="179">
          <cell r="S179" t="str">
            <v/>
          </cell>
        </row>
        <row r="180">
          <cell r="S180" t="str">
            <v>OV_DET_CTL_I_LF_RESET</v>
          </cell>
        </row>
        <row r="181">
          <cell r="S181" t="str">
            <v>OV_DET_CTL_I_EN_CMP_TEST</v>
          </cell>
        </row>
        <row r="182">
          <cell r="S182" t="str">
            <v/>
          </cell>
        </row>
        <row r="183">
          <cell r="S183" t="str">
            <v/>
          </cell>
        </row>
        <row r="184">
          <cell r="S184" t="str">
            <v/>
          </cell>
        </row>
        <row r="185">
          <cell r="S185" t="str">
            <v/>
          </cell>
        </row>
        <row r="186">
          <cell r="S186" t="str">
            <v>OV_DET_CTL_I_EN_OV_RESET_INT</v>
          </cell>
        </row>
        <row r="187">
          <cell r="S187" t="str">
            <v/>
          </cell>
        </row>
        <row r="188">
          <cell r="S188" t="str">
            <v/>
          </cell>
        </row>
        <row r="189">
          <cell r="S189" t="str">
            <v/>
          </cell>
        </row>
        <row r="190">
          <cell r="S190" t="str">
            <v>OV_DET_CTL_Q_PON_OVERLOAD_DET</v>
          </cell>
        </row>
        <row r="191">
          <cell r="S191" t="str">
            <v>OV_DET_CTL_Q_EN_CMP</v>
          </cell>
        </row>
        <row r="192">
          <cell r="S192" t="str">
            <v>OV_DET_CTL_Q_INPUT_SEL</v>
          </cell>
        </row>
        <row r="193">
          <cell r="S193" t="str">
            <v/>
          </cell>
        </row>
        <row r="194">
          <cell r="S194" t="str">
            <v/>
          </cell>
        </row>
        <row r="195">
          <cell r="S195" t="str">
            <v/>
          </cell>
        </row>
        <row r="196">
          <cell r="S196" t="str">
            <v>OV_DET_CTL_Q_SET_ZERO_TH</v>
          </cell>
        </row>
        <row r="197">
          <cell r="S197" t="str">
            <v/>
          </cell>
        </row>
        <row r="198">
          <cell r="S198" t="str">
            <v>OV_DET_CTL_Q_CTL_TH</v>
          </cell>
        </row>
        <row r="199">
          <cell r="S199" t="str">
            <v>OV_DET_CTL_Q_CTL_DEL</v>
          </cell>
        </row>
        <row r="200">
          <cell r="S200" t="str">
            <v/>
          </cell>
        </row>
        <row r="201">
          <cell r="S201" t="str">
            <v>OV_DET_CTL_Q_CTL_RST_PULSE</v>
          </cell>
        </row>
        <row r="202">
          <cell r="S202" t="str">
            <v/>
          </cell>
        </row>
        <row r="203">
          <cell r="S203" t="str">
            <v>OV_DET_CTL_Q_LF_RESET_EN</v>
          </cell>
        </row>
        <row r="204">
          <cell r="S204" t="str">
            <v/>
          </cell>
        </row>
        <row r="205">
          <cell r="S205" t="str">
            <v/>
          </cell>
        </row>
        <row r="206">
          <cell r="S206" t="str">
            <v/>
          </cell>
        </row>
        <row r="207">
          <cell r="S207" t="str">
            <v/>
          </cell>
        </row>
        <row r="208">
          <cell r="S208" t="str">
            <v/>
          </cell>
        </row>
        <row r="209">
          <cell r="S209" t="str">
            <v>OV_DET_CTL_Q_LF_RESET</v>
          </cell>
        </row>
        <row r="210">
          <cell r="S210" t="str">
            <v>OV_DET_CTL_Q_EN_CMP_TEST</v>
          </cell>
        </row>
        <row r="211">
          <cell r="S211" t="str">
            <v/>
          </cell>
        </row>
        <row r="212">
          <cell r="S212" t="str">
            <v/>
          </cell>
        </row>
        <row r="213">
          <cell r="S213" t="str">
            <v/>
          </cell>
        </row>
        <row r="214">
          <cell r="S214" t="str">
            <v/>
          </cell>
        </row>
        <row r="215">
          <cell r="S215" t="str">
            <v>OV_DET_CTL_Q_EN_OV_RESET_INT</v>
          </cell>
        </row>
        <row r="216">
          <cell r="S216" t="str">
            <v/>
          </cell>
        </row>
        <row r="217">
          <cell r="S217" t="str">
            <v/>
          </cell>
        </row>
        <row r="218">
          <cell r="S218" t="str">
            <v/>
          </cell>
        </row>
        <row r="219">
          <cell r="S219" t="str">
            <v>Q_CTL_EN_CMP_I</v>
          </cell>
        </row>
        <row r="220">
          <cell r="S220" t="str">
            <v/>
          </cell>
        </row>
        <row r="221">
          <cell r="S221" t="str">
            <v>Q_CTL_CTL_CUR_CMP_I</v>
          </cell>
        </row>
        <row r="222">
          <cell r="S222" t="str">
            <v/>
          </cell>
        </row>
        <row r="223">
          <cell r="S223" t="str">
            <v>Q_CTL_EN_CMP_Q</v>
          </cell>
        </row>
        <row r="224">
          <cell r="S224" t="str">
            <v/>
          </cell>
        </row>
        <row r="225">
          <cell r="S225" t="str">
            <v>Q_CTL_CTL_CUR_CMP_Q</v>
          </cell>
        </row>
        <row r="226">
          <cell r="S226" t="str">
            <v/>
          </cell>
        </row>
        <row r="227">
          <cell r="S227" t="str">
            <v>Q_CTL_SET_DIT_SMALL_I</v>
          </cell>
        </row>
        <row r="228">
          <cell r="S228" t="str">
            <v/>
          </cell>
        </row>
        <row r="229">
          <cell r="S229" t="str">
            <v>Q_CTL_SET_DIT_LARGE_I</v>
          </cell>
        </row>
        <row r="230">
          <cell r="S230" t="str">
            <v/>
          </cell>
        </row>
        <row r="231">
          <cell r="S231" t="str">
            <v>Q_CTL_SET_DIT_SMALL_Q</v>
          </cell>
        </row>
        <row r="232">
          <cell r="S232" t="str">
            <v/>
          </cell>
        </row>
        <row r="233">
          <cell r="S233" t="str">
            <v>Q_CTL_SET_DIT_LARGE_Q</v>
          </cell>
        </row>
        <row r="234">
          <cell r="S234" t="str">
            <v/>
          </cell>
        </row>
        <row r="235">
          <cell r="S235" t="str">
            <v/>
          </cell>
        </row>
        <row r="236">
          <cell r="S236" t="str">
            <v>DITHER_GEN_CTL_I_PRBS_EN1</v>
          </cell>
        </row>
        <row r="237">
          <cell r="S237" t="str">
            <v/>
          </cell>
        </row>
        <row r="238">
          <cell r="S238" t="str">
            <v>DITHER_GEN_CTL_I_PRBS_EN2</v>
          </cell>
        </row>
        <row r="239">
          <cell r="S239" t="str">
            <v/>
          </cell>
        </row>
        <row r="240">
          <cell r="S240" t="str">
            <v>DITHER_GEN_CTL_I_PRBS_EN_ERROR</v>
          </cell>
        </row>
        <row r="241">
          <cell r="S241" t="str">
            <v/>
          </cell>
        </row>
        <row r="242">
          <cell r="S242" t="str">
            <v>DITHER_GEN_CTL_I_PRBS_RST</v>
          </cell>
        </row>
        <row r="243">
          <cell r="S243" t="str">
            <v/>
          </cell>
        </row>
        <row r="244">
          <cell r="S244" t="str">
            <v>DITHER_GEN_CTL_I_RST_ASYNC_AN</v>
          </cell>
        </row>
        <row r="245">
          <cell r="S245" t="str">
            <v/>
          </cell>
        </row>
        <row r="246">
          <cell r="S246" t="str">
            <v>DITHER_GEN_CTL_I_DITHER_AMP_SMALL</v>
          </cell>
        </row>
        <row r="247">
          <cell r="S247" t="str">
            <v>DITHER_GEN_CTL_I_DITHER_AMP_LARGE</v>
          </cell>
        </row>
        <row r="248">
          <cell r="S248" t="str">
            <v/>
          </cell>
        </row>
        <row r="249">
          <cell r="S249" t="str">
            <v/>
          </cell>
        </row>
        <row r="250">
          <cell r="S250" t="str">
            <v>DITHER_GEN_CTL_Q_PRBS_EN1</v>
          </cell>
        </row>
        <row r="251">
          <cell r="S251" t="str">
            <v/>
          </cell>
        </row>
        <row r="252">
          <cell r="S252" t="str">
            <v>DITHER_GEN_CTL_Q_PRBS_EN2</v>
          </cell>
        </row>
        <row r="253">
          <cell r="S253" t="str">
            <v/>
          </cell>
        </row>
        <row r="254">
          <cell r="S254" t="str">
            <v>DITHER_GEN_CTL_Q_PRBS_EN_ERROR</v>
          </cell>
        </row>
        <row r="255">
          <cell r="S255" t="str">
            <v/>
          </cell>
        </row>
        <row r="256">
          <cell r="S256" t="str">
            <v>DITHER_GEN_CTL_Q_PRBS_RST</v>
          </cell>
        </row>
        <row r="257">
          <cell r="S257" t="str">
            <v/>
          </cell>
        </row>
        <row r="258">
          <cell r="S258" t="str">
            <v>DITHER_GEN_CTL_Q_RST_ASYNC_AN</v>
          </cell>
        </row>
        <row r="259">
          <cell r="S259" t="str">
            <v/>
          </cell>
        </row>
        <row r="260">
          <cell r="S260" t="str">
            <v>DITHER_GEN_CTL_Q_DITHER_AMP_SMALL</v>
          </cell>
        </row>
        <row r="261">
          <cell r="S261" t="str">
            <v>DITHER_GEN_CTL_Q_DITHER_AMP_LARGE</v>
          </cell>
        </row>
        <row r="262">
          <cell r="S262" t="str">
            <v/>
          </cell>
        </row>
        <row r="263">
          <cell r="S263" t="str">
            <v/>
          </cell>
        </row>
        <row r="264">
          <cell r="S264" t="str">
            <v>CLK_CTL_I_EN_CHOP_CLK</v>
          </cell>
        </row>
        <row r="265">
          <cell r="S265" t="str">
            <v>CLK_CTL_I_EN_DC_CORR</v>
          </cell>
        </row>
        <row r="266">
          <cell r="S266" t="str">
            <v/>
          </cell>
        </row>
        <row r="267">
          <cell r="S267" t="str">
            <v>CLK_CTL_I_CTL_CHOP_DELAY</v>
          </cell>
        </row>
        <row r="268">
          <cell r="S268" t="str">
            <v/>
          </cell>
        </row>
        <row r="269">
          <cell r="S269" t="str">
            <v>CLK_CTL_I_CTL_CHOP_FREQ</v>
          </cell>
        </row>
        <row r="270">
          <cell r="S270" t="str">
            <v/>
          </cell>
        </row>
        <row r="271">
          <cell r="S271" t="str">
            <v>CLK_CTL_I_CTL_QNT_DELAY</v>
          </cell>
        </row>
        <row r="272">
          <cell r="S272" t="str">
            <v/>
          </cell>
        </row>
        <row r="273">
          <cell r="S273" t="str">
            <v>CLK_CTL_I_SET_CHOP_POS</v>
          </cell>
        </row>
        <row r="274">
          <cell r="S274" t="str">
            <v/>
          </cell>
        </row>
        <row r="275">
          <cell r="S275" t="str">
            <v>CLK_CTL_I_CTL_CHOP_BOOST</v>
          </cell>
        </row>
        <row r="276">
          <cell r="S276" t="str">
            <v/>
          </cell>
        </row>
        <row r="277">
          <cell r="S277" t="str">
            <v/>
          </cell>
        </row>
        <row r="278">
          <cell r="S278" t="str">
            <v>CLK_CTL_Q_EN_CHOP_CLK</v>
          </cell>
        </row>
        <row r="279">
          <cell r="S279" t="str">
            <v>CLK_CTL_Q_EN_DC_CORR</v>
          </cell>
        </row>
        <row r="280">
          <cell r="S280" t="str">
            <v/>
          </cell>
        </row>
        <row r="281">
          <cell r="S281" t="str">
            <v>CLK_CTL_Q_CTL_CHOP_DELAY</v>
          </cell>
        </row>
        <row r="282">
          <cell r="S282" t="str">
            <v/>
          </cell>
        </row>
        <row r="283">
          <cell r="S283" t="str">
            <v>CLK_CTL_Q_CTL_CHOP_FREQ</v>
          </cell>
        </row>
        <row r="284">
          <cell r="S284" t="str">
            <v/>
          </cell>
        </row>
        <row r="285">
          <cell r="S285" t="str">
            <v>CLK_CTL_Q_CTL_QNT_DELAY</v>
          </cell>
        </row>
        <row r="286">
          <cell r="S286" t="str">
            <v/>
          </cell>
        </row>
        <row r="287">
          <cell r="S287" t="str">
            <v>CLK_CTL_Q_SET_CHOP_POS</v>
          </cell>
        </row>
        <row r="288">
          <cell r="S288" t="str">
            <v/>
          </cell>
        </row>
        <row r="289">
          <cell r="S289" t="str">
            <v>CLK_CTL_Q_CTL_CHOP_BOOST</v>
          </cell>
        </row>
        <row r="290">
          <cell r="S290" t="str">
            <v/>
          </cell>
        </row>
        <row r="291">
          <cell r="S291" t="str">
            <v/>
          </cell>
        </row>
        <row r="292">
          <cell r="S292" t="str">
            <v>DYN_DIT_CTL_I_PON_DETECTOR</v>
          </cell>
        </row>
        <row r="293">
          <cell r="S293" t="str">
            <v/>
          </cell>
        </row>
        <row r="294">
          <cell r="S294" t="str">
            <v>DYN_DIT_CTL_I_CTL_TH</v>
          </cell>
        </row>
        <row r="295">
          <cell r="S295" t="str">
            <v/>
          </cell>
        </row>
        <row r="296">
          <cell r="S296" t="str">
            <v/>
          </cell>
        </row>
        <row r="297">
          <cell r="S297" t="str">
            <v/>
          </cell>
        </row>
        <row r="298">
          <cell r="S298" t="str">
            <v/>
          </cell>
        </row>
        <row r="299">
          <cell r="S299" t="str">
            <v/>
          </cell>
        </row>
        <row r="300">
          <cell r="S300" t="str">
            <v/>
          </cell>
        </row>
        <row r="301">
          <cell r="S301" t="str">
            <v>DYN_DIT_CTL_I_EN_OUT_DIG</v>
          </cell>
        </row>
        <row r="302">
          <cell r="S302" t="str">
            <v/>
          </cell>
        </row>
        <row r="303">
          <cell r="S303" t="str">
            <v>DYN_DIT_CTL_I_SET_ZERO_TH</v>
          </cell>
        </row>
        <row r="304">
          <cell r="S304" t="str">
            <v/>
          </cell>
        </row>
        <row r="305">
          <cell r="S305" t="str">
            <v>DYN_DIT_CTL_I_FORCE_TH_LOW</v>
          </cell>
        </row>
        <row r="306">
          <cell r="S306" t="str">
            <v/>
          </cell>
        </row>
        <row r="307">
          <cell r="S307" t="str">
            <v>DYN_DIT_CTL_I_FORCE_TH_HIGH</v>
          </cell>
        </row>
        <row r="308">
          <cell r="S308" t="str">
            <v/>
          </cell>
        </row>
        <row r="309">
          <cell r="S309" t="str">
            <v>DYN_DIT_CTL_I_RESET_LATCH_DIG</v>
          </cell>
        </row>
        <row r="310">
          <cell r="S310" t="str">
            <v/>
          </cell>
        </row>
        <row r="311">
          <cell r="S311" t="str">
            <v/>
          </cell>
        </row>
        <row r="312">
          <cell r="S312" t="str">
            <v>DYN_DIT_CTL_Q_PON_DETECTOR</v>
          </cell>
        </row>
        <row r="313">
          <cell r="S313" t="str">
            <v/>
          </cell>
        </row>
        <row r="314">
          <cell r="S314" t="str">
            <v>DYN_DIT_CTL_Q_CTL_TH</v>
          </cell>
        </row>
        <row r="315">
          <cell r="S315" t="str">
            <v/>
          </cell>
        </row>
        <row r="316">
          <cell r="S316" t="str">
            <v/>
          </cell>
        </row>
        <row r="317">
          <cell r="S317" t="str">
            <v/>
          </cell>
        </row>
        <row r="318">
          <cell r="S318" t="str">
            <v/>
          </cell>
        </row>
        <row r="319">
          <cell r="S319" t="str">
            <v/>
          </cell>
        </row>
        <row r="320">
          <cell r="S320" t="str">
            <v/>
          </cell>
        </row>
        <row r="321">
          <cell r="S321" t="str">
            <v>DYN_DIT_CTL_Q_EN_OUT_DIG</v>
          </cell>
        </row>
        <row r="322">
          <cell r="S322" t="str">
            <v/>
          </cell>
        </row>
        <row r="323">
          <cell r="S323" t="str">
            <v>DYN_DIT_CTL_Q_SET_ZERO_TH</v>
          </cell>
        </row>
        <row r="324">
          <cell r="S324" t="str">
            <v/>
          </cell>
        </row>
        <row r="325">
          <cell r="S325" t="str">
            <v>DYN_DIT_CTL_Q_FORCE_TH_LOW</v>
          </cell>
        </row>
        <row r="326">
          <cell r="S326" t="str">
            <v/>
          </cell>
        </row>
        <row r="327">
          <cell r="S327" t="str">
            <v>DYN_DIT_CTL_Q_FORCE_TH_HIGH</v>
          </cell>
        </row>
        <row r="328">
          <cell r="S328" t="str">
            <v/>
          </cell>
        </row>
        <row r="329">
          <cell r="S329" t="str">
            <v>DYN_DIT_CTL_Q_RESET_LATCH_DIG</v>
          </cell>
        </row>
        <row r="330">
          <cell r="S330" t="str">
            <v/>
          </cell>
        </row>
        <row r="331">
          <cell r="S331" t="str">
            <v/>
          </cell>
        </row>
        <row r="332">
          <cell r="S332" t="str">
            <v>DMUX_CTL_CLK_EDGE_SEL</v>
          </cell>
        </row>
        <row r="333">
          <cell r="S333" t="str">
            <v/>
          </cell>
        </row>
        <row r="334">
          <cell r="S334" t="str">
            <v>DMUX_CTL_RST_SYNC</v>
          </cell>
        </row>
        <row r="335">
          <cell r="S335" t="str">
            <v/>
          </cell>
        </row>
        <row r="336">
          <cell r="S336" t="str">
            <v>DMUX_CTL_SPARE</v>
          </cell>
        </row>
        <row r="337">
          <cell r="S337" t="str">
            <v/>
          </cell>
        </row>
        <row r="338">
          <cell r="S338" t="str">
            <v/>
          </cell>
        </row>
        <row r="339">
          <cell r="S339" t="str">
            <v>DITHER_DET_OUT_DITHER_DET_OUT_I</v>
          </cell>
        </row>
        <row r="340">
          <cell r="S340" t="str">
            <v/>
          </cell>
        </row>
        <row r="341">
          <cell r="S341" t="str">
            <v>DITHER_DET_OUT_DITHER_DET_OUT_Q</v>
          </cell>
        </row>
        <row r="342">
          <cell r="S342" t="str">
            <v/>
          </cell>
        </row>
        <row r="343">
          <cell r="S343" t="str">
            <v/>
          </cell>
        </row>
        <row r="344">
          <cell r="S344" t="str">
            <v>ERROR_STATUS_PRBS_ER_FLAG_I</v>
          </cell>
        </row>
        <row r="345">
          <cell r="S345" t="str">
            <v/>
          </cell>
        </row>
        <row r="346">
          <cell r="S346" t="str">
            <v>ERROR_STATUS_PRBS_ER_FLAG_Q</v>
          </cell>
        </row>
        <row r="347">
          <cell r="S347" t="str">
            <v/>
          </cell>
        </row>
        <row r="348">
          <cell r="S348" t="str">
            <v/>
          </cell>
        </row>
        <row r="349">
          <cell r="S349" t="str">
            <v>WRITE_LOCK_CTL_ADC_WRITE_LOCK</v>
          </cell>
        </row>
        <row r="350">
          <cell r="S350" t="str">
            <v/>
          </cell>
        </row>
        <row r="351">
          <cell r="S351" t="str">
            <v>ATB_CTL_ATB_COUNTER</v>
          </cell>
        </row>
        <row r="352">
          <cell r="S352" t="str">
            <v>ATB_CTL_ATB1_EN</v>
          </cell>
        </row>
        <row r="353">
          <cell r="S353" t="str">
            <v/>
          </cell>
        </row>
        <row r="354">
          <cell r="S354" t="str">
            <v>ATB_CTL_ATB2_EN</v>
          </cell>
        </row>
        <row r="355">
          <cell r="S355" t="str">
            <v/>
          </cell>
        </row>
        <row r="356">
          <cell r="S356" t="str">
            <v>ATB_CTL_ATB_SEL</v>
          </cell>
        </row>
        <row r="357">
          <cell r="S357" t="str">
            <v/>
          </cell>
        </row>
        <row r="358">
          <cell r="S358" t="str">
            <v/>
          </cell>
        </row>
        <row r="359">
          <cell r="S359" t="str">
            <v/>
          </cell>
        </row>
        <row r="360">
          <cell r="S360" t="str">
            <v/>
          </cell>
        </row>
        <row r="361">
          <cell r="S361" t="str">
            <v/>
          </cell>
        </row>
        <row r="362">
          <cell r="S362" t="str">
            <v/>
          </cell>
        </row>
        <row r="363">
          <cell r="S363" t="str">
            <v/>
          </cell>
        </row>
        <row r="364">
          <cell r="S364" t="str">
            <v/>
          </cell>
        </row>
        <row r="365">
          <cell r="S365" t="str">
            <v/>
          </cell>
        </row>
        <row r="366">
          <cell r="S366" t="str">
            <v/>
          </cell>
        </row>
        <row r="367">
          <cell r="S367" t="str">
            <v/>
          </cell>
        </row>
        <row r="368">
          <cell r="S368" t="str">
            <v/>
          </cell>
        </row>
        <row r="369">
          <cell r="S369" t="str">
            <v/>
          </cell>
        </row>
        <row r="370">
          <cell r="S370" t="str">
            <v/>
          </cell>
        </row>
        <row r="371">
          <cell r="S371" t="str">
            <v/>
          </cell>
        </row>
        <row r="372">
          <cell r="S372" t="str">
            <v/>
          </cell>
        </row>
        <row r="373">
          <cell r="S373" t="str">
            <v/>
          </cell>
        </row>
        <row r="374">
          <cell r="S374" t="str">
            <v/>
          </cell>
        </row>
        <row r="375">
          <cell r="S375" t="str">
            <v/>
          </cell>
        </row>
        <row r="376">
          <cell r="S376" t="str">
            <v/>
          </cell>
        </row>
        <row r="377">
          <cell r="S377" t="str">
            <v/>
          </cell>
        </row>
        <row r="378">
          <cell r="S378" t="str">
            <v/>
          </cell>
        </row>
        <row r="379">
          <cell r="S379" t="str">
            <v/>
          </cell>
        </row>
        <row r="380">
          <cell r="S380" t="str">
            <v/>
          </cell>
        </row>
        <row r="381">
          <cell r="S381" t="str">
            <v/>
          </cell>
        </row>
        <row r="382">
          <cell r="S382" t="str">
            <v/>
          </cell>
        </row>
        <row r="383">
          <cell r="S383" t="str">
            <v/>
          </cell>
        </row>
        <row r="384">
          <cell r="S384" t="str">
            <v/>
          </cell>
        </row>
        <row r="385">
          <cell r="S385" t="str">
            <v/>
          </cell>
        </row>
        <row r="386">
          <cell r="S386" t="str">
            <v/>
          </cell>
        </row>
        <row r="387">
          <cell r="S387" t="str">
            <v/>
          </cell>
        </row>
        <row r="388">
          <cell r="S388" t="str">
            <v/>
          </cell>
        </row>
        <row r="389">
          <cell r="S389" t="str">
            <v/>
          </cell>
        </row>
        <row r="390">
          <cell r="S390" t="str">
            <v/>
          </cell>
        </row>
        <row r="391">
          <cell r="S391" t="str">
            <v/>
          </cell>
        </row>
        <row r="392">
          <cell r="S392" t="str">
            <v/>
          </cell>
        </row>
        <row r="393">
          <cell r="S393" t="str">
            <v/>
          </cell>
        </row>
        <row r="394">
          <cell r="S394" t="str">
            <v/>
          </cell>
        </row>
        <row r="395">
          <cell r="S395" t="str">
            <v/>
          </cell>
        </row>
        <row r="396">
          <cell r="S396" t="str">
            <v/>
          </cell>
        </row>
        <row r="397">
          <cell r="S397" t="str">
            <v/>
          </cell>
        </row>
        <row r="398">
          <cell r="S398" t="str">
            <v/>
          </cell>
        </row>
        <row r="399">
          <cell r="S399" t="str">
            <v/>
          </cell>
        </row>
        <row r="400">
          <cell r="S400" t="str">
            <v/>
          </cell>
        </row>
        <row r="401">
          <cell r="S401" t="str">
            <v/>
          </cell>
        </row>
        <row r="402">
          <cell r="S402" t="str">
            <v/>
          </cell>
        </row>
        <row r="403">
          <cell r="S403" t="str">
            <v/>
          </cell>
        </row>
        <row r="404">
          <cell r="S404" t="str">
            <v/>
          </cell>
        </row>
        <row r="405">
          <cell r="S405" t="str">
            <v/>
          </cell>
        </row>
        <row r="406">
          <cell r="S406" t="str">
            <v/>
          </cell>
        </row>
        <row r="407">
          <cell r="S407" t="str">
            <v/>
          </cell>
        </row>
        <row r="408">
          <cell r="S408" t="str">
            <v/>
          </cell>
        </row>
        <row r="409">
          <cell r="S409" t="str">
            <v/>
          </cell>
        </row>
        <row r="410">
          <cell r="S410" t="str">
            <v/>
          </cell>
        </row>
        <row r="411">
          <cell r="S411" t="str">
            <v/>
          </cell>
        </row>
        <row r="412">
          <cell r="S412" t="str">
            <v/>
          </cell>
        </row>
        <row r="413">
          <cell r="S413" t="str">
            <v/>
          </cell>
        </row>
        <row r="414">
          <cell r="S414" t="str">
            <v/>
          </cell>
        </row>
        <row r="415">
          <cell r="S415" t="str">
            <v/>
          </cell>
        </row>
        <row r="416">
          <cell r="S416" t="str">
            <v/>
          </cell>
        </row>
        <row r="417">
          <cell r="S417" t="str">
            <v/>
          </cell>
        </row>
        <row r="418">
          <cell r="S418" t="str">
            <v/>
          </cell>
        </row>
        <row r="419">
          <cell r="S419" t="str">
            <v/>
          </cell>
        </row>
        <row r="420">
          <cell r="S420" t="str">
            <v/>
          </cell>
        </row>
        <row r="421">
          <cell r="S421" t="str">
            <v/>
          </cell>
        </row>
        <row r="422">
          <cell r="S422" t="str">
            <v/>
          </cell>
        </row>
        <row r="423">
          <cell r="S423" t="str">
            <v/>
          </cell>
        </row>
        <row r="424">
          <cell r="S424" t="str">
            <v/>
          </cell>
        </row>
        <row r="425">
          <cell r="S425" t="str">
            <v/>
          </cell>
        </row>
        <row r="426">
          <cell r="S426" t="str">
            <v/>
          </cell>
        </row>
        <row r="427">
          <cell r="S427" t="str">
            <v/>
          </cell>
        </row>
        <row r="428">
          <cell r="S428" t="str">
            <v/>
          </cell>
        </row>
        <row r="429">
          <cell r="S429" t="str">
            <v/>
          </cell>
        </row>
        <row r="430">
          <cell r="S430" t="str">
            <v/>
          </cell>
        </row>
        <row r="431">
          <cell r="S431" t="str">
            <v/>
          </cell>
        </row>
        <row r="432">
          <cell r="S432" t="str">
            <v/>
          </cell>
        </row>
        <row r="433">
          <cell r="S433" t="str">
            <v/>
          </cell>
        </row>
        <row r="434">
          <cell r="S434" t="str">
            <v/>
          </cell>
        </row>
        <row r="435">
          <cell r="S435" t="str">
            <v/>
          </cell>
        </row>
        <row r="436">
          <cell r="S436" t="str">
            <v/>
          </cell>
        </row>
        <row r="437">
          <cell r="S437" t="str">
            <v/>
          </cell>
        </row>
        <row r="438">
          <cell r="S438" t="str">
            <v/>
          </cell>
        </row>
        <row r="439">
          <cell r="S439" t="str">
            <v/>
          </cell>
        </row>
        <row r="440">
          <cell r="S440" t="str">
            <v/>
          </cell>
        </row>
        <row r="441">
          <cell r="S441" t="str">
            <v/>
          </cell>
        </row>
        <row r="442">
          <cell r="S442" t="str">
            <v/>
          </cell>
        </row>
        <row r="443">
          <cell r="S443" t="str">
            <v/>
          </cell>
        </row>
        <row r="444">
          <cell r="S444" t="str">
            <v/>
          </cell>
        </row>
        <row r="445">
          <cell r="S445" t="str">
            <v/>
          </cell>
        </row>
        <row r="446">
          <cell r="S446" t="str">
            <v/>
          </cell>
        </row>
        <row r="447">
          <cell r="S447" t="str">
            <v/>
          </cell>
        </row>
        <row r="448">
          <cell r="S448" t="str">
            <v/>
          </cell>
        </row>
        <row r="449">
          <cell r="S449" t="str">
            <v/>
          </cell>
        </row>
        <row r="450">
          <cell r="S450" t="str">
            <v/>
          </cell>
        </row>
        <row r="451">
          <cell r="S451" t="str">
            <v/>
          </cell>
        </row>
        <row r="452">
          <cell r="S452" t="str">
            <v/>
          </cell>
        </row>
        <row r="453">
          <cell r="S453" t="str">
            <v/>
          </cell>
        </row>
        <row r="454">
          <cell r="S454" t="str">
            <v/>
          </cell>
        </row>
        <row r="455">
          <cell r="S455" t="str">
            <v/>
          </cell>
        </row>
        <row r="456">
          <cell r="S456" t="str">
            <v/>
          </cell>
        </row>
        <row r="457">
          <cell r="S457" t="str">
            <v/>
          </cell>
        </row>
        <row r="458">
          <cell r="S458" t="str">
            <v/>
          </cell>
        </row>
        <row r="459">
          <cell r="S459" t="str">
            <v/>
          </cell>
        </row>
        <row r="460">
          <cell r="S460" t="str">
            <v/>
          </cell>
        </row>
        <row r="461">
          <cell r="S461" t="str">
            <v/>
          </cell>
        </row>
        <row r="462">
          <cell r="S462" t="str">
            <v/>
          </cell>
        </row>
        <row r="463">
          <cell r="S463" t="str">
            <v/>
          </cell>
        </row>
        <row r="464">
          <cell r="S464" t="str">
            <v>LDO_BYPASS_LDO_DAC_SER_I</v>
          </cell>
        </row>
        <row r="465">
          <cell r="S465" t="str">
            <v>LDO_BYPASS_LDO_DAC_SER_Q</v>
          </cell>
        </row>
        <row r="466">
          <cell r="S466" t="str">
            <v>LDO_BYPASS_LDO_DAC_SH_I</v>
          </cell>
        </row>
        <row r="467">
          <cell r="S467" t="str">
            <v>LDO_BYPASS_LDO_DAC_SH_Q</v>
          </cell>
        </row>
        <row r="468">
          <cell r="S468" t="str">
            <v>LDO_BYPASS_LDO_LF_I</v>
          </cell>
        </row>
        <row r="469">
          <cell r="S469" t="str">
            <v>LDO_BYPASS_LDO_LF_Q</v>
          </cell>
        </row>
        <row r="470">
          <cell r="S470" t="str">
            <v>LDO_BYPASS_LDO_CAP_I</v>
          </cell>
        </row>
        <row r="471">
          <cell r="S471" t="str">
            <v>LDO_BYPASS_LDO_CAP_Q</v>
          </cell>
        </row>
        <row r="472">
          <cell r="S472" t="str">
            <v>LDO_BYPASS_LDO_Q_I</v>
          </cell>
        </row>
        <row r="473">
          <cell r="S473" t="str">
            <v>LDO_BYPASS_LDO_Q_Q</v>
          </cell>
        </row>
        <row r="474">
          <cell r="S474" t="str">
            <v>LDO_BYPASS_LDO_CLK_I</v>
          </cell>
        </row>
        <row r="475">
          <cell r="S475" t="str">
            <v>LDO_BYPASS_LDO_CLK_Q</v>
          </cell>
        </row>
        <row r="476">
          <cell r="S476" t="str">
            <v>LDO_BYPASS_LDO_DIV_I</v>
          </cell>
        </row>
        <row r="477">
          <cell r="S477" t="str">
            <v>LDO_BYPASS_LDO_DIV_Q</v>
          </cell>
        </row>
        <row r="478">
          <cell r="S478" t="str">
            <v>LDO_BYPASS_LDO_DMUX</v>
          </cell>
        </row>
        <row r="479">
          <cell r="S479" t="str">
            <v/>
          </cell>
        </row>
        <row r="480">
          <cell r="S480" t="str">
            <v/>
          </cell>
        </row>
        <row r="481">
          <cell r="S481" t="str">
            <v>LDO_CAP_CTL_LDO_DAC_SER_I</v>
          </cell>
        </row>
        <row r="482">
          <cell r="S482" t="str">
            <v/>
          </cell>
        </row>
        <row r="483">
          <cell r="S483" t="str">
            <v/>
          </cell>
        </row>
        <row r="484">
          <cell r="S484" t="str">
            <v/>
          </cell>
        </row>
        <row r="485">
          <cell r="S485" t="str">
            <v/>
          </cell>
        </row>
        <row r="486">
          <cell r="S486" t="str">
            <v>LDO_CAP_CTL_LDO_DAC_SER_Q</v>
          </cell>
        </row>
        <row r="487">
          <cell r="S487" t="str">
            <v/>
          </cell>
        </row>
        <row r="488">
          <cell r="S488" t="str">
            <v/>
          </cell>
        </row>
        <row r="489">
          <cell r="S489" t="str">
            <v/>
          </cell>
        </row>
        <row r="490">
          <cell r="S490" t="str">
            <v/>
          </cell>
        </row>
        <row r="491">
          <cell r="S491" t="str">
            <v>LDO_CAP_CTL_LDO_DAC_SH_I</v>
          </cell>
        </row>
        <row r="492">
          <cell r="S492" t="str">
            <v/>
          </cell>
        </row>
        <row r="493">
          <cell r="S493" t="str">
            <v/>
          </cell>
        </row>
        <row r="494">
          <cell r="S494" t="str">
            <v/>
          </cell>
        </row>
        <row r="495">
          <cell r="S495" t="str">
            <v/>
          </cell>
        </row>
        <row r="496">
          <cell r="S496" t="str">
            <v>LDO_CAP_CTL_LDO_DAC_SH_Q</v>
          </cell>
        </row>
        <row r="497">
          <cell r="S497" t="str">
            <v/>
          </cell>
        </row>
        <row r="498">
          <cell r="S498" t="str">
            <v/>
          </cell>
        </row>
        <row r="499">
          <cell r="S499" t="str">
            <v/>
          </cell>
        </row>
        <row r="500">
          <cell r="S500" t="str">
            <v/>
          </cell>
        </row>
        <row r="501">
          <cell r="S501" t="str">
            <v>LDO_CAP_CTL_LDO_LF_I</v>
          </cell>
        </row>
        <row r="502">
          <cell r="S502" t="str">
            <v/>
          </cell>
        </row>
        <row r="503">
          <cell r="S503" t="str">
            <v/>
          </cell>
        </row>
        <row r="504">
          <cell r="S504" t="str">
            <v/>
          </cell>
        </row>
        <row r="505">
          <cell r="S505" t="str">
            <v/>
          </cell>
        </row>
        <row r="506">
          <cell r="S506" t="str">
            <v>LDO_CAP_CTL_LDO_LF_Q</v>
          </cell>
        </row>
        <row r="507">
          <cell r="S507" t="str">
            <v/>
          </cell>
        </row>
        <row r="508">
          <cell r="S508" t="str">
            <v/>
          </cell>
        </row>
        <row r="509">
          <cell r="S509" t="str">
            <v/>
          </cell>
        </row>
        <row r="510">
          <cell r="S510" t="str">
            <v/>
          </cell>
        </row>
        <row r="511">
          <cell r="S511" t="str">
            <v>LDO_CAP_CTL_LDO_Q_I</v>
          </cell>
        </row>
        <row r="512">
          <cell r="S512" t="str">
            <v/>
          </cell>
        </row>
        <row r="513">
          <cell r="S513" t="str">
            <v/>
          </cell>
        </row>
        <row r="514">
          <cell r="S514" t="str">
            <v/>
          </cell>
        </row>
        <row r="515">
          <cell r="S515" t="str">
            <v/>
          </cell>
        </row>
        <row r="516">
          <cell r="S516" t="str">
            <v>LDO_CAP_CTL_LDO_Q_Q</v>
          </cell>
        </row>
        <row r="517">
          <cell r="S517" t="str">
            <v/>
          </cell>
        </row>
        <row r="518">
          <cell r="S518" t="str">
            <v/>
          </cell>
        </row>
        <row r="519">
          <cell r="S519" t="str">
            <v/>
          </cell>
        </row>
        <row r="520">
          <cell r="S520" t="str">
            <v/>
          </cell>
        </row>
        <row r="521">
          <cell r="S521" t="str">
            <v>LDO_CAP_CTL_LDO_CLK_I</v>
          </cell>
        </row>
        <row r="522">
          <cell r="S522" t="str">
            <v/>
          </cell>
        </row>
        <row r="523">
          <cell r="S523" t="str">
            <v/>
          </cell>
        </row>
        <row r="524">
          <cell r="S524" t="str">
            <v/>
          </cell>
        </row>
        <row r="525">
          <cell r="S525" t="str">
            <v/>
          </cell>
        </row>
        <row r="526">
          <cell r="S526" t="str">
            <v>LDO_CAP_CTL_LDO_CLK_Q</v>
          </cell>
        </row>
        <row r="527">
          <cell r="S527" t="str">
            <v/>
          </cell>
        </row>
        <row r="528">
          <cell r="S528" t="str">
            <v/>
          </cell>
        </row>
        <row r="529">
          <cell r="S529" t="str">
            <v/>
          </cell>
        </row>
        <row r="530">
          <cell r="S530" t="str">
            <v/>
          </cell>
        </row>
        <row r="531">
          <cell r="S531" t="str">
            <v>LDO_CAP_CTL_LDO_DIV_I</v>
          </cell>
        </row>
        <row r="532">
          <cell r="S532" t="str">
            <v/>
          </cell>
        </row>
        <row r="533">
          <cell r="S533" t="str">
            <v/>
          </cell>
        </row>
        <row r="534">
          <cell r="S534" t="str">
            <v/>
          </cell>
        </row>
        <row r="535">
          <cell r="S535" t="str">
            <v/>
          </cell>
        </row>
        <row r="536">
          <cell r="S536" t="str">
            <v>LDO_CAP_CTL_LDO_DIV_Q</v>
          </cell>
        </row>
        <row r="537">
          <cell r="S537" t="str">
            <v/>
          </cell>
        </row>
        <row r="538">
          <cell r="S538" t="str">
            <v/>
          </cell>
        </row>
        <row r="539">
          <cell r="S539" t="str">
            <v/>
          </cell>
        </row>
        <row r="540">
          <cell r="S540" t="str">
            <v/>
          </cell>
        </row>
        <row r="541">
          <cell r="S541" t="str">
            <v>LDO_CAP_CTL_LDO_DMUX</v>
          </cell>
        </row>
        <row r="542">
          <cell r="S542" t="str">
            <v/>
          </cell>
        </row>
        <row r="543">
          <cell r="S543" t="str">
            <v/>
          </cell>
        </row>
        <row r="544">
          <cell r="S544" t="str">
            <v/>
          </cell>
        </row>
        <row r="545">
          <cell r="S545" t="str">
            <v/>
          </cell>
        </row>
        <row r="546">
          <cell r="S546" t="str">
            <v/>
          </cell>
        </row>
        <row r="547">
          <cell r="S547" t="str">
            <v/>
          </cell>
        </row>
        <row r="548">
          <cell r="S548" t="str">
            <v>TEST_FORCE_ERROR_OV_FLAG_FORCE_I</v>
          </cell>
        </row>
        <row r="549">
          <cell r="S549" t="str">
            <v/>
          </cell>
        </row>
        <row r="550">
          <cell r="S550" t="str">
            <v>TEST_FORCE_ERROR_OV_FLAG_FORCE_Q</v>
          </cell>
        </row>
        <row r="551">
          <cell r="S551" t="str">
            <v/>
          </cell>
        </row>
        <row r="552">
          <cell r="S552" t="str">
            <v>TEST_FORCE_ERROR_PRBS_ERR_FORCE_I</v>
          </cell>
        </row>
        <row r="553">
          <cell r="S553" t="str">
            <v/>
          </cell>
        </row>
        <row r="554">
          <cell r="S554" t="str">
            <v>TEST_FORCE_ERROR_PRBS_ERR_FORCE_Q</v>
          </cell>
        </row>
        <row r="555">
          <cell r="S555" t="str">
            <v/>
          </cell>
        </row>
        <row r="556">
          <cell r="S556" t="str">
            <v>TEST_FORCE_ERROR_MISO_CRC_FORCE</v>
          </cell>
        </row>
        <row r="557">
          <cell r="S557" t="str">
            <v/>
          </cell>
        </row>
        <row r="558">
          <cell r="S558" t="str">
            <v>TEST_FORCE_ERROR_MOSI_CRC_FORCE</v>
          </cell>
        </row>
        <row r="559">
          <cell r="S559" t="str">
            <v/>
          </cell>
        </row>
        <row r="560">
          <cell r="S560" t="str">
            <v>TEST_FORCE_ERROR_CRC_ERR_FORCE</v>
          </cell>
        </row>
        <row r="561">
          <cell r="S561" t="str">
            <v/>
          </cell>
        </row>
        <row r="562">
          <cell r="S562" t="str">
            <v/>
          </cell>
        </row>
        <row r="563">
          <cell r="S563" t="str">
            <v>TEST_RESET_ERROR_OV_FLAG_RESET_I</v>
          </cell>
        </row>
        <row r="564">
          <cell r="S564" t="str">
            <v/>
          </cell>
        </row>
        <row r="565">
          <cell r="S565" t="str">
            <v>TEST_RESET_ERROR_OV_FLAG_RESET_Q</v>
          </cell>
        </row>
        <row r="566">
          <cell r="S566" t="str">
            <v/>
          </cell>
        </row>
        <row r="567">
          <cell r="S567" t="str">
            <v>TEST_RESET_ERROR_PRBS_ERR_RESET_I</v>
          </cell>
        </row>
        <row r="568">
          <cell r="S568" t="str">
            <v/>
          </cell>
        </row>
        <row r="569">
          <cell r="S569" t="str">
            <v>TEST_RESET_ERROR_PRBS_ERR_RESET_Q</v>
          </cell>
        </row>
        <row r="570">
          <cell r="S570" t="str">
            <v/>
          </cell>
        </row>
        <row r="571">
          <cell r="S571" t="str">
            <v>TEST_RESET_ERROR_MISO_CRC_RST</v>
          </cell>
        </row>
        <row r="572">
          <cell r="S572" t="str">
            <v/>
          </cell>
        </row>
        <row r="573">
          <cell r="S573" t="str">
            <v>TEST_RESET_ERROR_MOSI_CRC_RST</v>
          </cell>
        </row>
        <row r="574">
          <cell r="S574" t="str">
            <v/>
          </cell>
        </row>
        <row r="575">
          <cell r="S575" t="str">
            <v>TEST_RESET_ERROR_CRC_ERR_RESET</v>
          </cell>
        </row>
        <row r="576">
          <cell r="S576" t="str">
            <v/>
          </cell>
        </row>
        <row r="577">
          <cell r="S577" t="str">
            <v/>
          </cell>
        </row>
        <row r="578">
          <cell r="S578" t="str">
            <v>ERROR_STATUS_OV_FLAG_I</v>
          </cell>
        </row>
        <row r="579">
          <cell r="S579" t="str">
            <v/>
          </cell>
        </row>
        <row r="580">
          <cell r="S580" t="str">
            <v>ERROR_STATUS_OV_FLAG_Q</v>
          </cell>
        </row>
        <row r="581">
          <cell r="S581" t="str">
            <v/>
          </cell>
        </row>
        <row r="582">
          <cell r="S582" t="str">
            <v>ERROR_STATUS_MISO_CRC_ERROR</v>
          </cell>
        </row>
        <row r="583">
          <cell r="S583" t="str">
            <v/>
          </cell>
        </row>
        <row r="584">
          <cell r="S584" t="str">
            <v>ERROR_STATUS_MOSI_CRC_ERROR</v>
          </cell>
        </row>
        <row r="585">
          <cell r="S585" t="str">
            <v/>
          </cell>
        </row>
        <row r="586">
          <cell r="S586" t="str">
            <v>ERROR_STATUS_CRC_ERR_FLAG</v>
          </cell>
        </row>
        <row r="587">
          <cell r="S587" t="str">
            <v/>
          </cell>
        </row>
        <row r="588">
          <cell r="S588" t="str">
            <v/>
          </cell>
        </row>
        <row r="589">
          <cell r="S589" t="str">
            <v>MASK_ISM_FORCE_ERROR_OV_ERR_I</v>
          </cell>
        </row>
        <row r="590">
          <cell r="S590" t="str">
            <v/>
          </cell>
        </row>
        <row r="591">
          <cell r="S591" t="str">
            <v>MASK_ISM_FORCE_ERROR_OV_ERR_Q</v>
          </cell>
        </row>
        <row r="592">
          <cell r="S592" t="str">
            <v/>
          </cell>
        </row>
        <row r="593">
          <cell r="S593" t="str">
            <v>MASK_ISM_FORCE_ERROR_MISO_CRC_ERROR</v>
          </cell>
        </row>
        <row r="594">
          <cell r="S594" t="str">
            <v/>
          </cell>
        </row>
        <row r="595">
          <cell r="S595" t="str">
            <v>MASK_ISM_FORCE_ERROR_MOSI_CRC_ERROR</v>
          </cell>
        </row>
        <row r="596">
          <cell r="S596" t="str">
            <v/>
          </cell>
        </row>
        <row r="597">
          <cell r="S597" t="str">
            <v>MASK_ISM_FORCE_ERROR_CRC_ERR</v>
          </cell>
        </row>
        <row r="598">
          <cell r="S598" t="str">
            <v/>
          </cell>
        </row>
        <row r="599">
          <cell r="S599" t="str">
            <v/>
          </cell>
        </row>
        <row r="600">
          <cell r="S600" t="str">
            <v>MASK_ISM_RESET_ERROR_OV_ERR_I</v>
          </cell>
        </row>
        <row r="601">
          <cell r="S601" t="str">
            <v/>
          </cell>
        </row>
        <row r="602">
          <cell r="S602" t="str">
            <v>MASK_ISM_RESET_ERROR_OV_ERR_Q</v>
          </cell>
        </row>
        <row r="603">
          <cell r="S603" t="str">
            <v/>
          </cell>
        </row>
        <row r="604">
          <cell r="S604" t="str">
            <v>MASK_ISM_RESET_ERROR_MISO_CRC_ERROR</v>
          </cell>
        </row>
        <row r="605">
          <cell r="S605" t="str">
            <v/>
          </cell>
        </row>
        <row r="606">
          <cell r="S606" t="str">
            <v>MASK_ISM_RESET_ERROR_MOSI_CRC_ERROR</v>
          </cell>
        </row>
        <row r="607">
          <cell r="S607" t="str">
            <v/>
          </cell>
        </row>
        <row r="608">
          <cell r="S608" t="str">
            <v>MASK_ISM_RESET_ERROR_CRC_ERR</v>
          </cell>
        </row>
        <row r="609">
          <cell r="S609" t="str">
            <v/>
          </cell>
        </row>
        <row r="610">
          <cell r="S610" t="str">
            <v/>
          </cell>
        </row>
        <row r="611">
          <cell r="S611" t="str">
            <v>MASK_ISM_ERROR_FLAG_OV_ERR_I</v>
          </cell>
        </row>
        <row r="612">
          <cell r="S612" t="str">
            <v/>
          </cell>
        </row>
        <row r="613">
          <cell r="S613" t="str">
            <v>MASK_ISM_ERROR_FLAG_OV_ERR_Q</v>
          </cell>
        </row>
        <row r="614">
          <cell r="S614" t="str">
            <v/>
          </cell>
        </row>
        <row r="615">
          <cell r="S615" t="str">
            <v>MASK_ISM_ERROR_FLAG_MISO_CRC_ERROR</v>
          </cell>
        </row>
        <row r="616">
          <cell r="S616" t="str">
            <v/>
          </cell>
        </row>
        <row r="617">
          <cell r="S617" t="str">
            <v>MASK_ISM_ERROR_FLAG_MOSI_CRC_ERROR</v>
          </cell>
        </row>
        <row r="618">
          <cell r="S618" t="str">
            <v/>
          </cell>
        </row>
        <row r="619">
          <cell r="S619" t="str">
            <v>MASK_ISM_ERROR_FLAG_CRC_ERR</v>
          </cell>
        </row>
        <row r="620">
          <cell r="S620" t="str">
            <v/>
          </cell>
        </row>
        <row r="621">
          <cell r="S621" t="str">
            <v/>
          </cell>
        </row>
        <row r="622">
          <cell r="S622" t="str">
            <v>SPARE_CTL_0V9_S_CTL_0V9_LF_I</v>
          </cell>
        </row>
        <row r="623">
          <cell r="S623" t="str">
            <v>SPARE_CTL_0V9_S_CTL_0V9_Q_I</v>
          </cell>
        </row>
        <row r="624">
          <cell r="S624" t="str">
            <v>SPARE_CTL_0V9_S_CTL_0V9_CK_I</v>
          </cell>
        </row>
        <row r="625">
          <cell r="S625" t="str">
            <v>SPARE_CTL_0V9_S_CTL_0V9_CKDV_I</v>
          </cell>
        </row>
        <row r="626">
          <cell r="S626" t="str">
            <v>SPARE_CTL_0V9_S_CTL_0V9_LF_Q</v>
          </cell>
        </row>
        <row r="627">
          <cell r="S627" t="str">
            <v>SPARE_CTL_0V9_S_CTL_0V9_Q_Q</v>
          </cell>
        </row>
        <row r="628">
          <cell r="S628" t="str">
            <v>SPARE_CTL_0V9_S_CTL_0V9_CK_Q</v>
          </cell>
        </row>
        <row r="629">
          <cell r="S629" t="str">
            <v>SPARE_CTL_0V9_S_CTL_0V9_CKDV_Q</v>
          </cell>
        </row>
        <row r="630">
          <cell r="S630" t="str">
            <v/>
          </cell>
        </row>
        <row r="631">
          <cell r="S631" t="str">
            <v>SPARE_CTL_1V5_I_S_CTL_1V5_LF_I</v>
          </cell>
        </row>
        <row r="632">
          <cell r="S632" t="str">
            <v>SPARE_CTL_1V5_I_S_CTL_1V5_Q_I</v>
          </cell>
        </row>
        <row r="633">
          <cell r="S633" t="str">
            <v>SPARE_CTL_1V5_I_S_CTL_1V5_DAC_I</v>
          </cell>
        </row>
        <row r="634">
          <cell r="S634" t="str">
            <v>SPARE_CTL_1V5_I_S_CTL_1V5_CK_I</v>
          </cell>
        </row>
        <row r="635">
          <cell r="S635" t="str">
            <v>SPARE_CTL_1V5_I_S_CTL_1V5_CKDV_I</v>
          </cell>
        </row>
        <row r="636">
          <cell r="S636" t="str">
            <v/>
          </cell>
        </row>
        <row r="637">
          <cell r="S637" t="str">
            <v/>
          </cell>
        </row>
        <row r="638">
          <cell r="S638" t="str">
            <v>SPARE_CTL_1V5_Q_S_CTL_1V5_LF_Q</v>
          </cell>
        </row>
        <row r="639">
          <cell r="S639" t="str">
            <v>SPARE_CTL_1V5_Q_S_CTL_1V5_Q_Q</v>
          </cell>
        </row>
        <row r="640">
          <cell r="S640" t="str">
            <v>SPARE_CTL_1V5_Q_S_CTL_1V5_DAC_Q</v>
          </cell>
        </row>
        <row r="641">
          <cell r="S641" t="str">
            <v>SPARE_CTL_1V5_Q_S_CTL_1V5_CK_Q</v>
          </cell>
        </row>
        <row r="642">
          <cell r="S642" t="str">
            <v>SPARE_CTL_1V5_Q_S_CTL_1V5_CKDV_Q</v>
          </cell>
        </row>
        <row r="643">
          <cell r="S643" t="str">
            <v/>
          </cell>
        </row>
        <row r="644">
          <cell r="S644" t="str">
            <v/>
          </cell>
        </row>
        <row r="645">
          <cell r="S645" t="str">
            <v>CRC_REG_MASK1_CRC_REG_MASK_CTL</v>
          </cell>
        </row>
        <row r="646">
          <cell r="S646" t="str">
            <v/>
          </cell>
        </row>
        <row r="647">
          <cell r="S647" t="str">
            <v>CRC_REG_MASK2_CRC_REG_MASK_CTL</v>
          </cell>
        </row>
        <row r="648">
          <cell r="S648" t="str">
            <v/>
          </cell>
        </row>
        <row r="649">
          <cell r="S649" t="str">
            <v/>
          </cell>
        </row>
        <row r="650">
          <cell r="S650" t="str">
            <v>CRC_ERR_INJECT_CRC_ERR_INJ_CTL</v>
          </cell>
        </row>
        <row r="651">
          <cell r="S651" t="str">
            <v/>
          </cell>
        </row>
        <row r="652">
          <cell r="S652" t="str">
            <v>CRC_CHECK_TRIG_CRC_CHECK_TR_CTL</v>
          </cell>
        </row>
        <row r="653">
          <cell r="S653" t="str">
            <v/>
          </cell>
        </row>
        <row r="654">
          <cell r="S654" t="str">
            <v/>
          </cell>
        </row>
        <row r="655">
          <cell r="S655" t="str">
            <v>CRC_ERR_STATUS1_CRC_ERR_STAT_REG</v>
          </cell>
        </row>
        <row r="656">
          <cell r="S656" t="str">
            <v/>
          </cell>
        </row>
        <row r="657">
          <cell r="S657" t="str">
            <v>CRC_ERR_STATUS2_CRC_ERR_STAT_REG</v>
          </cell>
        </row>
        <row r="658">
          <cell r="S658" t="str">
            <v/>
          </cell>
        </row>
        <row r="659">
          <cell r="S659" t="str">
            <v/>
          </cell>
        </row>
        <row r="660">
          <cell r="S660" t="str">
            <v>MOD_STAT_TYPE</v>
          </cell>
        </row>
        <row r="661">
          <cell r="S661" t="str">
            <v/>
          </cell>
        </row>
        <row r="662">
          <cell r="S662" t="str">
            <v>MOD_STAT_N_RW</v>
          </cell>
        </row>
        <row r="663">
          <cell r="S663" t="str">
            <v>MOD_STAT_N_R</v>
          </cell>
        </row>
        <row r="664">
          <cell r="S664" t="str">
            <v>MOD_STAT_N_W</v>
          </cell>
        </row>
        <row r="665">
          <cell r="S665" t="str">
            <v/>
          </cell>
        </row>
        <row r="666">
          <cell r="S666" t="str">
            <v>POWER_DOWN_SOFT_RESET</v>
          </cell>
        </row>
        <row r="667">
          <cell r="S667" t="str">
            <v>POWER_DOWN_FORCE_SOFTRESET</v>
          </cell>
        </row>
        <row r="668">
          <cell r="S668" t="str">
            <v/>
          </cell>
        </row>
        <row r="669">
          <cell r="S669" t="str">
            <v>POWER_DOWN_POWERDOWN</v>
          </cell>
        </row>
        <row r="670">
          <cell r="S670" t="str">
            <v/>
          </cell>
        </row>
        <row r="671">
          <cell r="S671" t="str">
            <v>MOD_ID_APERTURE</v>
          </cell>
        </row>
        <row r="672">
          <cell r="S672" t="str">
            <v>MOD_ID_MINOR_REV</v>
          </cell>
        </row>
        <row r="673">
          <cell r="S673" t="str">
            <v>MOD_ID_MAJOR_REV</v>
          </cell>
        </row>
        <row r="674">
          <cell r="S674" t="str">
            <v>MOD_ID_ID</v>
          </cell>
        </row>
      </sheetData>
      <sheetData sheetId="2"/>
      <sheetData sheetId="3" refreshError="1"/>
      <sheetData sheetId="4"/>
      <sheetData sheetId="5" refreshError="1"/>
      <sheetData sheetId="6" refreshError="1"/>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Registers"/>
      <sheetName val="OCII"/>
      <sheetName val="Interface"/>
      <sheetName val="References"/>
      <sheetName val="Registers Column Definitions"/>
      <sheetName val="INIT_SEQ"/>
      <sheetName val="INFO"/>
      <sheetName val="Helper - Lookup"/>
      <sheetName val="TX_register_map"/>
    </sheetNames>
    <sheetDataSet>
      <sheetData sheetId="0">
        <row r="10">
          <cell r="E10" t="str">
            <v>All</v>
          </cell>
        </row>
      </sheetData>
      <sheetData sheetId="1">
        <row r="3">
          <cell r="S3" t="str">
            <v/>
          </cell>
        </row>
        <row r="4">
          <cell r="S4" t="str">
            <v/>
          </cell>
        </row>
        <row r="5">
          <cell r="S5" t="str">
            <v>PON_PON_TX_LS</v>
          </cell>
        </row>
        <row r="6">
          <cell r="S6" t="str">
            <v/>
          </cell>
        </row>
        <row r="7">
          <cell r="S7" t="str">
            <v>PON_PON_TXBIST_LS</v>
          </cell>
        </row>
        <row r="8">
          <cell r="S8" t="str">
            <v/>
          </cell>
        </row>
        <row r="9">
          <cell r="S9" t="str">
            <v>PON_PON_LDO_LO</v>
          </cell>
        </row>
        <row r="10">
          <cell r="S10" t="str">
            <v/>
          </cell>
        </row>
        <row r="11">
          <cell r="S11" t="str">
            <v>PON_BP_FLT_LDO_LO</v>
          </cell>
        </row>
        <row r="12">
          <cell r="S12" t="str">
            <v/>
          </cell>
        </row>
        <row r="13">
          <cell r="S13" t="str">
            <v>PON_PON_LDO_PR</v>
          </cell>
        </row>
        <row r="14">
          <cell r="S14" t="str">
            <v/>
          </cell>
        </row>
        <row r="15">
          <cell r="S15" t="str">
            <v>PON_BP_FLT_LDO_PR</v>
          </cell>
        </row>
        <row r="16">
          <cell r="S16" t="str">
            <v/>
          </cell>
        </row>
        <row r="17">
          <cell r="S17" t="str">
            <v/>
          </cell>
        </row>
        <row r="18">
          <cell r="S18" t="str">
            <v>PON_TX_ADC_SET_LDO_VREFP</v>
          </cell>
        </row>
        <row r="19">
          <cell r="S19" t="str">
            <v/>
          </cell>
        </row>
        <row r="20">
          <cell r="S20" t="str">
            <v>PON_TX_ADC_SET_LDO_VDDA</v>
          </cell>
        </row>
        <row r="21">
          <cell r="S21" t="str">
            <v/>
          </cell>
        </row>
        <row r="22">
          <cell r="S22" t="str">
            <v>PON_TX_ADC_SET_LDO_B_VREFP</v>
          </cell>
        </row>
        <row r="23">
          <cell r="S23" t="str">
            <v/>
          </cell>
        </row>
        <row r="24">
          <cell r="S24" t="str">
            <v>PON_TX_ADC_SET_LDO_B_VDDA</v>
          </cell>
        </row>
        <row r="25">
          <cell r="S25" t="str">
            <v/>
          </cell>
        </row>
        <row r="26">
          <cell r="S26" t="str">
            <v/>
          </cell>
        </row>
        <row r="27">
          <cell r="S27" t="str">
            <v>TX_ADC_POWER_ENABLE</v>
          </cell>
        </row>
        <row r="28">
          <cell r="S28" t="str">
            <v/>
          </cell>
        </row>
        <row r="29">
          <cell r="S29" t="str">
            <v/>
          </cell>
        </row>
        <row r="30">
          <cell r="S30" t="str">
            <v>PON_TXBIST_BIAS_EN</v>
          </cell>
        </row>
        <row r="31">
          <cell r="S31" t="str">
            <v/>
          </cell>
        </row>
        <row r="32">
          <cell r="S32" t="str">
            <v>PON_TXBIST_TEST_EN</v>
          </cell>
        </row>
        <row r="33">
          <cell r="S33" t="str">
            <v/>
          </cell>
        </row>
        <row r="34">
          <cell r="S34" t="str">
            <v>PON_TXBIST_VGA_EN</v>
          </cell>
        </row>
        <row r="35">
          <cell r="S35" t="str">
            <v/>
          </cell>
        </row>
        <row r="36">
          <cell r="S36" t="str">
            <v>PON_TXBIST_MIXER_CORE_EN</v>
          </cell>
        </row>
        <row r="37">
          <cell r="S37" t="str">
            <v/>
          </cell>
        </row>
        <row r="38">
          <cell r="S38" t="str">
            <v/>
          </cell>
        </row>
        <row r="39">
          <cell r="S39" t="str">
            <v>P0_POWER_LOX2_DAC_CTRL</v>
          </cell>
        </row>
        <row r="40">
          <cell r="S40" t="str">
            <v>P0_POWER_ST1_C</v>
          </cell>
        </row>
        <row r="41">
          <cell r="S41" t="str">
            <v>P0_POWER_ST2_C</v>
          </cell>
        </row>
        <row r="42">
          <cell r="S42" t="str">
            <v/>
          </cell>
        </row>
        <row r="43">
          <cell r="S43" t="str">
            <v>P0_POWER_ST1_V</v>
          </cell>
        </row>
        <row r="44">
          <cell r="S44" t="str">
            <v/>
          </cell>
        </row>
        <row r="45">
          <cell r="S45" t="str">
            <v>P0_POWER_ST2_V</v>
          </cell>
        </row>
        <row r="46">
          <cell r="S46" t="str">
            <v>P0_POWER_DAC_SFTY_LEVEL</v>
          </cell>
        </row>
        <row r="47">
          <cell r="S47" t="str">
            <v/>
          </cell>
        </row>
        <row r="48">
          <cell r="S48" t="str">
            <v/>
          </cell>
        </row>
        <row r="49">
          <cell r="S49" t="str">
            <v>P1_POWER_LOX2_DAC_CTRL</v>
          </cell>
        </row>
        <row r="50">
          <cell r="S50" t="str">
            <v>P1_POWER_ST1_C</v>
          </cell>
        </row>
        <row r="51">
          <cell r="S51" t="str">
            <v>P1_POWER_ST2_C</v>
          </cell>
        </row>
        <row r="52">
          <cell r="S52" t="str">
            <v/>
          </cell>
        </row>
        <row r="53">
          <cell r="S53" t="str">
            <v>P1_POWER_ST1_V</v>
          </cell>
        </row>
        <row r="54">
          <cell r="S54" t="str">
            <v/>
          </cell>
        </row>
        <row r="55">
          <cell r="S55" t="str">
            <v>P1_POWER_ST2_V</v>
          </cell>
        </row>
        <row r="56">
          <cell r="S56" t="str">
            <v>P1_POWER_DAC_SFTY_LEVEL</v>
          </cell>
        </row>
        <row r="57">
          <cell r="S57" t="str">
            <v/>
          </cell>
        </row>
        <row r="58">
          <cell r="S58" t="str">
            <v/>
          </cell>
        </row>
        <row r="59">
          <cell r="S59" t="str">
            <v>P2_POWER_LOX2_DAC_CTRL</v>
          </cell>
        </row>
        <row r="60">
          <cell r="S60" t="str">
            <v>P2_POWER_ST1_C</v>
          </cell>
        </row>
        <row r="61">
          <cell r="S61" t="str">
            <v>P2_POWER_ST2_C</v>
          </cell>
        </row>
        <row r="62">
          <cell r="S62" t="str">
            <v/>
          </cell>
        </row>
        <row r="63">
          <cell r="S63" t="str">
            <v>P2_POWER_ST1_V</v>
          </cell>
        </row>
        <row r="64">
          <cell r="S64" t="str">
            <v/>
          </cell>
        </row>
        <row r="65">
          <cell r="S65" t="str">
            <v>P2_POWER_ST2_V</v>
          </cell>
        </row>
        <row r="66">
          <cell r="S66" t="str">
            <v>P2_POWER_DAC_SFTY_LEVEL</v>
          </cell>
        </row>
        <row r="67">
          <cell r="S67" t="str">
            <v/>
          </cell>
        </row>
        <row r="68">
          <cell r="S68" t="str">
            <v/>
          </cell>
        </row>
        <row r="69">
          <cell r="S69" t="str">
            <v>P3_POWER_LOX2_DAC_CTRL</v>
          </cell>
        </row>
        <row r="70">
          <cell r="S70" t="str">
            <v>P3_POWER_ST1_C</v>
          </cell>
        </row>
        <row r="71">
          <cell r="S71" t="str">
            <v>P3_POWER_ST2_C</v>
          </cell>
        </row>
        <row r="72">
          <cell r="S72" t="str">
            <v/>
          </cell>
        </row>
        <row r="73">
          <cell r="S73" t="str">
            <v>P3_POWER_ST1_V</v>
          </cell>
        </row>
        <row r="74">
          <cell r="S74" t="str">
            <v/>
          </cell>
        </row>
        <row r="75">
          <cell r="S75" t="str">
            <v>P3_POWER_ST2_V</v>
          </cell>
        </row>
        <row r="76">
          <cell r="S76" t="str">
            <v>P3_POWER_DAC_SFTY_LEVEL</v>
          </cell>
        </row>
        <row r="77">
          <cell r="S77" t="str">
            <v/>
          </cell>
        </row>
        <row r="78">
          <cell r="S78" t="str">
            <v/>
          </cell>
        </row>
        <row r="79">
          <cell r="S79" t="str">
            <v>P4_POWER_LOX2_DAC_CTRL</v>
          </cell>
        </row>
        <row r="80">
          <cell r="S80" t="str">
            <v>P4_POWER_ST1_C</v>
          </cell>
        </row>
        <row r="81">
          <cell r="S81" t="str">
            <v>P4_POWER_ST2_C</v>
          </cell>
        </row>
        <row r="82">
          <cell r="S82" t="str">
            <v/>
          </cell>
        </row>
        <row r="83">
          <cell r="S83" t="str">
            <v>P4_POWER_ST1_V</v>
          </cell>
        </row>
        <row r="84">
          <cell r="S84" t="str">
            <v/>
          </cell>
        </row>
        <row r="85">
          <cell r="S85" t="str">
            <v>P4_POWER_ST2_V</v>
          </cell>
        </row>
        <row r="86">
          <cell r="S86" t="str">
            <v>P4_POWER_DAC_SFTY_LEVEL</v>
          </cell>
        </row>
        <row r="87">
          <cell r="S87" t="str">
            <v/>
          </cell>
        </row>
        <row r="88">
          <cell r="S88" t="str">
            <v/>
          </cell>
        </row>
        <row r="89">
          <cell r="S89" t="str">
            <v>P5_POWER_LOX2_DAC_CTRL</v>
          </cell>
        </row>
        <row r="90">
          <cell r="S90" t="str">
            <v>P5_POWER_ST1_C</v>
          </cell>
        </row>
        <row r="91">
          <cell r="S91" t="str">
            <v>P5_POWER_ST2_C</v>
          </cell>
        </row>
        <row r="92">
          <cell r="S92" t="str">
            <v/>
          </cell>
        </row>
        <row r="93">
          <cell r="S93" t="str">
            <v>P5_POWER_ST1_V</v>
          </cell>
        </row>
        <row r="94">
          <cell r="S94" t="str">
            <v/>
          </cell>
        </row>
        <row r="95">
          <cell r="S95" t="str">
            <v>P5_POWER_ST2_V</v>
          </cell>
        </row>
        <row r="96">
          <cell r="S96" t="str">
            <v>P5_POWER_DAC_SFTY_LEVEL</v>
          </cell>
        </row>
        <row r="97">
          <cell r="S97" t="str">
            <v/>
          </cell>
        </row>
        <row r="98">
          <cell r="S98" t="str">
            <v/>
          </cell>
        </row>
        <row r="99">
          <cell r="S99" t="str">
            <v>P6_POWER_LOX2_DAC_CTRL</v>
          </cell>
        </row>
        <row r="100">
          <cell r="S100" t="str">
            <v>P6_POWER_ST1_C</v>
          </cell>
        </row>
        <row r="101">
          <cell r="S101" t="str">
            <v>P6_POWER_ST2_C</v>
          </cell>
        </row>
        <row r="102">
          <cell r="S102" t="str">
            <v/>
          </cell>
        </row>
        <row r="103">
          <cell r="S103" t="str">
            <v>P6_POWER_ST1_V</v>
          </cell>
        </row>
        <row r="104">
          <cell r="S104" t="str">
            <v/>
          </cell>
        </row>
        <row r="105">
          <cell r="S105" t="str">
            <v>P6_POWER_ST2_V</v>
          </cell>
        </row>
        <row r="106">
          <cell r="S106" t="str">
            <v>P6_POWER_DAC_SFTY_LEVEL</v>
          </cell>
        </row>
        <row r="107">
          <cell r="S107" t="str">
            <v/>
          </cell>
        </row>
        <row r="108">
          <cell r="S108" t="str">
            <v/>
          </cell>
        </row>
        <row r="109">
          <cell r="S109" t="str">
            <v>P7_POWER_LOX2_DAC_CTRL</v>
          </cell>
        </row>
        <row r="110">
          <cell r="S110" t="str">
            <v>P7_POWER_ST1_C</v>
          </cell>
        </row>
        <row r="111">
          <cell r="S111" t="str">
            <v>P7_POWER_ST2_C</v>
          </cell>
        </row>
        <row r="112">
          <cell r="S112" t="str">
            <v/>
          </cell>
        </row>
        <row r="113">
          <cell r="S113" t="str">
            <v>P7_POWER_ST1_V</v>
          </cell>
        </row>
        <row r="114">
          <cell r="S114" t="str">
            <v/>
          </cell>
        </row>
        <row r="115">
          <cell r="S115" t="str">
            <v>P7_POWER_ST2_V</v>
          </cell>
        </row>
        <row r="116">
          <cell r="S116" t="str">
            <v>P7_POWER_DAC_SFTY_LEVEL</v>
          </cell>
        </row>
        <row r="117">
          <cell r="S117" t="str">
            <v/>
          </cell>
        </row>
        <row r="118">
          <cell r="S118" t="str">
            <v/>
          </cell>
        </row>
        <row r="119">
          <cell r="S119" t="str">
            <v>P8_POWER_LOX2_DAC_CTRL</v>
          </cell>
        </row>
        <row r="120">
          <cell r="S120" t="str">
            <v>P8_POWER_ST1_C</v>
          </cell>
        </row>
        <row r="121">
          <cell r="S121" t="str">
            <v>P8_POWER_ST2_C</v>
          </cell>
        </row>
        <row r="122">
          <cell r="S122" t="str">
            <v/>
          </cell>
        </row>
        <row r="123">
          <cell r="S123" t="str">
            <v>P8_POWER_ST1_V</v>
          </cell>
        </row>
        <row r="124">
          <cell r="S124" t="str">
            <v/>
          </cell>
        </row>
        <row r="125">
          <cell r="S125" t="str">
            <v>P8_POWER_ST2_V</v>
          </cell>
        </row>
        <row r="126">
          <cell r="S126" t="str">
            <v>P8_POWER_DAC_SFTY_LEVEL</v>
          </cell>
        </row>
        <row r="127">
          <cell r="S127" t="str">
            <v/>
          </cell>
        </row>
        <row r="128">
          <cell r="S128" t="str">
            <v/>
          </cell>
        </row>
        <row r="129">
          <cell r="S129" t="str">
            <v>TX_LO_EN_LOX2</v>
          </cell>
        </row>
        <row r="130">
          <cell r="S130" t="str">
            <v/>
          </cell>
        </row>
        <row r="131">
          <cell r="S131" t="str">
            <v>TX_LO_EN_PPD_LOX2</v>
          </cell>
        </row>
        <row r="132">
          <cell r="S132" t="str">
            <v/>
          </cell>
        </row>
        <row r="133">
          <cell r="S133" t="str">
            <v>TX_LO_EN_FAST_START_LOX2</v>
          </cell>
        </row>
        <row r="134">
          <cell r="S134" t="str">
            <v/>
          </cell>
        </row>
        <row r="135">
          <cell r="S135" t="str">
            <v>TX_LO_EN_LOX2_BIAS</v>
          </cell>
        </row>
        <row r="136">
          <cell r="S136" t="str">
            <v/>
          </cell>
        </row>
        <row r="137">
          <cell r="S137" t="str">
            <v/>
          </cell>
        </row>
        <row r="138">
          <cell r="S138" t="str">
            <v>TX_PR_EN_PR</v>
          </cell>
        </row>
        <row r="139">
          <cell r="S139" t="str">
            <v>TX_PR_EN_PR_DAC</v>
          </cell>
        </row>
        <row r="140">
          <cell r="S140" t="str">
            <v>TX_PR_EN_LBIAS_PR</v>
          </cell>
        </row>
        <row r="141">
          <cell r="S141" t="str">
            <v>TX_PR_EN_BUF2A</v>
          </cell>
        </row>
        <row r="142">
          <cell r="S142" t="str">
            <v>TX_PR_EN_DAC_BUF2A</v>
          </cell>
        </row>
        <row r="143">
          <cell r="S143" t="str">
            <v>TX_PR_EN_PPD_BUF2A</v>
          </cell>
        </row>
        <row r="144">
          <cell r="S144" t="str">
            <v>TX_PR_EN_PPD_BUF2A_VGA</v>
          </cell>
        </row>
        <row r="145">
          <cell r="S145" t="str">
            <v>TX_PR_EN_VGA_PR</v>
          </cell>
        </row>
        <row r="146">
          <cell r="S146" t="str">
            <v>TX_PR_EN_VGA_DAC</v>
          </cell>
        </row>
        <row r="147">
          <cell r="S147" t="str">
            <v>TX_PR_EN_DAC_VGA_IBIAS</v>
          </cell>
        </row>
        <row r="148">
          <cell r="S148" t="str">
            <v>TX_PR_EN_VGA2_VBIAS_VCM</v>
          </cell>
        </row>
        <row r="149">
          <cell r="S149" t="str">
            <v>TX_PR_EN_VGA_DAC_OFST</v>
          </cell>
        </row>
        <row r="150">
          <cell r="S150" t="str">
            <v>TX_PR_FAST_EN_PR</v>
          </cell>
        </row>
        <row r="151">
          <cell r="S151" t="str">
            <v>TX_PR_FAST_SW_PR</v>
          </cell>
        </row>
        <row r="152">
          <cell r="S152" t="str">
            <v/>
          </cell>
        </row>
        <row r="153">
          <cell r="S153" t="str">
            <v/>
          </cell>
        </row>
        <row r="154">
          <cell r="S154" t="str">
            <v>TX_PR_CTL_VGA_PPD_POWER</v>
          </cell>
        </row>
        <row r="155">
          <cell r="S155" t="str">
            <v>TX_PR_CTL_VGA_PPD_PHASE</v>
          </cell>
        </row>
        <row r="156">
          <cell r="S156" t="str">
            <v>TX_PR_CTL_BUF2A_DAC_CTRL</v>
          </cell>
        </row>
        <row r="157">
          <cell r="S157" t="str">
            <v/>
          </cell>
        </row>
        <row r="158">
          <cell r="S158" t="str">
            <v>TX_PR_CTL_IDAC_CONN_FLIP_SW</v>
          </cell>
        </row>
        <row r="159">
          <cell r="S159" t="str">
            <v/>
          </cell>
        </row>
        <row r="160">
          <cell r="S160" t="str">
            <v>TX_PR_CTL_VCM_TRIM</v>
          </cell>
        </row>
        <row r="161">
          <cell r="S161" t="str">
            <v/>
          </cell>
        </row>
        <row r="162">
          <cell r="S162" t="str">
            <v>TX_PR_CTL_TRIM_BUF2A_VBIAS</v>
          </cell>
        </row>
        <row r="164">
          <cell r="S164" t="str">
            <v>TX_PR_CTL_TRIM_BIAS_PR</v>
          </cell>
        </row>
        <row r="165">
          <cell r="S165" t="str">
            <v/>
          </cell>
        </row>
        <row r="166">
          <cell r="S166" t="str">
            <v>TX_PR_CTL_DAC_IREF_PR_CTRL</v>
          </cell>
        </row>
        <row r="167">
          <cell r="S167" t="str">
            <v/>
          </cell>
        </row>
        <row r="168">
          <cell r="S168" t="str">
            <v>TX_2B2C_EN_BUF_2B</v>
          </cell>
        </row>
        <row r="169">
          <cell r="S169" t="str">
            <v/>
          </cell>
        </row>
        <row r="170">
          <cell r="S170" t="str">
            <v>TX_2B2C_EN_BUF_2C</v>
          </cell>
        </row>
        <row r="171">
          <cell r="S171" t="str">
            <v/>
          </cell>
        </row>
        <row r="172">
          <cell r="S172" t="str">
            <v>TX_2B2C_EN_DAC_BUF2B2C</v>
          </cell>
        </row>
        <row r="173">
          <cell r="S173" t="str">
            <v/>
          </cell>
        </row>
        <row r="174">
          <cell r="S174" t="str">
            <v>TX_2B2C_EN_PPD_BUF2C</v>
          </cell>
        </row>
        <row r="175">
          <cell r="S175" t="str">
            <v/>
          </cell>
        </row>
        <row r="176">
          <cell r="S176" t="str">
            <v>TX_2B2C_VCAS_TRIM_2B</v>
          </cell>
        </row>
        <row r="177">
          <cell r="S177" t="str">
            <v>TX_2B2C_VCAS_TRIM_2C</v>
          </cell>
        </row>
        <row r="178">
          <cell r="S178" t="str">
            <v>TX_2B2C_BUF2B2C_DAC_CT</v>
          </cell>
        </row>
        <row r="179">
          <cell r="S179" t="str">
            <v>TX_2B2C_FAST_EN_BUF</v>
          </cell>
        </row>
        <row r="180">
          <cell r="S180" t="str">
            <v>TX_2B2C_FAST_SW_BUF</v>
          </cell>
        </row>
        <row r="181">
          <cell r="S181" t="str">
            <v/>
          </cell>
        </row>
        <row r="182">
          <cell r="S182" t="str">
            <v>TX_PA_EN_PA_CORE</v>
          </cell>
        </row>
        <row r="183">
          <cell r="S183" t="str">
            <v>TX_PA_EN_PA_DAC_ST1_C</v>
          </cell>
        </row>
        <row r="184">
          <cell r="S184" t="str">
            <v>TX_PA_EN_PA_DAC_ST2_C</v>
          </cell>
        </row>
        <row r="185">
          <cell r="S185" t="str">
            <v>TX_PA_EN_PA_DAC_VREF</v>
          </cell>
        </row>
        <row r="186">
          <cell r="S186" t="str">
            <v>TX_PA_EN_PPD_PA</v>
          </cell>
        </row>
        <row r="187">
          <cell r="S187" t="str">
            <v>TX_PA_EN_RTM_DAC</v>
          </cell>
        </row>
        <row r="188">
          <cell r="S188" t="str">
            <v>TX_PA_EN_RTM_COMP</v>
          </cell>
        </row>
        <row r="189">
          <cell r="S189" t="str">
            <v>TX_PA_EN_RTM_BUFX1</v>
          </cell>
        </row>
        <row r="190">
          <cell r="S190" t="str">
            <v>TX_PA_EN_RTM</v>
          </cell>
        </row>
        <row r="191">
          <cell r="S191" t="str">
            <v/>
          </cell>
        </row>
        <row r="192">
          <cell r="S192" t="str">
            <v>TX_PA_PPD_PAOUT_VGA_CT</v>
          </cell>
        </row>
        <row r="193">
          <cell r="S193" t="str">
            <v/>
          </cell>
        </row>
        <row r="194">
          <cell r="S194" t="str">
            <v>TX_PA_PPD_PAOUT_VGA_EN</v>
          </cell>
        </row>
        <row r="195">
          <cell r="S195" t="str">
            <v>TX_PA_DAC_DYN_CTRL</v>
          </cell>
        </row>
        <row r="196">
          <cell r="S196" t="str">
            <v>TX_PA_FAST_EN_PA</v>
          </cell>
        </row>
        <row r="197">
          <cell r="S197" t="str">
            <v/>
          </cell>
        </row>
        <row r="198">
          <cell r="S198" t="str">
            <v>TX_PA_FAST_SW_PA</v>
          </cell>
        </row>
        <row r="199">
          <cell r="S199" t="str">
            <v/>
          </cell>
        </row>
        <row r="200">
          <cell r="S200" t="str">
            <v/>
          </cell>
        </row>
        <row r="201">
          <cell r="S201" t="str">
            <v>BBD_CTL_EN</v>
          </cell>
        </row>
        <row r="202">
          <cell r="S202" t="str">
            <v/>
          </cell>
        </row>
        <row r="203">
          <cell r="S203" t="str">
            <v>BBD_CTL_VREF_RECE</v>
          </cell>
        </row>
        <row r="204">
          <cell r="S204" t="str">
            <v/>
          </cell>
        </row>
        <row r="205">
          <cell r="S205" t="str">
            <v/>
          </cell>
        </row>
        <row r="206">
          <cell r="S206" t="str">
            <v>BBD_DFT_EN_BALL_CURRENT</v>
          </cell>
        </row>
        <row r="207">
          <cell r="S207" t="str">
            <v/>
          </cell>
        </row>
        <row r="208">
          <cell r="S208" t="str">
            <v>BBD_DFT_IDETECT</v>
          </cell>
        </row>
        <row r="209">
          <cell r="S209" t="str">
            <v/>
          </cell>
        </row>
        <row r="210">
          <cell r="S210" t="str">
            <v/>
          </cell>
        </row>
        <row r="211">
          <cell r="S211" t="str">
            <v>ADC_CTL_SEL_SE_CONV</v>
          </cell>
        </row>
        <row r="212">
          <cell r="S212" t="str">
            <v/>
          </cell>
        </row>
        <row r="213">
          <cell r="S213" t="str">
            <v>ADC_CTL_SEL_DIV2</v>
          </cell>
        </row>
        <row r="214">
          <cell r="S214" t="str">
            <v/>
          </cell>
        </row>
        <row r="215">
          <cell r="S215" t="str">
            <v>ADC_CTL_SEL_IN</v>
          </cell>
        </row>
        <row r="216">
          <cell r="S216" t="str">
            <v/>
          </cell>
        </row>
        <row r="217">
          <cell r="S217" t="str">
            <v>ADC_CTL_DIV2_CAL</v>
          </cell>
        </row>
        <row r="218">
          <cell r="S218" t="str">
            <v/>
          </cell>
        </row>
        <row r="219">
          <cell r="S219" t="str">
            <v/>
          </cell>
        </row>
        <row r="220">
          <cell r="S220" t="str">
            <v>ADC_DFT_DEBUG_SPEED</v>
          </cell>
        </row>
        <row r="221">
          <cell r="S221" t="str">
            <v/>
          </cell>
        </row>
        <row r="222">
          <cell r="S222" t="str">
            <v>ADC_DFT_SEL_ATB</v>
          </cell>
        </row>
        <row r="223">
          <cell r="S223" t="str">
            <v/>
          </cell>
        </row>
        <row r="224">
          <cell r="S224" t="str">
            <v>ADC_DFT_TX_ATBEN_SW</v>
          </cell>
        </row>
        <row r="225">
          <cell r="S225" t="str">
            <v/>
          </cell>
        </row>
        <row r="226">
          <cell r="S226" t="str">
            <v>ADC_DFT_TXADC_SEL</v>
          </cell>
        </row>
        <row r="227">
          <cell r="S227" t="str">
            <v>ADC_DFT_ADC_DFT_CLK_SEL</v>
          </cell>
        </row>
        <row r="228">
          <cell r="S228" t="str">
            <v>ADC_DFT_PPD_BUF_EN</v>
          </cell>
        </row>
        <row r="229">
          <cell r="S229" t="str">
            <v/>
          </cell>
        </row>
        <row r="230">
          <cell r="S230" t="str">
            <v>ADC_DFT_PPD_PR_TXADC_SW</v>
          </cell>
        </row>
        <row r="231">
          <cell r="S231" t="str">
            <v/>
          </cell>
        </row>
        <row r="232">
          <cell r="S232" t="str">
            <v>ADC_DFT_PPD_PA_TXADC_SW</v>
          </cell>
        </row>
        <row r="233">
          <cell r="S233" t="str">
            <v/>
          </cell>
        </row>
        <row r="234">
          <cell r="S234" t="str">
            <v>ADC_DFT_VGA_TXADC_SW</v>
          </cell>
        </row>
        <row r="235">
          <cell r="S235" t="str">
            <v>ADC_DFT_SIG2ADC_P_SW</v>
          </cell>
        </row>
        <row r="236">
          <cell r="S236" t="str">
            <v>ADC_DFT_SIG2ADC_N_SW</v>
          </cell>
        </row>
        <row r="237">
          <cell r="S237" t="str">
            <v>ADC_DFT_VSSA_TX_LO_SW</v>
          </cell>
        </row>
        <row r="238">
          <cell r="S238" t="str">
            <v/>
          </cell>
        </row>
        <row r="239">
          <cell r="S239" t="str">
            <v>TXBIST_CTRL_IBIAS_TRIM</v>
          </cell>
        </row>
        <row r="240">
          <cell r="S240" t="str">
            <v/>
          </cell>
        </row>
        <row r="241">
          <cell r="S241" t="str">
            <v>TXBIST_CTRL_VGA_CTRL</v>
          </cell>
        </row>
        <row r="242">
          <cell r="S242" t="str">
            <v>TXBIST_CTRL_STLING_TIME_EN_N</v>
          </cell>
        </row>
        <row r="243">
          <cell r="S243" t="str">
            <v/>
          </cell>
        </row>
        <row r="244">
          <cell r="S244" t="str">
            <v>TXBIST_CTRL_STLING_TIME_EN_P</v>
          </cell>
        </row>
        <row r="245">
          <cell r="S245" t="str">
            <v/>
          </cell>
        </row>
        <row r="246">
          <cell r="S246" t="str">
            <v/>
          </cell>
        </row>
        <row r="247">
          <cell r="S247" t="str">
            <v>PRC_FSM_BYP_VGA_INIT</v>
          </cell>
        </row>
        <row r="248">
          <cell r="S248" t="str">
            <v/>
          </cell>
        </row>
        <row r="249">
          <cell r="S249" t="str">
            <v>PRC_FSM_BYP_PR_OFFSET</v>
          </cell>
        </row>
        <row r="250">
          <cell r="S250" t="str">
            <v/>
          </cell>
        </row>
        <row r="251">
          <cell r="S251" t="str">
            <v>PRC_FSM_BYP_CDIC_SEL</v>
          </cell>
        </row>
        <row r="252">
          <cell r="S252" t="str">
            <v/>
          </cell>
        </row>
        <row r="253">
          <cell r="S253" t="str">
            <v>PRC_FSM_BYP_ADC_AVE</v>
          </cell>
        </row>
        <row r="254">
          <cell r="S254" t="str">
            <v/>
          </cell>
        </row>
        <row r="255">
          <cell r="S255" t="str">
            <v>PRC_FSM_BYP_VGA_OFFSET</v>
          </cell>
        </row>
        <row r="256">
          <cell r="S256" t="str">
            <v/>
          </cell>
        </row>
        <row r="257">
          <cell r="S257" t="str">
            <v>PRC_FSM_BYP_VGA_GAIN</v>
          </cell>
        </row>
        <row r="258">
          <cell r="S258" t="str">
            <v/>
          </cell>
        </row>
        <row r="259">
          <cell r="S259" t="str">
            <v>PRC_FSM_BYP_PR_GAIN</v>
          </cell>
        </row>
        <row r="260">
          <cell r="S260" t="str">
            <v/>
          </cell>
        </row>
        <row r="261">
          <cell r="S261" t="str">
            <v>PRC_FSM_BYP_PR_PHASE</v>
          </cell>
        </row>
        <row r="262">
          <cell r="S262" t="str">
            <v/>
          </cell>
        </row>
        <row r="263">
          <cell r="S263" t="str">
            <v/>
          </cell>
        </row>
        <row r="264">
          <cell r="S264" t="str">
            <v>PRC_VGACTRL1_VGA_OFFSET_TOL</v>
          </cell>
        </row>
        <row r="265">
          <cell r="S265" t="str">
            <v>PRC_VGACTRL1_VGA_GAIN_CAL_START</v>
          </cell>
        </row>
        <row r="266">
          <cell r="S266" t="str">
            <v/>
          </cell>
        </row>
        <row r="267">
          <cell r="S267" t="str">
            <v/>
          </cell>
        </row>
        <row r="268">
          <cell r="S268" t="str">
            <v>PRC_VGACTRL2_VGA_GAIN_MIN_TH</v>
          </cell>
        </row>
        <row r="269">
          <cell r="S269" t="str">
            <v/>
          </cell>
        </row>
        <row r="270">
          <cell r="S270" t="str">
            <v>PRC_VGACTRL2_VGA_GAIN_MAX_TH</v>
          </cell>
        </row>
        <row r="271">
          <cell r="S271" t="str">
            <v/>
          </cell>
        </row>
        <row r="272">
          <cell r="S272" t="str">
            <v/>
          </cell>
        </row>
        <row r="273">
          <cell r="S273" t="str">
            <v>PRC_AVE_CTRL_AV_THRESHOLD</v>
          </cell>
        </row>
        <row r="274">
          <cell r="S274" t="str">
            <v>PRC_AVE_CTRL_AV_PHI_CODE</v>
          </cell>
        </row>
        <row r="275">
          <cell r="S275" t="str">
            <v/>
          </cell>
        </row>
        <row r="276">
          <cell r="S276" t="str">
            <v/>
          </cell>
        </row>
        <row r="277">
          <cell r="S277" t="str">
            <v>PRC_TIMER_ADC_TIMER_ADC_CYCLE</v>
          </cell>
        </row>
        <row r="278">
          <cell r="S278" t="str">
            <v/>
          </cell>
        </row>
        <row r="279">
          <cell r="S279" t="str">
            <v>PRC_TIMER_ADC_TIMER_START_ADC_CONV</v>
          </cell>
        </row>
        <row r="280">
          <cell r="S280" t="str">
            <v/>
          </cell>
        </row>
        <row r="281">
          <cell r="S281" t="str">
            <v/>
          </cell>
        </row>
        <row r="282">
          <cell r="S282" t="str">
            <v>PRC_TIMER_CTRL_ANALOG_STARTUP_TIMER</v>
          </cell>
        </row>
        <row r="283">
          <cell r="S283" t="str">
            <v/>
          </cell>
        </row>
        <row r="284">
          <cell r="S284" t="str">
            <v>PRC_TIMER_CTRL_TIMER_CDIC_CONV_READY</v>
          </cell>
        </row>
        <row r="285">
          <cell r="S285" t="str">
            <v/>
          </cell>
        </row>
        <row r="286">
          <cell r="S286" t="str">
            <v/>
          </cell>
        </row>
        <row r="287">
          <cell r="S287" t="str">
            <v>PRC_GAIN_INIT_GAIN_INIT</v>
          </cell>
        </row>
        <row r="288">
          <cell r="S288" t="str">
            <v/>
          </cell>
        </row>
        <row r="289">
          <cell r="S289" t="str">
            <v/>
          </cell>
        </row>
        <row r="290">
          <cell r="S290" t="str">
            <v>PRC_PHASE_INIT_D_PHI_INIT_CI</v>
          </cell>
        </row>
        <row r="291">
          <cell r="S291" t="str">
            <v>PRC_PHASE_INIT_D_PHI_INIT_CQ</v>
          </cell>
        </row>
        <row r="292">
          <cell r="S292" t="str">
            <v/>
          </cell>
        </row>
        <row r="293">
          <cell r="S293" t="str">
            <v>PRC_THERM_SW_D_FORCE_THERMIN_I</v>
          </cell>
        </row>
        <row r="294">
          <cell r="S294" t="str">
            <v/>
          </cell>
        </row>
        <row r="295">
          <cell r="S295" t="str">
            <v>PRC_THERM_SW_D_FORCE_THERMIN_Q</v>
          </cell>
        </row>
        <row r="296">
          <cell r="S296" t="str">
            <v/>
          </cell>
        </row>
        <row r="297">
          <cell r="S297" t="str">
            <v>PRC_THERM_SW_D_FORCE_THERMIN_Q_SEL</v>
          </cell>
        </row>
        <row r="298">
          <cell r="S298" t="str">
            <v>PRC_THERM_SW_D_FORCE_THERMIN_I_SEL</v>
          </cell>
        </row>
        <row r="299">
          <cell r="S299" t="str">
            <v>PRC_THERM_SW_PRC_DFT_DAC_TESTMODE</v>
          </cell>
        </row>
        <row r="300">
          <cell r="S300" t="str">
            <v>PRC_THERM_SW_PRC_DFT_DAC_TESTMODE_INV</v>
          </cell>
        </row>
        <row r="301">
          <cell r="S301" t="str">
            <v/>
          </cell>
        </row>
        <row r="302">
          <cell r="S302" t="str">
            <v/>
          </cell>
        </row>
        <row r="303">
          <cell r="S303" t="str">
            <v>PRC_OFFSET_SW_D_FORCE_OFFSET_CI</v>
          </cell>
        </row>
        <row r="304">
          <cell r="S304" t="str">
            <v/>
          </cell>
        </row>
        <row r="305">
          <cell r="S305" t="str">
            <v>PRC_OFFSET_SW_D_FORCE_OFFSET_CQ</v>
          </cell>
        </row>
        <row r="306">
          <cell r="S306" t="str">
            <v/>
          </cell>
        </row>
        <row r="307">
          <cell r="S307" t="str">
            <v>PRC_OFFSET_SW_D_FORCE_CI_OFFSET_SEL</v>
          </cell>
        </row>
        <row r="308">
          <cell r="S308" t="str">
            <v/>
          </cell>
        </row>
        <row r="309">
          <cell r="S309" t="str">
            <v>PRC_OFFSET_SW_D_FORCE_CQ_OFFSET_SEL</v>
          </cell>
        </row>
        <row r="310">
          <cell r="S310" t="str">
            <v/>
          </cell>
        </row>
        <row r="311">
          <cell r="S311" t="str">
            <v/>
          </cell>
        </row>
        <row r="312">
          <cell r="S312" t="str">
            <v>PRC_SW_TE_INPUT_D_FORCE_TE_PHASE_SEL</v>
          </cell>
        </row>
        <row r="313">
          <cell r="S313" t="str">
            <v/>
          </cell>
        </row>
        <row r="314">
          <cell r="S314" t="str">
            <v>PRC_SW_TE_INPUT_D_FORCE_TE_PHASE</v>
          </cell>
        </row>
        <row r="315">
          <cell r="S315" t="str">
            <v/>
          </cell>
        </row>
        <row r="316">
          <cell r="S316" t="str">
            <v/>
          </cell>
        </row>
        <row r="317">
          <cell r="S317" t="str">
            <v>PRC_SW_CTRL_D_FORCE_CI_PHI_INIT_SEL</v>
          </cell>
        </row>
        <row r="318">
          <cell r="S318" t="str">
            <v/>
          </cell>
        </row>
        <row r="319">
          <cell r="S319" t="str">
            <v>PRC_SW_CTRL_D_FORCE_CQ_PHI_INIT_SEL</v>
          </cell>
        </row>
        <row r="320">
          <cell r="S320" t="str">
            <v/>
          </cell>
        </row>
        <row r="321">
          <cell r="S321" t="str">
            <v>PRC_SW_CTRL_D_FORCE_CI_GAIN_SEL</v>
          </cell>
        </row>
        <row r="322">
          <cell r="S322" t="str">
            <v/>
          </cell>
        </row>
        <row r="323">
          <cell r="S323" t="str">
            <v>PRC_SW_CTRL_D_FORCE_CQ_GAIN_SEL</v>
          </cell>
        </row>
        <row r="324">
          <cell r="S324" t="str">
            <v/>
          </cell>
        </row>
        <row r="325">
          <cell r="S325" t="str">
            <v>PRC_SW_CTRL_D_FORCE_CI_PHASE_SEL</v>
          </cell>
        </row>
        <row r="326">
          <cell r="S326" t="str">
            <v/>
          </cell>
        </row>
        <row r="327">
          <cell r="S327" t="str">
            <v>PRC_SW_CTRL_D_FORCE_CQ_PHASE_SEL</v>
          </cell>
        </row>
        <row r="328">
          <cell r="S328" t="str">
            <v/>
          </cell>
        </row>
        <row r="329">
          <cell r="S329" t="str">
            <v/>
          </cell>
        </row>
        <row r="330">
          <cell r="S330" t="str">
            <v>PRC_PHASE_SW_D_PHASE_FORCE_CI</v>
          </cell>
        </row>
        <row r="331">
          <cell r="S331" t="str">
            <v>PRC_PHASE_SW_D_PHASE_FORCE_CQ</v>
          </cell>
        </row>
        <row r="332">
          <cell r="S332" t="str">
            <v/>
          </cell>
        </row>
        <row r="333">
          <cell r="S333" t="str">
            <v>PRC_GAIN_SW_D_GAIN_FORCE_CI</v>
          </cell>
        </row>
        <row r="334">
          <cell r="S334" t="str">
            <v/>
          </cell>
        </row>
        <row r="335">
          <cell r="S335" t="str">
            <v>PRC_GAIN_SW_D_GAIN_FORCE_CQ</v>
          </cell>
        </row>
        <row r="336">
          <cell r="S336" t="str">
            <v/>
          </cell>
        </row>
        <row r="337">
          <cell r="S337" t="str">
            <v/>
          </cell>
        </row>
        <row r="338">
          <cell r="S338" t="str">
            <v>PRC_PHASE_INIT_SW_D_PHI_INIT_FORCE_CI</v>
          </cell>
        </row>
        <row r="339">
          <cell r="S339" t="str">
            <v>PRC_PHASE_INIT_SW_D_PHI_INIT_FORCE_CQ</v>
          </cell>
        </row>
        <row r="340">
          <cell r="S340" t="str">
            <v/>
          </cell>
        </row>
        <row r="341">
          <cell r="S341" t="str">
            <v>PRC_FSM_STOP_SW_STOP_VGA_INIT</v>
          </cell>
        </row>
        <row r="342">
          <cell r="S342" t="str">
            <v>PRC_FSM_STOP_SW_STOP_IDLE</v>
          </cell>
        </row>
        <row r="343">
          <cell r="S343" t="str">
            <v/>
          </cell>
        </row>
        <row r="344">
          <cell r="S344" t="str">
            <v>PRC_FSM_STOP_SW_STOP_START_CAL</v>
          </cell>
        </row>
        <row r="345">
          <cell r="S345" t="str">
            <v/>
          </cell>
        </row>
        <row r="346">
          <cell r="S346" t="str">
            <v>PRC_FSM_STOP_SW_STOP_ADC_AVE</v>
          </cell>
        </row>
        <row r="347">
          <cell r="S347" t="str">
            <v/>
          </cell>
        </row>
        <row r="348">
          <cell r="S348" t="str">
            <v>PRC_FSM_STOP_SW_STOP_GPATH_SEL</v>
          </cell>
        </row>
        <row r="349">
          <cell r="S349" t="str">
            <v/>
          </cell>
        </row>
        <row r="350">
          <cell r="S350" t="str">
            <v>PRC_FSM_STOP_SW_STOP_VGA_OFFSET_CAL</v>
          </cell>
        </row>
        <row r="351">
          <cell r="S351" t="str">
            <v/>
          </cell>
        </row>
        <row r="352">
          <cell r="S352" t="str">
            <v>PRC_FSM_STOP_SW_STOP_VGA_GAIN_CAL</v>
          </cell>
        </row>
        <row r="353">
          <cell r="S353" t="str">
            <v/>
          </cell>
        </row>
        <row r="354">
          <cell r="S354" t="str">
            <v>PRC_FSM_STOP_SW_STOP_PR_OFFSET_CAL</v>
          </cell>
        </row>
        <row r="355">
          <cell r="S355" t="str">
            <v/>
          </cell>
        </row>
        <row r="356">
          <cell r="S356" t="str">
            <v>PRC_FSM_STOP_SW_STOP_PR_GAIN_CAL</v>
          </cell>
        </row>
        <row r="357">
          <cell r="S357" t="str">
            <v/>
          </cell>
        </row>
        <row r="358">
          <cell r="S358" t="str">
            <v>PRC_FSM_STOP_SW_STOP_PR_PHASE_CAL</v>
          </cell>
        </row>
        <row r="359">
          <cell r="S359" t="str">
            <v/>
          </cell>
        </row>
        <row r="360">
          <cell r="S360" t="str">
            <v>PRC_FSM_STOP_SW_STOP_END_CAL</v>
          </cell>
        </row>
        <row r="361">
          <cell r="S361" t="str">
            <v/>
          </cell>
        </row>
        <row r="362">
          <cell r="S362" t="str">
            <v/>
          </cell>
        </row>
        <row r="363">
          <cell r="S363" t="str">
            <v>PRC_SW_CTRL0_VGA_GAIN_CAL_PHI_CODE_FORCE</v>
          </cell>
        </row>
        <row r="364">
          <cell r="S364" t="str">
            <v>PRC_SW_CTRL0_VGA_GAIN_CAL_PHI_CODE_FORCE_SEL</v>
          </cell>
        </row>
        <row r="365">
          <cell r="S365" t="str">
            <v/>
          </cell>
        </row>
        <row r="366">
          <cell r="S366" t="str">
            <v/>
          </cell>
        </row>
        <row r="367">
          <cell r="S367" t="str">
            <v>PRC_SW_CTRL1_VGA_OFFSET_CAL_PHI_CODE_FORCE</v>
          </cell>
        </row>
        <row r="368">
          <cell r="S368" t="str">
            <v>PRC_SW_CTRL1_VGA_OFFSET_CAL_PHI_CODE_FORCE_SEL</v>
          </cell>
        </row>
        <row r="369">
          <cell r="S369" t="str">
            <v/>
          </cell>
        </row>
        <row r="370">
          <cell r="S370" t="str">
            <v>PRC_SW_CTRL1_AV_FORCE_SEL</v>
          </cell>
        </row>
        <row r="371">
          <cell r="S371" t="str">
            <v/>
          </cell>
        </row>
        <row r="372">
          <cell r="S372" t="str">
            <v>PRC_SW_CTRL1_AV_CALOUT_FORCE</v>
          </cell>
        </row>
        <row r="373">
          <cell r="S373" t="str">
            <v/>
          </cell>
        </row>
        <row r="374">
          <cell r="S374" t="str">
            <v/>
          </cell>
        </row>
        <row r="375">
          <cell r="S375" t="str">
            <v>PRC_SW_CTRL2_GPATH_SEL_FORCE_SEL</v>
          </cell>
        </row>
        <row r="376">
          <cell r="S376" t="str">
            <v>PRC_SW_CTRL2_GPATH_SEL_FORCE</v>
          </cell>
        </row>
        <row r="377">
          <cell r="S377" t="str">
            <v/>
          </cell>
        </row>
        <row r="378">
          <cell r="S378" t="str">
            <v>PRC_SW_CTRL2_PHASE_BRANCH_SEL</v>
          </cell>
        </row>
        <row r="379">
          <cell r="S379" t="str">
            <v/>
          </cell>
        </row>
        <row r="380">
          <cell r="S380" t="str">
            <v>PRC_SW_CTRL2_VGA_OFFSET_FORCE</v>
          </cell>
        </row>
        <row r="381">
          <cell r="S381" t="str">
            <v>PRC_SW_CTRL2_VGA_OFFSET_FORCE_SEL</v>
          </cell>
        </row>
        <row r="382">
          <cell r="S382" t="str">
            <v/>
          </cell>
        </row>
        <row r="383">
          <cell r="S383" t="str">
            <v>PRC_SW_CTRL2_VGA_GAIN_FORCE</v>
          </cell>
        </row>
        <row r="384">
          <cell r="S384" t="str">
            <v>PRC_SW_CTRL2_VGA_GAIN_FORCE_SEL</v>
          </cell>
        </row>
        <row r="385">
          <cell r="S385" t="str">
            <v/>
          </cell>
        </row>
        <row r="386">
          <cell r="S386" t="str">
            <v>PRC_SW_CTRL2_VGA_PPD_GAIN_FORCE</v>
          </cell>
        </row>
        <row r="387">
          <cell r="S387" t="str">
            <v>PRC_SW_CTRL2_VGA_PPD_GAIN_FORCE_SEL</v>
          </cell>
        </row>
        <row r="388">
          <cell r="S388" t="str">
            <v/>
          </cell>
        </row>
        <row r="389">
          <cell r="S389" t="str">
            <v>PRC_SW_CTRL2_VGA_INIT_VGA_GAIN</v>
          </cell>
        </row>
        <row r="390">
          <cell r="S390" t="str">
            <v>PRC_SW_CTRL2_VGA_INIT_VGA_OFFSET</v>
          </cell>
        </row>
        <row r="391">
          <cell r="S391" t="str">
            <v/>
          </cell>
        </row>
        <row r="392">
          <cell r="S392" t="str">
            <v>PRC_SW_CTRL3_PHASE_COMP_Q_FORCE</v>
          </cell>
        </row>
        <row r="393">
          <cell r="S393" t="str">
            <v>PRC_SW_CTRL3_PHASE_COMP_I_FORCE</v>
          </cell>
        </row>
        <row r="394">
          <cell r="S394" t="str">
            <v/>
          </cell>
        </row>
        <row r="395">
          <cell r="S395" t="str">
            <v>PRC_SW_CTRL4_PHASE_COMP_Q_SEL</v>
          </cell>
        </row>
        <row r="396">
          <cell r="S396" t="str">
            <v/>
          </cell>
        </row>
        <row r="397">
          <cell r="S397" t="str">
            <v>PRC_SW_CTRL4_PHASE_COMP_I_SEL</v>
          </cell>
        </row>
        <row r="398">
          <cell r="S398" t="str">
            <v/>
          </cell>
        </row>
        <row r="399">
          <cell r="S399" t="str">
            <v/>
          </cell>
        </row>
        <row r="400">
          <cell r="S400" t="str">
            <v>PRC_SW_CTRL5_GAIN_COMP_FORCE_Q</v>
          </cell>
        </row>
        <row r="401">
          <cell r="S401" t="str">
            <v/>
          </cell>
        </row>
        <row r="402">
          <cell r="S402" t="str">
            <v>PRC_SW_CTRL5_GAIN_COMP_FORCE_I</v>
          </cell>
        </row>
        <row r="403">
          <cell r="S403" t="str">
            <v/>
          </cell>
        </row>
        <row r="404">
          <cell r="S404" t="str">
            <v/>
          </cell>
        </row>
        <row r="405">
          <cell r="S405" t="str">
            <v>PRC_SW_CTRL6_FORCE_GAIN_COMP_Q_SEL</v>
          </cell>
        </row>
        <row r="406">
          <cell r="S406" t="str">
            <v/>
          </cell>
        </row>
        <row r="407">
          <cell r="S407" t="str">
            <v>PRC_SW_CTRL6_FORCE_GAIN_COMP_I_SEL</v>
          </cell>
        </row>
        <row r="408">
          <cell r="S408" t="str">
            <v/>
          </cell>
        </row>
        <row r="409">
          <cell r="S409" t="str">
            <v/>
          </cell>
        </row>
        <row r="410">
          <cell r="S410" t="str">
            <v>PRC_SW_CTRL7_OFFSET_CAL_Q_OFFSET_CODE_FORCE</v>
          </cell>
        </row>
        <row r="411">
          <cell r="S411" t="str">
            <v/>
          </cell>
        </row>
        <row r="412">
          <cell r="S412" t="str">
            <v>PRC_SW_CTRL7_OFFSET_CAL_I_OFFSET_CODE_FORCE</v>
          </cell>
        </row>
        <row r="413">
          <cell r="S413" t="str">
            <v/>
          </cell>
        </row>
        <row r="414">
          <cell r="S414" t="str">
            <v/>
          </cell>
        </row>
        <row r="415">
          <cell r="S415" t="str">
            <v>PRC_SW_CTRL8_OFFSET_CAL_Q_GAIN_CODE_FORCE</v>
          </cell>
        </row>
        <row r="416">
          <cell r="S416" t="str">
            <v>PRC_SW_CTRL8_OFFSET_CAL_I_GAIN_CODE_FORCE</v>
          </cell>
        </row>
        <row r="417">
          <cell r="S417" t="str">
            <v/>
          </cell>
        </row>
        <row r="418">
          <cell r="S418" t="str">
            <v>PRC_SW_CTRL9_PR_OFFSET_FORCE_SEL</v>
          </cell>
        </row>
        <row r="419">
          <cell r="S419" t="str">
            <v/>
          </cell>
        </row>
        <row r="420">
          <cell r="S420" t="str">
            <v/>
          </cell>
        </row>
        <row r="421">
          <cell r="S421" t="str">
            <v>PRC_SW_CTRL10_ADC_OUT_FORCE</v>
          </cell>
        </row>
        <row r="422">
          <cell r="S422" t="str">
            <v/>
          </cell>
        </row>
        <row r="423">
          <cell r="S423" t="str">
            <v>PRC_SW_CTRL10_ADC_OUT_FORCE_SEL</v>
          </cell>
        </row>
        <row r="424">
          <cell r="S424" t="str">
            <v/>
          </cell>
        </row>
        <row r="425">
          <cell r="S425" t="str">
            <v/>
          </cell>
        </row>
        <row r="426">
          <cell r="S426" t="str">
            <v>PRC_SW_CTRL11_START_CAL_FORCE_SEL</v>
          </cell>
        </row>
        <row r="427">
          <cell r="S427" t="str">
            <v/>
          </cell>
        </row>
        <row r="428">
          <cell r="S428" t="str">
            <v>PRC_SW_CTRL11_START_CAL_FORCE</v>
          </cell>
        </row>
        <row r="429">
          <cell r="S429" t="str">
            <v/>
          </cell>
        </row>
        <row r="430">
          <cell r="S430" t="str">
            <v>PRC_SW_CTRL11_ADC_CONV_SEL</v>
          </cell>
        </row>
        <row r="431">
          <cell r="S431" t="str">
            <v/>
          </cell>
        </row>
        <row r="432">
          <cell r="S432" t="str">
            <v>PRC_SW_CTRL11_ADC_CONV_FORCE</v>
          </cell>
        </row>
        <row r="433">
          <cell r="S433" t="str">
            <v/>
          </cell>
        </row>
        <row r="434">
          <cell r="S434" t="str">
            <v/>
          </cell>
        </row>
        <row r="435">
          <cell r="S435" t="str">
            <v>PRC_IF_TEST_TX_IF_EN</v>
          </cell>
        </row>
        <row r="436">
          <cell r="S436" t="str">
            <v>PRC_IF_TEST_TX_IF_PHASEINC</v>
          </cell>
        </row>
        <row r="437">
          <cell r="S437" t="str">
            <v/>
          </cell>
        </row>
        <row r="438">
          <cell r="S438" t="str">
            <v/>
          </cell>
        </row>
        <row r="439">
          <cell r="S439" t="str">
            <v>RTM_CTRL_FIR_THRESH</v>
          </cell>
        </row>
        <row r="440">
          <cell r="S440" t="str">
            <v/>
          </cell>
        </row>
        <row r="441">
          <cell r="S441" t="str">
            <v>RTM_CTRL_FIR_TAPS</v>
          </cell>
        </row>
        <row r="442">
          <cell r="S442" t="str">
            <v/>
          </cell>
        </row>
        <row r="443">
          <cell r="S443" t="str">
            <v>RTM_CTRL_BYP_FIR</v>
          </cell>
        </row>
        <row r="444">
          <cell r="S444" t="str">
            <v/>
          </cell>
        </row>
        <row r="445">
          <cell r="S445" t="str">
            <v>RTM_CTRL_RTM2DFT</v>
          </cell>
        </row>
        <row r="446">
          <cell r="S446" t="str">
            <v/>
          </cell>
        </row>
        <row r="447">
          <cell r="S447" t="str">
            <v/>
          </cell>
        </row>
        <row r="448">
          <cell r="S448" t="str">
            <v>TXDIG_DFT_CLK_FREE_RUN</v>
          </cell>
        </row>
        <row r="449">
          <cell r="S449" t="str">
            <v/>
          </cell>
        </row>
        <row r="450">
          <cell r="S450" t="str">
            <v/>
          </cell>
        </row>
        <row r="451">
          <cell r="S451" t="str">
            <v>PR_STLING_TIME_EN</v>
          </cell>
        </row>
        <row r="452">
          <cell r="S452" t="str">
            <v/>
          </cell>
        </row>
        <row r="453">
          <cell r="S453" t="str">
            <v/>
          </cell>
        </row>
        <row r="454">
          <cell r="S454" t="str">
            <v>PR_STLING_STAT_TIME_RD</v>
          </cell>
        </row>
        <row r="455">
          <cell r="S455" t="str">
            <v/>
          </cell>
        </row>
        <row r="456">
          <cell r="S456" t="str">
            <v/>
          </cell>
        </row>
        <row r="457">
          <cell r="S457" t="str">
            <v>GPATH_SEL_STAT_GPATH_SEL_RD</v>
          </cell>
        </row>
        <row r="458">
          <cell r="S458" t="str">
            <v/>
          </cell>
        </row>
        <row r="459">
          <cell r="S459" t="str">
            <v>GPATH_SEL_STAT_GPATH_SEL_PPD90_RD</v>
          </cell>
        </row>
        <row r="460">
          <cell r="S460" t="str">
            <v/>
          </cell>
        </row>
        <row r="461">
          <cell r="S461" t="str">
            <v>GPATH_SEL_STAT_GPATH_SEL_PPD0_RD</v>
          </cell>
        </row>
        <row r="462">
          <cell r="S462" t="str">
            <v/>
          </cell>
        </row>
        <row r="463">
          <cell r="S463" t="str">
            <v/>
          </cell>
        </row>
        <row r="464">
          <cell r="S464" t="str">
            <v>VGA_INIT_STAT1_VGA_PHI_CODE_RD</v>
          </cell>
        </row>
        <row r="465">
          <cell r="S465" t="str">
            <v/>
          </cell>
        </row>
        <row r="466">
          <cell r="S466" t="str">
            <v/>
          </cell>
        </row>
        <row r="467">
          <cell r="S467" t="str">
            <v>VGA_INIT_STAT2_RIPPLE_MIN_RD</v>
          </cell>
        </row>
        <row r="468">
          <cell r="S468" t="str">
            <v/>
          </cell>
        </row>
        <row r="469">
          <cell r="S469" t="str">
            <v>VGA_INIT_STAT2_RIPPLE_MAX_RD</v>
          </cell>
        </row>
        <row r="470">
          <cell r="S470" t="str">
            <v/>
          </cell>
        </row>
        <row r="471">
          <cell r="S471" t="str">
            <v/>
          </cell>
        </row>
        <row r="472">
          <cell r="S472" t="str">
            <v>VGA_INIT_STAT3_VGA_PHI_CODE_MIN_RD</v>
          </cell>
        </row>
        <row r="473">
          <cell r="S473" t="str">
            <v>VGA_INIT_STAT3_VGA_PHI_CODE_MAX_RD</v>
          </cell>
        </row>
        <row r="474">
          <cell r="S474" t="str">
            <v/>
          </cell>
        </row>
        <row r="475">
          <cell r="S475" t="str">
            <v>VGA_OFFSET_STAT_MEAS_VGA_OFFSET_RD</v>
          </cell>
        </row>
        <row r="476">
          <cell r="S476" t="str">
            <v/>
          </cell>
        </row>
        <row r="477">
          <cell r="S477" t="str">
            <v>VGA_OFFSET_STAT_VGA_OFFSET_CAL_FAIL</v>
          </cell>
        </row>
        <row r="478">
          <cell r="S478" t="str">
            <v/>
          </cell>
        </row>
        <row r="479">
          <cell r="S479" t="str">
            <v>VGA_OFFSET_STAT_VGA_OFFSET_RD</v>
          </cell>
        </row>
        <row r="480">
          <cell r="S480" t="str">
            <v/>
          </cell>
        </row>
        <row r="481">
          <cell r="S481" t="str">
            <v/>
          </cell>
        </row>
        <row r="482">
          <cell r="S482" t="str">
            <v>VGA_OFFSET_STAT2_VGA_GAIN_CAL_PHI_CODE</v>
          </cell>
        </row>
        <row r="483">
          <cell r="S483" t="str">
            <v/>
          </cell>
        </row>
        <row r="484">
          <cell r="S484" t="str">
            <v/>
          </cell>
        </row>
        <row r="485">
          <cell r="S485" t="str">
            <v>VGA_GAIN_STAT_MEAS_VGA_GAIN_RD</v>
          </cell>
        </row>
        <row r="486">
          <cell r="S486" t="str">
            <v/>
          </cell>
        </row>
        <row r="487">
          <cell r="S487" t="str">
            <v>VGA_GAIN_STAT_VGA_GAIN_RD</v>
          </cell>
        </row>
        <row r="488">
          <cell r="S488" t="str">
            <v/>
          </cell>
        </row>
        <row r="489">
          <cell r="S489" t="str">
            <v>VGA_GAIN_STAT_VGA_PPD_GAIN_RD</v>
          </cell>
        </row>
        <row r="490">
          <cell r="S490" t="str">
            <v/>
          </cell>
        </row>
        <row r="491">
          <cell r="S491" t="str">
            <v/>
          </cell>
        </row>
        <row r="492">
          <cell r="S492" t="str">
            <v>FSM_STAT_FSM_STATUS</v>
          </cell>
        </row>
        <row r="493">
          <cell r="S493" t="str">
            <v>FSM_STAT_END_PR_CAL</v>
          </cell>
        </row>
        <row r="494">
          <cell r="S494" t="str">
            <v/>
          </cell>
        </row>
        <row r="495">
          <cell r="S495" t="str">
            <v>FSM_STAT_PR_CAL_RUN</v>
          </cell>
        </row>
        <row r="496">
          <cell r="S496" t="str">
            <v/>
          </cell>
        </row>
        <row r="497">
          <cell r="S497" t="str">
            <v/>
          </cell>
        </row>
        <row r="498">
          <cell r="S498" t="str">
            <v>PPD_MEAS1_PPD_MEAS2</v>
          </cell>
        </row>
        <row r="499">
          <cell r="S499" t="str">
            <v/>
          </cell>
        </row>
        <row r="500">
          <cell r="S500" t="str">
            <v>PPD_MEAS1_PPD_MEAS1</v>
          </cell>
        </row>
        <row r="501">
          <cell r="S501" t="str">
            <v/>
          </cell>
        </row>
        <row r="502">
          <cell r="S502" t="str">
            <v/>
          </cell>
        </row>
        <row r="503">
          <cell r="S503" t="str">
            <v>PPD_MEAS2_PPD_MEAS4</v>
          </cell>
        </row>
        <row r="504">
          <cell r="S504" t="str">
            <v/>
          </cell>
        </row>
        <row r="505">
          <cell r="S505" t="str">
            <v>PPD_MEAS2_PPD_MEAS3</v>
          </cell>
        </row>
        <row r="506">
          <cell r="S506" t="str">
            <v/>
          </cell>
        </row>
        <row r="507">
          <cell r="S507" t="str">
            <v/>
          </cell>
        </row>
        <row r="508">
          <cell r="S508" t="str">
            <v>PPD_MEAS3_PPD_MEAS6</v>
          </cell>
        </row>
        <row r="509">
          <cell r="S509" t="str">
            <v/>
          </cell>
        </row>
        <row r="510">
          <cell r="S510" t="str">
            <v>PPD_MEAS3_PPD_MEAS5</v>
          </cell>
        </row>
        <row r="511">
          <cell r="S511" t="str">
            <v/>
          </cell>
        </row>
        <row r="512">
          <cell r="S512" t="str">
            <v/>
          </cell>
        </row>
        <row r="513">
          <cell r="S513" t="str">
            <v>PPD_MEAS4_PPD_MEAS8</v>
          </cell>
        </row>
        <row r="514">
          <cell r="S514" t="str">
            <v/>
          </cell>
        </row>
        <row r="515">
          <cell r="S515" t="str">
            <v>PPD_MEAS4_PPD_MEAS7</v>
          </cell>
        </row>
        <row r="516">
          <cell r="S516" t="str">
            <v/>
          </cell>
        </row>
        <row r="517">
          <cell r="S517" t="str">
            <v/>
          </cell>
        </row>
        <row r="518">
          <cell r="S518" t="str">
            <v>PPD_MEAS5_PPD_MEAS10</v>
          </cell>
        </row>
        <row r="519">
          <cell r="S519" t="str">
            <v/>
          </cell>
        </row>
        <row r="520">
          <cell r="S520" t="str">
            <v>PPD_MEAS5_PPD_MEAS9</v>
          </cell>
        </row>
        <row r="521">
          <cell r="S521" t="str">
            <v/>
          </cell>
        </row>
        <row r="522">
          <cell r="S522" t="str">
            <v/>
          </cell>
        </row>
        <row r="523">
          <cell r="S523" t="str">
            <v>PPD_MEAS6_PPD_MEAS12</v>
          </cell>
        </row>
        <row r="524">
          <cell r="S524" t="str">
            <v/>
          </cell>
        </row>
        <row r="525">
          <cell r="S525" t="str">
            <v>PPD_MEAS6_PPD_MEAS11</v>
          </cell>
        </row>
        <row r="526">
          <cell r="S526" t="str">
            <v/>
          </cell>
        </row>
        <row r="527">
          <cell r="S527" t="str">
            <v/>
          </cell>
        </row>
        <row r="528">
          <cell r="S528" t="str">
            <v>PPD_MEAS7_PPD_MEAS14</v>
          </cell>
        </row>
        <row r="529">
          <cell r="S529" t="str">
            <v/>
          </cell>
        </row>
        <row r="530">
          <cell r="S530" t="str">
            <v>PPD_MEAS7_PPD_MEAS13</v>
          </cell>
        </row>
        <row r="531">
          <cell r="S531" t="str">
            <v/>
          </cell>
        </row>
        <row r="532">
          <cell r="S532" t="str">
            <v/>
          </cell>
        </row>
        <row r="533">
          <cell r="S533" t="str">
            <v>PPD_MEAS8_PPD_MEAS16</v>
          </cell>
        </row>
        <row r="534">
          <cell r="S534" t="str">
            <v/>
          </cell>
        </row>
        <row r="535">
          <cell r="S535" t="str">
            <v>PPD_MEAS8_PPD_MEAS15</v>
          </cell>
        </row>
        <row r="536">
          <cell r="S536" t="str">
            <v/>
          </cell>
        </row>
        <row r="537">
          <cell r="S537" t="str">
            <v/>
          </cell>
        </row>
        <row r="538">
          <cell r="S538" t="str">
            <v>PHASE_CAL_STAT_PHASE_COMP_I_RD</v>
          </cell>
        </row>
        <row r="539">
          <cell r="S539" t="str">
            <v>PHASE_CAL_STAT_PHASE_COMP_Q_RD</v>
          </cell>
        </row>
        <row r="540">
          <cell r="S540" t="str">
            <v/>
          </cell>
        </row>
        <row r="541">
          <cell r="S541" t="str">
            <v>GAIN_CAL_STAT_GAIN_COMP_I_RD</v>
          </cell>
        </row>
        <row r="542">
          <cell r="S542" t="str">
            <v/>
          </cell>
        </row>
        <row r="543">
          <cell r="S543" t="str">
            <v>GAIN_CAL_STAT_GAIN_COMP_Q_RD</v>
          </cell>
        </row>
        <row r="544">
          <cell r="S544" t="str">
            <v/>
          </cell>
        </row>
        <row r="545">
          <cell r="S545" t="str">
            <v/>
          </cell>
        </row>
        <row r="546">
          <cell r="S546" t="str">
            <v>OFFSET_CAL_STAT1_OCAL_PPD90_RD</v>
          </cell>
        </row>
        <row r="547">
          <cell r="S547" t="str">
            <v/>
          </cell>
        </row>
        <row r="548">
          <cell r="S548" t="str">
            <v>OFFSET_CAL_STAT1_OCAL_PPD0_RD</v>
          </cell>
        </row>
        <row r="549">
          <cell r="S549" t="str">
            <v/>
          </cell>
        </row>
        <row r="550">
          <cell r="S550" t="str">
            <v/>
          </cell>
        </row>
        <row r="551">
          <cell r="S551" t="str">
            <v>OFFSET_CAL_STAT2_OCAL_PPD270_RD</v>
          </cell>
        </row>
        <row r="552">
          <cell r="S552" t="str">
            <v/>
          </cell>
        </row>
        <row r="553">
          <cell r="S553" t="str">
            <v>OFFSET_CAL_STAT2_OCAL_PPD180_RD</v>
          </cell>
        </row>
        <row r="554">
          <cell r="S554" t="str">
            <v/>
          </cell>
        </row>
        <row r="555">
          <cell r="S555" t="str">
            <v/>
          </cell>
        </row>
        <row r="556">
          <cell r="S556" t="str">
            <v>OFFSET_CAL_STAT3_OFFSET_CAL_I_OFFSET_CODE_RD</v>
          </cell>
        </row>
        <row r="557">
          <cell r="S557" t="str">
            <v/>
          </cell>
        </row>
        <row r="558">
          <cell r="S558" t="str">
            <v>OFFSET_CAL_STAT3_OFFSET_CAL_Q_OFFSET_CODE_RD</v>
          </cell>
        </row>
        <row r="559">
          <cell r="S559" t="str">
            <v/>
          </cell>
        </row>
        <row r="560">
          <cell r="S560" t="str">
            <v/>
          </cell>
        </row>
        <row r="561">
          <cell r="S561" t="str">
            <v>OFFSET_CAL_STAT4_OFFSET_CAL_I_GAIN_CODE_RD</v>
          </cell>
        </row>
        <row r="562">
          <cell r="S562" t="str">
            <v/>
          </cell>
        </row>
        <row r="563">
          <cell r="S563" t="str">
            <v>OFFSET_CAL_STAT4_OFFSET_CAL_Q_GAIN_CODE_RD</v>
          </cell>
        </row>
        <row r="564">
          <cell r="S564" t="str">
            <v/>
          </cell>
        </row>
        <row r="565">
          <cell r="S565" t="str">
            <v/>
          </cell>
        </row>
        <row r="566">
          <cell r="S566" t="str">
            <v>ADC_STAT_ADC_OUT_CLAMPED_RD</v>
          </cell>
        </row>
        <row r="567">
          <cell r="S567" t="str">
            <v/>
          </cell>
        </row>
        <row r="568">
          <cell r="S568" t="str">
            <v>ADC_STAT_ADC_OUT_RD</v>
          </cell>
        </row>
        <row r="569">
          <cell r="S569" t="str">
            <v/>
          </cell>
        </row>
        <row r="570">
          <cell r="S570" t="str">
            <v>ADC_STAT_ADC_READY_RD</v>
          </cell>
        </row>
        <row r="571">
          <cell r="S571" t="str">
            <v/>
          </cell>
        </row>
        <row r="572">
          <cell r="S572" t="str">
            <v>ADC_STAT_TIMEOUT</v>
          </cell>
        </row>
        <row r="573">
          <cell r="S573" t="str">
            <v/>
          </cell>
        </row>
        <row r="574">
          <cell r="S574" t="str">
            <v/>
          </cell>
        </row>
        <row r="575">
          <cell r="S575" t="str">
            <v>AVE_STAT_CAL_OUT_RD</v>
          </cell>
        </row>
        <row r="576">
          <cell r="S576" t="str">
            <v/>
          </cell>
        </row>
        <row r="577">
          <cell r="S577" t="str">
            <v/>
          </cell>
        </row>
        <row r="578">
          <cell r="S578" t="str">
            <v>ATB_CTL_ATB_COUNTER</v>
          </cell>
        </row>
        <row r="579">
          <cell r="S579" t="str">
            <v/>
          </cell>
        </row>
        <row r="580">
          <cell r="S580" t="str">
            <v>ATB_CTL_ATB1_EN</v>
          </cell>
        </row>
        <row r="581">
          <cell r="S581" t="str">
            <v/>
          </cell>
        </row>
        <row r="582">
          <cell r="S582" t="str">
            <v>ATB_CTL_ATB2_EN</v>
          </cell>
        </row>
        <row r="583">
          <cell r="S583" t="str">
            <v/>
          </cell>
        </row>
        <row r="584">
          <cell r="S584" t="str">
            <v>ATB_CTL_ATB1_SEL</v>
          </cell>
        </row>
        <row r="585">
          <cell r="S585" t="str">
            <v/>
          </cell>
        </row>
        <row r="586">
          <cell r="S586" t="str">
            <v/>
          </cell>
        </row>
        <row r="587">
          <cell r="S587" t="str">
            <v/>
          </cell>
        </row>
        <row r="588">
          <cell r="S588" t="str">
            <v/>
          </cell>
        </row>
        <row r="589">
          <cell r="S589" t="str">
            <v/>
          </cell>
        </row>
        <row r="590">
          <cell r="S590" t="str">
            <v/>
          </cell>
        </row>
        <row r="591">
          <cell r="S591" t="str">
            <v/>
          </cell>
        </row>
        <row r="592">
          <cell r="S592" t="str">
            <v/>
          </cell>
        </row>
        <row r="593">
          <cell r="S593" t="str">
            <v/>
          </cell>
        </row>
        <row r="594">
          <cell r="S594" t="str">
            <v/>
          </cell>
        </row>
        <row r="595">
          <cell r="S595" t="str">
            <v/>
          </cell>
        </row>
        <row r="596">
          <cell r="S596" t="str">
            <v/>
          </cell>
        </row>
        <row r="597">
          <cell r="S597" t="str">
            <v/>
          </cell>
        </row>
        <row r="598">
          <cell r="S598" t="str">
            <v/>
          </cell>
        </row>
        <row r="599">
          <cell r="S599" t="str">
            <v/>
          </cell>
        </row>
        <row r="600">
          <cell r="S600" t="str">
            <v/>
          </cell>
        </row>
        <row r="601">
          <cell r="S601" t="str">
            <v/>
          </cell>
        </row>
        <row r="602">
          <cell r="S602" t="str">
            <v/>
          </cell>
        </row>
        <row r="603">
          <cell r="S603" t="str">
            <v/>
          </cell>
        </row>
        <row r="604">
          <cell r="S604" t="str">
            <v/>
          </cell>
        </row>
        <row r="605">
          <cell r="S605" t="str">
            <v/>
          </cell>
        </row>
        <row r="606">
          <cell r="S606" t="str">
            <v/>
          </cell>
        </row>
        <row r="607">
          <cell r="S607" t="str">
            <v/>
          </cell>
        </row>
        <row r="608">
          <cell r="S608" t="str">
            <v/>
          </cell>
        </row>
        <row r="609">
          <cell r="S609" t="str">
            <v/>
          </cell>
        </row>
        <row r="610">
          <cell r="S610" t="str">
            <v/>
          </cell>
        </row>
        <row r="611">
          <cell r="S611" t="str">
            <v/>
          </cell>
        </row>
        <row r="612">
          <cell r="S612" t="str">
            <v/>
          </cell>
        </row>
        <row r="613">
          <cell r="S613" t="str">
            <v/>
          </cell>
        </row>
        <row r="614">
          <cell r="S614" t="str">
            <v/>
          </cell>
        </row>
        <row r="615">
          <cell r="S615" t="str">
            <v/>
          </cell>
        </row>
        <row r="616">
          <cell r="S616" t="str">
            <v/>
          </cell>
        </row>
        <row r="617">
          <cell r="S617" t="str">
            <v/>
          </cell>
        </row>
        <row r="618">
          <cell r="S618" t="str">
            <v/>
          </cell>
        </row>
        <row r="619">
          <cell r="S619" t="str">
            <v/>
          </cell>
        </row>
        <row r="620">
          <cell r="S620" t="str">
            <v/>
          </cell>
        </row>
        <row r="621">
          <cell r="S621" t="str">
            <v/>
          </cell>
        </row>
        <row r="622">
          <cell r="S622" t="str">
            <v/>
          </cell>
        </row>
        <row r="623">
          <cell r="S623" t="str">
            <v/>
          </cell>
        </row>
        <row r="624">
          <cell r="S624" t="str">
            <v/>
          </cell>
        </row>
        <row r="625">
          <cell r="S625" t="str">
            <v/>
          </cell>
        </row>
        <row r="626">
          <cell r="S626" t="str">
            <v/>
          </cell>
        </row>
        <row r="627">
          <cell r="S627" t="str">
            <v/>
          </cell>
        </row>
        <row r="628">
          <cell r="S628" t="str">
            <v/>
          </cell>
        </row>
        <row r="629">
          <cell r="S629" t="str">
            <v/>
          </cell>
        </row>
        <row r="630">
          <cell r="S630" t="str">
            <v/>
          </cell>
        </row>
        <row r="631">
          <cell r="S631" t="str">
            <v/>
          </cell>
        </row>
        <row r="632">
          <cell r="S632" t="str">
            <v/>
          </cell>
        </row>
        <row r="633">
          <cell r="S633" t="str">
            <v/>
          </cell>
        </row>
        <row r="634">
          <cell r="S634" t="str">
            <v/>
          </cell>
        </row>
        <row r="635">
          <cell r="S635" t="str">
            <v/>
          </cell>
        </row>
        <row r="636">
          <cell r="S636" t="str">
            <v/>
          </cell>
        </row>
        <row r="637">
          <cell r="S637" t="str">
            <v/>
          </cell>
        </row>
        <row r="638">
          <cell r="S638" t="str">
            <v/>
          </cell>
        </row>
        <row r="639">
          <cell r="S639" t="str">
            <v/>
          </cell>
        </row>
        <row r="640">
          <cell r="S640" t="str">
            <v/>
          </cell>
        </row>
        <row r="641">
          <cell r="S641" t="str">
            <v/>
          </cell>
        </row>
        <row r="642">
          <cell r="S642" t="str">
            <v/>
          </cell>
        </row>
        <row r="643">
          <cell r="S643" t="str">
            <v/>
          </cell>
        </row>
        <row r="644">
          <cell r="S644" t="str">
            <v/>
          </cell>
        </row>
        <row r="645">
          <cell r="S645" t="str">
            <v/>
          </cell>
        </row>
        <row r="646">
          <cell r="S646" t="str">
            <v/>
          </cell>
        </row>
        <row r="647">
          <cell r="S647" t="str">
            <v/>
          </cell>
        </row>
        <row r="648">
          <cell r="S648" t="str">
            <v/>
          </cell>
        </row>
        <row r="649">
          <cell r="S649" t="str">
            <v/>
          </cell>
        </row>
        <row r="650">
          <cell r="S650" t="str">
            <v/>
          </cell>
        </row>
        <row r="651">
          <cell r="S651" t="str">
            <v/>
          </cell>
        </row>
        <row r="652">
          <cell r="S652" t="str">
            <v/>
          </cell>
        </row>
        <row r="653">
          <cell r="S653" t="str">
            <v/>
          </cell>
        </row>
        <row r="654">
          <cell r="S654" t="str">
            <v/>
          </cell>
        </row>
        <row r="655">
          <cell r="S655" t="str">
            <v/>
          </cell>
        </row>
        <row r="656">
          <cell r="S656" t="str">
            <v/>
          </cell>
        </row>
        <row r="657">
          <cell r="S657" t="str">
            <v/>
          </cell>
        </row>
        <row r="658">
          <cell r="S658" t="str">
            <v/>
          </cell>
        </row>
        <row r="659">
          <cell r="S659" t="str">
            <v/>
          </cell>
        </row>
        <row r="660">
          <cell r="S660" t="str">
            <v/>
          </cell>
        </row>
        <row r="661">
          <cell r="S661" t="str">
            <v/>
          </cell>
        </row>
        <row r="662">
          <cell r="S662" t="str">
            <v/>
          </cell>
        </row>
        <row r="663">
          <cell r="S663" t="str">
            <v/>
          </cell>
        </row>
        <row r="664">
          <cell r="S664" t="str">
            <v/>
          </cell>
        </row>
        <row r="665">
          <cell r="S665" t="str">
            <v/>
          </cell>
        </row>
        <row r="666">
          <cell r="S666" t="str">
            <v/>
          </cell>
        </row>
        <row r="667">
          <cell r="S667" t="str">
            <v/>
          </cell>
        </row>
        <row r="668">
          <cell r="S668" t="str">
            <v/>
          </cell>
        </row>
        <row r="669">
          <cell r="S669" t="str">
            <v/>
          </cell>
        </row>
        <row r="670">
          <cell r="S670" t="str">
            <v/>
          </cell>
        </row>
        <row r="671">
          <cell r="S671" t="str">
            <v/>
          </cell>
        </row>
        <row r="672">
          <cell r="S672" t="str">
            <v/>
          </cell>
        </row>
        <row r="673">
          <cell r="S673" t="str">
            <v/>
          </cell>
        </row>
        <row r="674">
          <cell r="S674" t="str">
            <v/>
          </cell>
        </row>
        <row r="675">
          <cell r="S675" t="str">
            <v/>
          </cell>
        </row>
        <row r="676">
          <cell r="S676" t="str">
            <v/>
          </cell>
        </row>
        <row r="677">
          <cell r="S677" t="str">
            <v/>
          </cell>
        </row>
        <row r="678">
          <cell r="S678" t="str">
            <v/>
          </cell>
        </row>
        <row r="679">
          <cell r="S679" t="str">
            <v/>
          </cell>
        </row>
        <row r="680">
          <cell r="S680" t="str">
            <v/>
          </cell>
        </row>
        <row r="681">
          <cell r="S681" t="str">
            <v/>
          </cell>
        </row>
        <row r="682">
          <cell r="S682" t="str">
            <v/>
          </cell>
        </row>
        <row r="683">
          <cell r="S683" t="str">
            <v/>
          </cell>
        </row>
        <row r="684">
          <cell r="S684" t="str">
            <v/>
          </cell>
        </row>
        <row r="685">
          <cell r="S685" t="str">
            <v/>
          </cell>
        </row>
        <row r="686">
          <cell r="S686" t="str">
            <v/>
          </cell>
        </row>
        <row r="687">
          <cell r="S687" t="str">
            <v/>
          </cell>
        </row>
        <row r="688">
          <cell r="S688" t="str">
            <v/>
          </cell>
        </row>
        <row r="689">
          <cell r="S689" t="str">
            <v/>
          </cell>
        </row>
        <row r="690">
          <cell r="S690" t="str">
            <v/>
          </cell>
        </row>
        <row r="691">
          <cell r="S691" t="str">
            <v/>
          </cell>
        </row>
        <row r="692">
          <cell r="S692" t="str">
            <v/>
          </cell>
        </row>
        <row r="693">
          <cell r="S693" t="str">
            <v/>
          </cell>
        </row>
        <row r="694">
          <cell r="S694" t="str">
            <v/>
          </cell>
        </row>
        <row r="695">
          <cell r="S695" t="str">
            <v/>
          </cell>
        </row>
        <row r="696">
          <cell r="S696" t="str">
            <v/>
          </cell>
        </row>
        <row r="697">
          <cell r="S697" t="str">
            <v/>
          </cell>
        </row>
        <row r="698">
          <cell r="S698" t="str">
            <v/>
          </cell>
        </row>
        <row r="699">
          <cell r="S699" t="str">
            <v/>
          </cell>
        </row>
        <row r="700">
          <cell r="S700" t="str">
            <v/>
          </cell>
        </row>
        <row r="701">
          <cell r="S701" t="str">
            <v/>
          </cell>
        </row>
        <row r="702">
          <cell r="S702" t="str">
            <v/>
          </cell>
        </row>
        <row r="703">
          <cell r="S703" t="str">
            <v>ATB_CTL_ATB2_SEL</v>
          </cell>
        </row>
        <row r="704">
          <cell r="S704" t="str">
            <v/>
          </cell>
        </row>
        <row r="705">
          <cell r="S705" t="str">
            <v/>
          </cell>
        </row>
        <row r="706">
          <cell r="S706" t="str">
            <v/>
          </cell>
        </row>
        <row r="707">
          <cell r="S707" t="str">
            <v/>
          </cell>
        </row>
        <row r="708">
          <cell r="S708" t="str">
            <v/>
          </cell>
        </row>
        <row r="709">
          <cell r="S709" t="str">
            <v/>
          </cell>
        </row>
        <row r="710">
          <cell r="S710" t="str">
            <v/>
          </cell>
        </row>
        <row r="711">
          <cell r="S711" t="str">
            <v/>
          </cell>
        </row>
        <row r="712">
          <cell r="S712" t="str">
            <v/>
          </cell>
        </row>
        <row r="713">
          <cell r="S713" t="str">
            <v/>
          </cell>
        </row>
        <row r="714">
          <cell r="S714" t="str">
            <v/>
          </cell>
        </row>
        <row r="715">
          <cell r="S715" t="str">
            <v/>
          </cell>
        </row>
        <row r="716">
          <cell r="S716" t="str">
            <v/>
          </cell>
        </row>
        <row r="717">
          <cell r="S717" t="str">
            <v/>
          </cell>
        </row>
        <row r="718">
          <cell r="S718" t="str">
            <v/>
          </cell>
        </row>
        <row r="719">
          <cell r="S719" t="str">
            <v/>
          </cell>
        </row>
        <row r="720">
          <cell r="S720" t="str">
            <v/>
          </cell>
        </row>
        <row r="721">
          <cell r="S721" t="str">
            <v/>
          </cell>
        </row>
        <row r="722">
          <cell r="S722" t="str">
            <v/>
          </cell>
        </row>
        <row r="723">
          <cell r="S723" t="str">
            <v/>
          </cell>
        </row>
        <row r="724">
          <cell r="S724" t="str">
            <v/>
          </cell>
        </row>
        <row r="725">
          <cell r="S725" t="str">
            <v/>
          </cell>
        </row>
        <row r="726">
          <cell r="S726" t="str">
            <v/>
          </cell>
        </row>
        <row r="727">
          <cell r="S727" t="str">
            <v/>
          </cell>
        </row>
        <row r="728">
          <cell r="S728" t="str">
            <v/>
          </cell>
        </row>
        <row r="729">
          <cell r="S729" t="str">
            <v/>
          </cell>
        </row>
        <row r="730">
          <cell r="S730" t="str">
            <v/>
          </cell>
        </row>
        <row r="731">
          <cell r="S731" t="str">
            <v/>
          </cell>
        </row>
        <row r="732">
          <cell r="S732" t="str">
            <v/>
          </cell>
        </row>
        <row r="733">
          <cell r="S733" t="str">
            <v/>
          </cell>
        </row>
        <row r="734">
          <cell r="S734" t="str">
            <v/>
          </cell>
        </row>
        <row r="735">
          <cell r="S735" t="str">
            <v/>
          </cell>
        </row>
        <row r="736">
          <cell r="S736" t="str">
            <v/>
          </cell>
        </row>
        <row r="737">
          <cell r="S737" t="str">
            <v/>
          </cell>
        </row>
        <row r="738">
          <cell r="S738" t="str">
            <v/>
          </cell>
        </row>
        <row r="739">
          <cell r="S739" t="str">
            <v/>
          </cell>
        </row>
        <row r="740">
          <cell r="S740" t="str">
            <v/>
          </cell>
        </row>
        <row r="741">
          <cell r="S741" t="str">
            <v/>
          </cell>
        </row>
        <row r="742">
          <cell r="S742" t="str">
            <v/>
          </cell>
        </row>
        <row r="743">
          <cell r="S743" t="str">
            <v/>
          </cell>
        </row>
        <row r="744">
          <cell r="S744" t="str">
            <v/>
          </cell>
        </row>
        <row r="745">
          <cell r="S745" t="str">
            <v/>
          </cell>
        </row>
        <row r="746">
          <cell r="S746" t="str">
            <v/>
          </cell>
        </row>
        <row r="747">
          <cell r="S747" t="str">
            <v/>
          </cell>
        </row>
        <row r="748">
          <cell r="S748" t="str">
            <v/>
          </cell>
        </row>
        <row r="749">
          <cell r="S749" t="str">
            <v/>
          </cell>
        </row>
        <row r="750">
          <cell r="S750" t="str">
            <v/>
          </cell>
        </row>
        <row r="751">
          <cell r="S751" t="str">
            <v/>
          </cell>
        </row>
        <row r="752">
          <cell r="S752" t="str">
            <v/>
          </cell>
        </row>
        <row r="753">
          <cell r="S753" t="str">
            <v/>
          </cell>
        </row>
        <row r="754">
          <cell r="S754" t="str">
            <v/>
          </cell>
        </row>
        <row r="755">
          <cell r="S755" t="str">
            <v/>
          </cell>
        </row>
        <row r="756">
          <cell r="S756" t="str">
            <v/>
          </cell>
        </row>
        <row r="757">
          <cell r="S757" t="str">
            <v/>
          </cell>
        </row>
        <row r="758">
          <cell r="S758" t="str">
            <v/>
          </cell>
        </row>
        <row r="759">
          <cell r="S759" t="str">
            <v/>
          </cell>
        </row>
        <row r="760">
          <cell r="S760" t="str">
            <v/>
          </cell>
        </row>
        <row r="761">
          <cell r="S761" t="str">
            <v/>
          </cell>
        </row>
        <row r="762">
          <cell r="S762" t="str">
            <v/>
          </cell>
        </row>
        <row r="763">
          <cell r="S763" t="str">
            <v/>
          </cell>
        </row>
        <row r="764">
          <cell r="S764" t="str">
            <v/>
          </cell>
        </row>
        <row r="765">
          <cell r="S765" t="str">
            <v/>
          </cell>
        </row>
        <row r="766">
          <cell r="S766" t="str">
            <v/>
          </cell>
        </row>
        <row r="767">
          <cell r="S767" t="str">
            <v/>
          </cell>
        </row>
        <row r="768">
          <cell r="S768" t="str">
            <v/>
          </cell>
        </row>
        <row r="769">
          <cell r="S769" t="str">
            <v/>
          </cell>
        </row>
        <row r="770">
          <cell r="S770" t="str">
            <v/>
          </cell>
        </row>
        <row r="771">
          <cell r="S771" t="str">
            <v/>
          </cell>
        </row>
        <row r="772">
          <cell r="S772" t="str">
            <v/>
          </cell>
        </row>
        <row r="773">
          <cell r="S773" t="str">
            <v/>
          </cell>
        </row>
        <row r="774">
          <cell r="S774" t="str">
            <v/>
          </cell>
        </row>
        <row r="775">
          <cell r="S775" t="str">
            <v/>
          </cell>
        </row>
        <row r="776">
          <cell r="S776" t="str">
            <v/>
          </cell>
        </row>
        <row r="777">
          <cell r="S777" t="str">
            <v/>
          </cell>
        </row>
        <row r="778">
          <cell r="S778" t="str">
            <v/>
          </cell>
        </row>
        <row r="779">
          <cell r="S779" t="str">
            <v/>
          </cell>
        </row>
        <row r="780">
          <cell r="S780" t="str">
            <v/>
          </cell>
        </row>
        <row r="781">
          <cell r="S781" t="str">
            <v/>
          </cell>
        </row>
        <row r="782">
          <cell r="S782" t="str">
            <v/>
          </cell>
        </row>
        <row r="783">
          <cell r="S783" t="str">
            <v/>
          </cell>
        </row>
        <row r="784">
          <cell r="S784" t="str">
            <v/>
          </cell>
        </row>
        <row r="785">
          <cell r="S785" t="str">
            <v/>
          </cell>
        </row>
        <row r="786">
          <cell r="S786" t="str">
            <v/>
          </cell>
        </row>
        <row r="787">
          <cell r="S787" t="str">
            <v/>
          </cell>
        </row>
        <row r="788">
          <cell r="S788" t="str">
            <v/>
          </cell>
        </row>
        <row r="789">
          <cell r="S789" t="str">
            <v/>
          </cell>
        </row>
        <row r="790">
          <cell r="S790" t="str">
            <v/>
          </cell>
        </row>
        <row r="791">
          <cell r="S791" t="str">
            <v/>
          </cell>
        </row>
        <row r="792">
          <cell r="S792" t="str">
            <v/>
          </cell>
        </row>
        <row r="793">
          <cell r="S793" t="str">
            <v/>
          </cell>
        </row>
        <row r="794">
          <cell r="S794" t="str">
            <v/>
          </cell>
        </row>
        <row r="795">
          <cell r="S795" t="str">
            <v/>
          </cell>
        </row>
        <row r="796">
          <cell r="S796" t="str">
            <v/>
          </cell>
        </row>
        <row r="797">
          <cell r="S797" t="str">
            <v/>
          </cell>
        </row>
        <row r="798">
          <cell r="S798" t="str">
            <v/>
          </cell>
        </row>
        <row r="799">
          <cell r="S799" t="str">
            <v/>
          </cell>
        </row>
        <row r="800">
          <cell r="S800" t="str">
            <v/>
          </cell>
        </row>
        <row r="801">
          <cell r="S801" t="str">
            <v/>
          </cell>
        </row>
        <row r="802">
          <cell r="S802" t="str">
            <v/>
          </cell>
        </row>
        <row r="803">
          <cell r="S803" t="str">
            <v/>
          </cell>
        </row>
        <row r="804">
          <cell r="S804" t="str">
            <v/>
          </cell>
        </row>
        <row r="805">
          <cell r="S805" t="str">
            <v/>
          </cell>
        </row>
        <row r="806">
          <cell r="S806" t="str">
            <v/>
          </cell>
        </row>
        <row r="807">
          <cell r="S807" t="str">
            <v/>
          </cell>
        </row>
        <row r="808">
          <cell r="S808" t="str">
            <v/>
          </cell>
        </row>
        <row r="809">
          <cell r="S809" t="str">
            <v/>
          </cell>
        </row>
        <row r="810">
          <cell r="S810" t="str">
            <v/>
          </cell>
        </row>
        <row r="811">
          <cell r="S811" t="str">
            <v/>
          </cell>
        </row>
        <row r="812">
          <cell r="S812" t="str">
            <v/>
          </cell>
        </row>
        <row r="813">
          <cell r="S813" t="str">
            <v/>
          </cell>
        </row>
        <row r="814">
          <cell r="S814" t="str">
            <v/>
          </cell>
        </row>
        <row r="815">
          <cell r="S815" t="str">
            <v/>
          </cell>
        </row>
        <row r="816">
          <cell r="S816" t="str">
            <v/>
          </cell>
        </row>
        <row r="817">
          <cell r="S817" t="str">
            <v/>
          </cell>
        </row>
        <row r="818">
          <cell r="S818" t="str">
            <v/>
          </cell>
        </row>
        <row r="819">
          <cell r="S819" t="str">
            <v/>
          </cell>
        </row>
        <row r="820">
          <cell r="S820" t="str">
            <v/>
          </cell>
        </row>
        <row r="821">
          <cell r="S821" t="str">
            <v/>
          </cell>
        </row>
        <row r="822">
          <cell r="S822" t="str">
            <v>LDO_BYPASS_TX_LDO_LO_BYP</v>
          </cell>
        </row>
        <row r="823">
          <cell r="S823" t="str">
            <v/>
          </cell>
        </row>
        <row r="824">
          <cell r="S824" t="str">
            <v>LDO_BYPASS_TX_LDO_PR_BYP</v>
          </cell>
        </row>
        <row r="825">
          <cell r="S825" t="str">
            <v/>
          </cell>
        </row>
        <row r="826">
          <cell r="S826" t="str">
            <v>LDO_BYPASS_TX_ADC_LDO_BYP</v>
          </cell>
        </row>
        <row r="827">
          <cell r="S827" t="str">
            <v/>
          </cell>
        </row>
        <row r="828">
          <cell r="S828" t="str">
            <v/>
          </cell>
        </row>
        <row r="829">
          <cell r="S829" t="str">
            <v>LDO_CAP_TBL_TX_LDO_LO_SEL</v>
          </cell>
        </row>
        <row r="830">
          <cell r="S830" t="str">
            <v/>
          </cell>
        </row>
        <row r="831">
          <cell r="S831" t="str">
            <v/>
          </cell>
        </row>
        <row r="832">
          <cell r="S832" t="str">
            <v/>
          </cell>
        </row>
        <row r="833">
          <cell r="S833" t="str">
            <v/>
          </cell>
        </row>
        <row r="834">
          <cell r="S834" t="str">
            <v/>
          </cell>
        </row>
        <row r="835">
          <cell r="S835" t="str">
            <v>LDO_CAP_TBL_TX_LDO_PR_SEL</v>
          </cell>
        </row>
        <row r="836">
          <cell r="S836" t="str">
            <v/>
          </cell>
        </row>
        <row r="837">
          <cell r="S837" t="str">
            <v/>
          </cell>
        </row>
        <row r="838">
          <cell r="S838" t="str">
            <v/>
          </cell>
        </row>
        <row r="839">
          <cell r="S839" t="str">
            <v/>
          </cell>
        </row>
        <row r="840">
          <cell r="S840" t="str">
            <v/>
          </cell>
        </row>
        <row r="841">
          <cell r="S841" t="str">
            <v/>
          </cell>
        </row>
        <row r="842">
          <cell r="S842" t="str">
            <v>VSTRESS_TX_HVST_EN</v>
          </cell>
        </row>
        <row r="843">
          <cell r="S843" t="str">
            <v/>
          </cell>
        </row>
        <row r="844">
          <cell r="S844" t="str">
            <v>VSTRESS_TXBIST_HVST_EN</v>
          </cell>
        </row>
        <row r="845">
          <cell r="S845" t="str">
            <v/>
          </cell>
        </row>
        <row r="846">
          <cell r="S846" t="str">
            <v/>
          </cell>
        </row>
        <row r="847">
          <cell r="S847" t="str">
            <v>TEST_FORCE_ERROR_PAOUT_RTM_ERR_FORCE</v>
          </cell>
        </row>
        <row r="848">
          <cell r="S848" t="str">
            <v/>
          </cell>
        </row>
        <row r="849">
          <cell r="S849" t="str">
            <v>TEST_FORCE_ERROR_BBD_ERR_FORCE</v>
          </cell>
        </row>
        <row r="850">
          <cell r="S850" t="str">
            <v/>
          </cell>
        </row>
        <row r="851">
          <cell r="S851" t="str">
            <v>TEST_FORCE_ERROR_CRC_ERR_FORCE</v>
          </cell>
        </row>
        <row r="852">
          <cell r="S852" t="str">
            <v/>
          </cell>
        </row>
        <row r="853">
          <cell r="S853" t="str">
            <v>TEST_FORCE_ERROR_MISO_CRC_FORCE</v>
          </cell>
        </row>
        <row r="854">
          <cell r="S854" t="str">
            <v/>
          </cell>
        </row>
        <row r="855">
          <cell r="S855" t="str">
            <v>TEST_FORCE_ERROR_MOSI_CRC_FORCE</v>
          </cell>
        </row>
        <row r="856">
          <cell r="S856" t="str">
            <v/>
          </cell>
        </row>
        <row r="857">
          <cell r="S857" t="str">
            <v/>
          </cell>
        </row>
        <row r="858">
          <cell r="S858" t="str">
            <v>TEST_RESET_ERROR_PAOUT_RTM_ERR_RESET</v>
          </cell>
        </row>
        <row r="859">
          <cell r="S859" t="str">
            <v/>
          </cell>
        </row>
        <row r="860">
          <cell r="S860" t="str">
            <v>TEST_RESET_ERROR_BBD_ERR_RESET</v>
          </cell>
        </row>
        <row r="861">
          <cell r="S861" t="str">
            <v/>
          </cell>
        </row>
        <row r="862">
          <cell r="S862" t="str">
            <v>TEST_RESET_ERROR_CRC_ERR_RESET</v>
          </cell>
        </row>
        <row r="863">
          <cell r="S863" t="str">
            <v/>
          </cell>
        </row>
        <row r="864">
          <cell r="S864" t="str">
            <v>TEST_RESET_ERROR_MISO_CRC_RESET</v>
          </cell>
        </row>
        <row r="865">
          <cell r="S865" t="str">
            <v/>
          </cell>
        </row>
        <row r="866">
          <cell r="S866" t="str">
            <v>TEST_RESET_ERROR_MOSI_CRC_RESET</v>
          </cell>
        </row>
        <row r="867">
          <cell r="S867" t="str">
            <v/>
          </cell>
        </row>
        <row r="868">
          <cell r="S868" t="str">
            <v/>
          </cell>
        </row>
        <row r="869">
          <cell r="S869" t="str">
            <v>ERROR_STATUS_PAOUT_RTM_ERR_FLAG</v>
          </cell>
        </row>
        <row r="870">
          <cell r="S870" t="str">
            <v/>
          </cell>
        </row>
        <row r="871">
          <cell r="S871" t="str">
            <v>ERROR_STATUS_BBD_ERR_FLAG</v>
          </cell>
        </row>
        <row r="872">
          <cell r="S872" t="str">
            <v/>
          </cell>
        </row>
        <row r="873">
          <cell r="S873" t="str">
            <v>ERROR_STATUS_CRC_ERR_FLAG</v>
          </cell>
        </row>
        <row r="874">
          <cell r="S874" t="str">
            <v/>
          </cell>
        </row>
        <row r="875">
          <cell r="S875" t="str">
            <v>ERROR_STATUS_MISO_CRC_ERR</v>
          </cell>
        </row>
        <row r="876">
          <cell r="S876" t="str">
            <v/>
          </cell>
        </row>
        <row r="877">
          <cell r="S877" t="str">
            <v>ERROR_STATUS_MOSI_CRC_ERR</v>
          </cell>
        </row>
        <row r="878">
          <cell r="S878" t="str">
            <v/>
          </cell>
        </row>
        <row r="879">
          <cell r="S879" t="str">
            <v/>
          </cell>
        </row>
        <row r="880">
          <cell r="S880" t="str">
            <v>MASK_ISM_FORCE_ERROR_PAOUT_RTM_ERR</v>
          </cell>
        </row>
        <row r="881">
          <cell r="S881" t="str">
            <v/>
          </cell>
        </row>
        <row r="882">
          <cell r="S882" t="str">
            <v>MASK_ISM_FORCE_ERROR_BBD_ERR</v>
          </cell>
        </row>
        <row r="883">
          <cell r="S883" t="str">
            <v/>
          </cell>
        </row>
        <row r="884">
          <cell r="S884" t="str">
            <v>MASK_ISM_FORCE_ERROR_CRC_ERR</v>
          </cell>
        </row>
        <row r="885">
          <cell r="S885" t="str">
            <v/>
          </cell>
        </row>
        <row r="886">
          <cell r="S886" t="str">
            <v>MASK_ISM_FORCE_ERROR_MISO_CRC_ERR</v>
          </cell>
        </row>
        <row r="887">
          <cell r="S887" t="str">
            <v/>
          </cell>
        </row>
        <row r="888">
          <cell r="S888" t="str">
            <v>MASK_ISM_FORCE_ERROR_MOSI_CRC_ERR</v>
          </cell>
        </row>
        <row r="889">
          <cell r="S889" t="str">
            <v/>
          </cell>
        </row>
        <row r="890">
          <cell r="S890" t="str">
            <v/>
          </cell>
        </row>
        <row r="891">
          <cell r="S891" t="str">
            <v>MASK_ISM_RESET_ERROR_PAOUT_RTM_ERR</v>
          </cell>
        </row>
        <row r="892">
          <cell r="S892" t="str">
            <v/>
          </cell>
        </row>
        <row r="893">
          <cell r="S893" t="str">
            <v>MASK_ISM_RESET_ERROR_BBD_ERR</v>
          </cell>
        </row>
        <row r="894">
          <cell r="S894" t="str">
            <v/>
          </cell>
        </row>
        <row r="895">
          <cell r="S895" t="str">
            <v>MASK_ISM_RESET_ERROR_CRC_ERR</v>
          </cell>
        </row>
        <row r="896">
          <cell r="S896" t="str">
            <v/>
          </cell>
        </row>
        <row r="897">
          <cell r="S897" t="str">
            <v>MASK_ISM_RESET_ERROR_MISO_CRC_ERR</v>
          </cell>
        </row>
        <row r="898">
          <cell r="S898" t="str">
            <v/>
          </cell>
        </row>
        <row r="899">
          <cell r="S899" t="str">
            <v>MASK_ISM_RESET_ERROR_MOSI_CRC_ERR</v>
          </cell>
        </row>
        <row r="900">
          <cell r="S900" t="str">
            <v/>
          </cell>
        </row>
        <row r="901">
          <cell r="S901" t="str">
            <v/>
          </cell>
        </row>
        <row r="902">
          <cell r="S902" t="str">
            <v>MASK_ISM_ERROR_FLAG_PAOUT_RTM_ERR</v>
          </cell>
        </row>
        <row r="903">
          <cell r="S903" t="str">
            <v/>
          </cell>
        </row>
        <row r="904">
          <cell r="S904" t="str">
            <v>MASK_ISM_ERROR_FLAG_BBD_ERR</v>
          </cell>
        </row>
        <row r="905">
          <cell r="S905" t="str">
            <v/>
          </cell>
        </row>
        <row r="906">
          <cell r="S906" t="str">
            <v>MASK_ISM_ERROR_FLAG_CRC_ERR</v>
          </cell>
        </row>
        <row r="907">
          <cell r="S907" t="str">
            <v/>
          </cell>
        </row>
        <row r="908">
          <cell r="S908" t="str">
            <v>MASK_ISM_ERROR_FLAG_MISO_CRC_ERR</v>
          </cell>
        </row>
        <row r="909">
          <cell r="S909" t="str">
            <v/>
          </cell>
        </row>
        <row r="910">
          <cell r="S910" t="str">
            <v>MASK_ISM_ERROR_FLAG_MOSI_CRC_ERR</v>
          </cell>
        </row>
        <row r="911">
          <cell r="S911" t="str">
            <v/>
          </cell>
        </row>
        <row r="912">
          <cell r="S912" t="str">
            <v/>
          </cell>
        </row>
        <row r="913">
          <cell r="S913" t="str">
            <v>SPARE1_SPARE1</v>
          </cell>
        </row>
        <row r="914">
          <cell r="S914" t="str">
            <v/>
          </cell>
        </row>
        <row r="915">
          <cell r="S915" t="str">
            <v>SPARE2_SPARE2</v>
          </cell>
        </row>
        <row r="916">
          <cell r="S916" t="str">
            <v/>
          </cell>
        </row>
        <row r="917">
          <cell r="S917" t="str">
            <v>SPARE3_SPARE3</v>
          </cell>
        </row>
        <row r="918">
          <cell r="S918" t="str">
            <v/>
          </cell>
        </row>
        <row r="919">
          <cell r="S919" t="str">
            <v/>
          </cell>
        </row>
        <row r="920">
          <cell r="S920" t="str">
            <v>CRC_REG_MASK1_CRC_REG_MASK_CTL</v>
          </cell>
        </row>
        <row r="921">
          <cell r="S921" t="str">
            <v/>
          </cell>
        </row>
        <row r="922">
          <cell r="S922" t="str">
            <v>CRC_REG_MASK2_CRC_REG_MASK_CTL</v>
          </cell>
        </row>
        <row r="923">
          <cell r="S923" t="str">
            <v/>
          </cell>
        </row>
        <row r="924">
          <cell r="S924" t="str">
            <v>CRC_REG_MASK3_CRC_REG_MASK_CTL</v>
          </cell>
        </row>
        <row r="925">
          <cell r="S925" t="str">
            <v/>
          </cell>
        </row>
        <row r="926">
          <cell r="S926" t="str">
            <v>CRC_REG_MASK4_CRC_REG_MASK_CTL</v>
          </cell>
        </row>
        <row r="927">
          <cell r="S927" t="str">
            <v/>
          </cell>
        </row>
        <row r="928">
          <cell r="S928" t="str">
            <v/>
          </cell>
        </row>
        <row r="929">
          <cell r="S929" t="str">
            <v>CRC_ERR_INJECT_CRC_ERR_INJ_CTL</v>
          </cell>
        </row>
        <row r="930">
          <cell r="S930" t="str">
            <v/>
          </cell>
        </row>
        <row r="931">
          <cell r="S931" t="str">
            <v>CRC_CHECK_TRIG_CRC_CHECK_TR_CTL</v>
          </cell>
        </row>
        <row r="932">
          <cell r="S932" t="str">
            <v/>
          </cell>
        </row>
        <row r="933">
          <cell r="S933" t="str">
            <v/>
          </cell>
        </row>
        <row r="934">
          <cell r="S934" t="str">
            <v>CRC_ERR_STATUS1_CRC_ERR_STAT_REG</v>
          </cell>
        </row>
        <row r="935">
          <cell r="S935" t="str">
            <v/>
          </cell>
        </row>
        <row r="936">
          <cell r="S936" t="str">
            <v>CRC_ERR_STATUS2_CRC_ERR_STAT_REG</v>
          </cell>
        </row>
        <row r="937">
          <cell r="S937" t="str">
            <v/>
          </cell>
        </row>
        <row r="938">
          <cell r="S938" t="str">
            <v>CRC_ERR_STATUS3_CRC_ERR_STAT_REG</v>
          </cell>
        </row>
        <row r="939">
          <cell r="S939" t="str">
            <v/>
          </cell>
        </row>
        <row r="940">
          <cell r="S940" t="str">
            <v>CRC_ERR_STATUS4_CRC_ERR_STAT_REG</v>
          </cell>
        </row>
        <row r="941">
          <cell r="S941" t="str">
            <v/>
          </cell>
        </row>
        <row r="942">
          <cell r="S942" t="str">
            <v/>
          </cell>
        </row>
        <row r="943">
          <cell r="S943" t="str">
            <v>MOD_STAT_TYPE</v>
          </cell>
        </row>
        <row r="944">
          <cell r="S944" t="str">
            <v/>
          </cell>
        </row>
        <row r="945">
          <cell r="S945" t="str">
            <v>MOD_STAT_N_RW</v>
          </cell>
        </row>
        <row r="946">
          <cell r="S946" t="str">
            <v>MOD_STAT_N_R</v>
          </cell>
        </row>
        <row r="947">
          <cell r="S947" t="str">
            <v>MOD_STAT_N_W</v>
          </cell>
        </row>
        <row r="948">
          <cell r="S948" t="str">
            <v/>
          </cell>
        </row>
        <row r="949">
          <cell r="S949" t="str">
            <v>POWER_DOWN_SOFT_RESET</v>
          </cell>
        </row>
        <row r="950">
          <cell r="S950" t="str">
            <v>POWER_DOWN_FORCE_SOFTRESET</v>
          </cell>
        </row>
        <row r="951">
          <cell r="S951" t="str">
            <v/>
          </cell>
        </row>
        <row r="952">
          <cell r="S952" t="str">
            <v>POWER_DOWN_POWERDOWN</v>
          </cell>
        </row>
        <row r="953">
          <cell r="S953" t="str">
            <v/>
          </cell>
        </row>
        <row r="954">
          <cell r="S954" t="str">
            <v>MOD_ID_APERTURE</v>
          </cell>
        </row>
        <row r="955">
          <cell r="S955" t="str">
            <v>MOD_ID_MINOR_REV</v>
          </cell>
        </row>
        <row r="956">
          <cell r="S956" t="str">
            <v>MOD_ID_MAJOR_REV</v>
          </cell>
        </row>
        <row r="957">
          <cell r="S957" t="str">
            <v>MOD_ID_ID</v>
          </cell>
        </row>
      </sheetData>
      <sheetData sheetId="2"/>
      <sheetData sheetId="3"/>
      <sheetData sheetId="4"/>
      <sheetData sheetId="5"/>
      <sheetData sheetId="6"/>
      <sheetData sheetId="7"/>
      <sheetData sheetId="8"/>
      <sheetData sheetId="9" refreshError="1"/>
    </sheetDataSet>
  </externalBook>
</externalLink>
</file>

<file path=xl/persons/person.xml><?xml version="1.0" encoding="utf-8"?>
<personList xmlns="http://schemas.microsoft.com/office/spreadsheetml/2018/threadedcomments" xmlns:x="http://schemas.openxmlformats.org/spreadsheetml/2006/main">
  <person displayName="Leewe Behrendt" id="{2E8F1A1E-79DB-49B4-ABED-8B20099EB132}" userId="S::leewe.behrendt@nxp.com::3547dfd7-4fc3-4295-83b8-293c7453fc1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7" dT="2021-03-04T12:32:50.86" personId="{2E8F1A1E-79DB-49B4-ABED-8B20099EB132}" id="{674CA918-A506-4F26-B402-2E72C3BA1CA3}">
    <text>Does it reflect GPADPLL?</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1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hyperlink" Target="http://strx-c28.ddm.nxp.com:9911/scripts/isynch.dll?panel=DataSheet&amp;url=sync%3a%2f%2f%2fProjects%2fstrx_es0%2fdata%2fida_mmw_rfe_chirppll_lib%2fida_mmw_rfe_chirppll%2fDOCS%2fdatasheet%2fsub_IPs%2fSTRX_ChirpPLL_CAL_DAC.docx%3b1"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onenote:https://nxp1.sharepoint.com/sites/STRXChirpA-PLL/SiteAssets/STRX%20Chirp%20A-PLL%20Notebook/Digital%20Subsystem.one" TargetMode="External"/><Relationship Id="rId2" Type="http://schemas.openxmlformats.org/officeDocument/2006/relationships/hyperlink" Target="https://www.collabnet.nxp.com/sf/docman/do/viewDocument/projects.smarttrx/docman.root.es0.011_ic_architecture_design_and_i.non_fdo_documents.analog_ip_design.chirp_analogue_pll.design_reports/doc482956" TargetMode="External"/><Relationship Id="rId1" Type="http://schemas.openxmlformats.org/officeDocument/2006/relationships/hyperlink" Target="http://strx-c28.ddm.nxp.com:9911/scripts/isynch.dll?panel=DataSheet&amp;url=sync%3a%2f%2f%2fProjects%2fstrx_es0%2fdata%2fida_mmw_rfe_chirppll_lib%2fida_mmw_rfe_chirppll%2fDOCS%2fdatasheet%2fsub_IPs%2fSTRX_ChirpPLL_CAL_DAC.docx%3b1" TargetMode="External"/><Relationship Id="rId4"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33.bin"/><Relationship Id="rId1" Type="http://schemas.openxmlformats.org/officeDocument/2006/relationships/hyperlink" Target="http://strx-c28.ddm.nxp.com:9911/scripts/isynch.dll?panel=DataSheet&amp;url=sync%3a%2f%2f%2fProjects%2fstrx_es0%2fdata%2fida_mmw_rfe_chirppll_lib%2fida_mmw_rfe_chirppll%2fDOCS%2fdatasheet%2fsub_IPs%2fSTRX_ChirpPLL_CP.docx%3b1" TargetMode="Externa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4367A-3390-436A-B74F-D8E971FEA439}">
  <sheetPr>
    <tabColor theme="6" tint="0.59999389629810485"/>
  </sheetPr>
  <dimension ref="A1:K64"/>
  <sheetViews>
    <sheetView tabSelected="1" topLeftCell="A16" zoomScaleNormal="100" workbookViewId="0">
      <selection activeCell="F21" sqref="F21"/>
    </sheetView>
  </sheetViews>
  <sheetFormatPr defaultRowHeight="12.75" x14ac:dyDescent="0.25"/>
  <cols>
    <col min="1" max="1" width="16.5703125" style="144" customWidth="1"/>
    <col min="2" max="2" width="12.5703125" style="144" customWidth="1"/>
    <col min="3" max="3" width="15.85546875" style="144" customWidth="1"/>
    <col min="4" max="4" width="22.7109375" style="144" customWidth="1"/>
    <col min="5" max="5" width="91.5703125" style="144" customWidth="1"/>
    <col min="6" max="256" width="9.140625" style="144"/>
    <col min="257" max="257" width="22.85546875" style="144" customWidth="1"/>
    <col min="258" max="258" width="14.28515625" style="144" customWidth="1"/>
    <col min="259" max="259" width="28.140625" style="144" customWidth="1"/>
    <col min="260" max="260" width="16" style="144" customWidth="1"/>
    <col min="261" max="261" width="58.140625" style="144" customWidth="1"/>
    <col min="262" max="512" width="9.140625" style="144"/>
    <col min="513" max="513" width="22.85546875" style="144" customWidth="1"/>
    <col min="514" max="514" width="14.28515625" style="144" customWidth="1"/>
    <col min="515" max="515" width="28.140625" style="144" customWidth="1"/>
    <col min="516" max="516" width="16" style="144" customWidth="1"/>
    <col min="517" max="517" width="58.140625" style="144" customWidth="1"/>
    <col min="518" max="768" width="9.140625" style="144"/>
    <col min="769" max="769" width="22.85546875" style="144" customWidth="1"/>
    <col min="770" max="770" width="14.28515625" style="144" customWidth="1"/>
    <col min="771" max="771" width="28.140625" style="144" customWidth="1"/>
    <col min="772" max="772" width="16" style="144" customWidth="1"/>
    <col min="773" max="773" width="58.140625" style="144" customWidth="1"/>
    <col min="774" max="1024" width="9.140625" style="144"/>
    <col min="1025" max="1025" width="22.85546875" style="144" customWidth="1"/>
    <col min="1026" max="1026" width="14.28515625" style="144" customWidth="1"/>
    <col min="1027" max="1027" width="28.140625" style="144" customWidth="1"/>
    <col min="1028" max="1028" width="16" style="144" customWidth="1"/>
    <col min="1029" max="1029" width="58.140625" style="144" customWidth="1"/>
    <col min="1030" max="1280" width="9.140625" style="144"/>
    <col min="1281" max="1281" width="22.85546875" style="144" customWidth="1"/>
    <col min="1282" max="1282" width="14.28515625" style="144" customWidth="1"/>
    <col min="1283" max="1283" width="28.140625" style="144" customWidth="1"/>
    <col min="1284" max="1284" width="16" style="144" customWidth="1"/>
    <col min="1285" max="1285" width="58.140625" style="144" customWidth="1"/>
    <col min="1286" max="1536" width="9.140625" style="144"/>
    <col min="1537" max="1537" width="22.85546875" style="144" customWidth="1"/>
    <col min="1538" max="1538" width="14.28515625" style="144" customWidth="1"/>
    <col min="1539" max="1539" width="28.140625" style="144" customWidth="1"/>
    <col min="1540" max="1540" width="16" style="144" customWidth="1"/>
    <col min="1541" max="1541" width="58.140625" style="144" customWidth="1"/>
    <col min="1542" max="1792" width="9.140625" style="144"/>
    <col min="1793" max="1793" width="22.85546875" style="144" customWidth="1"/>
    <col min="1794" max="1794" width="14.28515625" style="144" customWidth="1"/>
    <col min="1795" max="1795" width="28.140625" style="144" customWidth="1"/>
    <col min="1796" max="1796" width="16" style="144" customWidth="1"/>
    <col min="1797" max="1797" width="58.140625" style="144" customWidth="1"/>
    <col min="1798" max="2048" width="9.140625" style="144"/>
    <col min="2049" max="2049" width="22.85546875" style="144" customWidth="1"/>
    <col min="2050" max="2050" width="14.28515625" style="144" customWidth="1"/>
    <col min="2051" max="2051" width="28.140625" style="144" customWidth="1"/>
    <col min="2052" max="2052" width="16" style="144" customWidth="1"/>
    <col min="2053" max="2053" width="58.140625" style="144" customWidth="1"/>
    <col min="2054" max="2304" width="9.140625" style="144"/>
    <col min="2305" max="2305" width="22.85546875" style="144" customWidth="1"/>
    <col min="2306" max="2306" width="14.28515625" style="144" customWidth="1"/>
    <col min="2307" max="2307" width="28.140625" style="144" customWidth="1"/>
    <col min="2308" max="2308" width="16" style="144" customWidth="1"/>
    <col min="2309" max="2309" width="58.140625" style="144" customWidth="1"/>
    <col min="2310" max="2560" width="9.140625" style="144"/>
    <col min="2561" max="2561" width="22.85546875" style="144" customWidth="1"/>
    <col min="2562" max="2562" width="14.28515625" style="144" customWidth="1"/>
    <col min="2563" max="2563" width="28.140625" style="144" customWidth="1"/>
    <col min="2564" max="2564" width="16" style="144" customWidth="1"/>
    <col min="2565" max="2565" width="58.140625" style="144" customWidth="1"/>
    <col min="2566" max="2816" width="9.140625" style="144"/>
    <col min="2817" max="2817" width="22.85546875" style="144" customWidth="1"/>
    <col min="2818" max="2818" width="14.28515625" style="144" customWidth="1"/>
    <col min="2819" max="2819" width="28.140625" style="144" customWidth="1"/>
    <col min="2820" max="2820" width="16" style="144" customWidth="1"/>
    <col min="2821" max="2821" width="58.140625" style="144" customWidth="1"/>
    <col min="2822" max="3072" width="9.140625" style="144"/>
    <col min="3073" max="3073" width="22.85546875" style="144" customWidth="1"/>
    <col min="3074" max="3074" width="14.28515625" style="144" customWidth="1"/>
    <col min="3075" max="3075" width="28.140625" style="144" customWidth="1"/>
    <col min="3076" max="3076" width="16" style="144" customWidth="1"/>
    <col min="3077" max="3077" width="58.140625" style="144" customWidth="1"/>
    <col min="3078" max="3328" width="9.140625" style="144"/>
    <col min="3329" max="3329" width="22.85546875" style="144" customWidth="1"/>
    <col min="3330" max="3330" width="14.28515625" style="144" customWidth="1"/>
    <col min="3331" max="3331" width="28.140625" style="144" customWidth="1"/>
    <col min="3332" max="3332" width="16" style="144" customWidth="1"/>
    <col min="3333" max="3333" width="58.140625" style="144" customWidth="1"/>
    <col min="3334" max="3584" width="9.140625" style="144"/>
    <col min="3585" max="3585" width="22.85546875" style="144" customWidth="1"/>
    <col min="3586" max="3586" width="14.28515625" style="144" customWidth="1"/>
    <col min="3587" max="3587" width="28.140625" style="144" customWidth="1"/>
    <col min="3588" max="3588" width="16" style="144" customWidth="1"/>
    <col min="3589" max="3589" width="58.140625" style="144" customWidth="1"/>
    <col min="3590" max="3840" width="9.140625" style="144"/>
    <col min="3841" max="3841" width="22.85546875" style="144" customWidth="1"/>
    <col min="3842" max="3842" width="14.28515625" style="144" customWidth="1"/>
    <col min="3843" max="3843" width="28.140625" style="144" customWidth="1"/>
    <col min="3844" max="3844" width="16" style="144" customWidth="1"/>
    <col min="3845" max="3845" width="58.140625" style="144" customWidth="1"/>
    <col min="3846" max="4096" width="9.140625" style="144"/>
    <col min="4097" max="4097" width="22.85546875" style="144" customWidth="1"/>
    <col min="4098" max="4098" width="14.28515625" style="144" customWidth="1"/>
    <col min="4099" max="4099" width="28.140625" style="144" customWidth="1"/>
    <col min="4100" max="4100" width="16" style="144" customWidth="1"/>
    <col min="4101" max="4101" width="58.140625" style="144" customWidth="1"/>
    <col min="4102" max="4352" width="9.140625" style="144"/>
    <col min="4353" max="4353" width="22.85546875" style="144" customWidth="1"/>
    <col min="4354" max="4354" width="14.28515625" style="144" customWidth="1"/>
    <col min="4355" max="4355" width="28.140625" style="144" customWidth="1"/>
    <col min="4356" max="4356" width="16" style="144" customWidth="1"/>
    <col min="4357" max="4357" width="58.140625" style="144" customWidth="1"/>
    <col min="4358" max="4608" width="9.140625" style="144"/>
    <col min="4609" max="4609" width="22.85546875" style="144" customWidth="1"/>
    <col min="4610" max="4610" width="14.28515625" style="144" customWidth="1"/>
    <col min="4611" max="4611" width="28.140625" style="144" customWidth="1"/>
    <col min="4612" max="4612" width="16" style="144" customWidth="1"/>
    <col min="4613" max="4613" width="58.140625" style="144" customWidth="1"/>
    <col min="4614" max="4864" width="9.140625" style="144"/>
    <col min="4865" max="4865" width="22.85546875" style="144" customWidth="1"/>
    <col min="4866" max="4866" width="14.28515625" style="144" customWidth="1"/>
    <col min="4867" max="4867" width="28.140625" style="144" customWidth="1"/>
    <col min="4868" max="4868" width="16" style="144" customWidth="1"/>
    <col min="4869" max="4869" width="58.140625" style="144" customWidth="1"/>
    <col min="4870" max="5120" width="9.140625" style="144"/>
    <col min="5121" max="5121" width="22.85546875" style="144" customWidth="1"/>
    <col min="5122" max="5122" width="14.28515625" style="144" customWidth="1"/>
    <col min="5123" max="5123" width="28.140625" style="144" customWidth="1"/>
    <col min="5124" max="5124" width="16" style="144" customWidth="1"/>
    <col min="5125" max="5125" width="58.140625" style="144" customWidth="1"/>
    <col min="5126" max="5376" width="9.140625" style="144"/>
    <col min="5377" max="5377" width="22.85546875" style="144" customWidth="1"/>
    <col min="5378" max="5378" width="14.28515625" style="144" customWidth="1"/>
    <col min="5379" max="5379" width="28.140625" style="144" customWidth="1"/>
    <col min="5380" max="5380" width="16" style="144" customWidth="1"/>
    <col min="5381" max="5381" width="58.140625" style="144" customWidth="1"/>
    <col min="5382" max="5632" width="9.140625" style="144"/>
    <col min="5633" max="5633" width="22.85546875" style="144" customWidth="1"/>
    <col min="5634" max="5634" width="14.28515625" style="144" customWidth="1"/>
    <col min="5635" max="5635" width="28.140625" style="144" customWidth="1"/>
    <col min="5636" max="5636" width="16" style="144" customWidth="1"/>
    <col min="5637" max="5637" width="58.140625" style="144" customWidth="1"/>
    <col min="5638" max="5888" width="9.140625" style="144"/>
    <col min="5889" max="5889" width="22.85546875" style="144" customWidth="1"/>
    <col min="5890" max="5890" width="14.28515625" style="144" customWidth="1"/>
    <col min="5891" max="5891" width="28.140625" style="144" customWidth="1"/>
    <col min="5892" max="5892" width="16" style="144" customWidth="1"/>
    <col min="5893" max="5893" width="58.140625" style="144" customWidth="1"/>
    <col min="5894" max="6144" width="9.140625" style="144"/>
    <col min="6145" max="6145" width="22.85546875" style="144" customWidth="1"/>
    <col min="6146" max="6146" width="14.28515625" style="144" customWidth="1"/>
    <col min="6147" max="6147" width="28.140625" style="144" customWidth="1"/>
    <col min="6148" max="6148" width="16" style="144" customWidth="1"/>
    <col min="6149" max="6149" width="58.140625" style="144" customWidth="1"/>
    <col min="6150" max="6400" width="9.140625" style="144"/>
    <col min="6401" max="6401" width="22.85546875" style="144" customWidth="1"/>
    <col min="6402" max="6402" width="14.28515625" style="144" customWidth="1"/>
    <col min="6403" max="6403" width="28.140625" style="144" customWidth="1"/>
    <col min="6404" max="6404" width="16" style="144" customWidth="1"/>
    <col min="6405" max="6405" width="58.140625" style="144" customWidth="1"/>
    <col min="6406" max="6656" width="9.140625" style="144"/>
    <col min="6657" max="6657" width="22.85546875" style="144" customWidth="1"/>
    <col min="6658" max="6658" width="14.28515625" style="144" customWidth="1"/>
    <col min="6659" max="6659" width="28.140625" style="144" customWidth="1"/>
    <col min="6660" max="6660" width="16" style="144" customWidth="1"/>
    <col min="6661" max="6661" width="58.140625" style="144" customWidth="1"/>
    <col min="6662" max="6912" width="9.140625" style="144"/>
    <col min="6913" max="6913" width="22.85546875" style="144" customWidth="1"/>
    <col min="6914" max="6914" width="14.28515625" style="144" customWidth="1"/>
    <col min="6915" max="6915" width="28.140625" style="144" customWidth="1"/>
    <col min="6916" max="6916" width="16" style="144" customWidth="1"/>
    <col min="6917" max="6917" width="58.140625" style="144" customWidth="1"/>
    <col min="6918" max="7168" width="9.140625" style="144"/>
    <col min="7169" max="7169" width="22.85546875" style="144" customWidth="1"/>
    <col min="7170" max="7170" width="14.28515625" style="144" customWidth="1"/>
    <col min="7171" max="7171" width="28.140625" style="144" customWidth="1"/>
    <col min="7172" max="7172" width="16" style="144" customWidth="1"/>
    <col min="7173" max="7173" width="58.140625" style="144" customWidth="1"/>
    <col min="7174" max="7424" width="9.140625" style="144"/>
    <col min="7425" max="7425" width="22.85546875" style="144" customWidth="1"/>
    <col min="7426" max="7426" width="14.28515625" style="144" customWidth="1"/>
    <col min="7427" max="7427" width="28.140625" style="144" customWidth="1"/>
    <col min="7428" max="7428" width="16" style="144" customWidth="1"/>
    <col min="7429" max="7429" width="58.140625" style="144" customWidth="1"/>
    <col min="7430" max="7680" width="9.140625" style="144"/>
    <col min="7681" max="7681" width="22.85546875" style="144" customWidth="1"/>
    <col min="7682" max="7682" width="14.28515625" style="144" customWidth="1"/>
    <col min="7683" max="7683" width="28.140625" style="144" customWidth="1"/>
    <col min="7684" max="7684" width="16" style="144" customWidth="1"/>
    <col min="7685" max="7685" width="58.140625" style="144" customWidth="1"/>
    <col min="7686" max="7936" width="9.140625" style="144"/>
    <col min="7937" max="7937" width="22.85546875" style="144" customWidth="1"/>
    <col min="7938" max="7938" width="14.28515625" style="144" customWidth="1"/>
    <col min="7939" max="7939" width="28.140625" style="144" customWidth="1"/>
    <col min="7940" max="7940" width="16" style="144" customWidth="1"/>
    <col min="7941" max="7941" width="58.140625" style="144" customWidth="1"/>
    <col min="7942" max="8192" width="9.140625" style="144"/>
    <col min="8193" max="8193" width="22.85546875" style="144" customWidth="1"/>
    <col min="8194" max="8194" width="14.28515625" style="144" customWidth="1"/>
    <col min="8195" max="8195" width="28.140625" style="144" customWidth="1"/>
    <col min="8196" max="8196" width="16" style="144" customWidth="1"/>
    <col min="8197" max="8197" width="58.140625" style="144" customWidth="1"/>
    <col min="8198" max="8448" width="9.140625" style="144"/>
    <col min="8449" max="8449" width="22.85546875" style="144" customWidth="1"/>
    <col min="8450" max="8450" width="14.28515625" style="144" customWidth="1"/>
    <col min="8451" max="8451" width="28.140625" style="144" customWidth="1"/>
    <col min="8452" max="8452" width="16" style="144" customWidth="1"/>
    <col min="8453" max="8453" width="58.140625" style="144" customWidth="1"/>
    <col min="8454" max="8704" width="9.140625" style="144"/>
    <col min="8705" max="8705" width="22.85546875" style="144" customWidth="1"/>
    <col min="8706" max="8706" width="14.28515625" style="144" customWidth="1"/>
    <col min="8707" max="8707" width="28.140625" style="144" customWidth="1"/>
    <col min="8708" max="8708" width="16" style="144" customWidth="1"/>
    <col min="8709" max="8709" width="58.140625" style="144" customWidth="1"/>
    <col min="8710" max="8960" width="9.140625" style="144"/>
    <col min="8961" max="8961" width="22.85546875" style="144" customWidth="1"/>
    <col min="8962" max="8962" width="14.28515625" style="144" customWidth="1"/>
    <col min="8963" max="8963" width="28.140625" style="144" customWidth="1"/>
    <col min="8964" max="8964" width="16" style="144" customWidth="1"/>
    <col min="8965" max="8965" width="58.140625" style="144" customWidth="1"/>
    <col min="8966" max="9216" width="9.140625" style="144"/>
    <col min="9217" max="9217" width="22.85546875" style="144" customWidth="1"/>
    <col min="9218" max="9218" width="14.28515625" style="144" customWidth="1"/>
    <col min="9219" max="9219" width="28.140625" style="144" customWidth="1"/>
    <col min="9220" max="9220" width="16" style="144" customWidth="1"/>
    <col min="9221" max="9221" width="58.140625" style="144" customWidth="1"/>
    <col min="9222" max="9472" width="9.140625" style="144"/>
    <col min="9473" max="9473" width="22.85546875" style="144" customWidth="1"/>
    <col min="9474" max="9474" width="14.28515625" style="144" customWidth="1"/>
    <col min="9475" max="9475" width="28.140625" style="144" customWidth="1"/>
    <col min="9476" max="9476" width="16" style="144" customWidth="1"/>
    <col min="9477" max="9477" width="58.140625" style="144" customWidth="1"/>
    <col min="9478" max="9728" width="9.140625" style="144"/>
    <col min="9729" max="9729" width="22.85546875" style="144" customWidth="1"/>
    <col min="9730" max="9730" width="14.28515625" style="144" customWidth="1"/>
    <col min="9731" max="9731" width="28.140625" style="144" customWidth="1"/>
    <col min="9732" max="9732" width="16" style="144" customWidth="1"/>
    <col min="9733" max="9733" width="58.140625" style="144" customWidth="1"/>
    <col min="9734" max="9984" width="9.140625" style="144"/>
    <col min="9985" max="9985" width="22.85546875" style="144" customWidth="1"/>
    <col min="9986" max="9986" width="14.28515625" style="144" customWidth="1"/>
    <col min="9987" max="9987" width="28.140625" style="144" customWidth="1"/>
    <col min="9988" max="9988" width="16" style="144" customWidth="1"/>
    <col min="9989" max="9989" width="58.140625" style="144" customWidth="1"/>
    <col min="9990" max="10240" width="9.140625" style="144"/>
    <col min="10241" max="10241" width="22.85546875" style="144" customWidth="1"/>
    <col min="10242" max="10242" width="14.28515625" style="144" customWidth="1"/>
    <col min="10243" max="10243" width="28.140625" style="144" customWidth="1"/>
    <col min="10244" max="10244" width="16" style="144" customWidth="1"/>
    <col min="10245" max="10245" width="58.140625" style="144" customWidth="1"/>
    <col min="10246" max="10496" width="9.140625" style="144"/>
    <col min="10497" max="10497" width="22.85546875" style="144" customWidth="1"/>
    <col min="10498" max="10498" width="14.28515625" style="144" customWidth="1"/>
    <col min="10499" max="10499" width="28.140625" style="144" customWidth="1"/>
    <col min="10500" max="10500" width="16" style="144" customWidth="1"/>
    <col min="10501" max="10501" width="58.140625" style="144" customWidth="1"/>
    <col min="10502" max="10752" width="9.140625" style="144"/>
    <col min="10753" max="10753" width="22.85546875" style="144" customWidth="1"/>
    <col min="10754" max="10754" width="14.28515625" style="144" customWidth="1"/>
    <col min="10755" max="10755" width="28.140625" style="144" customWidth="1"/>
    <col min="10756" max="10756" width="16" style="144" customWidth="1"/>
    <col min="10757" max="10757" width="58.140625" style="144" customWidth="1"/>
    <col min="10758" max="11008" width="9.140625" style="144"/>
    <col min="11009" max="11009" width="22.85546875" style="144" customWidth="1"/>
    <col min="11010" max="11010" width="14.28515625" style="144" customWidth="1"/>
    <col min="11011" max="11011" width="28.140625" style="144" customWidth="1"/>
    <col min="11012" max="11012" width="16" style="144" customWidth="1"/>
    <col min="11013" max="11013" width="58.140625" style="144" customWidth="1"/>
    <col min="11014" max="11264" width="9.140625" style="144"/>
    <col min="11265" max="11265" width="22.85546875" style="144" customWidth="1"/>
    <col min="11266" max="11266" width="14.28515625" style="144" customWidth="1"/>
    <col min="11267" max="11267" width="28.140625" style="144" customWidth="1"/>
    <col min="11268" max="11268" width="16" style="144" customWidth="1"/>
    <col min="11269" max="11269" width="58.140625" style="144" customWidth="1"/>
    <col min="11270" max="11520" width="9.140625" style="144"/>
    <col min="11521" max="11521" width="22.85546875" style="144" customWidth="1"/>
    <col min="11522" max="11522" width="14.28515625" style="144" customWidth="1"/>
    <col min="11523" max="11523" width="28.140625" style="144" customWidth="1"/>
    <col min="11524" max="11524" width="16" style="144" customWidth="1"/>
    <col min="11525" max="11525" width="58.140625" style="144" customWidth="1"/>
    <col min="11526" max="11776" width="9.140625" style="144"/>
    <col min="11777" max="11777" width="22.85546875" style="144" customWidth="1"/>
    <col min="11778" max="11778" width="14.28515625" style="144" customWidth="1"/>
    <col min="11779" max="11779" width="28.140625" style="144" customWidth="1"/>
    <col min="11780" max="11780" width="16" style="144" customWidth="1"/>
    <col min="11781" max="11781" width="58.140625" style="144" customWidth="1"/>
    <col min="11782" max="12032" width="9.140625" style="144"/>
    <col min="12033" max="12033" width="22.85546875" style="144" customWidth="1"/>
    <col min="12034" max="12034" width="14.28515625" style="144" customWidth="1"/>
    <col min="12035" max="12035" width="28.140625" style="144" customWidth="1"/>
    <col min="12036" max="12036" width="16" style="144" customWidth="1"/>
    <col min="12037" max="12037" width="58.140625" style="144" customWidth="1"/>
    <col min="12038" max="12288" width="9.140625" style="144"/>
    <col min="12289" max="12289" width="22.85546875" style="144" customWidth="1"/>
    <col min="12290" max="12290" width="14.28515625" style="144" customWidth="1"/>
    <col min="12291" max="12291" width="28.140625" style="144" customWidth="1"/>
    <col min="12292" max="12292" width="16" style="144" customWidth="1"/>
    <col min="12293" max="12293" width="58.140625" style="144" customWidth="1"/>
    <col min="12294" max="12544" width="9.140625" style="144"/>
    <col min="12545" max="12545" width="22.85546875" style="144" customWidth="1"/>
    <col min="12546" max="12546" width="14.28515625" style="144" customWidth="1"/>
    <col min="12547" max="12547" width="28.140625" style="144" customWidth="1"/>
    <col min="12548" max="12548" width="16" style="144" customWidth="1"/>
    <col min="12549" max="12549" width="58.140625" style="144" customWidth="1"/>
    <col min="12550" max="12800" width="9.140625" style="144"/>
    <col min="12801" max="12801" width="22.85546875" style="144" customWidth="1"/>
    <col min="12802" max="12802" width="14.28515625" style="144" customWidth="1"/>
    <col min="12803" max="12803" width="28.140625" style="144" customWidth="1"/>
    <col min="12804" max="12804" width="16" style="144" customWidth="1"/>
    <col min="12805" max="12805" width="58.140625" style="144" customWidth="1"/>
    <col min="12806" max="13056" width="9.140625" style="144"/>
    <col min="13057" max="13057" width="22.85546875" style="144" customWidth="1"/>
    <col min="13058" max="13058" width="14.28515625" style="144" customWidth="1"/>
    <col min="13059" max="13059" width="28.140625" style="144" customWidth="1"/>
    <col min="13060" max="13060" width="16" style="144" customWidth="1"/>
    <col min="13061" max="13061" width="58.140625" style="144" customWidth="1"/>
    <col min="13062" max="13312" width="9.140625" style="144"/>
    <col min="13313" max="13313" width="22.85546875" style="144" customWidth="1"/>
    <col min="13314" max="13314" width="14.28515625" style="144" customWidth="1"/>
    <col min="13315" max="13315" width="28.140625" style="144" customWidth="1"/>
    <col min="13316" max="13316" width="16" style="144" customWidth="1"/>
    <col min="13317" max="13317" width="58.140625" style="144" customWidth="1"/>
    <col min="13318" max="13568" width="9.140625" style="144"/>
    <col min="13569" max="13569" width="22.85546875" style="144" customWidth="1"/>
    <col min="13570" max="13570" width="14.28515625" style="144" customWidth="1"/>
    <col min="13571" max="13571" width="28.140625" style="144" customWidth="1"/>
    <col min="13572" max="13572" width="16" style="144" customWidth="1"/>
    <col min="13573" max="13573" width="58.140625" style="144" customWidth="1"/>
    <col min="13574" max="13824" width="9.140625" style="144"/>
    <col min="13825" max="13825" width="22.85546875" style="144" customWidth="1"/>
    <col min="13826" max="13826" width="14.28515625" style="144" customWidth="1"/>
    <col min="13827" max="13827" width="28.140625" style="144" customWidth="1"/>
    <col min="13828" max="13828" width="16" style="144" customWidth="1"/>
    <col min="13829" max="13829" width="58.140625" style="144" customWidth="1"/>
    <col min="13830" max="14080" width="9.140625" style="144"/>
    <col min="14081" max="14081" width="22.85546875" style="144" customWidth="1"/>
    <col min="14082" max="14082" width="14.28515625" style="144" customWidth="1"/>
    <col min="14083" max="14083" width="28.140625" style="144" customWidth="1"/>
    <col min="14084" max="14084" width="16" style="144" customWidth="1"/>
    <col min="14085" max="14085" width="58.140625" style="144" customWidth="1"/>
    <col min="14086" max="14336" width="9.140625" style="144"/>
    <col min="14337" max="14337" width="22.85546875" style="144" customWidth="1"/>
    <col min="14338" max="14338" width="14.28515625" style="144" customWidth="1"/>
    <col min="14339" max="14339" width="28.140625" style="144" customWidth="1"/>
    <col min="14340" max="14340" width="16" style="144" customWidth="1"/>
    <col min="14341" max="14341" width="58.140625" style="144" customWidth="1"/>
    <col min="14342" max="14592" width="9.140625" style="144"/>
    <col min="14593" max="14593" width="22.85546875" style="144" customWidth="1"/>
    <col min="14594" max="14594" width="14.28515625" style="144" customWidth="1"/>
    <col min="14595" max="14595" width="28.140625" style="144" customWidth="1"/>
    <col min="14596" max="14596" width="16" style="144" customWidth="1"/>
    <col min="14597" max="14597" width="58.140625" style="144" customWidth="1"/>
    <col min="14598" max="14848" width="9.140625" style="144"/>
    <col min="14849" max="14849" width="22.85546875" style="144" customWidth="1"/>
    <col min="14850" max="14850" width="14.28515625" style="144" customWidth="1"/>
    <col min="14851" max="14851" width="28.140625" style="144" customWidth="1"/>
    <col min="14852" max="14852" width="16" style="144" customWidth="1"/>
    <col min="14853" max="14853" width="58.140625" style="144" customWidth="1"/>
    <col min="14854" max="15104" width="9.140625" style="144"/>
    <col min="15105" max="15105" width="22.85546875" style="144" customWidth="1"/>
    <col min="15106" max="15106" width="14.28515625" style="144" customWidth="1"/>
    <col min="15107" max="15107" width="28.140625" style="144" customWidth="1"/>
    <col min="15108" max="15108" width="16" style="144" customWidth="1"/>
    <col min="15109" max="15109" width="58.140625" style="144" customWidth="1"/>
    <col min="15110" max="15360" width="9.140625" style="144"/>
    <col min="15361" max="15361" width="22.85546875" style="144" customWidth="1"/>
    <col min="15362" max="15362" width="14.28515625" style="144" customWidth="1"/>
    <col min="15363" max="15363" width="28.140625" style="144" customWidth="1"/>
    <col min="15364" max="15364" width="16" style="144" customWidth="1"/>
    <col min="15365" max="15365" width="58.140625" style="144" customWidth="1"/>
    <col min="15366" max="15616" width="9.140625" style="144"/>
    <col min="15617" max="15617" width="22.85546875" style="144" customWidth="1"/>
    <col min="15618" max="15618" width="14.28515625" style="144" customWidth="1"/>
    <col min="15619" max="15619" width="28.140625" style="144" customWidth="1"/>
    <col min="15620" max="15620" width="16" style="144" customWidth="1"/>
    <col min="15621" max="15621" width="58.140625" style="144" customWidth="1"/>
    <col min="15622" max="15872" width="9.140625" style="144"/>
    <col min="15873" max="15873" width="22.85546875" style="144" customWidth="1"/>
    <col min="15874" max="15874" width="14.28515625" style="144" customWidth="1"/>
    <col min="15875" max="15875" width="28.140625" style="144" customWidth="1"/>
    <col min="15876" max="15876" width="16" style="144" customWidth="1"/>
    <col min="15877" max="15877" width="58.140625" style="144" customWidth="1"/>
    <col min="15878" max="16128" width="9.140625" style="144"/>
    <col min="16129" max="16129" width="22.85546875" style="144" customWidth="1"/>
    <col min="16130" max="16130" width="14.28515625" style="144" customWidth="1"/>
    <col min="16131" max="16131" width="28.140625" style="144" customWidth="1"/>
    <col min="16132" max="16132" width="16" style="144" customWidth="1"/>
    <col min="16133" max="16133" width="58.140625" style="144" customWidth="1"/>
    <col min="16134" max="16384" width="9.140625" style="144"/>
  </cols>
  <sheetData>
    <row r="1" spans="1:6" ht="36" x14ac:dyDescent="0.25">
      <c r="A1" s="1126" t="s">
        <v>358</v>
      </c>
      <c r="B1" s="1126"/>
      <c r="C1" s="1126"/>
      <c r="D1" s="1126"/>
      <c r="E1" s="1126"/>
      <c r="F1" s="1126"/>
    </row>
    <row r="2" spans="1:6" x14ac:dyDescent="0.25">
      <c r="A2" s="145"/>
      <c r="B2" s="145"/>
      <c r="C2" s="145"/>
      <c r="D2" s="145"/>
      <c r="E2" s="145"/>
    </row>
    <row r="3" spans="1:6" x14ac:dyDescent="0.25">
      <c r="E3" s="146"/>
    </row>
    <row r="4" spans="1:6" x14ac:dyDescent="0.25">
      <c r="A4" s="147"/>
      <c r="B4" s="148"/>
      <c r="C4" s="148"/>
      <c r="D4" s="148"/>
      <c r="E4" s="146"/>
    </row>
    <row r="5" spans="1:6" ht="20.25" thickBot="1" x14ac:dyDescent="0.3">
      <c r="A5" s="149" t="s">
        <v>315</v>
      </c>
      <c r="E5" s="146"/>
    </row>
    <row r="6" spans="1:6" ht="13.5" thickBot="1" x14ac:dyDescent="0.3">
      <c r="A6" s="150" t="s">
        <v>316</v>
      </c>
      <c r="B6" s="1129" t="s">
        <v>317</v>
      </c>
      <c r="C6" s="1129"/>
      <c r="D6" s="1129"/>
      <c r="E6" s="146"/>
    </row>
    <row r="7" spans="1:6" ht="13.5" thickBot="1" x14ac:dyDescent="0.3">
      <c r="A7" s="151" t="s">
        <v>318</v>
      </c>
      <c r="B7" s="1127" t="s">
        <v>1109</v>
      </c>
      <c r="C7" s="1127"/>
      <c r="D7" s="1127"/>
      <c r="E7" s="146"/>
    </row>
    <row r="8" spans="1:6" ht="13.5" thickBot="1" x14ac:dyDescent="0.3">
      <c r="A8" s="151" t="s">
        <v>319</v>
      </c>
      <c r="B8" s="1127" t="str">
        <f ca="1">OFFSET($A$17,MATCH($B$10,$B$18:$B$130,FALSE),0)</f>
        <v>v3</v>
      </c>
      <c r="C8" s="1127"/>
      <c r="D8" s="1127"/>
      <c r="E8" s="146"/>
    </row>
    <row r="9" spans="1:6" ht="13.5" thickBot="1" x14ac:dyDescent="0.3">
      <c r="A9" s="151" t="s">
        <v>320</v>
      </c>
      <c r="B9" s="1127" t="str">
        <f ca="1">OFFSET($A$17,MATCH($B$10,$B$18:$B$130,FALSE),2)</f>
        <v>draft</v>
      </c>
      <c r="C9" s="1127"/>
      <c r="D9" s="1127"/>
      <c r="E9" s="146"/>
    </row>
    <row r="10" spans="1:6" ht="13.5" thickBot="1" x14ac:dyDescent="0.3">
      <c r="A10" s="151" t="s">
        <v>321</v>
      </c>
      <c r="B10" s="1130">
        <f>MAX($B$18:$B$136)</f>
        <v>44796</v>
      </c>
      <c r="C10" s="1130"/>
      <c r="D10" s="1130"/>
      <c r="E10" s="146"/>
    </row>
    <row r="11" spans="1:6" ht="13.5" thickBot="1" x14ac:dyDescent="0.3">
      <c r="A11" s="151" t="s">
        <v>322</v>
      </c>
      <c r="B11" s="1127" t="s">
        <v>331</v>
      </c>
      <c r="C11" s="1127"/>
      <c r="D11" s="1127"/>
      <c r="E11" s="146"/>
    </row>
    <row r="12" spans="1:6" ht="13.5" thickBot="1" x14ac:dyDescent="0.3">
      <c r="A12" s="152" t="s">
        <v>323</v>
      </c>
      <c r="B12" s="1128" t="s">
        <v>324</v>
      </c>
      <c r="C12" s="1128"/>
      <c r="D12" s="1128"/>
      <c r="E12" s="146"/>
    </row>
    <row r="13" spans="1:6" x14ac:dyDescent="0.25">
      <c r="A13" s="147"/>
      <c r="B13" s="148"/>
      <c r="C13" s="148"/>
      <c r="D13" s="148"/>
      <c r="E13" s="146"/>
    </row>
    <row r="16" spans="1:6" ht="20.25" thickBot="1" x14ac:dyDescent="0.3">
      <c r="A16" s="149" t="s">
        <v>325</v>
      </c>
    </row>
    <row r="17" spans="1:9" ht="26.25" thickBot="1" x14ac:dyDescent="0.3">
      <c r="A17" s="153" t="s">
        <v>319</v>
      </c>
      <c r="B17" s="153" t="s">
        <v>321</v>
      </c>
      <c r="C17" s="153" t="s">
        <v>320</v>
      </c>
      <c r="D17" s="153" t="s">
        <v>326</v>
      </c>
      <c r="E17" s="153" t="s">
        <v>327</v>
      </c>
      <c r="F17" s="153" t="s">
        <v>932</v>
      </c>
    </row>
    <row r="18" spans="1:9" ht="13.5" thickBot="1" x14ac:dyDescent="0.3">
      <c r="A18" s="154"/>
      <c r="B18" s="155"/>
      <c r="C18" s="154"/>
      <c r="D18" s="154"/>
      <c r="F18" s="154"/>
    </row>
    <row r="19" spans="1:9" ht="115.5" thickBot="1" x14ac:dyDescent="0.3">
      <c r="A19" s="1027" t="s">
        <v>1905</v>
      </c>
      <c r="B19" s="155"/>
      <c r="C19" s="154"/>
      <c r="D19" s="154"/>
      <c r="E19" s="797" t="s">
        <v>2128</v>
      </c>
      <c r="F19" s="154"/>
      <c r="I19" s="976"/>
    </row>
    <row r="20" spans="1:9" ht="51.75" thickBot="1" x14ac:dyDescent="0.3">
      <c r="A20" s="1106" t="s">
        <v>841</v>
      </c>
      <c r="B20" s="960">
        <v>44796</v>
      </c>
      <c r="C20" s="959" t="s">
        <v>805</v>
      </c>
      <c r="D20" s="959" t="s">
        <v>328</v>
      </c>
      <c r="E20" s="797" t="s">
        <v>2129</v>
      </c>
      <c r="F20" s="1107">
        <v>1</v>
      </c>
      <c r="I20" s="976"/>
    </row>
    <row r="21" spans="1:9" ht="13.5" thickBot="1" x14ac:dyDescent="0.3">
      <c r="A21" s="1106" t="s">
        <v>329</v>
      </c>
      <c r="B21" s="960">
        <v>44743</v>
      </c>
      <c r="C21" s="959" t="s">
        <v>805</v>
      </c>
      <c r="D21" s="959" t="s">
        <v>328</v>
      </c>
      <c r="E21" s="976" t="s">
        <v>2117</v>
      </c>
      <c r="F21" s="1107">
        <v>1</v>
      </c>
      <c r="I21" s="976"/>
    </row>
    <row r="22" spans="1:9" ht="115.5" customHeight="1" thickBot="1" x14ac:dyDescent="0.3">
      <c r="A22" s="1078" t="s">
        <v>330</v>
      </c>
      <c r="B22" s="1079">
        <v>44733</v>
      </c>
      <c r="C22" s="1088" t="s">
        <v>805</v>
      </c>
      <c r="D22" s="1080" t="s">
        <v>328</v>
      </c>
      <c r="E22" s="1081" t="s">
        <v>2114</v>
      </c>
      <c r="F22" s="1080">
        <v>1</v>
      </c>
    </row>
    <row r="23" spans="1:9" ht="27" thickTop="1" thickBot="1" x14ac:dyDescent="0.3">
      <c r="A23" s="1075" t="s">
        <v>2048</v>
      </c>
      <c r="B23" s="1076">
        <v>44732</v>
      </c>
      <c r="C23" s="1077" t="s">
        <v>1110</v>
      </c>
      <c r="D23" s="1077" t="s">
        <v>328</v>
      </c>
      <c r="E23" s="976" t="s">
        <v>2047</v>
      </c>
      <c r="F23" s="1077">
        <v>8</v>
      </c>
    </row>
    <row r="24" spans="1:9" ht="26.25" thickBot="1" x14ac:dyDescent="0.3">
      <c r="A24" s="1027" t="s">
        <v>2041</v>
      </c>
      <c r="B24" s="960">
        <v>44732</v>
      </c>
      <c r="C24" s="959" t="s">
        <v>1110</v>
      </c>
      <c r="D24" s="959" t="s">
        <v>328</v>
      </c>
      <c r="E24" s="976" t="s">
        <v>2043</v>
      </c>
      <c r="F24" s="959">
        <v>7</v>
      </c>
    </row>
    <row r="25" spans="1:9" ht="39.75" customHeight="1" thickBot="1" x14ac:dyDescent="0.3">
      <c r="A25" s="1027" t="s">
        <v>2025</v>
      </c>
      <c r="B25" s="960">
        <v>44714</v>
      </c>
      <c r="C25" s="959" t="s">
        <v>1110</v>
      </c>
      <c r="D25" s="959" t="s">
        <v>328</v>
      </c>
      <c r="E25" s="976" t="s">
        <v>2035</v>
      </c>
      <c r="F25" s="959">
        <v>7</v>
      </c>
    </row>
    <row r="26" spans="1:9" ht="26.25" thickBot="1" x14ac:dyDescent="0.3">
      <c r="A26" s="1027" t="s">
        <v>2022</v>
      </c>
      <c r="B26" s="960">
        <v>44712</v>
      </c>
      <c r="C26" s="959" t="s">
        <v>1110</v>
      </c>
      <c r="D26" s="959" t="s">
        <v>328</v>
      </c>
      <c r="E26" s="976" t="s">
        <v>2021</v>
      </c>
      <c r="F26" s="959">
        <v>7</v>
      </c>
    </row>
    <row r="27" spans="1:9" ht="64.5" thickBot="1" x14ac:dyDescent="0.3">
      <c r="A27" s="1027" t="s">
        <v>2006</v>
      </c>
      <c r="B27" s="960">
        <v>44712</v>
      </c>
      <c r="C27" s="959" t="s">
        <v>1110</v>
      </c>
      <c r="D27" s="959" t="s">
        <v>328</v>
      </c>
      <c r="E27" s="976" t="s">
        <v>2036</v>
      </c>
      <c r="F27" s="959">
        <v>6</v>
      </c>
    </row>
    <row r="28" spans="1:9" ht="90" thickBot="1" x14ac:dyDescent="0.3">
      <c r="A28" s="1027" t="s">
        <v>1991</v>
      </c>
      <c r="B28" s="960">
        <v>44664</v>
      </c>
      <c r="C28" s="959" t="s">
        <v>1110</v>
      </c>
      <c r="D28" s="959" t="s">
        <v>328</v>
      </c>
      <c r="E28" s="797" t="s">
        <v>2000</v>
      </c>
      <c r="F28" s="959">
        <v>6</v>
      </c>
    </row>
    <row r="29" spans="1:9" ht="13.5" thickBot="1" x14ac:dyDescent="0.3">
      <c r="A29" s="1027" t="s">
        <v>1989</v>
      </c>
      <c r="B29" s="960">
        <v>44649</v>
      </c>
      <c r="C29" s="959" t="s">
        <v>1110</v>
      </c>
      <c r="D29" s="959" t="s">
        <v>328</v>
      </c>
      <c r="E29" s="976" t="s">
        <v>1990</v>
      </c>
      <c r="F29" s="959">
        <v>5</v>
      </c>
    </row>
    <row r="30" spans="1:9" ht="52.5" customHeight="1" thickBot="1" x14ac:dyDescent="0.3">
      <c r="A30" s="959" t="s">
        <v>1985</v>
      </c>
      <c r="B30" s="960">
        <v>44643</v>
      </c>
      <c r="C30" s="959" t="s">
        <v>1110</v>
      </c>
      <c r="D30" s="959" t="s">
        <v>328</v>
      </c>
      <c r="E30" s="976" t="s">
        <v>1986</v>
      </c>
      <c r="F30" s="959">
        <v>5</v>
      </c>
    </row>
    <row r="31" spans="1:9" ht="13.5" thickBot="1" x14ac:dyDescent="0.3">
      <c r="A31" s="1027" t="s">
        <v>1950</v>
      </c>
      <c r="B31" s="960">
        <v>44634</v>
      </c>
      <c r="C31" s="959" t="s">
        <v>1110</v>
      </c>
      <c r="D31" s="959" t="s">
        <v>328</v>
      </c>
      <c r="E31" s="976" t="s">
        <v>1951</v>
      </c>
      <c r="F31" s="959">
        <v>4</v>
      </c>
    </row>
    <row r="32" spans="1:9" ht="39" thickBot="1" x14ac:dyDescent="0.3">
      <c r="A32" s="959" t="s">
        <v>1939</v>
      </c>
      <c r="B32" s="960">
        <v>44634</v>
      </c>
      <c r="C32" s="959" t="s">
        <v>1110</v>
      </c>
      <c r="D32" s="959" t="s">
        <v>328</v>
      </c>
      <c r="E32" s="976" t="s">
        <v>1946</v>
      </c>
      <c r="F32" s="959">
        <v>4</v>
      </c>
    </row>
    <row r="33" spans="1:6" ht="64.5" thickBot="1" x14ac:dyDescent="0.3">
      <c r="A33" s="959" t="s">
        <v>1932</v>
      </c>
      <c r="B33" s="960">
        <v>44630</v>
      </c>
      <c r="C33" s="959" t="s">
        <v>1110</v>
      </c>
      <c r="D33" s="959" t="s">
        <v>328</v>
      </c>
      <c r="E33" s="976" t="s">
        <v>1929</v>
      </c>
      <c r="F33" s="959">
        <v>3</v>
      </c>
    </row>
    <row r="34" spans="1:6" ht="13.5" thickBot="1" x14ac:dyDescent="0.3">
      <c r="A34" s="959" t="s">
        <v>1884</v>
      </c>
      <c r="B34" s="960">
        <v>44608</v>
      </c>
      <c r="C34" s="959" t="s">
        <v>1110</v>
      </c>
      <c r="D34" s="959" t="s">
        <v>328</v>
      </c>
      <c r="E34" s="976" t="s">
        <v>1885</v>
      </c>
      <c r="F34" s="959">
        <v>3</v>
      </c>
    </row>
    <row r="35" spans="1:6" ht="64.5" thickBot="1" x14ac:dyDescent="0.3">
      <c r="A35" s="154" t="s">
        <v>1881</v>
      </c>
      <c r="B35" s="960">
        <v>44603</v>
      </c>
      <c r="C35" s="959" t="s">
        <v>1110</v>
      </c>
      <c r="D35" s="959" t="s">
        <v>328</v>
      </c>
      <c r="E35" s="976" t="s">
        <v>1882</v>
      </c>
      <c r="F35" s="154">
        <v>3</v>
      </c>
    </row>
    <row r="36" spans="1:6" ht="65.25" customHeight="1" thickBot="1" x14ac:dyDescent="0.3">
      <c r="A36" s="154" t="s">
        <v>1830</v>
      </c>
      <c r="B36" s="155">
        <v>44573</v>
      </c>
      <c r="C36" s="154" t="s">
        <v>1110</v>
      </c>
      <c r="D36" s="154" t="s">
        <v>328</v>
      </c>
      <c r="E36" s="796" t="s">
        <v>1859</v>
      </c>
      <c r="F36" s="154">
        <v>2</v>
      </c>
    </row>
    <row r="37" spans="1:6" ht="64.5" thickBot="1" x14ac:dyDescent="0.3">
      <c r="A37" s="154" t="s">
        <v>1820</v>
      </c>
      <c r="B37" s="155">
        <v>44566</v>
      </c>
      <c r="C37" s="154" t="s">
        <v>1110</v>
      </c>
      <c r="D37" s="154" t="s">
        <v>328</v>
      </c>
      <c r="E37" s="796" t="s">
        <v>1821</v>
      </c>
      <c r="F37" s="154">
        <v>2</v>
      </c>
    </row>
    <row r="38" spans="1:6" ht="26.25" thickBot="1" x14ac:dyDescent="0.3">
      <c r="A38" s="154" t="s">
        <v>1807</v>
      </c>
      <c r="B38" s="155">
        <v>44557</v>
      </c>
      <c r="C38" s="154" t="s">
        <v>1110</v>
      </c>
      <c r="D38" s="154" t="s">
        <v>328</v>
      </c>
      <c r="E38" s="796" t="s">
        <v>1810</v>
      </c>
      <c r="F38" s="154">
        <v>1</v>
      </c>
    </row>
    <row r="39" spans="1:6" ht="13.5" thickBot="1" x14ac:dyDescent="0.3">
      <c r="A39" s="154" t="s">
        <v>1804</v>
      </c>
      <c r="B39" s="155">
        <v>44557</v>
      </c>
      <c r="C39" s="154" t="s">
        <v>1110</v>
      </c>
      <c r="D39" s="154" t="s">
        <v>1805</v>
      </c>
      <c r="E39" s="796" t="s">
        <v>1806</v>
      </c>
      <c r="F39" s="154">
        <v>1</v>
      </c>
    </row>
    <row r="40" spans="1:6" ht="51.75" thickBot="1" x14ac:dyDescent="0.3">
      <c r="A40" s="154" t="s">
        <v>1775</v>
      </c>
      <c r="B40" s="155">
        <v>44546</v>
      </c>
      <c r="C40" s="154" t="s">
        <v>1110</v>
      </c>
      <c r="D40" s="154" t="s">
        <v>328</v>
      </c>
      <c r="E40" s="796" t="s">
        <v>1802</v>
      </c>
      <c r="F40" s="154">
        <v>1</v>
      </c>
    </row>
    <row r="41" spans="1:6" ht="26.25" thickBot="1" x14ac:dyDescent="0.3">
      <c r="A41" s="154" t="s">
        <v>1772</v>
      </c>
      <c r="B41" s="155">
        <v>44543</v>
      </c>
      <c r="C41" s="154" t="s">
        <v>1110</v>
      </c>
      <c r="D41" s="154" t="s">
        <v>328</v>
      </c>
      <c r="E41" s="796" t="s">
        <v>1773</v>
      </c>
      <c r="F41" s="154">
        <v>1</v>
      </c>
    </row>
    <row r="42" spans="1:6" ht="51.75" thickBot="1" x14ac:dyDescent="0.3">
      <c r="A42" s="154" t="s">
        <v>1693</v>
      </c>
      <c r="B42" s="155">
        <v>44540</v>
      </c>
      <c r="C42" s="154" t="s">
        <v>1110</v>
      </c>
      <c r="D42" s="154" t="s">
        <v>328</v>
      </c>
      <c r="E42" s="797" t="s">
        <v>1774</v>
      </c>
      <c r="F42" s="154">
        <v>1</v>
      </c>
    </row>
    <row r="43" spans="1:6" ht="179.25" thickBot="1" x14ac:dyDescent="0.3">
      <c r="A43" s="154" t="s">
        <v>1622</v>
      </c>
      <c r="B43" s="155">
        <v>44538</v>
      </c>
      <c r="C43" s="154" t="s">
        <v>1110</v>
      </c>
      <c r="D43" s="154" t="s">
        <v>328</v>
      </c>
      <c r="E43" s="879" t="s">
        <v>1650</v>
      </c>
      <c r="F43" s="154">
        <v>1</v>
      </c>
    </row>
    <row r="44" spans="1:6" ht="13.5" thickBot="1" x14ac:dyDescent="0.3">
      <c r="A44" s="154" t="s">
        <v>1551</v>
      </c>
      <c r="B44" s="155">
        <v>44537</v>
      </c>
      <c r="C44" s="154" t="s">
        <v>1110</v>
      </c>
      <c r="D44" s="154" t="s">
        <v>1623</v>
      </c>
      <c r="E44" s="796" t="s">
        <v>1624</v>
      </c>
      <c r="F44" s="154">
        <v>0</v>
      </c>
    </row>
    <row r="45" spans="1:6" ht="13.5" thickBot="1" x14ac:dyDescent="0.3">
      <c r="A45" s="154" t="s">
        <v>1532</v>
      </c>
      <c r="B45" s="155">
        <v>44529</v>
      </c>
      <c r="C45" s="154" t="s">
        <v>1110</v>
      </c>
      <c r="D45" s="154" t="s">
        <v>328</v>
      </c>
      <c r="E45" s="796" t="s">
        <v>1533</v>
      </c>
      <c r="F45" s="154">
        <v>0</v>
      </c>
    </row>
    <row r="46" spans="1:6" ht="13.5" thickBot="1" x14ac:dyDescent="0.3">
      <c r="A46" s="154" t="s">
        <v>1508</v>
      </c>
      <c r="B46" s="155">
        <v>44517</v>
      </c>
      <c r="C46" s="154" t="s">
        <v>1110</v>
      </c>
      <c r="D46" s="154" t="s">
        <v>328</v>
      </c>
      <c r="E46" s="796" t="s">
        <v>1509</v>
      </c>
      <c r="F46" s="154">
        <v>0</v>
      </c>
    </row>
    <row r="47" spans="1:6" ht="128.25" thickBot="1" x14ac:dyDescent="0.3">
      <c r="A47" s="154" t="s">
        <v>1474</v>
      </c>
      <c r="B47" s="155">
        <v>44510</v>
      </c>
      <c r="C47" s="154" t="s">
        <v>1110</v>
      </c>
      <c r="D47" s="154" t="s">
        <v>328</v>
      </c>
      <c r="E47" s="794" t="s">
        <v>1507</v>
      </c>
      <c r="F47" s="154">
        <v>0</v>
      </c>
    </row>
    <row r="48" spans="1:6" ht="77.25" thickBot="1" x14ac:dyDescent="0.3">
      <c r="A48" s="154" t="s">
        <v>1449</v>
      </c>
      <c r="B48" s="155">
        <v>44488</v>
      </c>
      <c r="C48" s="154" t="s">
        <v>1110</v>
      </c>
      <c r="D48" s="154" t="s">
        <v>328</v>
      </c>
      <c r="E48" s="789" t="s">
        <v>1471</v>
      </c>
      <c r="F48" s="154">
        <v>0</v>
      </c>
    </row>
    <row r="49" spans="1:11" ht="64.5" thickBot="1" x14ac:dyDescent="0.3">
      <c r="A49" s="154" t="s">
        <v>1445</v>
      </c>
      <c r="B49" s="155">
        <v>44453</v>
      </c>
      <c r="C49" s="154" t="s">
        <v>1110</v>
      </c>
      <c r="D49" s="154" t="s">
        <v>328</v>
      </c>
      <c r="E49" s="156" t="s">
        <v>1446</v>
      </c>
      <c r="F49" s="154">
        <v>0</v>
      </c>
    </row>
    <row r="50" spans="1:11" ht="128.25" thickBot="1" x14ac:dyDescent="0.3">
      <c r="A50" s="154" t="s">
        <v>1377</v>
      </c>
      <c r="B50" s="155">
        <v>44403</v>
      </c>
      <c r="C50" s="154" t="s">
        <v>1110</v>
      </c>
      <c r="D50" s="154" t="s">
        <v>328</v>
      </c>
      <c r="E50" s="156" t="s">
        <v>1378</v>
      </c>
      <c r="F50" s="154">
        <v>0</v>
      </c>
    </row>
    <row r="51" spans="1:11" ht="230.25" thickBot="1" x14ac:dyDescent="0.3">
      <c r="A51" s="154" t="s">
        <v>1344</v>
      </c>
      <c r="B51" s="155">
        <v>44390</v>
      </c>
      <c r="C51" s="154" t="s">
        <v>1110</v>
      </c>
      <c r="D51" s="154" t="s">
        <v>328</v>
      </c>
      <c r="E51" s="156" t="s">
        <v>1345</v>
      </c>
      <c r="F51" s="154">
        <v>0</v>
      </c>
      <c r="K51"/>
    </row>
    <row r="52" spans="1:11" ht="15.75" thickBot="1" x14ac:dyDescent="0.3">
      <c r="A52" s="154" t="s">
        <v>1202</v>
      </c>
      <c r="B52" s="155">
        <v>44323</v>
      </c>
      <c r="C52" s="154" t="s">
        <v>1110</v>
      </c>
      <c r="D52" s="154" t="s">
        <v>328</v>
      </c>
      <c r="E52" s="156" t="s">
        <v>1211</v>
      </c>
      <c r="F52" s="154">
        <v>0</v>
      </c>
      <c r="K52"/>
    </row>
    <row r="53" spans="1:11" ht="39" thickBot="1" x14ac:dyDescent="0.3">
      <c r="A53" s="154" t="s">
        <v>1189</v>
      </c>
      <c r="B53" s="155">
        <v>44315</v>
      </c>
      <c r="C53" s="154" t="s">
        <v>1110</v>
      </c>
      <c r="D53" s="154" t="s">
        <v>328</v>
      </c>
      <c r="E53" s="156" t="s">
        <v>1201</v>
      </c>
      <c r="F53" s="154">
        <v>0</v>
      </c>
      <c r="K53"/>
    </row>
    <row r="54" spans="1:11" ht="39" thickBot="1" x14ac:dyDescent="0.3">
      <c r="A54" s="154" t="s">
        <v>1185</v>
      </c>
      <c r="B54" s="155">
        <v>44300</v>
      </c>
      <c r="C54" s="154" t="s">
        <v>1110</v>
      </c>
      <c r="D54" s="154" t="s">
        <v>328</v>
      </c>
      <c r="E54" s="156" t="s">
        <v>1186</v>
      </c>
      <c r="F54" s="154">
        <v>0</v>
      </c>
      <c r="K54"/>
    </row>
    <row r="55" spans="1:11" ht="13.5" thickBot="1" x14ac:dyDescent="0.3">
      <c r="A55" s="154" t="s">
        <v>1124</v>
      </c>
      <c r="B55" s="155">
        <v>44299</v>
      </c>
      <c r="C55" s="154" t="s">
        <v>1110</v>
      </c>
      <c r="D55" s="154" t="s">
        <v>328</v>
      </c>
      <c r="E55" s="156" t="s">
        <v>1125</v>
      </c>
      <c r="F55" s="154">
        <v>0</v>
      </c>
    </row>
    <row r="56" spans="1:11" ht="13.5" thickBot="1" x14ac:dyDescent="0.3">
      <c r="A56" s="154" t="s">
        <v>1107</v>
      </c>
      <c r="B56" s="155">
        <v>44290</v>
      </c>
      <c r="C56" s="154" t="s">
        <v>1110</v>
      </c>
      <c r="D56" s="154" t="s">
        <v>328</v>
      </c>
      <c r="E56" s="156" t="s">
        <v>1108</v>
      </c>
      <c r="F56" s="154">
        <v>0</v>
      </c>
    </row>
    <row r="57" spans="1:11" ht="13.5" thickBot="1" x14ac:dyDescent="0.3">
      <c r="A57" s="154" t="s">
        <v>1036</v>
      </c>
      <c r="B57" s="155">
        <v>44287</v>
      </c>
      <c r="C57" s="154" t="s">
        <v>805</v>
      </c>
      <c r="D57" s="154" t="s">
        <v>328</v>
      </c>
      <c r="E57" s="156"/>
      <c r="F57" s="154">
        <v>0</v>
      </c>
    </row>
    <row r="58" spans="1:11" ht="13.5" thickBot="1" x14ac:dyDescent="0.3">
      <c r="A58" s="154" t="s">
        <v>1009</v>
      </c>
      <c r="B58" s="155">
        <v>44285</v>
      </c>
      <c r="C58" s="154" t="s">
        <v>805</v>
      </c>
      <c r="D58" s="154" t="s">
        <v>328</v>
      </c>
      <c r="E58" s="156"/>
      <c r="F58" s="154">
        <v>0</v>
      </c>
    </row>
    <row r="59" spans="1:11" ht="13.5" thickBot="1" x14ac:dyDescent="0.3">
      <c r="A59" s="154" t="s">
        <v>841</v>
      </c>
      <c r="B59" s="155">
        <v>44281</v>
      </c>
      <c r="C59" s="154" t="s">
        <v>805</v>
      </c>
      <c r="D59" s="154" t="s">
        <v>328</v>
      </c>
      <c r="E59" s="156"/>
      <c r="F59" s="154">
        <v>0</v>
      </c>
    </row>
    <row r="60" spans="1:11" ht="13.5" thickBot="1" x14ac:dyDescent="0.3">
      <c r="A60" s="154" t="s">
        <v>329</v>
      </c>
      <c r="B60" s="155">
        <v>44270</v>
      </c>
      <c r="C60" s="157" t="s">
        <v>805</v>
      </c>
      <c r="D60" s="154" t="s">
        <v>328</v>
      </c>
      <c r="E60" s="158"/>
      <c r="F60" s="157">
        <v>0</v>
      </c>
    </row>
    <row r="61" spans="1:11" ht="13.5" thickBot="1" x14ac:dyDescent="0.3">
      <c r="A61" s="154" t="s">
        <v>330</v>
      </c>
      <c r="B61" s="155">
        <v>44260</v>
      </c>
      <c r="C61" s="157" t="s">
        <v>805</v>
      </c>
      <c r="D61" s="154" t="s">
        <v>328</v>
      </c>
      <c r="E61" s="156" t="s">
        <v>804</v>
      </c>
      <c r="F61" s="157">
        <v>0</v>
      </c>
    </row>
    <row r="62" spans="1:11" ht="13.5" thickBot="1" x14ac:dyDescent="0.3"/>
    <row r="63" spans="1:11" ht="13.5" thickBot="1" x14ac:dyDescent="0.3">
      <c r="A63" s="159"/>
      <c r="B63" s="160"/>
      <c r="C63" s="159"/>
      <c r="D63" s="159"/>
      <c r="E63" s="158"/>
      <c r="F63" s="159"/>
    </row>
    <row r="64" spans="1:11" ht="13.5" thickBot="1" x14ac:dyDescent="0.3">
      <c r="A64" s="161"/>
      <c r="B64" s="162"/>
      <c r="C64" s="163"/>
      <c r="D64" s="164"/>
      <c r="E64" s="165"/>
      <c r="F64" s="163"/>
    </row>
  </sheetData>
  <mergeCells count="8">
    <mergeCell ref="A1:F1"/>
    <mergeCell ref="B11:D11"/>
    <mergeCell ref="B12:D12"/>
    <mergeCell ref="B6:D6"/>
    <mergeCell ref="B7:D7"/>
    <mergeCell ref="B8:D8"/>
    <mergeCell ref="B9:D9"/>
    <mergeCell ref="B10:D10"/>
  </mergeCells>
  <phoneticPr fontId="7" type="noConversion"/>
  <conditionalFormatting sqref="B10">
    <cfRule type="cellIs" dxfId="3" priority="1" stopIfTrue="1" operator="equal">
      <formula>0</formula>
    </cfRule>
  </conditionalFormatting>
  <conditionalFormatting sqref="A64">
    <cfRule type="expression" dxfId="2" priority="2" stopIfTrue="1">
      <formula>AND(NOT(ISBLANK($A64)),$A64=#REF!)</formula>
    </cfRule>
  </conditionalFormatting>
  <conditionalFormatting sqref="B64">
    <cfRule type="expression" dxfId="1" priority="3" stopIfTrue="1">
      <formula>ROW($B$18) = ROW()</formula>
    </cfRule>
    <cfRule type="expression" dxfId="0" priority="4" stopIfTrue="1">
      <formula>AND(NOT(ISBLANK($B64)),$B64=#REF!)</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84E0E-AAA1-4182-BB17-870BF29A6936}">
  <dimension ref="B1:K37"/>
  <sheetViews>
    <sheetView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 min="11" max="11" width="16.5703125" customWidth="1"/>
  </cols>
  <sheetData>
    <row r="1" spans="2:11" x14ac:dyDescent="0.25">
      <c r="B1" s="16" t="s">
        <v>1055</v>
      </c>
    </row>
    <row r="2" spans="2:11" ht="15.75" thickBot="1" x14ac:dyDescent="0.3">
      <c r="E2" s="949"/>
      <c r="F2" s="949"/>
      <c r="G2" s="949"/>
    </row>
    <row r="3" spans="2:11" x14ac:dyDescent="0.25">
      <c r="B3" s="347" t="s">
        <v>0</v>
      </c>
      <c r="C3" s="373" t="s">
        <v>336</v>
      </c>
      <c r="D3" s="53"/>
      <c r="E3" s="949"/>
      <c r="F3" s="949"/>
      <c r="G3" s="949"/>
    </row>
    <row r="4" spans="2:11" ht="15.75" thickBot="1" x14ac:dyDescent="0.3">
      <c r="B4" s="348" t="s">
        <v>1</v>
      </c>
      <c r="C4" s="374" t="s">
        <v>336</v>
      </c>
      <c r="D4" s="53"/>
      <c r="E4" s="949"/>
      <c r="F4" s="949"/>
      <c r="G4" s="949"/>
    </row>
    <row r="5" spans="2:11" ht="15.75" thickBot="1" x14ac:dyDescent="0.3"/>
    <row r="6" spans="2:11" ht="45.75" thickBot="1" x14ac:dyDescent="0.3">
      <c r="D6" s="52" t="s">
        <v>666</v>
      </c>
      <c r="E6" s="1365" t="s">
        <v>46</v>
      </c>
      <c r="F6" s="1366"/>
      <c r="G6" s="1367"/>
      <c r="H6" s="52" t="s">
        <v>61</v>
      </c>
      <c r="I6" s="350" t="s">
        <v>94</v>
      </c>
      <c r="J6" s="351" t="s">
        <v>96</v>
      </c>
      <c r="K6" s="349" t="s">
        <v>95</v>
      </c>
    </row>
    <row r="7" spans="2:11" x14ac:dyDescent="0.25">
      <c r="B7" s="42" t="s">
        <v>59</v>
      </c>
      <c r="C7" s="45" t="s">
        <v>49</v>
      </c>
      <c r="D7" s="45" t="s">
        <v>49</v>
      </c>
      <c r="E7" s="48">
        <v>125</v>
      </c>
      <c r="F7" s="27">
        <v>25</v>
      </c>
      <c r="G7" s="37">
        <v>-40</v>
      </c>
      <c r="H7" s="33" t="s">
        <v>48</v>
      </c>
      <c r="I7" s="36" t="s">
        <v>49</v>
      </c>
      <c r="J7" s="84" t="s">
        <v>49</v>
      </c>
      <c r="K7" s="83" t="s">
        <v>49</v>
      </c>
    </row>
    <row r="8" spans="2:11" x14ac:dyDescent="0.25">
      <c r="B8" s="588"/>
      <c r="C8" s="595" t="s">
        <v>1135</v>
      </c>
      <c r="D8" s="107" t="s">
        <v>71</v>
      </c>
      <c r="E8" s="592">
        <v>1</v>
      </c>
      <c r="F8" s="593">
        <v>1</v>
      </c>
      <c r="G8" s="594">
        <v>1</v>
      </c>
      <c r="H8" s="108" t="s">
        <v>141</v>
      </c>
      <c r="I8" s="1380" t="s">
        <v>370</v>
      </c>
      <c r="J8" s="1381"/>
      <c r="K8" s="111" t="s">
        <v>72</v>
      </c>
    </row>
    <row r="9" spans="2:11" s="58" customFormat="1" ht="30" customHeight="1" x14ac:dyDescent="0.25">
      <c r="B9" s="475" t="s">
        <v>63</v>
      </c>
      <c r="C9" s="575" t="s">
        <v>660</v>
      </c>
      <c r="D9" s="589" t="s">
        <v>71</v>
      </c>
      <c r="E9" s="474">
        <v>48</v>
      </c>
      <c r="F9" s="473">
        <v>48</v>
      </c>
      <c r="G9" s="436">
        <v>48</v>
      </c>
      <c r="H9" s="476" t="s">
        <v>834</v>
      </c>
      <c r="I9" s="1382"/>
      <c r="J9" s="1383"/>
      <c r="K9" s="576" t="s">
        <v>890</v>
      </c>
    </row>
    <row r="10" spans="2:11" ht="15.75" thickBot="1" x14ac:dyDescent="0.3">
      <c r="B10" s="43" t="s">
        <v>60</v>
      </c>
      <c r="C10" s="47" t="s">
        <v>49</v>
      </c>
      <c r="D10" s="47" t="s">
        <v>49</v>
      </c>
      <c r="E10" s="51" t="s">
        <v>372</v>
      </c>
      <c r="F10" s="29"/>
      <c r="G10" s="41"/>
      <c r="H10" s="35" t="s">
        <v>49</v>
      </c>
      <c r="I10" s="40" t="s">
        <v>49</v>
      </c>
      <c r="J10" s="86" t="s">
        <v>49</v>
      </c>
      <c r="K10" s="81" t="s">
        <v>49</v>
      </c>
    </row>
    <row r="11" spans="2:11" x14ac:dyDescent="0.25">
      <c r="B11" t="s">
        <v>58</v>
      </c>
    </row>
    <row r="12" spans="2:11" x14ac:dyDescent="0.25">
      <c r="B12" t="s">
        <v>50</v>
      </c>
    </row>
    <row r="14" spans="2:11" x14ac:dyDescent="0.25">
      <c r="B14" s="17" t="s">
        <v>822</v>
      </c>
      <c r="C14" t="s">
        <v>833</v>
      </c>
    </row>
    <row r="15" spans="2:11" x14ac:dyDescent="0.25">
      <c r="B15" s="17"/>
      <c r="C15" t="s">
        <v>1119</v>
      </c>
    </row>
    <row r="16" spans="2:11" x14ac:dyDescent="0.25">
      <c r="B16" s="17"/>
    </row>
    <row r="17" spans="2:4" x14ac:dyDescent="0.25">
      <c r="B17" s="17" t="s">
        <v>51</v>
      </c>
    </row>
    <row r="18" spans="2:4" x14ac:dyDescent="0.25">
      <c r="C18" s="202" t="s">
        <v>872</v>
      </c>
      <c r="D18" s="18"/>
    </row>
    <row r="20" spans="2:4" x14ac:dyDescent="0.25">
      <c r="B20" s="17" t="s">
        <v>53</v>
      </c>
    </row>
    <row r="21" spans="2:4" x14ac:dyDescent="0.25">
      <c r="C21" s="202" t="s">
        <v>88</v>
      </c>
      <c r="D21" s="18"/>
    </row>
    <row r="23" spans="2:4" x14ac:dyDescent="0.25">
      <c r="B23" s="17" t="s">
        <v>55</v>
      </c>
    </row>
    <row r="24" spans="2:4" x14ac:dyDescent="0.25">
      <c r="C24" s="376" t="s">
        <v>835</v>
      </c>
    </row>
    <row r="25" spans="2:4" x14ac:dyDescent="0.25">
      <c r="C25" s="376" t="s">
        <v>836</v>
      </c>
    </row>
    <row r="26" spans="2:4" x14ac:dyDescent="0.25">
      <c r="C26" s="376" t="s">
        <v>1809</v>
      </c>
    </row>
    <row r="27" spans="2:4" x14ac:dyDescent="0.25">
      <c r="C27" s="377" t="s">
        <v>838</v>
      </c>
    </row>
    <row r="28" spans="2:4" x14ac:dyDescent="0.25">
      <c r="C28" s="376" t="s">
        <v>837</v>
      </c>
    </row>
    <row r="30" spans="2:4" x14ac:dyDescent="0.25">
      <c r="B30" s="17" t="s">
        <v>1174</v>
      </c>
      <c r="D30" s="18"/>
    </row>
    <row r="31" spans="2:4" x14ac:dyDescent="0.25">
      <c r="B31" s="17"/>
      <c r="C31" s="376" t="s">
        <v>835</v>
      </c>
      <c r="D31" s="18"/>
    </row>
    <row r="32" spans="2:4" x14ac:dyDescent="0.25">
      <c r="B32" s="17"/>
      <c r="C32" s="376" t="s">
        <v>836</v>
      </c>
      <c r="D32" s="18"/>
    </row>
    <row r="33" spans="2:4" x14ac:dyDescent="0.25">
      <c r="B33" s="17"/>
      <c r="C33" s="376" t="s">
        <v>1167</v>
      </c>
      <c r="D33" s="18"/>
    </row>
    <row r="35" spans="2:4" x14ac:dyDescent="0.25">
      <c r="B35" s="17" t="s">
        <v>56</v>
      </c>
    </row>
    <row r="36" spans="2:4" x14ac:dyDescent="0.25">
      <c r="C36" s="1" t="s">
        <v>839</v>
      </c>
    </row>
    <row r="37" spans="2:4" x14ac:dyDescent="0.25">
      <c r="C37" t="s">
        <v>840</v>
      </c>
    </row>
  </sheetData>
  <mergeCells count="2">
    <mergeCell ref="E6:G6"/>
    <mergeCell ref="I8:J9"/>
  </mergeCells>
  <hyperlinks>
    <hyperlink ref="B1" location="'RFE SOC FuseMap'!A1" display="RFE/SOC FuseMap" xr:uid="{518F1134-FA99-4E69-B1B8-B65902DCFFB7}"/>
  </hyperlink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B907B-D92A-4F67-BA47-2D2D917C65C5}">
  <dimension ref="B1:K28"/>
  <sheetViews>
    <sheetView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 min="10" max="10" width="27.7109375" customWidth="1"/>
    <col min="11" max="11" width="39" bestFit="1" customWidth="1"/>
  </cols>
  <sheetData>
    <row r="1" spans="2:11" x14ac:dyDescent="0.25">
      <c r="B1" s="16" t="s">
        <v>1055</v>
      </c>
    </row>
    <row r="2" spans="2:11" ht="15.75" thickBot="1" x14ac:dyDescent="0.3">
      <c r="E2" s="949"/>
      <c r="F2" s="949"/>
      <c r="G2" s="949"/>
    </row>
    <row r="3" spans="2:11" x14ac:dyDescent="0.25">
      <c r="B3" s="387" t="s">
        <v>0</v>
      </c>
      <c r="C3" s="20" t="s">
        <v>875</v>
      </c>
      <c r="D3" s="53"/>
      <c r="E3" s="949"/>
      <c r="F3" s="949"/>
      <c r="G3" s="949"/>
    </row>
    <row r="4" spans="2:11" ht="15.75" thickBot="1" x14ac:dyDescent="0.3">
      <c r="B4" s="388" t="s">
        <v>1</v>
      </c>
      <c r="C4" s="23" t="s">
        <v>875</v>
      </c>
      <c r="D4" s="53"/>
      <c r="E4" s="949"/>
      <c r="F4" s="949"/>
      <c r="G4" s="949"/>
    </row>
    <row r="5" spans="2:11" ht="15.75" thickBot="1" x14ac:dyDescent="0.3"/>
    <row r="6" spans="2:11" ht="45.75" thickBot="1" x14ac:dyDescent="0.3">
      <c r="D6" s="52" t="s">
        <v>666</v>
      </c>
      <c r="E6" s="1365" t="s">
        <v>46</v>
      </c>
      <c r="F6" s="1366"/>
      <c r="G6" s="1367"/>
      <c r="H6" s="52" t="s">
        <v>61</v>
      </c>
      <c r="I6" s="395" t="s">
        <v>94</v>
      </c>
      <c r="J6" s="396" t="s">
        <v>96</v>
      </c>
      <c r="K6" s="392" t="s">
        <v>95</v>
      </c>
    </row>
    <row r="7" spans="2:11" x14ac:dyDescent="0.25">
      <c r="B7" s="42" t="s">
        <v>59</v>
      </c>
      <c r="C7" s="45" t="s">
        <v>49</v>
      </c>
      <c r="D7" s="45" t="s">
        <v>49</v>
      </c>
      <c r="E7" s="48">
        <v>125</v>
      </c>
      <c r="F7" s="27">
        <v>25</v>
      </c>
      <c r="G7" s="37">
        <v>-40</v>
      </c>
      <c r="H7" s="33" t="s">
        <v>48</v>
      </c>
      <c r="I7" s="36" t="s">
        <v>49</v>
      </c>
      <c r="J7" s="84" t="s">
        <v>49</v>
      </c>
      <c r="K7" s="83" t="s">
        <v>49</v>
      </c>
    </row>
    <row r="8" spans="2:11" ht="30" customHeight="1" x14ac:dyDescent="0.25">
      <c r="B8" s="390" t="s">
        <v>63</v>
      </c>
      <c r="C8" s="4" t="s">
        <v>948</v>
      </c>
      <c r="D8" s="434" t="s">
        <v>71</v>
      </c>
      <c r="E8" s="435">
        <v>7</v>
      </c>
      <c r="F8" s="389">
        <v>7</v>
      </c>
      <c r="G8" s="436">
        <v>7</v>
      </c>
      <c r="H8" s="399" t="s">
        <v>141</v>
      </c>
      <c r="I8" s="1384" t="s">
        <v>370</v>
      </c>
      <c r="J8" s="1385"/>
      <c r="K8" s="207" t="s">
        <v>72</v>
      </c>
    </row>
    <row r="9" spans="2:11" ht="15.75" thickBot="1" x14ac:dyDescent="0.3">
      <c r="B9" s="43" t="s">
        <v>60</v>
      </c>
      <c r="C9" s="47" t="s">
        <v>49</v>
      </c>
      <c r="D9" s="47" t="s">
        <v>49</v>
      </c>
      <c r="E9" s="51" t="s">
        <v>372</v>
      </c>
      <c r="F9" s="29"/>
      <c r="G9" s="41"/>
      <c r="H9" s="35" t="s">
        <v>49</v>
      </c>
      <c r="I9" s="40" t="s">
        <v>49</v>
      </c>
      <c r="J9" s="86" t="s">
        <v>49</v>
      </c>
      <c r="K9" s="81" t="s">
        <v>49</v>
      </c>
    </row>
    <row r="10" spans="2:11" x14ac:dyDescent="0.25">
      <c r="B10" t="s">
        <v>58</v>
      </c>
    </row>
    <row r="11" spans="2:11" x14ac:dyDescent="0.25">
      <c r="B11" t="s">
        <v>50</v>
      </c>
    </row>
    <row r="13" spans="2:11" x14ac:dyDescent="0.25">
      <c r="B13" s="17" t="s">
        <v>822</v>
      </c>
      <c r="C13" s="63" t="s">
        <v>1133</v>
      </c>
    </row>
    <row r="14" spans="2:11" x14ac:dyDescent="0.25">
      <c r="B14" s="17"/>
      <c r="J14" s="17" t="s">
        <v>949</v>
      </c>
    </row>
    <row r="15" spans="2:11" x14ac:dyDescent="0.25">
      <c r="B15" s="17" t="s">
        <v>51</v>
      </c>
      <c r="J15" s="17" t="s">
        <v>950</v>
      </c>
    </row>
    <row r="16" spans="2:11" x14ac:dyDescent="0.25">
      <c r="C16" s="1" t="s">
        <v>88</v>
      </c>
      <c r="D16" s="18"/>
    </row>
    <row r="17" spans="2:11" x14ac:dyDescent="0.25">
      <c r="J17" s="437" t="s">
        <v>951</v>
      </c>
    </row>
    <row r="18" spans="2:11" x14ac:dyDescent="0.25">
      <c r="B18" s="17" t="s">
        <v>53</v>
      </c>
      <c r="J18" s="376" t="s">
        <v>952</v>
      </c>
    </row>
    <row r="19" spans="2:11" x14ac:dyDescent="0.25">
      <c r="C19" s="1" t="s">
        <v>88</v>
      </c>
      <c r="D19" s="18"/>
      <c r="J19" s="376" t="s">
        <v>953</v>
      </c>
    </row>
    <row r="20" spans="2:11" x14ac:dyDescent="0.25">
      <c r="J20" s="376" t="s">
        <v>954</v>
      </c>
    </row>
    <row r="21" spans="2:11" x14ac:dyDescent="0.25">
      <c r="B21" s="17" t="s">
        <v>55</v>
      </c>
      <c r="J21" s="376" t="s">
        <v>955</v>
      </c>
    </row>
    <row r="22" spans="2:11" x14ac:dyDescent="0.25">
      <c r="C22" t="s">
        <v>904</v>
      </c>
      <c r="I22" s="53"/>
      <c r="J22" s="53"/>
      <c r="K22" s="53"/>
    </row>
    <row r="23" spans="2:11" s="410" customFormat="1" x14ac:dyDescent="0.25"/>
    <row r="24" spans="2:11" x14ac:dyDescent="0.25">
      <c r="B24" s="17" t="s">
        <v>1174</v>
      </c>
    </row>
    <row r="25" spans="2:11" x14ac:dyDescent="0.25">
      <c r="C25" t="s">
        <v>905</v>
      </c>
    </row>
    <row r="27" spans="2:11" x14ac:dyDescent="0.25">
      <c r="B27" s="17" t="s">
        <v>56</v>
      </c>
    </row>
    <row r="28" spans="2:11" x14ac:dyDescent="0.25">
      <c r="C28" s="1" t="s">
        <v>1083</v>
      </c>
    </row>
  </sheetData>
  <mergeCells count="2">
    <mergeCell ref="E6:G6"/>
    <mergeCell ref="I8:J8"/>
  </mergeCells>
  <hyperlinks>
    <hyperlink ref="B1" location="'RFE SOC FuseMap'!A1" display="RFE/SOC FuseMap" xr:uid="{63329556-6F3F-40A8-8445-72383D851ABA}"/>
  </hyperlinks>
  <pageMargins left="0.7" right="0.7" top="0.75" bottom="0.75" header="0.3" footer="0.3"/>
  <pageSetup paperSize="9"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9C7A2-13D2-4B3C-9B44-9C43C864E72E}">
  <dimension ref="B1:O26"/>
  <sheetViews>
    <sheetView workbookViewId="0">
      <selection activeCell="A2" sqref="A2:XFD4"/>
    </sheetView>
  </sheetViews>
  <sheetFormatPr defaultRowHeight="15" x14ac:dyDescent="0.25"/>
  <cols>
    <col min="2" max="2" width="16.28515625" customWidth="1"/>
    <col min="3" max="3" width="3.7109375" customWidth="1"/>
    <col min="4" max="4" width="18.140625" customWidth="1"/>
    <col min="5" max="5" width="29.7109375" customWidth="1"/>
    <col min="6" max="6" width="27.28515625" bestFit="1" customWidth="1"/>
    <col min="7" max="7" width="16.5703125" customWidth="1"/>
    <col min="9" max="9" width="16.5703125" bestFit="1" customWidth="1"/>
    <col min="10" max="10" width="15.28515625" bestFit="1" customWidth="1"/>
    <col min="11" max="11" width="24.5703125" bestFit="1" customWidth="1"/>
    <col min="12" max="12" width="17" customWidth="1"/>
    <col min="13" max="13" width="24.85546875" bestFit="1" customWidth="1"/>
    <col min="14" max="14" width="29.5703125" customWidth="1"/>
    <col min="15" max="15" width="17.85546875" bestFit="1" customWidth="1"/>
  </cols>
  <sheetData>
    <row r="1" spans="2:15" x14ac:dyDescent="0.25">
      <c r="B1" s="16" t="s">
        <v>1055</v>
      </c>
    </row>
    <row r="2" spans="2:15" ht="15.75" thickBot="1" x14ac:dyDescent="0.3"/>
    <row r="3" spans="2:15" ht="60.75" thickBot="1" x14ac:dyDescent="0.3">
      <c r="C3" s="1392" t="s">
        <v>0</v>
      </c>
      <c r="D3" s="1393"/>
      <c r="E3" s="397" t="s">
        <v>1</v>
      </c>
      <c r="F3" s="121" t="s">
        <v>63</v>
      </c>
      <c r="G3" s="397" t="s">
        <v>666</v>
      </c>
      <c r="H3" s="1392" t="s">
        <v>46</v>
      </c>
      <c r="I3" s="1394"/>
      <c r="J3" s="1393"/>
      <c r="K3" s="392" t="s">
        <v>61</v>
      </c>
      <c r="L3" s="395" t="s">
        <v>94</v>
      </c>
      <c r="M3" s="396" t="s">
        <v>96</v>
      </c>
      <c r="N3" s="392" t="s">
        <v>95</v>
      </c>
    </row>
    <row r="4" spans="2:15" x14ac:dyDescent="0.25">
      <c r="B4" s="31" t="s">
        <v>59</v>
      </c>
      <c r="C4" s="387"/>
      <c r="D4" s="447" t="s">
        <v>49</v>
      </c>
      <c r="E4" s="55" t="s">
        <v>49</v>
      </c>
      <c r="F4" s="45" t="s">
        <v>49</v>
      </c>
      <c r="G4" s="55" t="s">
        <v>49</v>
      </c>
      <c r="H4" s="416">
        <v>125</v>
      </c>
      <c r="I4" s="27">
        <v>25</v>
      </c>
      <c r="J4" s="69">
        <v>-40</v>
      </c>
      <c r="K4" s="72" t="s">
        <v>48</v>
      </c>
      <c r="L4" s="36" t="s">
        <v>49</v>
      </c>
      <c r="M4" s="82" t="s">
        <v>49</v>
      </c>
      <c r="N4" s="430" t="s">
        <v>49</v>
      </c>
    </row>
    <row r="5" spans="2:15" ht="24.75" customHeight="1" x14ac:dyDescent="0.25">
      <c r="B5" s="1388"/>
      <c r="C5" s="1387" t="s">
        <v>369</v>
      </c>
      <c r="D5" s="1386" t="s">
        <v>352</v>
      </c>
      <c r="E5" s="427" t="s">
        <v>353</v>
      </c>
      <c r="F5" s="428" t="s">
        <v>899</v>
      </c>
      <c r="G5" s="420" t="s">
        <v>71</v>
      </c>
      <c r="H5" s="418">
        <v>0</v>
      </c>
      <c r="I5" s="248">
        <v>0</v>
      </c>
      <c r="J5" s="423">
        <v>0</v>
      </c>
      <c r="K5" s="73" t="s">
        <v>141</v>
      </c>
      <c r="L5" s="1390" t="s">
        <v>370</v>
      </c>
      <c r="M5" s="1391"/>
      <c r="N5" s="431" t="s">
        <v>72</v>
      </c>
      <c r="O5" s="237"/>
    </row>
    <row r="6" spans="2:15" x14ac:dyDescent="0.25">
      <c r="B6" s="1389"/>
      <c r="C6" s="1387"/>
      <c r="D6" s="1386"/>
      <c r="E6" s="427" t="s">
        <v>354</v>
      </c>
      <c r="F6" s="428" t="s">
        <v>895</v>
      </c>
      <c r="G6" s="420" t="s">
        <v>71</v>
      </c>
      <c r="H6" s="418">
        <v>0</v>
      </c>
      <c r="I6" s="248">
        <v>0</v>
      </c>
      <c r="J6" s="423">
        <v>0</v>
      </c>
      <c r="K6" s="73" t="s">
        <v>141</v>
      </c>
      <c r="L6" s="1390"/>
      <c r="M6" s="1391"/>
      <c r="N6" s="431" t="s">
        <v>72</v>
      </c>
      <c r="O6" s="237"/>
    </row>
    <row r="7" spans="2:15" ht="15.75" thickBot="1" x14ac:dyDescent="0.3">
      <c r="B7" s="32" t="s">
        <v>60</v>
      </c>
      <c r="C7" s="388"/>
      <c r="D7" s="448" t="s">
        <v>49</v>
      </c>
      <c r="E7" s="56" t="s">
        <v>49</v>
      </c>
      <c r="F7" s="47" t="s">
        <v>49</v>
      </c>
      <c r="G7" s="56" t="s">
        <v>49</v>
      </c>
      <c r="H7" s="429" t="s">
        <v>372</v>
      </c>
      <c r="I7" s="29"/>
      <c r="J7" s="71"/>
      <c r="K7" s="56" t="s">
        <v>49</v>
      </c>
      <c r="L7" s="40" t="s">
        <v>49</v>
      </c>
      <c r="M7" s="80" t="s">
        <v>49</v>
      </c>
      <c r="N7" s="432" t="s">
        <v>49</v>
      </c>
    </row>
    <row r="8" spans="2:15" x14ac:dyDescent="0.25">
      <c r="B8" t="s">
        <v>58</v>
      </c>
    </row>
    <row r="9" spans="2:15" x14ac:dyDescent="0.25">
      <c r="B9" t="s">
        <v>50</v>
      </c>
    </row>
    <row r="11" spans="2:15" x14ac:dyDescent="0.25">
      <c r="B11" s="17" t="s">
        <v>822</v>
      </c>
      <c r="C11" t="s">
        <v>1132</v>
      </c>
    </row>
    <row r="13" spans="2:15" x14ac:dyDescent="0.25">
      <c r="B13" s="17" t="s">
        <v>51</v>
      </c>
    </row>
    <row r="14" spans="2:15" x14ac:dyDescent="0.25">
      <c r="C14" s="1" t="s">
        <v>88</v>
      </c>
      <c r="D14" s="18"/>
    </row>
    <row r="16" spans="2:15" x14ac:dyDescent="0.25">
      <c r="B16" s="17" t="s">
        <v>53</v>
      </c>
    </row>
    <row r="17" spans="2:4" x14ac:dyDescent="0.25">
      <c r="C17" s="1" t="s">
        <v>88</v>
      </c>
      <c r="D17" s="18"/>
    </row>
    <row r="19" spans="2:4" x14ac:dyDescent="0.25">
      <c r="B19" s="17" t="s">
        <v>55</v>
      </c>
    </row>
    <row r="20" spans="2:4" x14ac:dyDescent="0.25">
      <c r="C20" t="s">
        <v>904</v>
      </c>
    </row>
    <row r="22" spans="2:4" x14ac:dyDescent="0.25">
      <c r="B22" s="17" t="s">
        <v>1174</v>
      </c>
    </row>
    <row r="23" spans="2:4" x14ac:dyDescent="0.25">
      <c r="C23" t="s">
        <v>905</v>
      </c>
    </row>
    <row r="25" spans="2:4" x14ac:dyDescent="0.25">
      <c r="B25" s="17" t="s">
        <v>56</v>
      </c>
      <c r="D25" s="18"/>
    </row>
    <row r="26" spans="2:4" x14ac:dyDescent="0.25">
      <c r="C26" s="1" t="s">
        <v>88</v>
      </c>
    </row>
  </sheetData>
  <mergeCells count="6">
    <mergeCell ref="D5:D6"/>
    <mergeCell ref="C5:C6"/>
    <mergeCell ref="B5:B6"/>
    <mergeCell ref="L5:M6"/>
    <mergeCell ref="C3:D3"/>
    <mergeCell ref="H3:J3"/>
  </mergeCells>
  <hyperlinks>
    <hyperlink ref="B1" location="'RFE SOC FuseMap'!A1" display="RFE/SOC FuseMap" xr:uid="{5C77A13F-A5FA-4C98-A952-DFE4768862D3}"/>
  </hyperlinks>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BBF2-5EAD-450B-B8BA-65ACB687ACBC}">
  <dimension ref="B1:O128"/>
  <sheetViews>
    <sheetView topLeftCell="B1" zoomScale="85" zoomScaleNormal="85" workbookViewId="0">
      <selection activeCell="B2" sqref="A2:XFD4"/>
    </sheetView>
  </sheetViews>
  <sheetFormatPr defaultRowHeight="15" x14ac:dyDescent="0.25"/>
  <cols>
    <col min="1" max="1" width="11.42578125" customWidth="1"/>
    <col min="2" max="2" width="18.28515625" customWidth="1"/>
    <col min="3" max="3" width="7.140625" customWidth="1"/>
    <col min="4" max="4" width="17.42578125" bestFit="1" customWidth="1"/>
    <col min="5" max="5" width="28.140625" customWidth="1"/>
    <col min="6" max="6" width="27.7109375" bestFit="1" customWidth="1"/>
    <col min="7" max="7" width="20" customWidth="1"/>
    <col min="8" max="8" width="21.28515625" bestFit="1" customWidth="1"/>
    <col min="9" max="9" width="36.140625" customWidth="1"/>
    <col min="10" max="10" width="21.42578125" bestFit="1" customWidth="1"/>
    <col min="11" max="11" width="20.42578125" bestFit="1" customWidth="1"/>
    <col min="12" max="12" width="20.85546875" bestFit="1" customWidth="1"/>
    <col min="13" max="13" width="31.5703125" bestFit="1" customWidth="1"/>
    <col min="14" max="14" width="28" customWidth="1"/>
    <col min="15" max="15" width="36.85546875" customWidth="1"/>
  </cols>
  <sheetData>
    <row r="1" spans="2:15" x14ac:dyDescent="0.25">
      <c r="B1" s="16" t="s">
        <v>1055</v>
      </c>
    </row>
    <row r="2" spans="2:15" ht="15.75" thickBot="1" x14ac:dyDescent="0.3"/>
    <row r="3" spans="2:15" ht="68.25" customHeight="1" thickBot="1" x14ac:dyDescent="0.3">
      <c r="C3" s="1365" t="s">
        <v>0</v>
      </c>
      <c r="D3" s="1367"/>
      <c r="E3" s="860" t="s">
        <v>1</v>
      </c>
      <c r="F3" s="65" t="s">
        <v>63</v>
      </c>
      <c r="G3" s="52" t="s">
        <v>666</v>
      </c>
      <c r="H3" s="52" t="s">
        <v>365</v>
      </c>
      <c r="I3" s="1365" t="s">
        <v>46</v>
      </c>
      <c r="J3" s="1366"/>
      <c r="K3" s="1367"/>
      <c r="L3" s="52" t="s">
        <v>61</v>
      </c>
      <c r="M3" s="863" t="s">
        <v>94</v>
      </c>
      <c r="N3" s="864" t="s">
        <v>96</v>
      </c>
      <c r="O3" s="865" t="s">
        <v>95</v>
      </c>
    </row>
    <row r="4" spans="2:15" ht="15" customHeight="1" thickBot="1" x14ac:dyDescent="0.3">
      <c r="B4" s="31" t="s">
        <v>59</v>
      </c>
      <c r="C4" s="859"/>
      <c r="D4" s="187" t="s">
        <v>49</v>
      </c>
      <c r="E4" s="188" t="s">
        <v>49</v>
      </c>
      <c r="F4" s="189" t="s">
        <v>49</v>
      </c>
      <c r="G4" s="190" t="s">
        <v>49</v>
      </c>
      <c r="H4" s="190" t="s">
        <v>49</v>
      </c>
      <c r="I4" s="191">
        <v>125</v>
      </c>
      <c r="J4" s="192">
        <v>25</v>
      </c>
      <c r="K4" s="193">
        <v>-40</v>
      </c>
      <c r="L4" s="186" t="s">
        <v>48</v>
      </c>
      <c r="M4" s="194" t="s">
        <v>49</v>
      </c>
      <c r="N4" s="195" t="s">
        <v>49</v>
      </c>
      <c r="O4" s="196" t="s">
        <v>49</v>
      </c>
    </row>
    <row r="5" spans="2:15" x14ac:dyDescent="0.25">
      <c r="B5" s="1374"/>
      <c r="C5" s="1395" t="s">
        <v>368</v>
      </c>
      <c r="D5" s="1396" t="s">
        <v>8</v>
      </c>
      <c r="E5" s="197" t="s">
        <v>355</v>
      </c>
      <c r="F5" s="198" t="s">
        <v>332</v>
      </c>
      <c r="G5" s="55" t="s">
        <v>71</v>
      </c>
      <c r="H5" s="894" t="s">
        <v>366</v>
      </c>
      <c r="I5" s="895">
        <v>1.4390000000000001</v>
      </c>
      <c r="J5" s="896">
        <v>1.4530000000000001</v>
      </c>
      <c r="K5" s="897">
        <v>1.452</v>
      </c>
      <c r="L5" s="88" t="s">
        <v>90</v>
      </c>
      <c r="M5" s="101" t="s">
        <v>105</v>
      </c>
      <c r="N5" s="20" t="s">
        <v>102</v>
      </c>
      <c r="O5" s="132" t="s">
        <v>106</v>
      </c>
    </row>
    <row r="6" spans="2:15" x14ac:dyDescent="0.25">
      <c r="B6" s="1375"/>
      <c r="C6" s="1317"/>
      <c r="D6" s="1397"/>
      <c r="E6" s="166" t="s">
        <v>11</v>
      </c>
      <c r="F6" s="219" t="s">
        <v>12</v>
      </c>
      <c r="G6" s="420" t="s">
        <v>71</v>
      </c>
      <c r="H6" s="955" t="s">
        <v>1889</v>
      </c>
      <c r="I6" s="855">
        <f>1.787/2</f>
        <v>0.89349999999999996</v>
      </c>
      <c r="J6" s="853">
        <f>1.805/2</f>
        <v>0.90249999999999997</v>
      </c>
      <c r="K6" s="854">
        <f>1.803/2</f>
        <v>0.90149999999999997</v>
      </c>
      <c r="L6" s="403" t="s">
        <v>90</v>
      </c>
      <c r="M6" s="39" t="s">
        <v>105</v>
      </c>
      <c r="N6" s="21" t="s">
        <v>103</v>
      </c>
      <c r="O6" s="79" t="s">
        <v>107</v>
      </c>
    </row>
    <row r="7" spans="2:15" ht="45" x14ac:dyDescent="0.25">
      <c r="B7" s="1375"/>
      <c r="C7" s="1317"/>
      <c r="D7" s="1397"/>
      <c r="E7" s="166" t="s">
        <v>16</v>
      </c>
      <c r="F7" s="219" t="s">
        <v>1348</v>
      </c>
      <c r="G7" s="585" t="s">
        <v>1113</v>
      </c>
      <c r="H7" s="898" t="s">
        <v>367</v>
      </c>
      <c r="I7" s="855">
        <f>0.9/0.6*0.596</f>
        <v>0.89399999999999991</v>
      </c>
      <c r="J7" s="853">
        <f>0.9/0.6*0.602</f>
        <v>0.90300000000000002</v>
      </c>
      <c r="K7" s="854">
        <f>0.9/0.6*0.6</f>
        <v>0.89999999999999991</v>
      </c>
      <c r="L7" s="403" t="s">
        <v>90</v>
      </c>
      <c r="M7" s="39" t="s">
        <v>105</v>
      </c>
      <c r="N7" s="21" t="s">
        <v>104</v>
      </c>
      <c r="O7" s="79" t="s">
        <v>108</v>
      </c>
    </row>
    <row r="8" spans="2:15" ht="45" x14ac:dyDescent="0.25">
      <c r="B8" s="1375"/>
      <c r="C8" s="1317"/>
      <c r="D8" s="858" t="s">
        <v>18</v>
      </c>
      <c r="E8" s="166" t="s">
        <v>19</v>
      </c>
      <c r="F8" s="219" t="s">
        <v>182</v>
      </c>
      <c r="G8" s="585" t="s">
        <v>1113</v>
      </c>
      <c r="H8" s="898" t="s">
        <v>367</v>
      </c>
      <c r="I8" s="855">
        <v>0.7</v>
      </c>
      <c r="J8" s="853">
        <v>0.7</v>
      </c>
      <c r="K8" s="854">
        <v>0.7</v>
      </c>
      <c r="L8" s="403" t="s">
        <v>90</v>
      </c>
      <c r="M8" s="39" t="s">
        <v>131</v>
      </c>
      <c r="N8" s="21" t="s">
        <v>99</v>
      </c>
      <c r="O8" s="79" t="s">
        <v>132</v>
      </c>
    </row>
    <row r="9" spans="2:15" ht="30" x14ac:dyDescent="0.25">
      <c r="B9" s="1375"/>
      <c r="C9" s="1317"/>
      <c r="D9" s="858" t="s">
        <v>69</v>
      </c>
      <c r="E9" s="166" t="s">
        <v>23</v>
      </c>
      <c r="F9" s="220" t="s">
        <v>243</v>
      </c>
      <c r="G9" s="420" t="s">
        <v>71</v>
      </c>
      <c r="H9" s="898" t="s">
        <v>563</v>
      </c>
      <c r="I9" s="855">
        <v>0.6</v>
      </c>
      <c r="J9" s="853">
        <v>0.6</v>
      </c>
      <c r="K9" s="854">
        <v>0.6</v>
      </c>
      <c r="L9" s="403" t="s">
        <v>90</v>
      </c>
      <c r="M9" s="39" t="s">
        <v>100</v>
      </c>
      <c r="N9" s="21" t="s">
        <v>99</v>
      </c>
      <c r="O9" s="79" t="s">
        <v>101</v>
      </c>
    </row>
    <row r="10" spans="2:15" s="949" customFormat="1" x14ac:dyDescent="0.25">
      <c r="B10" s="1375"/>
      <c r="C10" s="1317"/>
      <c r="D10" s="1404" t="s">
        <v>37</v>
      </c>
      <c r="E10" s="1406" t="s">
        <v>38</v>
      </c>
      <c r="F10" s="220" t="s">
        <v>2018</v>
      </c>
      <c r="G10" s="420" t="s">
        <v>65</v>
      </c>
      <c r="H10" s="900" t="s">
        <v>49</v>
      </c>
      <c r="I10" s="962" t="s">
        <v>1229</v>
      </c>
      <c r="J10" s="1053" t="str">
        <f>I10</f>
        <v>0x4</v>
      </c>
      <c r="K10" s="963" t="str">
        <f>I10</f>
        <v>0x4</v>
      </c>
      <c r="L10" s="73" t="s">
        <v>141</v>
      </c>
      <c r="M10" s="953" t="s">
        <v>133</v>
      </c>
      <c r="N10" s="951" t="s">
        <v>2019</v>
      </c>
      <c r="O10" s="956" t="s">
        <v>2020</v>
      </c>
    </row>
    <row r="11" spans="2:15" ht="45" x14ac:dyDescent="0.25">
      <c r="B11" s="1375"/>
      <c r="C11" s="1317"/>
      <c r="D11" s="1405"/>
      <c r="E11" s="1407"/>
      <c r="F11" s="584" t="s">
        <v>843</v>
      </c>
      <c r="G11" s="585" t="s">
        <v>1228</v>
      </c>
      <c r="H11" s="898" t="s">
        <v>2016</v>
      </c>
      <c r="I11" s="855">
        <v>0.9</v>
      </c>
      <c r="J11" s="853">
        <v>0.9</v>
      </c>
      <c r="K11" s="854">
        <v>0.9</v>
      </c>
      <c r="L11" s="73" t="s">
        <v>90</v>
      </c>
      <c r="M11" s="39" t="s">
        <v>133</v>
      </c>
      <c r="N11" s="21" t="s">
        <v>134</v>
      </c>
      <c r="O11" s="79" t="s">
        <v>136</v>
      </c>
    </row>
    <row r="12" spans="2:15" ht="45.75" thickBot="1" x14ac:dyDescent="0.3">
      <c r="B12" s="1375"/>
      <c r="C12" s="720"/>
      <c r="D12" s="867" t="s">
        <v>1282</v>
      </c>
      <c r="E12" s="166" t="s">
        <v>1305</v>
      </c>
      <c r="F12" s="721" t="s">
        <v>1279</v>
      </c>
      <c r="G12" s="723" t="s">
        <v>1113</v>
      </c>
      <c r="H12" s="898" t="s">
        <v>1625</v>
      </c>
      <c r="I12" s="856">
        <v>0.9</v>
      </c>
      <c r="J12" s="857">
        <v>0.9</v>
      </c>
      <c r="K12" s="408">
        <v>0.9</v>
      </c>
      <c r="L12" s="722" t="s">
        <v>90</v>
      </c>
      <c r="M12" s="102" t="s">
        <v>1303</v>
      </c>
      <c r="N12" s="23" t="s">
        <v>104</v>
      </c>
      <c r="O12" s="133" t="s">
        <v>1304</v>
      </c>
    </row>
    <row r="13" spans="2:15" ht="45" x14ac:dyDescent="0.25">
      <c r="B13" s="1375"/>
      <c r="C13" s="1398" t="s">
        <v>369</v>
      </c>
      <c r="D13" s="1401" t="s">
        <v>333</v>
      </c>
      <c r="E13" s="1402" t="s">
        <v>334</v>
      </c>
      <c r="F13" s="221" t="s">
        <v>407</v>
      </c>
      <c r="G13" s="861" t="s">
        <v>1228</v>
      </c>
      <c r="H13" s="899" t="s">
        <v>367</v>
      </c>
      <c r="I13" s="404">
        <v>0.8</v>
      </c>
      <c r="J13" s="405">
        <v>0.8</v>
      </c>
      <c r="K13" s="406">
        <v>0.8</v>
      </c>
      <c r="L13" s="72" t="s">
        <v>90</v>
      </c>
      <c r="M13" s="1412" t="s">
        <v>370</v>
      </c>
      <c r="N13" s="1413"/>
      <c r="O13" s="128" t="s">
        <v>883</v>
      </c>
    </row>
    <row r="14" spans="2:15" x14ac:dyDescent="0.25">
      <c r="B14" s="1375"/>
      <c r="C14" s="1399"/>
      <c r="D14" s="1390"/>
      <c r="E14" s="1403"/>
      <c r="F14" s="222" t="s">
        <v>408</v>
      </c>
      <c r="G14" s="420" t="s">
        <v>71</v>
      </c>
      <c r="H14" s="900" t="s">
        <v>49</v>
      </c>
      <c r="I14" s="226" t="s">
        <v>1229</v>
      </c>
      <c r="J14" s="853" t="str">
        <f>I14</f>
        <v>0x4</v>
      </c>
      <c r="K14" s="227" t="str">
        <f>I14</f>
        <v>0x4</v>
      </c>
      <c r="L14" s="73" t="s">
        <v>141</v>
      </c>
      <c r="M14" s="1412"/>
      <c r="N14" s="1413"/>
      <c r="O14" s="79" t="s">
        <v>884</v>
      </c>
    </row>
    <row r="15" spans="2:15" s="949" customFormat="1" x14ac:dyDescent="0.25">
      <c r="B15" s="1375"/>
      <c r="C15" s="1399"/>
      <c r="D15" s="1404" t="s">
        <v>341</v>
      </c>
      <c r="E15" s="1074" t="s">
        <v>2092</v>
      </c>
      <c r="F15" s="222" t="s">
        <v>2093</v>
      </c>
      <c r="G15" s="919" t="s">
        <v>71</v>
      </c>
      <c r="H15" s="900" t="s">
        <v>49</v>
      </c>
      <c r="I15" s="962" t="s">
        <v>1606</v>
      </c>
      <c r="J15" s="1072" t="s">
        <v>1606</v>
      </c>
      <c r="K15" s="963" t="s">
        <v>1606</v>
      </c>
      <c r="L15" s="73" t="s">
        <v>141</v>
      </c>
      <c r="M15" s="1412"/>
      <c r="N15" s="1413"/>
      <c r="O15" s="956" t="s">
        <v>72</v>
      </c>
    </row>
    <row r="16" spans="2:15" ht="45" x14ac:dyDescent="0.25">
      <c r="B16" s="1375"/>
      <c r="C16" s="1399"/>
      <c r="D16" s="1408"/>
      <c r="E16" s="1403" t="s">
        <v>342</v>
      </c>
      <c r="F16" s="222" t="s">
        <v>343</v>
      </c>
      <c r="G16" s="861" t="s">
        <v>1228</v>
      </c>
      <c r="H16" s="900" t="s">
        <v>371</v>
      </c>
      <c r="I16" s="855">
        <v>0.9</v>
      </c>
      <c r="J16" s="853">
        <v>0.9</v>
      </c>
      <c r="K16" s="854">
        <v>0.9</v>
      </c>
      <c r="L16" s="73" t="s">
        <v>90</v>
      </c>
      <c r="M16" s="1412"/>
      <c r="N16" s="1413"/>
      <c r="O16" s="79" t="s">
        <v>893</v>
      </c>
    </row>
    <row r="17" spans="2:15" x14ac:dyDescent="0.25">
      <c r="B17" s="1375"/>
      <c r="C17" s="1399"/>
      <c r="D17" s="1408"/>
      <c r="E17" s="1403"/>
      <c r="F17" s="222" t="s">
        <v>344</v>
      </c>
      <c r="G17" s="420" t="s">
        <v>71</v>
      </c>
      <c r="H17" s="900" t="s">
        <v>49</v>
      </c>
      <c r="I17" s="962" t="s">
        <v>1229</v>
      </c>
      <c r="J17" s="952" t="str">
        <f>I17</f>
        <v>0x4</v>
      </c>
      <c r="K17" s="963" t="str">
        <f>I17</f>
        <v>0x4</v>
      </c>
      <c r="L17" s="73" t="s">
        <v>141</v>
      </c>
      <c r="M17" s="1412"/>
      <c r="N17" s="1413"/>
      <c r="O17" s="79" t="s">
        <v>894</v>
      </c>
    </row>
    <row r="18" spans="2:15" ht="45" x14ac:dyDescent="0.25">
      <c r="B18" s="1375"/>
      <c r="C18" s="1399"/>
      <c r="D18" s="1408"/>
      <c r="E18" s="1403" t="s">
        <v>16</v>
      </c>
      <c r="F18" s="222" t="s">
        <v>1349</v>
      </c>
      <c r="G18" s="585" t="s">
        <v>1113</v>
      </c>
      <c r="H18" s="900" t="s">
        <v>367</v>
      </c>
      <c r="I18" s="855">
        <f>0.9/0.6*0.596</f>
        <v>0.89399999999999991</v>
      </c>
      <c r="J18" s="1054">
        <f>0.9/0.6*0.602</f>
        <v>0.90300000000000002</v>
      </c>
      <c r="K18" s="854">
        <f>0.9/0.6*0.6</f>
        <v>0.89999999999999991</v>
      </c>
      <c r="L18" s="73" t="s">
        <v>90</v>
      </c>
      <c r="M18" s="1412"/>
      <c r="N18" s="1413"/>
      <c r="O18" s="79" t="s">
        <v>891</v>
      </c>
    </row>
    <row r="19" spans="2:15" ht="15.75" thickBot="1" x14ac:dyDescent="0.3">
      <c r="B19" s="1376"/>
      <c r="C19" s="1400"/>
      <c r="D19" s="1409"/>
      <c r="E19" s="1416"/>
      <c r="F19" s="223" t="s">
        <v>1350</v>
      </c>
      <c r="G19" s="56" t="s">
        <v>71</v>
      </c>
      <c r="H19" s="901" t="s">
        <v>49</v>
      </c>
      <c r="I19" s="962" t="s">
        <v>1229</v>
      </c>
      <c r="J19" s="952" t="str">
        <f>I19</f>
        <v>0x4</v>
      </c>
      <c r="K19" s="963" t="str">
        <f>I19</f>
        <v>0x4</v>
      </c>
      <c r="L19" s="228" t="s">
        <v>141</v>
      </c>
      <c r="M19" s="1414"/>
      <c r="N19" s="1415"/>
      <c r="O19" s="133" t="s">
        <v>892</v>
      </c>
    </row>
    <row r="20" spans="2:15" ht="15.75" thickBot="1" x14ac:dyDescent="0.3">
      <c r="B20" s="32" t="s">
        <v>60</v>
      </c>
      <c r="C20" s="394"/>
      <c r="D20" s="176" t="s">
        <v>49</v>
      </c>
      <c r="E20" s="177" t="s">
        <v>49</v>
      </c>
      <c r="F20" s="178" t="s">
        <v>49</v>
      </c>
      <c r="G20" s="179" t="s">
        <v>49</v>
      </c>
      <c r="H20" s="179" t="s">
        <v>49</v>
      </c>
      <c r="I20" s="224" t="s">
        <v>372</v>
      </c>
      <c r="J20" s="225"/>
      <c r="K20" s="180"/>
      <c r="L20" s="181" t="s">
        <v>49</v>
      </c>
      <c r="M20" s="182" t="s">
        <v>49</v>
      </c>
      <c r="N20" s="183" t="s">
        <v>49</v>
      </c>
      <c r="O20" s="184" t="s">
        <v>49</v>
      </c>
    </row>
    <row r="21" spans="2:15" x14ac:dyDescent="0.25">
      <c r="B21" t="s">
        <v>58</v>
      </c>
    </row>
    <row r="22" spans="2:15" x14ac:dyDescent="0.25">
      <c r="B22" t="s">
        <v>50</v>
      </c>
    </row>
    <row r="24" spans="2:15" x14ac:dyDescent="0.25">
      <c r="B24" s="17" t="s">
        <v>822</v>
      </c>
      <c r="C24" t="s">
        <v>2119</v>
      </c>
      <c r="M24" t="s">
        <v>634</v>
      </c>
    </row>
    <row r="25" spans="2:15" x14ac:dyDescent="0.25">
      <c r="B25" s="17"/>
      <c r="C25" t="s">
        <v>564</v>
      </c>
    </row>
    <row r="26" spans="2:15" x14ac:dyDescent="0.25">
      <c r="B26" s="17"/>
      <c r="C26" t="s">
        <v>845</v>
      </c>
    </row>
    <row r="27" spans="2:15" x14ac:dyDescent="0.25">
      <c r="B27" s="17"/>
      <c r="C27" t="s">
        <v>871</v>
      </c>
    </row>
    <row r="28" spans="2:15" x14ac:dyDescent="0.25">
      <c r="C28" t="s">
        <v>1475</v>
      </c>
      <c r="G28" s="949"/>
    </row>
    <row r="29" spans="2:15" x14ac:dyDescent="0.25">
      <c r="C29" t="s">
        <v>2118</v>
      </c>
    </row>
    <row r="31" spans="2:15" x14ac:dyDescent="0.25">
      <c r="B31" s="17" t="s">
        <v>51</v>
      </c>
    </row>
    <row r="32" spans="2:15" x14ac:dyDescent="0.25">
      <c r="C32" s="1" t="s">
        <v>266</v>
      </c>
      <c r="D32" s="18"/>
    </row>
    <row r="33" spans="2:13" x14ac:dyDescent="0.25">
      <c r="C33" s="1"/>
      <c r="D33" s="18"/>
    </row>
    <row r="34" spans="2:13" x14ac:dyDescent="0.25">
      <c r="B34" s="17" t="s">
        <v>633</v>
      </c>
    </row>
    <row r="35" spans="2:13" x14ac:dyDescent="0.25">
      <c r="B35" s="17"/>
      <c r="C35" t="s">
        <v>1111</v>
      </c>
    </row>
    <row r="36" spans="2:13" x14ac:dyDescent="0.25">
      <c r="B36" s="17"/>
      <c r="C36" t="s">
        <v>1112</v>
      </c>
    </row>
    <row r="37" spans="2:13" x14ac:dyDescent="0.25">
      <c r="B37" s="17"/>
    </row>
    <row r="38" spans="2:13" x14ac:dyDescent="0.25">
      <c r="B38" s="17" t="s">
        <v>53</v>
      </c>
      <c r="M38" t="s">
        <v>889</v>
      </c>
    </row>
    <row r="39" spans="2:13" x14ac:dyDescent="0.25">
      <c r="C39" s="1" t="s">
        <v>271</v>
      </c>
      <c r="D39" s="18"/>
    </row>
    <row r="41" spans="2:13" x14ac:dyDescent="0.25">
      <c r="B41" s="17" t="s">
        <v>55</v>
      </c>
      <c r="J41" s="332" t="s">
        <v>267</v>
      </c>
    </row>
    <row r="42" spans="2:13" x14ac:dyDescent="0.25">
      <c r="B42" s="17"/>
      <c r="C42" s="902" t="s">
        <v>2012</v>
      </c>
      <c r="J42" s="332"/>
    </row>
    <row r="43" spans="2:13" x14ac:dyDescent="0.25">
      <c r="B43" s="17"/>
      <c r="C43" s="902" t="s">
        <v>406</v>
      </c>
      <c r="J43" s="332"/>
    </row>
    <row r="44" spans="2:13" x14ac:dyDescent="0.25">
      <c r="B44" s="17"/>
      <c r="C44" t="s">
        <v>1084</v>
      </c>
      <c r="J44" s="332"/>
    </row>
    <row r="45" spans="2:13" x14ac:dyDescent="0.25">
      <c r="B45" s="17"/>
      <c r="J45" s="332"/>
    </row>
    <row r="46" spans="2:13" x14ac:dyDescent="0.25">
      <c r="B46" s="17"/>
      <c r="C46" s="136" t="s">
        <v>888</v>
      </c>
      <c r="J46" s="67"/>
    </row>
    <row r="47" spans="2:13" x14ac:dyDescent="0.25">
      <c r="B47" s="17"/>
      <c r="C47" s="903" t="s">
        <v>269</v>
      </c>
      <c r="J47" s="333" t="s">
        <v>268</v>
      </c>
    </row>
    <row r="48" spans="2:13" x14ac:dyDescent="0.25">
      <c r="B48" s="17"/>
      <c r="C48" s="903"/>
      <c r="D48" t="s">
        <v>667</v>
      </c>
      <c r="J48" s="333"/>
    </row>
    <row r="49" spans="2:13" x14ac:dyDescent="0.25">
      <c r="B49" s="17"/>
      <c r="C49" s="903" t="s">
        <v>1014</v>
      </c>
      <c r="J49" s="67" t="s">
        <v>584</v>
      </c>
    </row>
    <row r="50" spans="2:13" x14ac:dyDescent="0.25">
      <c r="B50" s="17"/>
      <c r="C50" s="904" t="s">
        <v>1379</v>
      </c>
      <c r="J50" s="67"/>
    </row>
    <row r="51" spans="2:13" x14ac:dyDescent="0.25">
      <c r="B51" s="17"/>
      <c r="C51" s="583" t="s">
        <v>1012</v>
      </c>
      <c r="J51" s="67"/>
    </row>
    <row r="52" spans="2:13" x14ac:dyDescent="0.25">
      <c r="B52" s="17"/>
      <c r="C52" s="583" t="s">
        <v>1013</v>
      </c>
      <c r="J52" s="67"/>
    </row>
    <row r="53" spans="2:13" x14ac:dyDescent="0.25">
      <c r="B53" s="17"/>
      <c r="C53" s="903" t="s">
        <v>270</v>
      </c>
      <c r="J53" s="67" t="s">
        <v>585</v>
      </c>
      <c r="M53" t="s">
        <v>403</v>
      </c>
    </row>
    <row r="54" spans="2:13" x14ac:dyDescent="0.25">
      <c r="B54" s="17"/>
      <c r="C54" s="903" t="s">
        <v>673</v>
      </c>
      <c r="J54" s="67" t="s">
        <v>586</v>
      </c>
    </row>
    <row r="55" spans="2:13" x14ac:dyDescent="0.25">
      <c r="B55" s="17"/>
      <c r="C55" s="903"/>
      <c r="J55" s="67"/>
    </row>
    <row r="56" spans="2:13" x14ac:dyDescent="0.25">
      <c r="B56" s="17"/>
      <c r="C56" s="136" t="s">
        <v>1890</v>
      </c>
      <c r="J56" s="67"/>
    </row>
    <row r="57" spans="2:13" ht="29.25" customHeight="1" x14ac:dyDescent="0.25">
      <c r="B57" s="17"/>
      <c r="C57" s="1417" t="s">
        <v>681</v>
      </c>
      <c r="D57" s="1417"/>
      <c r="E57" s="1417"/>
      <c r="F57" s="1417"/>
      <c r="G57" s="1417"/>
      <c r="H57" s="1417"/>
      <c r="I57" s="1417"/>
      <c r="J57" s="67"/>
    </row>
    <row r="58" spans="2:13" x14ac:dyDescent="0.25">
      <c r="B58" s="17"/>
      <c r="C58" s="904" t="s">
        <v>1379</v>
      </c>
      <c r="J58" s="67"/>
    </row>
    <row r="59" spans="2:13" s="949" customFormat="1" x14ac:dyDescent="0.25">
      <c r="B59" s="17"/>
      <c r="C59" s="904" t="s">
        <v>2014</v>
      </c>
      <c r="J59" s="67"/>
    </row>
    <row r="60" spans="2:13" x14ac:dyDescent="0.25">
      <c r="B60" s="17"/>
      <c r="C60" s="905" t="s">
        <v>1340</v>
      </c>
      <c r="D60" s="866"/>
      <c r="E60" s="866"/>
      <c r="F60" s="866"/>
      <c r="G60" s="866"/>
      <c r="H60" s="866"/>
      <c r="I60" s="866"/>
      <c r="J60" s="67"/>
    </row>
    <row r="61" spans="2:13" x14ac:dyDescent="0.25">
      <c r="B61" s="17"/>
      <c r="C61" s="906" t="s">
        <v>1339</v>
      </c>
      <c r="D61" s="866"/>
      <c r="E61" s="866"/>
      <c r="F61" s="866"/>
      <c r="G61" s="866"/>
      <c r="H61" s="866"/>
      <c r="I61" s="866"/>
      <c r="J61" s="67"/>
    </row>
    <row r="62" spans="2:13" x14ac:dyDescent="0.25">
      <c r="C62" s="903" t="s">
        <v>673</v>
      </c>
      <c r="J62" s="67"/>
    </row>
    <row r="63" spans="2:13" s="949" customFormat="1" x14ac:dyDescent="0.25">
      <c r="C63" s="1098" t="s">
        <v>2094</v>
      </c>
      <c r="J63" s="67"/>
    </row>
    <row r="64" spans="2:13" x14ac:dyDescent="0.25">
      <c r="J64" s="67"/>
    </row>
    <row r="65" spans="2:13" s="949" customFormat="1" x14ac:dyDescent="0.25">
      <c r="C65" s="136" t="s">
        <v>1892</v>
      </c>
      <c r="J65" s="67"/>
    </row>
    <row r="66" spans="2:13" s="949" customFormat="1" x14ac:dyDescent="0.25">
      <c r="C66" s="1417" t="s">
        <v>1891</v>
      </c>
      <c r="D66" s="1417"/>
      <c r="E66" s="1417"/>
      <c r="F66" s="1417"/>
      <c r="G66" s="1417"/>
      <c r="H66" s="1417"/>
      <c r="I66" s="1417"/>
      <c r="J66" s="67"/>
    </row>
    <row r="67" spans="2:13" s="949" customFormat="1" x14ac:dyDescent="0.25">
      <c r="C67" s="904" t="s">
        <v>1379</v>
      </c>
      <c r="J67" s="67"/>
    </row>
    <row r="68" spans="2:13" s="949" customFormat="1" x14ac:dyDescent="0.25">
      <c r="C68" s="904" t="s">
        <v>2013</v>
      </c>
      <c r="J68" s="67"/>
    </row>
    <row r="69" spans="2:13" s="949" customFormat="1" x14ac:dyDescent="0.25">
      <c r="C69" s="906" t="s">
        <v>1339</v>
      </c>
      <c r="D69" s="985"/>
      <c r="E69" s="985"/>
      <c r="F69" s="985"/>
      <c r="G69" s="985"/>
      <c r="H69" s="985"/>
      <c r="I69" s="985"/>
      <c r="J69" s="67"/>
    </row>
    <row r="70" spans="2:13" s="949" customFormat="1" x14ac:dyDescent="0.25">
      <c r="C70" s="903" t="s">
        <v>673</v>
      </c>
      <c r="J70" s="67"/>
    </row>
    <row r="71" spans="2:13" s="949" customFormat="1" x14ac:dyDescent="0.25">
      <c r="J71" s="67"/>
    </row>
    <row r="72" spans="2:13" x14ac:dyDescent="0.25">
      <c r="C72" s="136" t="s">
        <v>1999</v>
      </c>
      <c r="J72" s="67"/>
    </row>
    <row r="73" spans="2:13" ht="44.25" customHeight="1" x14ac:dyDescent="0.25">
      <c r="C73" s="1411" t="s">
        <v>846</v>
      </c>
      <c r="D73" s="1411"/>
      <c r="E73" s="1411"/>
      <c r="F73" s="1411"/>
      <c r="G73" s="1411"/>
      <c r="H73" s="1411"/>
      <c r="I73" s="1411"/>
      <c r="J73" s="67"/>
    </row>
    <row r="74" spans="2:13" x14ac:dyDescent="0.25">
      <c r="C74" s="125" t="s">
        <v>657</v>
      </c>
      <c r="J74" s="333" t="s">
        <v>1168</v>
      </c>
    </row>
    <row r="75" spans="2:13" x14ac:dyDescent="0.25">
      <c r="C75" s="903" t="s">
        <v>649</v>
      </c>
      <c r="J75" s="67" t="s">
        <v>645</v>
      </c>
    </row>
    <row r="76" spans="2:13" x14ac:dyDescent="0.25">
      <c r="B76" s="17"/>
      <c r="C76" s="904" t="s">
        <v>1379</v>
      </c>
      <c r="J76" s="67"/>
    </row>
    <row r="77" spans="2:13" ht="27.75" customHeight="1" x14ac:dyDescent="0.25">
      <c r="C77" s="1410" t="s">
        <v>644</v>
      </c>
      <c r="D77" s="1410"/>
      <c r="E77" s="1410"/>
      <c r="F77" s="1410"/>
      <c r="G77" s="1410"/>
      <c r="H77" s="1410"/>
      <c r="I77" s="1410"/>
      <c r="J77" s="67" t="s">
        <v>646</v>
      </c>
      <c r="M77" t="s">
        <v>643</v>
      </c>
    </row>
    <row r="78" spans="2:13" x14ac:dyDescent="0.25">
      <c r="C78" s="903" t="s">
        <v>673</v>
      </c>
      <c r="J78" s="67" t="s">
        <v>647</v>
      </c>
    </row>
    <row r="79" spans="2:13" x14ac:dyDescent="0.25">
      <c r="J79" s="67"/>
    </row>
    <row r="80" spans="2:13" x14ac:dyDescent="0.25">
      <c r="C80" s="907" t="s">
        <v>885</v>
      </c>
      <c r="J80" s="67"/>
    </row>
    <row r="81" spans="2:13" ht="16.5" x14ac:dyDescent="0.25">
      <c r="C81" s="908" t="s">
        <v>887</v>
      </c>
      <c r="J81" s="67"/>
    </row>
    <row r="82" spans="2:13" x14ac:dyDescent="0.25">
      <c r="C82" s="903" t="s">
        <v>886</v>
      </c>
      <c r="J82" s="67"/>
    </row>
    <row r="83" spans="2:13" x14ac:dyDescent="0.25">
      <c r="C83" s="903" t="s">
        <v>673</v>
      </c>
      <c r="J83" s="67"/>
    </row>
    <row r="84" spans="2:13" x14ac:dyDescent="0.25">
      <c r="J84" s="67"/>
    </row>
    <row r="85" spans="2:13" x14ac:dyDescent="0.25">
      <c r="B85" s="17"/>
      <c r="C85" s="136" t="s">
        <v>1038</v>
      </c>
      <c r="J85" s="67"/>
    </row>
    <row r="86" spans="2:13" x14ac:dyDescent="0.25">
      <c r="B86" s="17"/>
      <c r="C86" s="903" t="s">
        <v>1039</v>
      </c>
      <c r="J86" s="67"/>
    </row>
    <row r="87" spans="2:13" x14ac:dyDescent="0.25">
      <c r="B87" s="17"/>
      <c r="C87" s="904" t="s">
        <v>1379</v>
      </c>
      <c r="J87" s="67"/>
    </row>
    <row r="88" spans="2:13" x14ac:dyDescent="0.25">
      <c r="B88" s="17"/>
      <c r="C88" s="903"/>
      <c r="D88" t="s">
        <v>277</v>
      </c>
      <c r="J88" s="67"/>
    </row>
    <row r="89" spans="2:13" x14ac:dyDescent="0.25">
      <c r="B89" s="17"/>
      <c r="C89" s="903"/>
      <c r="D89" t="s">
        <v>1040</v>
      </c>
      <c r="J89" s="67"/>
    </row>
    <row r="90" spans="2:13" x14ac:dyDescent="0.25">
      <c r="B90" s="17"/>
      <c r="C90" s="903" t="s">
        <v>673</v>
      </c>
      <c r="J90" s="67"/>
    </row>
    <row r="91" spans="2:13" x14ac:dyDescent="0.25">
      <c r="B91" s="17"/>
      <c r="C91" s="903"/>
      <c r="J91" s="67"/>
    </row>
    <row r="92" spans="2:13" x14ac:dyDescent="0.25">
      <c r="B92" s="17"/>
      <c r="C92" s="136" t="s">
        <v>1309</v>
      </c>
      <c r="J92" s="67"/>
    </row>
    <row r="93" spans="2:13" x14ac:dyDescent="0.25">
      <c r="B93" s="17"/>
      <c r="C93" s="903" t="s">
        <v>1626</v>
      </c>
      <c r="J93" s="67"/>
    </row>
    <row r="94" spans="2:13" x14ac:dyDescent="0.25">
      <c r="B94" s="17"/>
      <c r="C94" s="904" t="s">
        <v>1379</v>
      </c>
      <c r="J94" s="67"/>
    </row>
    <row r="95" spans="2:13" x14ac:dyDescent="0.25">
      <c r="B95" s="17"/>
      <c r="C95" s="905" t="s">
        <v>1627</v>
      </c>
      <c r="J95" s="67"/>
      <c r="M95" t="s">
        <v>648</v>
      </c>
    </row>
    <row r="96" spans="2:13" x14ac:dyDescent="0.25">
      <c r="B96" s="17"/>
      <c r="C96" s="906" t="s">
        <v>1628</v>
      </c>
      <c r="J96" s="67"/>
    </row>
    <row r="97" spans="2:10" x14ac:dyDescent="0.25">
      <c r="B97" s="17"/>
      <c r="C97" s="903" t="s">
        <v>673</v>
      </c>
      <c r="J97" s="67"/>
    </row>
    <row r="98" spans="2:10" x14ac:dyDescent="0.25">
      <c r="B98" s="17"/>
      <c r="C98" s="903"/>
      <c r="J98" s="67"/>
    </row>
    <row r="99" spans="2:10" ht="16.5" x14ac:dyDescent="0.25">
      <c r="C99" s="907" t="s">
        <v>1337</v>
      </c>
      <c r="D99" s="425"/>
      <c r="J99" s="67"/>
    </row>
    <row r="100" spans="2:10" ht="16.5" x14ac:dyDescent="0.25">
      <c r="C100" s="903" t="s">
        <v>2017</v>
      </c>
      <c r="D100" s="425"/>
      <c r="J100" s="67"/>
    </row>
    <row r="101" spans="2:10" x14ac:dyDescent="0.25">
      <c r="B101" s="17"/>
      <c r="C101" s="904" t="s">
        <v>1379</v>
      </c>
      <c r="J101" s="67"/>
    </row>
    <row r="102" spans="2:10" s="949" customFormat="1" x14ac:dyDescent="0.25">
      <c r="B102" s="17"/>
      <c r="C102" s="904" t="s">
        <v>2013</v>
      </c>
      <c r="J102" s="67"/>
    </row>
    <row r="103" spans="2:10" ht="16.5" x14ac:dyDescent="0.25">
      <c r="C103" s="1055" t="s">
        <v>1339</v>
      </c>
      <c r="D103" s="425"/>
      <c r="J103" s="67"/>
    </row>
    <row r="104" spans="2:10" ht="16.5" x14ac:dyDescent="0.25">
      <c r="C104" s="903" t="s">
        <v>673</v>
      </c>
      <c r="D104" s="425"/>
      <c r="J104" s="67"/>
    </row>
    <row r="105" spans="2:10" ht="16.5" x14ac:dyDescent="0.25">
      <c r="C105" s="903"/>
      <c r="D105" s="425"/>
      <c r="J105" s="67"/>
    </row>
    <row r="106" spans="2:10" x14ac:dyDescent="0.25">
      <c r="B106" s="17" t="s">
        <v>1174</v>
      </c>
    </row>
    <row r="107" spans="2:10" x14ac:dyDescent="0.25">
      <c r="B107" s="17"/>
      <c r="C107" t="s">
        <v>640</v>
      </c>
    </row>
    <row r="108" spans="2:10" x14ac:dyDescent="0.25">
      <c r="B108" s="17"/>
      <c r="C108" t="s">
        <v>641</v>
      </c>
    </row>
    <row r="109" spans="2:10" x14ac:dyDescent="0.25">
      <c r="C109" t="s">
        <v>642</v>
      </c>
    </row>
    <row r="110" spans="2:10" x14ac:dyDescent="0.25">
      <c r="C110" t="s">
        <v>671</v>
      </c>
    </row>
    <row r="112" spans="2:10" x14ac:dyDescent="0.25">
      <c r="B112" s="17" t="s">
        <v>56</v>
      </c>
    </row>
    <row r="113" spans="3:13" ht="49.5" customHeight="1" x14ac:dyDescent="0.25">
      <c r="C113" s="1411" t="s">
        <v>588</v>
      </c>
      <c r="D113" s="1411"/>
      <c r="E113" s="1411"/>
      <c r="F113" s="1411"/>
      <c r="G113" s="1411"/>
      <c r="H113" s="1411"/>
      <c r="M113" t="s">
        <v>1310</v>
      </c>
    </row>
    <row r="114" spans="3:13" ht="32.25" customHeight="1" x14ac:dyDescent="0.25">
      <c r="C114" s="1371" t="s">
        <v>1041</v>
      </c>
      <c r="D114" s="1371"/>
      <c r="E114" s="1371"/>
      <c r="F114" s="1371"/>
      <c r="G114" s="1371"/>
      <c r="H114" s="1371"/>
    </row>
    <row r="115" spans="3:13" x14ac:dyDescent="0.25">
      <c r="C115" t="s">
        <v>587</v>
      </c>
    </row>
    <row r="128" spans="3:13" x14ac:dyDescent="0.25">
      <c r="M128" t="s">
        <v>1338</v>
      </c>
    </row>
  </sheetData>
  <mergeCells count="20">
    <mergeCell ref="C77:I77"/>
    <mergeCell ref="C113:H113"/>
    <mergeCell ref="C114:H114"/>
    <mergeCell ref="M13:N19"/>
    <mergeCell ref="E16:E17"/>
    <mergeCell ref="E18:E19"/>
    <mergeCell ref="C57:I57"/>
    <mergeCell ref="C73:I73"/>
    <mergeCell ref="C66:I66"/>
    <mergeCell ref="C3:D3"/>
    <mergeCell ref="I3:K3"/>
    <mergeCell ref="B5:B19"/>
    <mergeCell ref="C5:C11"/>
    <mergeCell ref="D5:D7"/>
    <mergeCell ref="C13:C19"/>
    <mergeCell ref="D13:D14"/>
    <mergeCell ref="E13:E14"/>
    <mergeCell ref="D10:D11"/>
    <mergeCell ref="E10:E11"/>
    <mergeCell ref="D15:D19"/>
  </mergeCells>
  <hyperlinks>
    <hyperlink ref="B1" location="'RFE SOC FuseMap'!A1" display="RFE/SOC FuseMap" xr:uid="{22125AB1-3F6B-4F65-8DCD-722A3CD967D3}"/>
  </hyperlink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E38B5-6173-4E71-B2B1-5AF8A5FD7373}">
  <dimension ref="B1:R139"/>
  <sheetViews>
    <sheetView zoomScale="85" zoomScaleNormal="85" workbookViewId="0">
      <selection activeCell="A2" sqref="A2:XFD4"/>
    </sheetView>
  </sheetViews>
  <sheetFormatPr defaultRowHeight="15" x14ac:dyDescent="0.25"/>
  <cols>
    <col min="2" max="2" width="16.28515625" customWidth="1"/>
    <col min="3" max="3" width="7.28515625" customWidth="1"/>
    <col min="4" max="4" width="24" customWidth="1"/>
    <col min="5" max="5" width="20.5703125" customWidth="1"/>
    <col min="6" max="6" width="22.140625" customWidth="1"/>
    <col min="7" max="7" width="16.5703125" customWidth="1"/>
    <col min="8" max="8" width="13.140625" customWidth="1"/>
    <col min="9" max="9" width="20.85546875" bestFit="1" customWidth="1"/>
    <col min="10" max="10" width="17.85546875" bestFit="1" customWidth="1"/>
    <col min="11" max="11" width="29.85546875" bestFit="1" customWidth="1"/>
    <col min="12" max="12" width="31.5703125" bestFit="1" customWidth="1"/>
    <col min="13" max="14" width="29.85546875" bestFit="1" customWidth="1"/>
    <col min="15" max="15" width="7.7109375" customWidth="1"/>
  </cols>
  <sheetData>
    <row r="1" spans="2:14" x14ac:dyDescent="0.25">
      <c r="B1" s="16" t="s">
        <v>1055</v>
      </c>
    </row>
    <row r="2" spans="2:14" ht="15.75" thickBot="1" x14ac:dyDescent="0.3"/>
    <row r="3" spans="2:14" ht="60.75" thickBot="1" x14ac:dyDescent="0.3">
      <c r="C3" s="1365" t="s">
        <v>0</v>
      </c>
      <c r="D3" s="1367"/>
      <c r="E3" s="59" t="s">
        <v>1</v>
      </c>
      <c r="F3" s="121" t="s">
        <v>63</v>
      </c>
      <c r="G3" s="100" t="s">
        <v>666</v>
      </c>
      <c r="H3" s="1392" t="s">
        <v>46</v>
      </c>
      <c r="I3" s="1394"/>
      <c r="J3" s="1393"/>
      <c r="K3" s="52" t="s">
        <v>61</v>
      </c>
      <c r="L3" s="77" t="s">
        <v>94</v>
      </c>
      <c r="M3" s="78" t="s">
        <v>96</v>
      </c>
      <c r="N3" s="59" t="s">
        <v>95</v>
      </c>
    </row>
    <row r="4" spans="2:14" x14ac:dyDescent="0.25">
      <c r="B4" s="99" t="s">
        <v>59</v>
      </c>
      <c r="C4" s="393"/>
      <c r="D4" s="441" t="s">
        <v>49</v>
      </c>
      <c r="E4" s="442" t="s">
        <v>49</v>
      </c>
      <c r="F4" s="55" t="s">
        <v>49</v>
      </c>
      <c r="G4" s="45" t="s">
        <v>49</v>
      </c>
      <c r="H4" s="48">
        <v>125</v>
      </c>
      <c r="I4" s="27">
        <v>25</v>
      </c>
      <c r="J4" s="37">
        <v>-40</v>
      </c>
      <c r="K4" s="33" t="s">
        <v>48</v>
      </c>
      <c r="L4" s="36" t="s">
        <v>49</v>
      </c>
      <c r="M4" s="82" t="s">
        <v>49</v>
      </c>
      <c r="N4" s="83" t="s">
        <v>49</v>
      </c>
    </row>
    <row r="5" spans="2:14" ht="45" customHeight="1" x14ac:dyDescent="0.25">
      <c r="B5" s="1437"/>
      <c r="C5" s="1440" t="s">
        <v>368</v>
      </c>
      <c r="D5" s="1439" t="s">
        <v>8</v>
      </c>
      <c r="E5" s="1430" t="s">
        <v>404</v>
      </c>
      <c r="F5" s="122" t="s">
        <v>356</v>
      </c>
      <c r="G5" s="456" t="s">
        <v>630</v>
      </c>
      <c r="H5" s="461">
        <v>4.3333333333333179</v>
      </c>
      <c r="I5" s="462">
        <v>5.333333333333341</v>
      </c>
      <c r="J5" s="463">
        <v>4.9999999999999893</v>
      </c>
      <c r="K5" s="34" t="s">
        <v>66</v>
      </c>
      <c r="L5" s="39" t="s">
        <v>116</v>
      </c>
      <c r="M5" s="21" t="s">
        <v>114</v>
      </c>
      <c r="N5" s="79" t="s">
        <v>109</v>
      </c>
    </row>
    <row r="6" spans="2:14" ht="45" x14ac:dyDescent="0.25">
      <c r="B6" s="1438"/>
      <c r="C6" s="1441"/>
      <c r="D6" s="1439"/>
      <c r="E6" s="1430"/>
      <c r="F6" s="122" t="s">
        <v>357</v>
      </c>
      <c r="G6" s="456" t="s">
        <v>2038</v>
      </c>
      <c r="H6" s="461">
        <v>-5.6666666666666821</v>
      </c>
      <c r="I6" s="462">
        <v>-4.666666666666659</v>
      </c>
      <c r="J6" s="463">
        <v>-5.0000000000000107</v>
      </c>
      <c r="K6" s="34" t="s">
        <v>66</v>
      </c>
      <c r="L6" s="39" t="s">
        <v>116</v>
      </c>
      <c r="M6" s="21" t="s">
        <v>115</v>
      </c>
      <c r="N6" s="79" t="s">
        <v>110</v>
      </c>
    </row>
    <row r="7" spans="2:14" ht="45" x14ac:dyDescent="0.25">
      <c r="B7" s="1438"/>
      <c r="C7" s="1441"/>
      <c r="D7" s="1439"/>
      <c r="E7" s="693" t="s">
        <v>405</v>
      </c>
      <c r="F7" s="729" t="s">
        <v>1329</v>
      </c>
      <c r="G7" s="456" t="s">
        <v>630</v>
      </c>
      <c r="H7" s="461">
        <v>5</v>
      </c>
      <c r="I7" s="462">
        <v>5</v>
      </c>
      <c r="J7" s="463">
        <v>5</v>
      </c>
      <c r="K7" s="34" t="s">
        <v>66</v>
      </c>
      <c r="L7" s="39" t="s">
        <v>118</v>
      </c>
      <c r="M7" s="21" t="s">
        <v>117</v>
      </c>
      <c r="N7" s="79" t="s">
        <v>111</v>
      </c>
    </row>
    <row r="8" spans="2:14" ht="45" x14ac:dyDescent="0.25">
      <c r="B8" s="1438"/>
      <c r="C8" s="694"/>
      <c r="D8" s="1419" t="s">
        <v>1282</v>
      </c>
      <c r="E8" s="1430" t="s">
        <v>1283</v>
      </c>
      <c r="F8" s="122" t="s">
        <v>1280</v>
      </c>
      <c r="G8" s="456" t="s">
        <v>630</v>
      </c>
      <c r="H8" s="461">
        <v>4.3333333333333179</v>
      </c>
      <c r="I8" s="462">
        <v>5.333333333333341</v>
      </c>
      <c r="J8" s="463">
        <v>4.9999999999999893</v>
      </c>
      <c r="K8" s="34" t="s">
        <v>66</v>
      </c>
      <c r="L8" s="39" t="s">
        <v>1286</v>
      </c>
      <c r="M8" s="21" t="s">
        <v>1284</v>
      </c>
      <c r="N8" s="79" t="s">
        <v>1287</v>
      </c>
    </row>
    <row r="9" spans="2:14" ht="45" x14ac:dyDescent="0.25">
      <c r="B9" s="1438"/>
      <c r="C9" s="694"/>
      <c r="D9" s="1421"/>
      <c r="E9" s="1430"/>
      <c r="F9" s="122" t="s">
        <v>1281</v>
      </c>
      <c r="G9" s="456" t="s">
        <v>2038</v>
      </c>
      <c r="H9" s="461">
        <v>-5.6666666666666821</v>
      </c>
      <c r="I9" s="462">
        <v>-4.666666666666659</v>
      </c>
      <c r="J9" s="463">
        <v>-5.0000000000000107</v>
      </c>
      <c r="K9" s="34" t="s">
        <v>66</v>
      </c>
      <c r="L9" s="39" t="s">
        <v>1286</v>
      </c>
      <c r="M9" s="21" t="s">
        <v>1285</v>
      </c>
      <c r="N9" s="79" t="s">
        <v>1288</v>
      </c>
    </row>
    <row r="10" spans="2:14" ht="45" x14ac:dyDescent="0.25">
      <c r="B10" s="1438"/>
      <c r="C10" s="1158" t="s">
        <v>369</v>
      </c>
      <c r="D10" s="1419" t="s">
        <v>341</v>
      </c>
      <c r="E10" s="1418" t="s">
        <v>348</v>
      </c>
      <c r="F10" s="122" t="s">
        <v>349</v>
      </c>
      <c r="G10" s="456" t="s">
        <v>630</v>
      </c>
      <c r="H10" s="458">
        <f t="shared" ref="H10:J11" si="0">7.5/5*H5</f>
        <v>6.4999999999999769</v>
      </c>
      <c r="I10" s="459">
        <f t="shared" si="0"/>
        <v>8.0000000000000107</v>
      </c>
      <c r="J10" s="460">
        <f t="shared" si="0"/>
        <v>7.499999999999984</v>
      </c>
      <c r="K10" s="34" t="s">
        <v>66</v>
      </c>
      <c r="L10" s="1431" t="s">
        <v>370</v>
      </c>
      <c r="M10" s="1432"/>
      <c r="N10" s="79" t="s">
        <v>900</v>
      </c>
    </row>
    <row r="11" spans="2:14" ht="45" x14ac:dyDescent="0.25">
      <c r="B11" s="1438"/>
      <c r="C11" s="1149"/>
      <c r="D11" s="1420"/>
      <c r="E11" s="1418"/>
      <c r="F11" s="122" t="s">
        <v>350</v>
      </c>
      <c r="G11" s="456" t="s">
        <v>2038</v>
      </c>
      <c r="H11" s="458">
        <f t="shared" si="0"/>
        <v>-8.5000000000000231</v>
      </c>
      <c r="I11" s="459">
        <f t="shared" si="0"/>
        <v>-6.9999999999999885</v>
      </c>
      <c r="J11" s="460">
        <f t="shared" si="0"/>
        <v>-7.500000000000016</v>
      </c>
      <c r="K11" s="34" t="s">
        <v>66</v>
      </c>
      <c r="L11" s="1412"/>
      <c r="M11" s="1413"/>
      <c r="N11" s="79" t="s">
        <v>901</v>
      </c>
    </row>
    <row r="12" spans="2:14" x14ac:dyDescent="0.25">
      <c r="B12" s="1438"/>
      <c r="C12" s="1149"/>
      <c r="D12" s="1420"/>
      <c r="E12" s="1428" t="s">
        <v>351</v>
      </c>
      <c r="F12" s="122" t="s">
        <v>1182</v>
      </c>
      <c r="G12" s="1422" t="s">
        <v>1380</v>
      </c>
      <c r="H12" s="1424">
        <v>0</v>
      </c>
      <c r="I12" s="1426">
        <v>0</v>
      </c>
      <c r="J12" s="1435">
        <v>0</v>
      </c>
      <c r="K12" s="1448" t="s">
        <v>141</v>
      </c>
      <c r="L12" s="1412"/>
      <c r="M12" s="1413"/>
      <c r="N12" s="1450" t="s">
        <v>902</v>
      </c>
    </row>
    <row r="13" spans="2:14" ht="49.5" customHeight="1" x14ac:dyDescent="0.25">
      <c r="B13" s="1438"/>
      <c r="C13" s="1150"/>
      <c r="D13" s="1421"/>
      <c r="E13" s="1429"/>
      <c r="F13" s="122" t="s">
        <v>1183</v>
      </c>
      <c r="G13" s="1423"/>
      <c r="H13" s="1425"/>
      <c r="I13" s="1427"/>
      <c r="J13" s="1436"/>
      <c r="K13" s="1449"/>
      <c r="L13" s="1433"/>
      <c r="M13" s="1434"/>
      <c r="N13" s="1451"/>
    </row>
    <row r="14" spans="2:14" ht="34.5" customHeight="1" thickBot="1" x14ac:dyDescent="0.3">
      <c r="B14" s="120" t="s">
        <v>60</v>
      </c>
      <c r="C14" s="394"/>
      <c r="D14" s="443" t="s">
        <v>49</v>
      </c>
      <c r="E14" s="444" t="s">
        <v>49</v>
      </c>
      <c r="F14" s="56" t="s">
        <v>49</v>
      </c>
      <c r="G14" s="47" t="s">
        <v>49</v>
      </c>
      <c r="H14" s="51" t="s">
        <v>372</v>
      </c>
      <c r="I14" s="29"/>
      <c r="J14" s="41"/>
      <c r="K14" s="35" t="s">
        <v>49</v>
      </c>
      <c r="L14" s="40" t="s">
        <v>49</v>
      </c>
      <c r="M14" s="80" t="s">
        <v>49</v>
      </c>
      <c r="N14" s="81" t="s">
        <v>49</v>
      </c>
    </row>
    <row r="15" spans="2:14" x14ac:dyDescent="0.25">
      <c r="B15" t="s">
        <v>1022</v>
      </c>
    </row>
    <row r="16" spans="2:14" x14ac:dyDescent="0.25">
      <c r="B16" s="17" t="s">
        <v>1024</v>
      </c>
    </row>
    <row r="17" spans="2:18" x14ac:dyDescent="0.25">
      <c r="B17" t="s">
        <v>50</v>
      </c>
    </row>
    <row r="19" spans="2:18" x14ac:dyDescent="0.25">
      <c r="B19" s="17" t="s">
        <v>822</v>
      </c>
      <c r="C19" s="63" t="s">
        <v>2120</v>
      </c>
      <c r="M19" s="280"/>
      <c r="N19" s="280"/>
      <c r="O19" s="280"/>
      <c r="P19" s="280"/>
      <c r="Q19" s="280"/>
      <c r="R19" s="280"/>
    </row>
    <row r="20" spans="2:18" x14ac:dyDescent="0.25">
      <c r="M20" s="280"/>
      <c r="N20" s="280"/>
      <c r="O20" s="280"/>
      <c r="P20" s="280"/>
      <c r="Q20" s="280"/>
      <c r="R20" s="280"/>
    </row>
    <row r="21" spans="2:18" x14ac:dyDescent="0.25">
      <c r="B21" s="17" t="s">
        <v>51</v>
      </c>
      <c r="M21" s="280"/>
      <c r="N21" s="280"/>
      <c r="O21" s="280"/>
      <c r="P21" s="280"/>
      <c r="Q21" s="280"/>
      <c r="R21" s="280"/>
    </row>
    <row r="22" spans="2:18" x14ac:dyDescent="0.25">
      <c r="C22" s="63" t="s">
        <v>175</v>
      </c>
      <c r="D22" s="18"/>
    </row>
    <row r="24" spans="2:18" x14ac:dyDescent="0.25">
      <c r="B24" s="17" t="s">
        <v>53</v>
      </c>
    </row>
    <row r="25" spans="2:18" x14ac:dyDescent="0.25">
      <c r="C25" s="1" t="s">
        <v>271</v>
      </c>
      <c r="D25" s="18"/>
    </row>
    <row r="26" spans="2:18" x14ac:dyDescent="0.25">
      <c r="C26" s="1" t="s">
        <v>272</v>
      </c>
    </row>
    <row r="27" spans="2:18" x14ac:dyDescent="0.25">
      <c r="C27" s="1"/>
    </row>
    <row r="28" spans="2:18" x14ac:dyDescent="0.25">
      <c r="B28" s="17" t="s">
        <v>633</v>
      </c>
      <c r="C28" s="1"/>
    </row>
    <row r="29" spans="2:18" ht="63.75" customHeight="1" x14ac:dyDescent="0.25">
      <c r="C29" s="1372" t="s">
        <v>632</v>
      </c>
      <c r="D29" s="1372"/>
      <c r="E29" s="1372"/>
      <c r="F29" s="1372"/>
      <c r="G29" s="1372"/>
    </row>
    <row r="30" spans="2:18" ht="15.75" thickBot="1" x14ac:dyDescent="0.3">
      <c r="C30" s="1"/>
    </row>
    <row r="31" spans="2:18" ht="35.25" customHeight="1" thickBot="1" x14ac:dyDescent="0.3">
      <c r="B31" s="17" t="s">
        <v>55</v>
      </c>
      <c r="I31" s="121" t="s">
        <v>1</v>
      </c>
      <c r="J31" s="126" t="s">
        <v>94</v>
      </c>
      <c r="K31" s="127" t="s">
        <v>96</v>
      </c>
      <c r="L31" s="121" t="s">
        <v>95</v>
      </c>
      <c r="M31" s="77" t="s">
        <v>280</v>
      </c>
      <c r="N31" s="127" t="s">
        <v>279</v>
      </c>
    </row>
    <row r="32" spans="2:18" ht="15.75" thickBot="1" x14ac:dyDescent="0.3">
      <c r="B32" s="17"/>
      <c r="C32" s="213" t="s">
        <v>903</v>
      </c>
      <c r="I32" s="129" t="s">
        <v>49</v>
      </c>
      <c r="J32" s="130" t="s">
        <v>49</v>
      </c>
      <c r="K32" s="131" t="s">
        <v>49</v>
      </c>
      <c r="L32" s="129" t="s">
        <v>49</v>
      </c>
      <c r="M32" s="130" t="s">
        <v>49</v>
      </c>
      <c r="N32" s="131" t="s">
        <v>49</v>
      </c>
    </row>
    <row r="33" spans="2:15" ht="15.75" thickBot="1" x14ac:dyDescent="0.3">
      <c r="B33" s="17"/>
      <c r="C33" s="213" t="s">
        <v>1184</v>
      </c>
      <c r="I33" s="129" t="s">
        <v>49</v>
      </c>
      <c r="J33" s="130" t="s">
        <v>49</v>
      </c>
      <c r="K33" s="131" t="s">
        <v>49</v>
      </c>
      <c r="L33" s="129" t="s">
        <v>49</v>
      </c>
      <c r="M33" s="130" t="s">
        <v>49</v>
      </c>
      <c r="N33" s="131" t="s">
        <v>49</v>
      </c>
    </row>
    <row r="34" spans="2:15" ht="15.75" thickBot="1" x14ac:dyDescent="0.3">
      <c r="B34" s="17"/>
      <c r="C34" s="123" t="s">
        <v>273</v>
      </c>
      <c r="D34" s="57"/>
      <c r="I34" s="196" t="s">
        <v>49</v>
      </c>
      <c r="J34" s="194" t="s">
        <v>49</v>
      </c>
      <c r="K34" s="195" t="s">
        <v>49</v>
      </c>
      <c r="L34" s="196" t="s">
        <v>49</v>
      </c>
      <c r="M34" s="194" t="s">
        <v>49</v>
      </c>
      <c r="N34" s="195" t="s">
        <v>49</v>
      </c>
    </row>
    <row r="35" spans="2:15" x14ac:dyDescent="0.25">
      <c r="B35" s="17"/>
      <c r="C35" s="124" t="s">
        <v>2116</v>
      </c>
      <c r="D35" s="57"/>
      <c r="I35" s="315" t="s">
        <v>9</v>
      </c>
      <c r="J35" s="101" t="s">
        <v>116</v>
      </c>
      <c r="K35" s="20" t="s">
        <v>292</v>
      </c>
      <c r="L35" s="132" t="s">
        <v>295</v>
      </c>
      <c r="M35" s="714">
        <v>1.45</v>
      </c>
      <c r="N35" s="20" t="str">
        <f>DEC2BIN((M35-0.6)/0.05,5)</f>
        <v>10001</v>
      </c>
    </row>
    <row r="36" spans="2:15" ht="15.75" customHeight="1" x14ac:dyDescent="0.25">
      <c r="B36" s="17"/>
      <c r="I36" s="316" t="s">
        <v>10</v>
      </c>
      <c r="J36" s="39" t="s">
        <v>118</v>
      </c>
      <c r="K36" s="21" t="s">
        <v>293</v>
      </c>
      <c r="L36" s="79" t="s">
        <v>296</v>
      </c>
      <c r="M36" s="715">
        <v>1.4</v>
      </c>
      <c r="N36" s="21" t="str">
        <f>DEC2BIN((M36-0.6)/0.05,5)</f>
        <v>01111</v>
      </c>
      <c r="O36" s="730" t="s">
        <v>1330</v>
      </c>
    </row>
    <row r="37" spans="2:15" ht="15.75" thickBot="1" x14ac:dyDescent="0.3">
      <c r="B37" s="17"/>
      <c r="I37" s="713" t="s">
        <v>1283</v>
      </c>
      <c r="J37" s="102" t="s">
        <v>1286</v>
      </c>
      <c r="K37" s="23" t="s">
        <v>1293</v>
      </c>
      <c r="L37" s="133" t="s">
        <v>1289</v>
      </c>
      <c r="M37" s="716">
        <v>0.9</v>
      </c>
      <c r="N37" s="23" t="str">
        <f>DEC2BIN((M37-0.6)/0.05,5)</f>
        <v>00110</v>
      </c>
    </row>
    <row r="38" spans="2:15" x14ac:dyDescent="0.25">
      <c r="B38" s="17"/>
      <c r="C38" s="124" t="s">
        <v>275</v>
      </c>
      <c r="D38" s="57"/>
      <c r="I38" s="315" t="s">
        <v>9</v>
      </c>
      <c r="J38" s="101" t="s">
        <v>116</v>
      </c>
      <c r="K38" s="20" t="s">
        <v>298</v>
      </c>
      <c r="L38" s="132" t="s">
        <v>301</v>
      </c>
      <c r="M38" s="714">
        <v>5</v>
      </c>
      <c r="N38" s="20" t="str">
        <f>DEC2BIN((M38)/2.5,3)</f>
        <v>010</v>
      </c>
    </row>
    <row r="39" spans="2:15" x14ac:dyDescent="0.25">
      <c r="B39" s="17"/>
      <c r="I39" s="316" t="s">
        <v>10</v>
      </c>
      <c r="J39" s="39" t="s">
        <v>118</v>
      </c>
      <c r="K39" s="21" t="s">
        <v>299</v>
      </c>
      <c r="L39" s="79" t="s">
        <v>302</v>
      </c>
      <c r="M39" s="715">
        <v>5</v>
      </c>
      <c r="N39" s="21" t="str">
        <f>DEC2BIN((M39)/2.5,3)</f>
        <v>010</v>
      </c>
    </row>
    <row r="40" spans="2:15" ht="15.75" thickBot="1" x14ac:dyDescent="0.3">
      <c r="B40" s="17"/>
      <c r="I40" s="713" t="s">
        <v>1283</v>
      </c>
      <c r="J40" s="102" t="s">
        <v>1286</v>
      </c>
      <c r="K40" s="23" t="s">
        <v>1294</v>
      </c>
      <c r="L40" s="133" t="s">
        <v>1290</v>
      </c>
      <c r="M40" s="716">
        <v>5</v>
      </c>
      <c r="N40" s="23" t="s">
        <v>622</v>
      </c>
    </row>
    <row r="41" spans="2:15" x14ac:dyDescent="0.25">
      <c r="B41" s="17"/>
      <c r="C41" s="124" t="s">
        <v>276</v>
      </c>
      <c r="D41" s="57"/>
      <c r="I41" s="315" t="s">
        <v>9</v>
      </c>
      <c r="J41" s="101" t="s">
        <v>116</v>
      </c>
      <c r="K41" s="20" t="s">
        <v>309</v>
      </c>
      <c r="L41" s="132" t="s">
        <v>304</v>
      </c>
      <c r="M41" s="714">
        <v>-5</v>
      </c>
      <c r="N41" s="20" t="str">
        <f>DEC2BIN((-M41)/2.5,3)</f>
        <v>010</v>
      </c>
    </row>
    <row r="42" spans="2:15" ht="15.75" thickBot="1" x14ac:dyDescent="0.3">
      <c r="B42" s="17"/>
      <c r="I42" s="713" t="s">
        <v>1283</v>
      </c>
      <c r="J42" s="102" t="s">
        <v>1286</v>
      </c>
      <c r="K42" s="23" t="s">
        <v>1295</v>
      </c>
      <c r="L42" s="133" t="s">
        <v>1291</v>
      </c>
      <c r="M42" s="716">
        <v>-5</v>
      </c>
      <c r="N42" s="23" t="str">
        <f>DEC2BIN((-M42)/2.5,3)</f>
        <v>010</v>
      </c>
    </row>
    <row r="43" spans="2:15" ht="15" customHeight="1" x14ac:dyDescent="0.25">
      <c r="B43" s="17"/>
      <c r="C43" s="124" t="s">
        <v>610</v>
      </c>
      <c r="D43" s="57"/>
      <c r="I43" s="315" t="s">
        <v>9</v>
      </c>
      <c r="J43" s="101" t="s">
        <v>116</v>
      </c>
      <c r="K43" s="20" t="s">
        <v>311</v>
      </c>
      <c r="L43" s="132" t="s">
        <v>306</v>
      </c>
      <c r="M43" s="1442" t="s">
        <v>314</v>
      </c>
      <c r="N43" s="1445" t="s">
        <v>281</v>
      </c>
    </row>
    <row r="44" spans="2:15" x14ac:dyDescent="0.25">
      <c r="B44" s="17"/>
      <c r="I44" s="316" t="s">
        <v>10</v>
      </c>
      <c r="J44" s="39" t="s">
        <v>118</v>
      </c>
      <c r="K44" s="21" t="s">
        <v>312</v>
      </c>
      <c r="L44" s="79" t="s">
        <v>307</v>
      </c>
      <c r="M44" s="1443"/>
      <c r="N44" s="1446"/>
    </row>
    <row r="45" spans="2:15" ht="15.75" thickBot="1" x14ac:dyDescent="0.3">
      <c r="B45" s="17"/>
      <c r="I45" s="713" t="s">
        <v>1283</v>
      </c>
      <c r="J45" s="102" t="s">
        <v>1286</v>
      </c>
      <c r="K45" s="23" t="s">
        <v>1296</v>
      </c>
      <c r="L45" s="133" t="s">
        <v>1292</v>
      </c>
      <c r="M45" s="1444"/>
      <c r="N45" s="1447"/>
    </row>
    <row r="46" spans="2:15" s="53" customFormat="1" ht="15.75" thickBot="1" x14ac:dyDescent="0.3">
      <c r="B46" s="308"/>
      <c r="C46" s="309" t="s">
        <v>1298</v>
      </c>
      <c r="D46" s="310"/>
      <c r="K46" s="53" t="s">
        <v>656</v>
      </c>
      <c r="M46" s="312"/>
      <c r="N46" s="312"/>
    </row>
    <row r="47" spans="2:15" s="53" customFormat="1" ht="30.75" thickBot="1" x14ac:dyDescent="0.3">
      <c r="B47" s="308"/>
      <c r="D47" s="121" t="s">
        <v>590</v>
      </c>
      <c r="E47" s="121" t="s">
        <v>669</v>
      </c>
      <c r="M47" s="312"/>
      <c r="N47" s="312"/>
    </row>
    <row r="48" spans="2:15" s="53" customFormat="1" x14ac:dyDescent="0.25">
      <c r="B48" s="308"/>
      <c r="D48" s="315" t="s">
        <v>589</v>
      </c>
      <c r="E48" s="478">
        <f>1.45*(1+H6/100)</f>
        <v>1.367833333333333</v>
      </c>
      <c r="M48" s="312"/>
      <c r="N48" s="312"/>
    </row>
    <row r="49" spans="2:14" s="53" customFormat="1" ht="15.75" thickBot="1" x14ac:dyDescent="0.3">
      <c r="B49" s="308"/>
      <c r="C49" s="309"/>
      <c r="D49" s="317" t="s">
        <v>1297</v>
      </c>
      <c r="E49" s="480">
        <f>0.9*(1+H8/100)</f>
        <v>0.93899999999999995</v>
      </c>
      <c r="F49" s="53" t="s">
        <v>1300</v>
      </c>
      <c r="G49" s="311"/>
      <c r="K49"/>
      <c r="M49" s="312"/>
      <c r="N49" s="312"/>
    </row>
    <row r="50" spans="2:14" s="53" customFormat="1" x14ac:dyDescent="0.25">
      <c r="B50" s="308"/>
      <c r="C50" s="309"/>
      <c r="D50" s="313"/>
      <c r="G50" s="311"/>
      <c r="K50"/>
      <c r="M50" s="312"/>
      <c r="N50" s="312"/>
    </row>
    <row r="51" spans="2:14" s="53" customFormat="1" x14ac:dyDescent="0.25">
      <c r="B51" s="308"/>
      <c r="C51" s="309"/>
      <c r="D51" s="313"/>
      <c r="G51" s="311"/>
      <c r="K51"/>
      <c r="M51" s="312"/>
      <c r="N51" s="312"/>
    </row>
    <row r="52" spans="2:14" s="53" customFormat="1" x14ac:dyDescent="0.25">
      <c r="B52" s="308"/>
      <c r="C52" s="309"/>
      <c r="D52" s="313"/>
      <c r="G52" s="311"/>
      <c r="K52"/>
      <c r="M52" s="312"/>
      <c r="N52" s="312"/>
    </row>
    <row r="53" spans="2:14" s="53" customFormat="1" x14ac:dyDescent="0.25">
      <c r="B53" s="308"/>
      <c r="C53" s="309"/>
      <c r="D53" s="313"/>
      <c r="G53" s="311"/>
      <c r="K53"/>
      <c r="M53" s="312"/>
      <c r="N53" s="312"/>
    </row>
    <row r="54" spans="2:14" s="53" customFormat="1" x14ac:dyDescent="0.25">
      <c r="B54" s="308"/>
      <c r="C54" s="309"/>
      <c r="D54" s="313"/>
      <c r="G54" s="311"/>
      <c r="K54"/>
      <c r="M54" s="312"/>
      <c r="N54" s="312"/>
    </row>
    <row r="55" spans="2:14" s="53" customFormat="1" x14ac:dyDescent="0.25">
      <c r="B55" s="308"/>
      <c r="C55" s="309"/>
      <c r="D55" s="313"/>
      <c r="G55" s="311"/>
      <c r="K55"/>
      <c r="M55" s="312"/>
      <c r="N55" s="312"/>
    </row>
    <row r="56" spans="2:14" s="53" customFormat="1" x14ac:dyDescent="0.25">
      <c r="B56" s="308"/>
      <c r="C56" s="309"/>
      <c r="D56" s="313"/>
      <c r="G56" s="311"/>
      <c r="K56"/>
      <c r="M56" s="312"/>
      <c r="N56" s="312"/>
    </row>
    <row r="57" spans="2:14" s="53" customFormat="1" x14ac:dyDescent="0.25">
      <c r="B57" s="308"/>
      <c r="C57" s="309"/>
      <c r="D57" s="313"/>
      <c r="G57" s="311"/>
      <c r="K57"/>
      <c r="M57" s="312"/>
      <c r="N57" s="312"/>
    </row>
    <row r="58" spans="2:14" s="53" customFormat="1" x14ac:dyDescent="0.25">
      <c r="B58" s="308"/>
      <c r="C58" s="309"/>
      <c r="D58" s="313"/>
      <c r="G58" s="311"/>
      <c r="K58"/>
      <c r="M58" s="312"/>
      <c r="N58" s="312"/>
    </row>
    <row r="59" spans="2:14" s="53" customFormat="1" x14ac:dyDescent="0.25">
      <c r="B59" s="308"/>
      <c r="C59" s="309"/>
      <c r="D59" s="313"/>
      <c r="G59" s="311"/>
      <c r="K59"/>
      <c r="M59" s="312"/>
      <c r="N59" s="312"/>
    </row>
    <row r="60" spans="2:14" s="53" customFormat="1" x14ac:dyDescent="0.25">
      <c r="B60" s="308"/>
      <c r="C60" s="309"/>
      <c r="D60" s="313"/>
      <c r="G60" s="311"/>
      <c r="K60"/>
      <c r="M60" s="312"/>
      <c r="N60" s="312"/>
    </row>
    <row r="61" spans="2:14" s="53" customFormat="1" x14ac:dyDescent="0.25">
      <c r="B61" s="308"/>
      <c r="C61" s="309"/>
      <c r="D61" s="313"/>
      <c r="G61" s="311"/>
      <c r="K61"/>
      <c r="M61" s="312"/>
      <c r="N61" s="312"/>
    </row>
    <row r="62" spans="2:14" s="53" customFormat="1" x14ac:dyDescent="0.25">
      <c r="B62" s="308"/>
      <c r="C62" s="309"/>
      <c r="D62" s="313"/>
      <c r="G62" s="311"/>
      <c r="K62"/>
      <c r="M62" s="312"/>
      <c r="N62" s="312"/>
    </row>
    <row r="63" spans="2:14" s="53" customFormat="1" x14ac:dyDescent="0.25">
      <c r="B63" s="308"/>
      <c r="C63" s="309"/>
      <c r="D63" s="313"/>
      <c r="G63" s="311"/>
      <c r="K63"/>
      <c r="M63" s="312"/>
      <c r="N63" s="312"/>
    </row>
    <row r="64" spans="2:14" s="53" customFormat="1" x14ac:dyDescent="0.25">
      <c r="B64" s="308"/>
      <c r="C64" s="309"/>
      <c r="D64" s="313"/>
      <c r="G64" s="311"/>
      <c r="K64"/>
      <c r="M64" s="312"/>
      <c r="N64" s="312"/>
    </row>
    <row r="65" spans="2:14" s="53" customFormat="1" x14ac:dyDescent="0.25">
      <c r="B65" s="308"/>
      <c r="C65" s="309"/>
      <c r="D65" s="313"/>
      <c r="G65" s="311"/>
      <c r="K65"/>
      <c r="M65" s="312"/>
      <c r="N65" s="312"/>
    </row>
    <row r="66" spans="2:14" s="53" customFormat="1" x14ac:dyDescent="0.25">
      <c r="B66" s="308"/>
      <c r="C66" s="309"/>
      <c r="D66" s="313"/>
      <c r="G66" s="311"/>
      <c r="K66"/>
      <c r="M66" s="312"/>
      <c r="N66" s="312"/>
    </row>
    <row r="67" spans="2:14" s="53" customFormat="1" x14ac:dyDescent="0.25">
      <c r="B67" s="308"/>
      <c r="C67" s="309"/>
      <c r="D67" s="313"/>
      <c r="G67" s="311"/>
      <c r="K67"/>
      <c r="M67" s="312"/>
      <c r="N67" s="312"/>
    </row>
    <row r="68" spans="2:14" s="53" customFormat="1" x14ac:dyDescent="0.25">
      <c r="B68" s="308"/>
      <c r="C68" s="309"/>
      <c r="D68" s="313"/>
      <c r="G68" s="311"/>
      <c r="K68"/>
      <c r="M68" s="312"/>
      <c r="N68" s="312"/>
    </row>
    <row r="69" spans="2:14" s="53" customFormat="1" x14ac:dyDescent="0.25">
      <c r="B69" s="308"/>
      <c r="C69" s="309"/>
      <c r="D69" s="313"/>
      <c r="G69" s="311"/>
      <c r="K69"/>
      <c r="M69" s="312"/>
      <c r="N69" s="312"/>
    </row>
    <row r="70" spans="2:14" s="53" customFormat="1" x14ac:dyDescent="0.25">
      <c r="B70" s="308"/>
      <c r="C70" s="309"/>
      <c r="D70" s="313"/>
      <c r="G70" s="311"/>
      <c r="K70" t="s">
        <v>652</v>
      </c>
      <c r="M70" s="312"/>
      <c r="N70" s="312"/>
    </row>
    <row r="71" spans="2:14" s="53" customFormat="1" ht="45" customHeight="1" x14ac:dyDescent="0.25">
      <c r="B71" s="308"/>
      <c r="C71" s="1411" t="s">
        <v>702</v>
      </c>
      <c r="D71" s="1411"/>
      <c r="E71" s="1411"/>
      <c r="F71" s="1411"/>
      <c r="G71" s="1411"/>
      <c r="H71" s="1411"/>
      <c r="I71" s="1411"/>
      <c r="M71" s="312"/>
      <c r="N71" s="312"/>
    </row>
    <row r="72" spans="2:14" s="53" customFormat="1" x14ac:dyDescent="0.25">
      <c r="B72" s="308"/>
      <c r="C72" s="125" t="s">
        <v>653</v>
      </c>
      <c r="D72" s="299"/>
      <c r="E72" s="299"/>
      <c r="F72" s="299"/>
      <c r="G72" s="299"/>
      <c r="H72" s="299"/>
      <c r="I72" s="299"/>
      <c r="M72" s="312"/>
      <c r="N72" s="312"/>
    </row>
    <row r="73" spans="2:14" s="53" customFormat="1" x14ac:dyDescent="0.25">
      <c r="B73" s="308"/>
      <c r="D73" s="299"/>
      <c r="E73" s="299"/>
      <c r="F73" s="299"/>
      <c r="G73" s="299"/>
      <c r="H73" s="299"/>
      <c r="I73" s="299"/>
      <c r="M73" s="312"/>
      <c r="N73" s="312"/>
    </row>
    <row r="74" spans="2:14" s="53" customFormat="1" x14ac:dyDescent="0.25">
      <c r="B74" s="308"/>
      <c r="C74" s="299"/>
      <c r="D74" s="299"/>
      <c r="E74" s="299"/>
      <c r="F74" s="299"/>
      <c r="G74" s="299"/>
      <c r="H74" s="299"/>
      <c r="I74" s="299"/>
      <c r="M74" s="312"/>
      <c r="N74" s="312"/>
    </row>
    <row r="75" spans="2:14" s="53" customFormat="1" x14ac:dyDescent="0.25">
      <c r="B75" s="308"/>
      <c r="C75" s="299"/>
      <c r="D75" s="299"/>
      <c r="E75" s="299"/>
      <c r="F75" s="299"/>
      <c r="G75" s="299"/>
      <c r="H75" s="299"/>
      <c r="I75" s="299"/>
      <c r="M75" s="312"/>
      <c r="N75" s="312"/>
    </row>
    <row r="76" spans="2:14" s="53" customFormat="1" x14ac:dyDescent="0.25">
      <c r="B76" s="308"/>
      <c r="C76" s="299"/>
      <c r="D76" s="299"/>
      <c r="E76" s="299"/>
      <c r="F76" s="299"/>
      <c r="G76" s="299"/>
      <c r="H76" s="299"/>
      <c r="I76" s="299"/>
      <c r="M76" s="312"/>
      <c r="N76" s="312"/>
    </row>
    <row r="77" spans="2:14" s="53" customFormat="1" x14ac:dyDescent="0.25">
      <c r="B77" s="308"/>
      <c r="C77" s="299"/>
      <c r="D77" s="299"/>
      <c r="E77" s="299"/>
      <c r="F77" s="299"/>
      <c r="G77" s="299"/>
      <c r="H77" s="299"/>
      <c r="I77" s="299"/>
      <c r="M77" s="312"/>
      <c r="N77" s="312"/>
    </row>
    <row r="78" spans="2:14" s="53" customFormat="1" x14ac:dyDescent="0.25">
      <c r="B78" s="308"/>
      <c r="C78" s="299"/>
      <c r="D78" s="299"/>
      <c r="E78" s="299"/>
      <c r="F78" s="299"/>
      <c r="G78" s="299"/>
      <c r="H78" s="299"/>
      <c r="I78" s="299"/>
      <c r="M78" s="312"/>
      <c r="N78" s="312"/>
    </row>
    <row r="79" spans="2:14" s="53" customFormat="1" x14ac:dyDescent="0.25">
      <c r="B79" s="308"/>
      <c r="C79" s="299"/>
      <c r="D79" s="299"/>
      <c r="E79" s="299"/>
      <c r="F79" s="299"/>
      <c r="G79" s="299"/>
      <c r="H79" s="299"/>
      <c r="I79" s="299"/>
      <c r="M79" s="312"/>
      <c r="N79" s="312"/>
    </row>
    <row r="80" spans="2:14" s="53" customFormat="1" x14ac:dyDescent="0.25">
      <c r="B80" s="308"/>
      <c r="C80" s="299"/>
      <c r="D80" s="299"/>
      <c r="E80" s="299"/>
      <c r="F80" s="299"/>
      <c r="G80" s="299"/>
      <c r="H80" s="299"/>
      <c r="I80" s="299"/>
      <c r="M80" s="312"/>
      <c r="N80" s="312"/>
    </row>
    <row r="81" spans="2:14" s="53" customFormat="1" x14ac:dyDescent="0.25">
      <c r="B81" s="308"/>
      <c r="C81" s="299"/>
      <c r="D81" s="299"/>
      <c r="E81" s="299"/>
      <c r="F81" s="299"/>
      <c r="G81" s="299"/>
      <c r="H81" s="299"/>
      <c r="I81" s="299"/>
      <c r="M81" s="312"/>
      <c r="N81" s="312"/>
    </row>
    <row r="82" spans="2:14" s="53" customFormat="1" x14ac:dyDescent="0.25">
      <c r="B82" s="308"/>
      <c r="C82" s="299"/>
      <c r="D82" s="299"/>
      <c r="E82" s="299"/>
      <c r="F82" s="299"/>
      <c r="G82" s="299"/>
      <c r="H82" s="299"/>
      <c r="I82" s="299"/>
      <c r="M82" s="312"/>
      <c r="N82" s="312"/>
    </row>
    <row r="83" spans="2:14" s="53" customFormat="1" x14ac:dyDescent="0.25">
      <c r="B83" s="308"/>
      <c r="C83" s="299"/>
      <c r="D83" s="299"/>
      <c r="E83" s="299"/>
      <c r="F83" s="299"/>
      <c r="G83" s="299"/>
      <c r="H83" s="299"/>
      <c r="I83" s="299"/>
      <c r="M83" s="312"/>
      <c r="N83" s="312"/>
    </row>
    <row r="84" spans="2:14" s="53" customFormat="1" x14ac:dyDescent="0.25">
      <c r="B84" s="308"/>
      <c r="C84" s="299"/>
      <c r="D84" s="299"/>
      <c r="E84" s="299"/>
      <c r="F84" s="299"/>
      <c r="G84" s="299"/>
      <c r="H84" s="299"/>
      <c r="I84" s="299"/>
      <c r="M84" s="312"/>
      <c r="N84" s="312"/>
    </row>
    <row r="85" spans="2:14" s="53" customFormat="1" ht="15.75" thickBot="1" x14ac:dyDescent="0.3">
      <c r="B85" s="308"/>
      <c r="C85" s="309" t="s">
        <v>592</v>
      </c>
      <c r="D85" s="299"/>
      <c r="E85" s="299"/>
      <c r="F85" s="299"/>
      <c r="G85" s="299"/>
      <c r="H85" s="299"/>
      <c r="I85" s="299"/>
      <c r="M85" s="312"/>
      <c r="N85" s="312"/>
    </row>
    <row r="86" spans="2:14" s="53" customFormat="1" ht="30.75" thickBot="1" x14ac:dyDescent="0.3">
      <c r="B86" s="308"/>
      <c r="C86" s="309"/>
      <c r="D86" s="121" t="s">
        <v>590</v>
      </c>
      <c r="E86" s="121" t="s">
        <v>669</v>
      </c>
      <c r="F86" s="299"/>
      <c r="G86" s="299"/>
      <c r="H86" s="299"/>
      <c r="I86" s="299"/>
      <c r="M86" s="312"/>
      <c r="N86" s="312"/>
    </row>
    <row r="87" spans="2:14" s="53" customFormat="1" x14ac:dyDescent="0.25">
      <c r="B87" s="308"/>
      <c r="C87" s="309"/>
      <c r="D87" s="315" t="s">
        <v>589</v>
      </c>
      <c r="E87" s="478">
        <f>1.45*(1+H6/100)</f>
        <v>1.367833333333333</v>
      </c>
      <c r="F87" s="311" t="s">
        <v>650</v>
      </c>
      <c r="G87" s="299"/>
      <c r="H87" s="299"/>
      <c r="I87" s="299"/>
      <c r="M87" s="312"/>
      <c r="N87" s="312"/>
    </row>
    <row r="88" spans="2:14" s="53" customFormat="1" ht="15.75" thickBot="1" x14ac:dyDescent="0.3">
      <c r="B88" s="308"/>
      <c r="C88" s="309"/>
      <c r="D88" s="317" t="s">
        <v>1297</v>
      </c>
      <c r="E88" s="480">
        <f>0.9*(1+H8/100)</f>
        <v>0.93899999999999995</v>
      </c>
      <c r="F88" s="53" t="s">
        <v>1300</v>
      </c>
      <c r="G88" s="692"/>
      <c r="H88" s="692"/>
      <c r="I88" s="692"/>
      <c r="M88" s="312"/>
      <c r="N88" s="312"/>
    </row>
    <row r="89" spans="2:14" s="53" customFormat="1" x14ac:dyDescent="0.25">
      <c r="B89" s="308"/>
      <c r="C89" s="125" t="s">
        <v>2033</v>
      </c>
      <c r="I89" s="315" t="s">
        <v>9</v>
      </c>
      <c r="J89" s="101" t="s">
        <v>116</v>
      </c>
      <c r="K89" s="20" t="s">
        <v>115</v>
      </c>
      <c r="L89" s="132" t="s">
        <v>110</v>
      </c>
    </row>
    <row r="90" spans="2:14" ht="15.75" thickBot="1" x14ac:dyDescent="0.3">
      <c r="B90" s="17"/>
      <c r="I90" s="713" t="s">
        <v>1283</v>
      </c>
      <c r="J90" s="102" t="s">
        <v>1286</v>
      </c>
      <c r="K90" s="23" t="s">
        <v>1285</v>
      </c>
      <c r="L90" s="133" t="s">
        <v>1288</v>
      </c>
    </row>
    <row r="91" spans="2:14" x14ac:dyDescent="0.25">
      <c r="B91" s="17"/>
      <c r="C91" s="125" t="s">
        <v>594</v>
      </c>
      <c r="D91" s="53"/>
      <c r="E91" s="53"/>
      <c r="F91" s="53"/>
      <c r="G91" s="53"/>
    </row>
    <row r="92" spans="2:14" ht="15.75" thickBot="1" x14ac:dyDescent="0.3">
      <c r="B92" s="17"/>
      <c r="C92" s="309" t="s">
        <v>1299</v>
      </c>
      <c r="D92" s="310"/>
      <c r="E92" s="53"/>
      <c r="F92" s="53"/>
      <c r="G92" s="63"/>
      <c r="H92" s="63"/>
      <c r="I92" s="63"/>
    </row>
    <row r="93" spans="2:14" ht="30.75" thickBot="1" x14ac:dyDescent="0.3">
      <c r="B93" s="17"/>
      <c r="C93" s="53"/>
      <c r="D93" s="121" t="s">
        <v>590</v>
      </c>
      <c r="E93" s="121" t="s">
        <v>670</v>
      </c>
      <c r="F93" s="53"/>
      <c r="G93" s="63"/>
      <c r="H93" s="63"/>
      <c r="I93" s="63"/>
    </row>
    <row r="94" spans="2:14" x14ac:dyDescent="0.25">
      <c r="B94" s="17"/>
      <c r="C94" s="53"/>
      <c r="D94" s="315" t="s">
        <v>589</v>
      </c>
      <c r="E94" s="478">
        <f>1.45*(1+H5/100)</f>
        <v>1.512833333333333</v>
      </c>
      <c r="F94" s="311" t="s">
        <v>650</v>
      </c>
      <c r="G94" s="63"/>
      <c r="H94" s="63"/>
      <c r="I94" s="63"/>
    </row>
    <row r="95" spans="2:14" x14ac:dyDescent="0.25">
      <c r="B95" s="17"/>
      <c r="C95" s="53"/>
      <c r="D95" s="316" t="s">
        <v>591</v>
      </c>
      <c r="E95" s="479">
        <f>M36*(1+H7/100)</f>
        <v>1.47</v>
      </c>
      <c r="F95" s="311" t="s">
        <v>650</v>
      </c>
      <c r="G95" s="63"/>
      <c r="H95" s="63"/>
      <c r="I95" s="63"/>
    </row>
    <row r="96" spans="2:14" ht="15.75" thickBot="1" x14ac:dyDescent="0.3">
      <c r="B96" s="17"/>
      <c r="C96" s="309"/>
      <c r="D96" s="317" t="s">
        <v>1297</v>
      </c>
      <c r="E96" s="480">
        <f>0.9*(1+H9/100)</f>
        <v>0.84899999999999987</v>
      </c>
      <c r="F96" s="53" t="s">
        <v>1300</v>
      </c>
      <c r="G96" s="63"/>
      <c r="H96" s="63"/>
      <c r="I96" s="63"/>
    </row>
    <row r="97" spans="2:15" x14ac:dyDescent="0.25">
      <c r="C97" s="125" t="s">
        <v>2034</v>
      </c>
      <c r="D97" s="318"/>
      <c r="E97" s="63"/>
      <c r="F97" s="63"/>
      <c r="G97" s="63"/>
      <c r="H97" s="63"/>
      <c r="I97" s="315" t="s">
        <v>9</v>
      </c>
      <c r="J97" s="101" t="s">
        <v>116</v>
      </c>
      <c r="K97" s="20" t="s">
        <v>114</v>
      </c>
      <c r="L97" s="132" t="s">
        <v>109</v>
      </c>
    </row>
    <row r="98" spans="2:15" x14ac:dyDescent="0.25">
      <c r="C98" s="124"/>
      <c r="D98" s="57"/>
      <c r="I98" s="316" t="s">
        <v>10</v>
      </c>
      <c r="J98" s="39" t="s">
        <v>118</v>
      </c>
      <c r="K98" s="21" t="s">
        <v>117</v>
      </c>
      <c r="L98" s="79" t="s">
        <v>111</v>
      </c>
    </row>
    <row r="99" spans="2:15" ht="15.75" thickBot="1" x14ac:dyDescent="0.3">
      <c r="B99" s="17"/>
      <c r="C99" s="124"/>
      <c r="D99" s="57"/>
      <c r="I99" s="713" t="s">
        <v>1283</v>
      </c>
      <c r="J99" s="102" t="s">
        <v>1286</v>
      </c>
      <c r="K99" s="23" t="s">
        <v>1284</v>
      </c>
      <c r="L99" s="133" t="s">
        <v>1287</v>
      </c>
    </row>
    <row r="100" spans="2:15" x14ac:dyDescent="0.25">
      <c r="B100" s="17"/>
      <c r="C100" s="125" t="s">
        <v>593</v>
      </c>
      <c r="D100" s="57"/>
    </row>
    <row r="101" spans="2:15" x14ac:dyDescent="0.25">
      <c r="D101" s="18"/>
    </row>
    <row r="102" spans="2:15" x14ac:dyDescent="0.25">
      <c r="B102" s="17" t="s">
        <v>1174</v>
      </c>
    </row>
    <row r="103" spans="2:15" ht="15.75" thickBot="1" x14ac:dyDescent="0.3">
      <c r="C103" s="123" t="s">
        <v>273</v>
      </c>
      <c r="D103" s="57"/>
    </row>
    <row r="104" spans="2:15" x14ac:dyDescent="0.25">
      <c r="C104" s="124" t="s">
        <v>274</v>
      </c>
      <c r="D104" s="57"/>
      <c r="I104" s="315" t="s">
        <v>9</v>
      </c>
      <c r="J104" s="101" t="s">
        <v>116</v>
      </c>
      <c r="K104" s="20" t="s">
        <v>292</v>
      </c>
      <c r="L104" s="132" t="s">
        <v>295</v>
      </c>
      <c r="M104" s="714">
        <v>1.45</v>
      </c>
      <c r="N104" s="20" t="str">
        <f>DEC2BIN((M104-0.6)/0.05,5)</f>
        <v>10001</v>
      </c>
    </row>
    <row r="105" spans="2:15" x14ac:dyDescent="0.25">
      <c r="I105" s="316" t="s">
        <v>10</v>
      </c>
      <c r="J105" s="39" t="s">
        <v>118</v>
      </c>
      <c r="K105" s="21" t="s">
        <v>293</v>
      </c>
      <c r="L105" s="79" t="s">
        <v>296</v>
      </c>
      <c r="M105" s="715">
        <f>M36</f>
        <v>1.4</v>
      </c>
      <c r="N105" s="21" t="str">
        <f>DEC2BIN((M105-0.6)/0.05,5)</f>
        <v>01111</v>
      </c>
      <c r="O105" s="730" t="s">
        <v>1330</v>
      </c>
    </row>
    <row r="106" spans="2:15" ht="15.75" thickBot="1" x14ac:dyDescent="0.3">
      <c r="I106" s="713" t="s">
        <v>1283</v>
      </c>
      <c r="J106" s="102" t="s">
        <v>1286</v>
      </c>
      <c r="K106" s="23" t="s">
        <v>1293</v>
      </c>
      <c r="L106" s="133" t="s">
        <v>1289</v>
      </c>
      <c r="M106" s="716">
        <v>0.9</v>
      </c>
      <c r="N106" s="23" t="str">
        <f>DEC2BIN((M106-0.6)/0.05,5)</f>
        <v>00110</v>
      </c>
    </row>
    <row r="107" spans="2:15" x14ac:dyDescent="0.25">
      <c r="C107" s="124" t="s">
        <v>275</v>
      </c>
      <c r="D107" s="57"/>
      <c r="I107" s="315" t="s">
        <v>9</v>
      </c>
      <c r="J107" s="101" t="s">
        <v>116</v>
      </c>
      <c r="K107" s="20" t="s">
        <v>298</v>
      </c>
      <c r="L107" s="132" t="s">
        <v>301</v>
      </c>
      <c r="M107" s="714">
        <v>5</v>
      </c>
      <c r="N107" s="20" t="str">
        <f>DEC2BIN((M107)/2.5,3)</f>
        <v>010</v>
      </c>
    </row>
    <row r="108" spans="2:15" x14ac:dyDescent="0.25">
      <c r="I108" s="316" t="s">
        <v>10</v>
      </c>
      <c r="J108" s="39" t="s">
        <v>118</v>
      </c>
      <c r="K108" s="21" t="s">
        <v>299</v>
      </c>
      <c r="L108" s="79" t="s">
        <v>302</v>
      </c>
      <c r="M108" s="715">
        <v>5</v>
      </c>
      <c r="N108" s="21" t="str">
        <f>DEC2BIN((M108)/2.5,3)</f>
        <v>010</v>
      </c>
    </row>
    <row r="109" spans="2:15" ht="15.75" thickBot="1" x14ac:dyDescent="0.3">
      <c r="I109" s="713" t="s">
        <v>1283</v>
      </c>
      <c r="J109" s="102" t="s">
        <v>1286</v>
      </c>
      <c r="K109" s="23" t="s">
        <v>1294</v>
      </c>
      <c r="L109" s="133" t="s">
        <v>1290</v>
      </c>
      <c r="M109" s="716">
        <v>5</v>
      </c>
      <c r="N109" s="23" t="s">
        <v>622</v>
      </c>
    </row>
    <row r="110" spans="2:15" x14ac:dyDescent="0.25">
      <c r="C110" s="124" t="s">
        <v>276</v>
      </c>
      <c r="D110" s="57"/>
      <c r="I110" s="315" t="s">
        <v>9</v>
      </c>
      <c r="J110" s="101" t="s">
        <v>116</v>
      </c>
      <c r="K110" s="20" t="s">
        <v>309</v>
      </c>
      <c r="L110" s="132" t="s">
        <v>304</v>
      </c>
      <c r="M110" s="714">
        <v>-5</v>
      </c>
      <c r="N110" s="20" t="str">
        <f>DEC2BIN((-M110)/2.5,3)</f>
        <v>010</v>
      </c>
    </row>
    <row r="111" spans="2:15" ht="15.75" thickBot="1" x14ac:dyDescent="0.3">
      <c r="I111" s="713" t="s">
        <v>1283</v>
      </c>
      <c r="J111" s="102" t="s">
        <v>1286</v>
      </c>
      <c r="K111" s="23" t="s">
        <v>1295</v>
      </c>
      <c r="L111" s="133" t="s">
        <v>1291</v>
      </c>
      <c r="M111" s="716">
        <v>-5</v>
      </c>
      <c r="N111" s="23" t="s">
        <v>622</v>
      </c>
    </row>
    <row r="112" spans="2:15" ht="15" customHeight="1" x14ac:dyDescent="0.25">
      <c r="C112" s="124" t="s">
        <v>610</v>
      </c>
      <c r="D112" s="57"/>
      <c r="I112" s="315" t="s">
        <v>9</v>
      </c>
      <c r="J112" s="101" t="s">
        <v>116</v>
      </c>
      <c r="K112" s="20" t="s">
        <v>311</v>
      </c>
      <c r="L112" s="132" t="s">
        <v>306</v>
      </c>
      <c r="M112" s="1442" t="s">
        <v>314</v>
      </c>
      <c r="N112" s="1445" t="s">
        <v>281</v>
      </c>
    </row>
    <row r="113" spans="3:14" x14ac:dyDescent="0.25">
      <c r="I113" s="316" t="s">
        <v>10</v>
      </c>
      <c r="J113" s="39" t="s">
        <v>118</v>
      </c>
      <c r="K113" s="21" t="s">
        <v>312</v>
      </c>
      <c r="L113" s="79" t="s">
        <v>307</v>
      </c>
      <c r="M113" s="1443"/>
      <c r="N113" s="1446"/>
    </row>
    <row r="114" spans="3:14" ht="15.75" thickBot="1" x14ac:dyDescent="0.3">
      <c r="I114" s="713" t="s">
        <v>1283</v>
      </c>
      <c r="J114" s="102" t="s">
        <v>1286</v>
      </c>
      <c r="K114" s="23" t="s">
        <v>1296</v>
      </c>
      <c r="L114" s="133" t="s">
        <v>1292</v>
      </c>
      <c r="M114" s="1444"/>
      <c r="N114" s="1447"/>
    </row>
    <row r="115" spans="3:14" ht="42.75" customHeight="1" x14ac:dyDescent="0.25">
      <c r="C115" s="1411" t="s">
        <v>702</v>
      </c>
      <c r="D115" s="1411"/>
      <c r="E115" s="1411"/>
      <c r="F115" s="1411"/>
      <c r="G115" s="1411"/>
      <c r="H115" s="1411"/>
      <c r="I115" s="1411"/>
      <c r="J115" s="53"/>
      <c r="K115" s="53"/>
      <c r="L115" s="53"/>
      <c r="M115" s="312"/>
      <c r="N115" s="312"/>
    </row>
    <row r="116" spans="3:14" x14ac:dyDescent="0.25">
      <c r="C116" s="125" t="s">
        <v>654</v>
      </c>
      <c r="D116" s="299"/>
      <c r="E116" s="299"/>
      <c r="F116" s="299"/>
      <c r="G116" s="299"/>
      <c r="H116" s="299"/>
      <c r="I116" s="299"/>
      <c r="J116" s="53"/>
      <c r="K116" s="53"/>
      <c r="L116" s="53"/>
      <c r="M116" s="312"/>
      <c r="N116" s="312"/>
    </row>
    <row r="117" spans="3:14" x14ac:dyDescent="0.25">
      <c r="C117" s="125" t="s">
        <v>1301</v>
      </c>
      <c r="D117" s="692"/>
      <c r="E117" s="692"/>
      <c r="F117" s="692"/>
      <c r="G117" s="692"/>
      <c r="H117" s="692"/>
      <c r="I117" s="692"/>
      <c r="J117" s="53"/>
      <c r="K117" s="53"/>
      <c r="L117" s="53"/>
      <c r="M117" s="312"/>
      <c r="N117" s="312"/>
    </row>
    <row r="118" spans="3:14" ht="15.75" thickBot="1" x14ac:dyDescent="0.3">
      <c r="C118" s="309" t="s">
        <v>655</v>
      </c>
      <c r="D118" s="299"/>
      <c r="E118" s="299"/>
      <c r="F118" s="299"/>
      <c r="G118" s="299"/>
      <c r="H118" s="299"/>
      <c r="I118" s="299"/>
      <c r="J118" s="53"/>
      <c r="K118" s="53"/>
      <c r="L118" s="53"/>
      <c r="M118" s="312"/>
      <c r="N118" s="312"/>
    </row>
    <row r="119" spans="3:14" ht="45.75" thickBot="1" x14ac:dyDescent="0.3">
      <c r="C119" s="299"/>
      <c r="D119" s="121" t="s">
        <v>590</v>
      </c>
      <c r="E119" s="121" t="s">
        <v>600</v>
      </c>
      <c r="F119" s="121" t="s">
        <v>596</v>
      </c>
      <c r="G119" s="121" t="s">
        <v>597</v>
      </c>
      <c r="H119" s="299"/>
      <c r="I119" s="299"/>
      <c r="J119" s="53"/>
      <c r="K119" s="53"/>
      <c r="L119" s="53"/>
      <c r="M119" s="312"/>
      <c r="N119" s="312"/>
    </row>
    <row r="120" spans="3:14" x14ac:dyDescent="0.25">
      <c r="C120" s="299"/>
      <c r="D120" s="478" t="s">
        <v>589</v>
      </c>
      <c r="E120" s="478">
        <f>1.45*(1+(H6+1.5)/100)+0.02</f>
        <v>1.409583333333333</v>
      </c>
      <c r="F120" s="478">
        <f>1.45*(1+(H6-1)/100)</f>
        <v>1.3533333333333331</v>
      </c>
      <c r="G120" s="718">
        <f>1.45*0.001</f>
        <v>1.4499999999999999E-3</v>
      </c>
      <c r="H120" s="53"/>
      <c r="I120" s="53"/>
      <c r="J120" s="53"/>
      <c r="K120" s="53"/>
      <c r="L120" s="53"/>
      <c r="M120" s="312"/>
      <c r="N120" s="312"/>
    </row>
    <row r="121" spans="3:14" ht="15.75" thickBot="1" x14ac:dyDescent="0.3">
      <c r="C121" s="692"/>
      <c r="D121" s="480" t="s">
        <v>1297</v>
      </c>
      <c r="E121" s="480">
        <f>0.9*(1+(H8+1.5)/100)+0.02</f>
        <v>0.97249999999999981</v>
      </c>
      <c r="F121" s="480">
        <f>0.9*(1+(H8-1)/100)</f>
        <v>0.92999999999999994</v>
      </c>
      <c r="G121" s="717">
        <f>0.9*0.001</f>
        <v>9.0000000000000008E-4</v>
      </c>
      <c r="H121" s="53"/>
      <c r="I121" s="53"/>
      <c r="J121" s="53"/>
      <c r="K121" s="53"/>
      <c r="L121" s="53"/>
      <c r="M121" s="312"/>
      <c r="N121" s="312"/>
    </row>
    <row r="122" spans="3:14" x14ac:dyDescent="0.25">
      <c r="C122" s="125" t="s">
        <v>598</v>
      </c>
      <c r="D122" s="299"/>
      <c r="E122" s="299"/>
      <c r="F122" s="299"/>
      <c r="G122" s="299"/>
      <c r="H122" s="299"/>
      <c r="I122" s="299"/>
      <c r="J122" s="53"/>
      <c r="K122" s="53"/>
      <c r="L122" s="53"/>
      <c r="M122" s="312"/>
      <c r="N122" s="312"/>
    </row>
    <row r="123" spans="3:14" x14ac:dyDescent="0.25">
      <c r="C123" s="125" t="s">
        <v>599</v>
      </c>
      <c r="D123" s="299"/>
      <c r="E123" s="299"/>
      <c r="F123" s="299"/>
      <c r="G123" s="299"/>
      <c r="H123" s="299"/>
      <c r="I123" s="299"/>
      <c r="J123" s="53"/>
      <c r="K123" s="53"/>
      <c r="L123" s="53"/>
      <c r="M123" s="312"/>
      <c r="N123" s="312"/>
    </row>
    <row r="124" spans="3:14" x14ac:dyDescent="0.25">
      <c r="C124" s="319" t="s">
        <v>602</v>
      </c>
      <c r="D124" s="299"/>
      <c r="E124" s="299"/>
      <c r="F124" s="299"/>
      <c r="G124" s="299"/>
      <c r="H124" s="299"/>
      <c r="I124" s="299"/>
      <c r="J124" s="53"/>
      <c r="K124" s="53"/>
      <c r="L124" s="53"/>
      <c r="M124" s="312"/>
      <c r="N124" s="312"/>
    </row>
    <row r="125" spans="3:14" x14ac:dyDescent="0.25">
      <c r="C125" s="319" t="s">
        <v>601</v>
      </c>
      <c r="D125" s="299"/>
      <c r="E125" s="299"/>
      <c r="F125" s="299"/>
      <c r="G125" s="299"/>
      <c r="H125" s="299"/>
      <c r="I125" s="299"/>
      <c r="J125" s="53"/>
      <c r="K125" s="53"/>
      <c r="L125" s="53"/>
      <c r="M125" s="312"/>
      <c r="N125" s="312"/>
    </row>
    <row r="126" spans="3:14" x14ac:dyDescent="0.25">
      <c r="C126" s="329" t="s">
        <v>1026</v>
      </c>
      <c r="D126" s="330"/>
      <c r="E126" s="330"/>
      <c r="F126" s="330"/>
      <c r="G126" s="63"/>
      <c r="H126" s="330"/>
      <c r="I126" s="299"/>
      <c r="J126" s="53"/>
      <c r="K126" s="53"/>
      <c r="L126" s="53"/>
      <c r="M126" s="312"/>
      <c r="N126" s="312"/>
    </row>
    <row r="127" spans="3:14" ht="15.75" thickBot="1" x14ac:dyDescent="0.3">
      <c r="C127" s="309" t="s">
        <v>603</v>
      </c>
      <c r="D127" s="299"/>
      <c r="E127" s="299"/>
      <c r="F127" s="299"/>
      <c r="G127" s="299"/>
      <c r="H127" s="299"/>
      <c r="I127" s="299"/>
      <c r="J127" s="53"/>
      <c r="K127" s="53"/>
      <c r="L127" s="53"/>
      <c r="M127" s="312"/>
      <c r="N127" s="312"/>
    </row>
    <row r="128" spans="3:14" ht="45.75" thickBot="1" x14ac:dyDescent="0.3">
      <c r="C128" s="299"/>
      <c r="D128" s="121" t="s">
        <v>590</v>
      </c>
      <c r="E128" s="121" t="s">
        <v>604</v>
      </c>
      <c r="F128" s="121" t="s">
        <v>605</v>
      </c>
      <c r="G128" s="121" t="s">
        <v>597</v>
      </c>
      <c r="H128" s="299"/>
      <c r="I128" s="299"/>
      <c r="J128" s="53"/>
      <c r="K128" s="53"/>
      <c r="L128" s="53"/>
      <c r="M128" s="312"/>
      <c r="N128" s="312"/>
    </row>
    <row r="129" spans="2:14" x14ac:dyDescent="0.25">
      <c r="C129" s="299"/>
      <c r="D129" s="478" t="s">
        <v>589</v>
      </c>
      <c r="E129" s="478">
        <f>1.45*(1+(H5-1.5)/100)</f>
        <v>1.4910833333333329</v>
      </c>
      <c r="F129" s="478">
        <f>1.45*(1+(H5+1)/100)+0.02</f>
        <v>1.5473333333333332</v>
      </c>
      <c r="G129" s="718">
        <f>1.45*0.001</f>
        <v>1.4499999999999999E-3</v>
      </c>
      <c r="H129" s="53"/>
      <c r="I129" s="53"/>
      <c r="J129" s="53"/>
      <c r="K129" s="53"/>
      <c r="L129" s="53"/>
      <c r="M129" s="312"/>
      <c r="N129" s="312"/>
    </row>
    <row r="130" spans="2:14" x14ac:dyDescent="0.25">
      <c r="C130" s="299"/>
      <c r="D130" s="479" t="s">
        <v>591</v>
      </c>
      <c r="E130" s="479">
        <f>M105*(1+(H7-1.5)/100)</f>
        <v>1.4489999999999998</v>
      </c>
      <c r="F130" s="479">
        <f>M105*(1+(H7+1)/100)+0.02</f>
        <v>1.504</v>
      </c>
      <c r="G130" s="719">
        <f>M105*0.001</f>
        <v>1.4E-3</v>
      </c>
      <c r="H130" s="53"/>
      <c r="I130" s="53"/>
      <c r="J130" s="53"/>
      <c r="K130" s="53"/>
      <c r="L130" s="53"/>
      <c r="M130" s="312"/>
      <c r="N130" s="312"/>
    </row>
    <row r="131" spans="2:14" ht="15.75" thickBot="1" x14ac:dyDescent="0.3">
      <c r="C131" s="692"/>
      <c r="D131" s="480" t="s">
        <v>1297</v>
      </c>
      <c r="E131" s="480">
        <f>0.9*(1+(H9+1.5)/100)+0.02</f>
        <v>0.88249999999999984</v>
      </c>
      <c r="F131" s="480">
        <f>0.9*(1+(H9-1)/100)</f>
        <v>0.83999999999999986</v>
      </c>
      <c r="G131" s="717">
        <f>0.9*0.001</f>
        <v>9.0000000000000008E-4</v>
      </c>
      <c r="H131" s="53"/>
      <c r="I131" s="53"/>
      <c r="J131" s="53"/>
      <c r="K131" s="53"/>
      <c r="L131" s="53"/>
      <c r="M131" s="312"/>
      <c r="N131" s="312"/>
    </row>
    <row r="132" spans="2:14" x14ac:dyDescent="0.25">
      <c r="C132" s="125" t="s">
        <v>606</v>
      </c>
      <c r="D132" s="299"/>
      <c r="E132" s="299"/>
      <c r="F132" s="299"/>
      <c r="G132" s="299"/>
      <c r="H132" s="299"/>
      <c r="I132" s="299"/>
      <c r="J132" s="53"/>
      <c r="K132" s="53"/>
      <c r="L132" s="53"/>
      <c r="M132" s="312"/>
      <c r="N132" s="312"/>
    </row>
    <row r="133" spans="2:14" x14ac:dyDescent="0.25">
      <c r="C133" s="125" t="s">
        <v>607</v>
      </c>
      <c r="D133" s="299"/>
      <c r="E133" s="299"/>
      <c r="F133" s="299"/>
      <c r="G133" s="299"/>
      <c r="H133" s="299"/>
      <c r="I133" s="299"/>
      <c r="J133" s="53"/>
      <c r="K133" s="53"/>
      <c r="L133" s="53"/>
      <c r="M133" s="312"/>
      <c r="N133" s="312"/>
    </row>
    <row r="134" spans="2:14" x14ac:dyDescent="0.25">
      <c r="C134" s="319" t="s">
        <v>608</v>
      </c>
      <c r="D134" s="299"/>
      <c r="E134" s="299"/>
      <c r="F134" s="299"/>
      <c r="G134" s="299"/>
      <c r="H134" s="299"/>
      <c r="I134" s="299"/>
      <c r="J134" s="53"/>
      <c r="K134" s="53"/>
      <c r="L134" s="53"/>
      <c r="M134" s="312"/>
      <c r="N134" s="312"/>
    </row>
    <row r="135" spans="2:14" x14ac:dyDescent="0.25">
      <c r="C135" s="319" t="s">
        <v>609</v>
      </c>
      <c r="D135" s="299"/>
      <c r="E135" s="299"/>
      <c r="F135" s="299"/>
      <c r="G135" s="299"/>
      <c r="H135" s="299"/>
      <c r="I135" s="299"/>
      <c r="J135" s="53"/>
      <c r="K135" s="53"/>
      <c r="L135" s="53"/>
      <c r="M135" s="312"/>
      <c r="N135" s="312"/>
    </row>
    <row r="136" spans="2:14" x14ac:dyDescent="0.25">
      <c r="C136" s="329" t="s">
        <v>1025</v>
      </c>
      <c r="D136" s="330"/>
      <c r="E136" s="330"/>
      <c r="F136" s="330"/>
      <c r="G136" s="330"/>
      <c r="H136" s="330"/>
      <c r="I136" s="299"/>
      <c r="J136" s="53"/>
      <c r="K136" s="53"/>
      <c r="L136" s="53"/>
      <c r="M136" s="312"/>
      <c r="N136" s="312"/>
    </row>
    <row r="138" spans="2:14" x14ac:dyDescent="0.25">
      <c r="B138" s="17" t="s">
        <v>56</v>
      </c>
    </row>
    <row r="139" spans="2:14" x14ac:dyDescent="0.25">
      <c r="C139" s="1" t="s">
        <v>595</v>
      </c>
    </row>
  </sheetData>
  <mergeCells count="26">
    <mergeCell ref="M43:M45"/>
    <mergeCell ref="N43:N45"/>
    <mergeCell ref="M112:M114"/>
    <mergeCell ref="N112:N114"/>
    <mergeCell ref="K12:K13"/>
    <mergeCell ref="N12:N13"/>
    <mergeCell ref="H3:J3"/>
    <mergeCell ref="D5:D7"/>
    <mergeCell ref="E5:E6"/>
    <mergeCell ref="C3:D3"/>
    <mergeCell ref="C5:C7"/>
    <mergeCell ref="E8:E9"/>
    <mergeCell ref="D8:D9"/>
    <mergeCell ref="L10:M13"/>
    <mergeCell ref="J12:J13"/>
    <mergeCell ref="B5:B13"/>
    <mergeCell ref="C115:I115"/>
    <mergeCell ref="C29:G29"/>
    <mergeCell ref="E10:E11"/>
    <mergeCell ref="D10:D13"/>
    <mergeCell ref="C10:C13"/>
    <mergeCell ref="C71:I71"/>
    <mergeCell ref="G12:G13"/>
    <mergeCell ref="H12:H13"/>
    <mergeCell ref="I12:I13"/>
    <mergeCell ref="E12:E13"/>
  </mergeCells>
  <phoneticPr fontId="7" type="noConversion"/>
  <hyperlinks>
    <hyperlink ref="B1" location="'RFE SOC FuseMap'!A1" display="RFE/SOC FuseMap" xr:uid="{CF66F8A2-4577-416A-BA61-6B5BA1C6E9BF}"/>
  </hyperlink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635FE-33A6-476A-A0A1-3A26F89B99AD}">
  <dimension ref="B1:R84"/>
  <sheetViews>
    <sheetView zoomScale="70" zoomScaleNormal="70" workbookViewId="0">
      <selection activeCell="A2" sqref="A2:XFD4"/>
    </sheetView>
  </sheetViews>
  <sheetFormatPr defaultRowHeight="15" x14ac:dyDescent="0.25"/>
  <cols>
    <col min="2" max="2" width="16.28515625" customWidth="1"/>
    <col min="3" max="3" width="4.85546875" customWidth="1"/>
    <col min="4" max="4" width="18.140625" customWidth="1"/>
    <col min="5" max="5" width="20.5703125" customWidth="1"/>
    <col min="6" max="6" width="21.85546875" bestFit="1" customWidth="1"/>
    <col min="7" max="7" width="16.5703125" customWidth="1"/>
    <col min="8" max="8" width="13.140625" customWidth="1"/>
    <col min="9" max="9" width="20.85546875" bestFit="1" customWidth="1"/>
    <col min="10" max="10" width="17.85546875" bestFit="1" customWidth="1"/>
    <col min="11" max="11" width="29.85546875" bestFit="1" customWidth="1"/>
    <col min="12" max="12" width="31.5703125" bestFit="1" customWidth="1"/>
    <col min="13" max="13" width="29.85546875" bestFit="1" customWidth="1"/>
    <col min="14" max="14" width="27.42578125" bestFit="1" customWidth="1"/>
    <col min="15" max="15" width="7.7109375" customWidth="1"/>
  </cols>
  <sheetData>
    <row r="1" spans="2:18" x14ac:dyDescent="0.25">
      <c r="B1" s="16" t="s">
        <v>1055</v>
      </c>
    </row>
    <row r="2" spans="2:18" ht="15.75" thickBot="1" x14ac:dyDescent="0.3"/>
    <row r="3" spans="2:18" ht="60.75" thickBot="1" x14ac:dyDescent="0.3">
      <c r="C3" s="1365" t="s">
        <v>0</v>
      </c>
      <c r="D3" s="1367"/>
      <c r="E3" s="293" t="s">
        <v>1</v>
      </c>
      <c r="F3" s="121" t="s">
        <v>63</v>
      </c>
      <c r="G3" s="298" t="s">
        <v>666</v>
      </c>
      <c r="H3" s="1392" t="s">
        <v>46</v>
      </c>
      <c r="I3" s="1394"/>
      <c r="J3" s="1393"/>
      <c r="K3" s="52" t="s">
        <v>61</v>
      </c>
      <c r="L3" s="296" t="s">
        <v>94</v>
      </c>
      <c r="M3" s="297" t="s">
        <v>96</v>
      </c>
      <c r="N3" s="293" t="s">
        <v>95</v>
      </c>
    </row>
    <row r="4" spans="2:18" x14ac:dyDescent="0.25">
      <c r="B4" s="294" t="s">
        <v>59</v>
      </c>
      <c r="C4" s="393"/>
      <c r="D4" s="441" t="s">
        <v>49</v>
      </c>
      <c r="E4" s="445" t="s">
        <v>49</v>
      </c>
      <c r="F4" s="55" t="s">
        <v>49</v>
      </c>
      <c r="G4" s="45" t="s">
        <v>49</v>
      </c>
      <c r="H4" s="48">
        <v>125</v>
      </c>
      <c r="I4" s="27">
        <v>25</v>
      </c>
      <c r="J4" s="37">
        <v>-40</v>
      </c>
      <c r="K4" s="33" t="s">
        <v>48</v>
      </c>
      <c r="L4" s="36" t="s">
        <v>49</v>
      </c>
      <c r="M4" s="82" t="s">
        <v>49</v>
      </c>
      <c r="N4" s="83" t="s">
        <v>49</v>
      </c>
    </row>
    <row r="5" spans="2:18" ht="45" customHeight="1" x14ac:dyDescent="0.25">
      <c r="B5" s="1437"/>
      <c r="C5" s="1440" t="s">
        <v>368</v>
      </c>
      <c r="D5" s="1439" t="s">
        <v>8</v>
      </c>
      <c r="E5" s="1453" t="s">
        <v>13</v>
      </c>
      <c r="F5" s="122" t="s">
        <v>14</v>
      </c>
      <c r="G5" s="457" t="s">
        <v>630</v>
      </c>
      <c r="H5" s="458">
        <v>4.3</v>
      </c>
      <c r="I5" s="459">
        <v>5.333333333333341</v>
      </c>
      <c r="J5" s="460">
        <v>4.9999999999999893</v>
      </c>
      <c r="K5" s="34" t="s">
        <v>66</v>
      </c>
      <c r="L5" s="39" t="s">
        <v>121</v>
      </c>
      <c r="M5" s="21" t="s">
        <v>119</v>
      </c>
      <c r="N5" s="79" t="s">
        <v>112</v>
      </c>
    </row>
    <row r="6" spans="2:18" ht="45" x14ac:dyDescent="0.25">
      <c r="B6" s="1438"/>
      <c r="C6" s="1454"/>
      <c r="D6" s="1439"/>
      <c r="E6" s="1453"/>
      <c r="F6" s="122" t="s">
        <v>15</v>
      </c>
      <c r="G6" s="457" t="s">
        <v>2038</v>
      </c>
      <c r="H6" s="458">
        <v>-5.7</v>
      </c>
      <c r="I6" s="459">
        <v>-4.666666666666659</v>
      </c>
      <c r="J6" s="460">
        <v>-5.0000000000000107</v>
      </c>
      <c r="K6" s="34" t="s">
        <v>66</v>
      </c>
      <c r="L6" s="39" t="s">
        <v>121</v>
      </c>
      <c r="M6" s="21" t="s">
        <v>120</v>
      </c>
      <c r="N6" s="79" t="s">
        <v>113</v>
      </c>
    </row>
    <row r="7" spans="2:18" ht="45" x14ac:dyDescent="0.25">
      <c r="B7" s="1438"/>
      <c r="C7" s="1158" t="s">
        <v>369</v>
      </c>
      <c r="D7" s="1419" t="s">
        <v>341</v>
      </c>
      <c r="E7" s="1455" t="s">
        <v>345</v>
      </c>
      <c r="F7" s="252" t="s">
        <v>346</v>
      </c>
      <c r="G7" s="457" t="s">
        <v>630</v>
      </c>
      <c r="H7" s="458">
        <v>4.3</v>
      </c>
      <c r="I7" s="459">
        <v>5.333333333333341</v>
      </c>
      <c r="J7" s="460">
        <v>4.9999999999999893</v>
      </c>
      <c r="K7" s="61" t="s">
        <v>66</v>
      </c>
      <c r="L7" s="1431" t="s">
        <v>370</v>
      </c>
      <c r="M7" s="1432"/>
      <c r="N7" s="79" t="s">
        <v>112</v>
      </c>
    </row>
    <row r="8" spans="2:18" ht="45" x14ac:dyDescent="0.25">
      <c r="B8" s="1452"/>
      <c r="C8" s="1150"/>
      <c r="D8" s="1421"/>
      <c r="E8" s="1455"/>
      <c r="F8" s="252" t="s">
        <v>347</v>
      </c>
      <c r="G8" s="457" t="s">
        <v>2038</v>
      </c>
      <c r="H8" s="458">
        <v>-5.7</v>
      </c>
      <c r="I8" s="459">
        <v>-4.666666666666659</v>
      </c>
      <c r="J8" s="460">
        <v>-5.0000000000000107</v>
      </c>
      <c r="K8" s="61" t="s">
        <v>66</v>
      </c>
      <c r="L8" s="1433"/>
      <c r="M8" s="1434"/>
      <c r="N8" s="79" t="s">
        <v>113</v>
      </c>
    </row>
    <row r="9" spans="2:18" ht="15.75" thickBot="1" x14ac:dyDescent="0.3">
      <c r="B9" s="295" t="s">
        <v>60</v>
      </c>
      <c r="C9" s="394"/>
      <c r="D9" s="443" t="s">
        <v>49</v>
      </c>
      <c r="E9" s="446" t="s">
        <v>49</v>
      </c>
      <c r="F9" s="56" t="s">
        <v>49</v>
      </c>
      <c r="G9" s="47" t="s">
        <v>49</v>
      </c>
      <c r="H9" s="51" t="s">
        <v>372</v>
      </c>
      <c r="I9" s="29"/>
      <c r="J9" s="41"/>
      <c r="K9" s="35" t="s">
        <v>49</v>
      </c>
      <c r="L9" s="40" t="s">
        <v>49</v>
      </c>
      <c r="M9" s="80" t="s">
        <v>49</v>
      </c>
      <c r="N9" s="81" t="s">
        <v>49</v>
      </c>
    </row>
    <row r="10" spans="2:18" x14ac:dyDescent="0.25">
      <c r="B10" t="s">
        <v>58</v>
      </c>
    </row>
    <row r="11" spans="2:18" x14ac:dyDescent="0.25">
      <c r="B11" s="17" t="s">
        <v>1023</v>
      </c>
    </row>
    <row r="12" spans="2:18" x14ac:dyDescent="0.25">
      <c r="B12" t="s">
        <v>50</v>
      </c>
    </row>
    <row r="14" spans="2:18" x14ac:dyDescent="0.25">
      <c r="B14" s="17" t="s">
        <v>822</v>
      </c>
      <c r="C14" s="63" t="s">
        <v>2120</v>
      </c>
      <c r="M14" s="280"/>
      <c r="N14" s="280"/>
      <c r="O14" s="280"/>
      <c r="P14" s="280"/>
      <c r="Q14" s="280"/>
      <c r="R14" s="280"/>
    </row>
    <row r="15" spans="2:18" x14ac:dyDescent="0.25">
      <c r="M15" s="280"/>
      <c r="N15" s="280"/>
      <c r="O15" s="280"/>
      <c r="P15" s="280"/>
      <c r="Q15" s="280"/>
      <c r="R15" s="280"/>
    </row>
    <row r="16" spans="2:18" x14ac:dyDescent="0.25">
      <c r="B16" s="17" t="s">
        <v>51</v>
      </c>
      <c r="M16" s="280"/>
      <c r="N16" s="280"/>
      <c r="O16" s="280"/>
      <c r="P16" s="280"/>
      <c r="Q16" s="280"/>
      <c r="R16" s="280"/>
    </row>
    <row r="17" spans="2:15" x14ac:dyDescent="0.25">
      <c r="C17" s="63" t="s">
        <v>2023</v>
      </c>
      <c r="D17" s="18"/>
    </row>
    <row r="19" spans="2:15" x14ac:dyDescent="0.25">
      <c r="B19" s="17" t="s">
        <v>53</v>
      </c>
    </row>
    <row r="20" spans="2:15" x14ac:dyDescent="0.25">
      <c r="C20" s="1" t="s">
        <v>271</v>
      </c>
      <c r="D20" s="18"/>
    </row>
    <row r="21" spans="2:15" x14ac:dyDescent="0.25">
      <c r="C21" s="1" t="s">
        <v>272</v>
      </c>
    </row>
    <row r="22" spans="2:15" x14ac:dyDescent="0.25">
      <c r="C22" s="1"/>
    </row>
    <row r="23" spans="2:15" x14ac:dyDescent="0.25">
      <c r="B23" s="17" t="s">
        <v>633</v>
      </c>
      <c r="C23" s="1"/>
    </row>
    <row r="24" spans="2:15" ht="46.5" customHeight="1" x14ac:dyDescent="0.25">
      <c r="C24" s="1372" t="s">
        <v>632</v>
      </c>
      <c r="D24" s="1372"/>
      <c r="E24" s="1372"/>
      <c r="F24" s="1372"/>
      <c r="G24" s="1372"/>
    </row>
    <row r="25" spans="2:15" ht="15.75" thickBot="1" x14ac:dyDescent="0.3">
      <c r="C25" s="325"/>
      <c r="D25" s="325"/>
      <c r="E25" s="325"/>
      <c r="F25" s="325"/>
      <c r="G25" s="325"/>
    </row>
    <row r="26" spans="2:15" ht="35.25" customHeight="1" thickBot="1" x14ac:dyDescent="0.3">
      <c r="B26" s="17" t="s">
        <v>55</v>
      </c>
      <c r="I26" s="121" t="s">
        <v>1</v>
      </c>
      <c r="J26" s="126" t="s">
        <v>94</v>
      </c>
      <c r="K26" s="127" t="s">
        <v>96</v>
      </c>
      <c r="L26" s="121" t="s">
        <v>896</v>
      </c>
      <c r="M26" s="121" t="s">
        <v>897</v>
      </c>
      <c r="N26" s="296" t="s">
        <v>280</v>
      </c>
      <c r="O26" s="127" t="s">
        <v>279</v>
      </c>
    </row>
    <row r="27" spans="2:15" ht="15.75" thickBot="1" x14ac:dyDescent="0.3">
      <c r="B27" s="17"/>
      <c r="C27" s="123"/>
      <c r="D27" s="57"/>
      <c r="I27" s="129" t="s">
        <v>49</v>
      </c>
      <c r="J27" s="130" t="s">
        <v>49</v>
      </c>
      <c r="K27" s="131" t="s">
        <v>49</v>
      </c>
      <c r="L27" s="129" t="s">
        <v>49</v>
      </c>
      <c r="M27" s="129" t="s">
        <v>49</v>
      </c>
      <c r="N27" s="130" t="s">
        <v>49</v>
      </c>
      <c r="O27" s="131" t="s">
        <v>49</v>
      </c>
    </row>
    <row r="28" spans="2:15" x14ac:dyDescent="0.25">
      <c r="B28" s="17"/>
      <c r="C28" s="320" t="s">
        <v>274</v>
      </c>
      <c r="D28" s="57"/>
      <c r="I28" s="79" t="s">
        <v>13</v>
      </c>
      <c r="J28" s="39" t="s">
        <v>121</v>
      </c>
      <c r="K28" s="21" t="s">
        <v>294</v>
      </c>
      <c r="L28" s="79" t="s">
        <v>297</v>
      </c>
      <c r="M28" s="79" t="s">
        <v>297</v>
      </c>
      <c r="N28" s="307">
        <v>1.8</v>
      </c>
      <c r="O28" s="21" t="str">
        <f>DEC2BIN((N28-0.6)/0.05,5)</f>
        <v>11000</v>
      </c>
    </row>
    <row r="29" spans="2:15" x14ac:dyDescent="0.25">
      <c r="B29" s="17"/>
      <c r="C29" s="320" t="s">
        <v>275</v>
      </c>
      <c r="D29" s="57"/>
      <c r="I29" s="79" t="s">
        <v>13</v>
      </c>
      <c r="J29" s="39" t="s">
        <v>121</v>
      </c>
      <c r="K29" s="21" t="s">
        <v>300</v>
      </c>
      <c r="L29" s="79" t="s">
        <v>303</v>
      </c>
      <c r="M29" s="79" t="s">
        <v>303</v>
      </c>
      <c r="N29" s="307">
        <v>5</v>
      </c>
      <c r="O29" s="21" t="str">
        <f>DEC2BIN((N29)/2.5,3)</f>
        <v>010</v>
      </c>
    </row>
    <row r="30" spans="2:15" x14ac:dyDescent="0.25">
      <c r="B30" s="17"/>
      <c r="C30" s="320" t="s">
        <v>276</v>
      </c>
      <c r="D30" s="57"/>
      <c r="F30" s="143"/>
      <c r="I30" s="79" t="s">
        <v>13</v>
      </c>
      <c r="J30" s="39" t="s">
        <v>121</v>
      </c>
      <c r="K30" s="21" t="s">
        <v>310</v>
      </c>
      <c r="L30" s="79" t="s">
        <v>305</v>
      </c>
      <c r="M30" s="79" t="s">
        <v>305</v>
      </c>
      <c r="N30" s="307">
        <v>-5</v>
      </c>
      <c r="O30" s="21" t="str">
        <f>DEC2BIN((-N30)/2.5,3)</f>
        <v>010</v>
      </c>
    </row>
    <row r="31" spans="2:15" ht="57" customHeight="1" x14ac:dyDescent="0.25">
      <c r="B31" s="17"/>
      <c r="C31" s="320" t="s">
        <v>610</v>
      </c>
      <c r="D31" s="57"/>
      <c r="I31" s="79" t="s">
        <v>13</v>
      </c>
      <c r="J31" s="39" t="s">
        <v>121</v>
      </c>
      <c r="K31" s="21" t="s">
        <v>313</v>
      </c>
      <c r="L31" s="79" t="s">
        <v>308</v>
      </c>
      <c r="M31" s="79" t="s">
        <v>308</v>
      </c>
      <c r="N31" s="322" t="s">
        <v>314</v>
      </c>
      <c r="O31" s="21" t="s">
        <v>281</v>
      </c>
    </row>
    <row r="32" spans="2:15" s="53" customFormat="1" x14ac:dyDescent="0.25">
      <c r="B32" s="308"/>
      <c r="C32" s="321" t="s">
        <v>611</v>
      </c>
      <c r="D32" s="310"/>
      <c r="I32" s="79" t="s">
        <v>615</v>
      </c>
      <c r="J32" s="39" t="s">
        <v>612</v>
      </c>
      <c r="K32" s="21" t="s">
        <v>613</v>
      </c>
      <c r="L32" s="336" t="s">
        <v>583</v>
      </c>
      <c r="M32" s="336" t="s">
        <v>898</v>
      </c>
      <c r="N32" s="323" t="s">
        <v>625</v>
      </c>
      <c r="O32" s="21" t="s">
        <v>614</v>
      </c>
    </row>
    <row r="33" spans="2:15" s="53" customFormat="1" ht="30" customHeight="1" x14ac:dyDescent="0.25">
      <c r="B33" s="308"/>
      <c r="C33" s="1456" t="s">
        <v>682</v>
      </c>
      <c r="D33" s="1456"/>
      <c r="E33" s="1456"/>
      <c r="F33" s="1456"/>
      <c r="G33" s="1456"/>
      <c r="H33" s="299"/>
      <c r="I33" s="79" t="s">
        <v>616</v>
      </c>
      <c r="J33" s="39" t="s">
        <v>105</v>
      </c>
      <c r="K33" s="21" t="s">
        <v>103</v>
      </c>
      <c r="L33" s="336" t="s">
        <v>107</v>
      </c>
      <c r="M33" s="336" t="s">
        <v>893</v>
      </c>
      <c r="N33" s="312"/>
      <c r="O33" s="312"/>
    </row>
    <row r="34" spans="2:15" s="53" customFormat="1" ht="30.75" customHeight="1" x14ac:dyDescent="0.25">
      <c r="B34" s="308"/>
      <c r="C34" s="1457" t="s">
        <v>1340</v>
      </c>
      <c r="D34" s="1457"/>
      <c r="E34" s="1457"/>
      <c r="F34" s="1457"/>
      <c r="G34" s="1457"/>
      <c r="H34" s="299"/>
      <c r="I34" t="s">
        <v>617</v>
      </c>
      <c r="J34"/>
      <c r="K34"/>
      <c r="L34" s="313"/>
      <c r="M34" s="313"/>
      <c r="N34" s="312"/>
      <c r="O34" s="312"/>
    </row>
    <row r="35" spans="2:15" s="53" customFormat="1" x14ac:dyDescent="0.25">
      <c r="B35" s="308"/>
      <c r="C35" s="733" t="s">
        <v>1339</v>
      </c>
      <c r="D35" s="57"/>
      <c r="E35" s="299"/>
      <c r="F35" s="299"/>
      <c r="G35" s="299"/>
      <c r="H35" s="299"/>
      <c r="I35"/>
      <c r="J35"/>
      <c r="K35"/>
      <c r="L35" s="313"/>
      <c r="M35" s="313"/>
      <c r="N35" s="312"/>
      <c r="O35" s="312"/>
    </row>
    <row r="36" spans="2:15" s="53" customFormat="1" x14ac:dyDescent="0.25">
      <c r="B36" s="308"/>
      <c r="D36" s="57"/>
      <c r="E36" s="299"/>
      <c r="F36" s="299"/>
      <c r="G36" s="299"/>
      <c r="H36" s="299"/>
      <c r="I36"/>
      <c r="J36"/>
      <c r="K36"/>
      <c r="L36" s="313"/>
      <c r="M36" s="313"/>
      <c r="N36" s="312"/>
      <c r="O36" s="312"/>
    </row>
    <row r="37" spans="2:15" s="53" customFormat="1" ht="45" customHeight="1" x14ac:dyDescent="0.25">
      <c r="B37" s="308"/>
      <c r="C37" s="299"/>
      <c r="D37" s="299"/>
      <c r="E37" s="299"/>
      <c r="F37" s="299"/>
      <c r="G37" s="299"/>
      <c r="H37" s="299"/>
      <c r="I37"/>
      <c r="J37"/>
      <c r="K37"/>
      <c r="L37" s="313"/>
      <c r="M37" s="313"/>
      <c r="N37" s="312"/>
      <c r="O37" s="312"/>
    </row>
    <row r="38" spans="2:15" s="53" customFormat="1" x14ac:dyDescent="0.25">
      <c r="B38" s="308"/>
      <c r="C38" s="299"/>
      <c r="D38" s="299"/>
      <c r="E38" s="299"/>
      <c r="F38" s="299"/>
      <c r="G38" s="299"/>
      <c r="H38" s="299"/>
      <c r="I38"/>
      <c r="J38"/>
      <c r="K38"/>
      <c r="L38" s="313"/>
      <c r="M38" s="313"/>
      <c r="N38" s="312"/>
      <c r="O38" s="312"/>
    </row>
    <row r="39" spans="2:15" s="53" customFormat="1" x14ac:dyDescent="0.25">
      <c r="B39" s="308"/>
      <c r="C39" s="299"/>
      <c r="D39" s="299"/>
      <c r="E39" s="299"/>
      <c r="F39" s="299"/>
      <c r="G39" s="299"/>
      <c r="H39" s="299"/>
      <c r="I39"/>
      <c r="J39"/>
      <c r="K39"/>
      <c r="L39" s="313"/>
      <c r="M39" s="313"/>
      <c r="N39" s="312"/>
      <c r="O39" s="312"/>
    </row>
    <row r="40" spans="2:15" s="53" customFormat="1" x14ac:dyDescent="0.25">
      <c r="B40" s="308"/>
      <c r="C40" s="299"/>
      <c r="D40" s="299"/>
      <c r="E40" s="299"/>
      <c r="F40" s="299"/>
      <c r="G40" s="299"/>
      <c r="H40" s="299"/>
      <c r="I40"/>
      <c r="J40"/>
      <c r="K40"/>
      <c r="L40" s="313"/>
      <c r="M40" s="313"/>
      <c r="N40" s="312"/>
      <c r="O40" s="312"/>
    </row>
    <row r="41" spans="2:15" s="53" customFormat="1" x14ac:dyDescent="0.25">
      <c r="B41" s="308"/>
      <c r="C41" s="299"/>
      <c r="D41" s="299"/>
      <c r="E41" s="299"/>
      <c r="F41" s="299"/>
      <c r="G41" s="299"/>
      <c r="H41" s="299"/>
      <c r="I41"/>
      <c r="J41"/>
      <c r="K41"/>
      <c r="L41" s="313"/>
      <c r="M41" s="313"/>
      <c r="N41" s="312"/>
      <c r="O41" s="312"/>
    </row>
    <row r="42" spans="2:15" s="53" customFormat="1" x14ac:dyDescent="0.25">
      <c r="B42" s="308"/>
      <c r="C42" s="299"/>
      <c r="D42" s="299"/>
      <c r="E42" s="299"/>
      <c r="F42" s="299"/>
      <c r="G42" s="299"/>
      <c r="H42" s="299"/>
      <c r="I42"/>
      <c r="J42"/>
      <c r="K42"/>
      <c r="L42" s="313"/>
      <c r="M42" s="313"/>
      <c r="N42" s="312"/>
      <c r="O42" s="312"/>
    </row>
    <row r="43" spans="2:15" s="53" customFormat="1" x14ac:dyDescent="0.25">
      <c r="B43" s="308"/>
      <c r="C43" s="299"/>
      <c r="D43" s="299"/>
      <c r="E43" s="299"/>
      <c r="F43" s="299"/>
      <c r="G43" s="299"/>
      <c r="H43" s="299"/>
      <c r="I43"/>
      <c r="J43"/>
      <c r="K43"/>
      <c r="L43" s="313"/>
      <c r="M43" s="313"/>
      <c r="N43" s="312"/>
      <c r="O43" s="312"/>
    </row>
    <row r="44" spans="2:15" s="53" customFormat="1" x14ac:dyDescent="0.25">
      <c r="B44" s="308"/>
      <c r="C44" s="299"/>
      <c r="D44" s="299"/>
      <c r="E44" s="299"/>
      <c r="F44" s="299"/>
      <c r="G44" s="299"/>
      <c r="H44" s="299"/>
      <c r="I44"/>
      <c r="J44"/>
      <c r="K44"/>
      <c r="L44" s="313"/>
      <c r="M44" s="313"/>
      <c r="N44" s="312"/>
      <c r="O44" s="312"/>
    </row>
    <row r="45" spans="2:15" s="53" customFormat="1" x14ac:dyDescent="0.25">
      <c r="B45" s="308"/>
      <c r="C45" s="299"/>
      <c r="D45" s="299"/>
      <c r="E45" s="299"/>
      <c r="F45" s="299"/>
      <c r="G45" s="299"/>
      <c r="H45" s="299"/>
      <c r="I45"/>
      <c r="J45"/>
      <c r="K45"/>
      <c r="L45" s="313"/>
      <c r="M45" s="313"/>
      <c r="N45" s="312"/>
      <c r="O45" s="312"/>
    </row>
    <row r="46" spans="2:15" s="53" customFormat="1" x14ac:dyDescent="0.25">
      <c r="B46" s="308"/>
      <c r="C46" s="299"/>
      <c r="D46" s="299"/>
      <c r="E46" s="299"/>
      <c r="F46" s="299"/>
      <c r="G46" s="299"/>
      <c r="H46" s="299"/>
      <c r="I46"/>
      <c r="J46"/>
      <c r="K46"/>
      <c r="L46" s="313"/>
      <c r="M46" s="313"/>
      <c r="N46" s="312"/>
      <c r="O46" s="312"/>
    </row>
    <row r="47" spans="2:15" s="53" customFormat="1" x14ac:dyDescent="0.25">
      <c r="B47" s="308"/>
      <c r="C47" s="213" t="str">
        <f>"Select the BG code to get the HVLDO output voltage the closest to 1.8V "&amp;H6&amp;"%"</f>
        <v>Select the BG code to get the HVLDO output voltage the closest to 1.8V -5.7%</v>
      </c>
      <c r="D47" s="299"/>
      <c r="E47" s="299"/>
      <c r="F47" s="299"/>
      <c r="G47" s="299"/>
      <c r="H47" s="299"/>
      <c r="I47" s="79" t="s">
        <v>616</v>
      </c>
      <c r="J47" s="39" t="s">
        <v>105</v>
      </c>
      <c r="K47" s="21" t="s">
        <v>103</v>
      </c>
      <c r="L47" s="336" t="s">
        <v>107</v>
      </c>
      <c r="M47" s="336" t="s">
        <v>893</v>
      </c>
      <c r="N47" s="312"/>
      <c r="O47" s="312"/>
    </row>
    <row r="48" spans="2:15" s="53" customFormat="1" x14ac:dyDescent="0.25">
      <c r="B48" s="308"/>
      <c r="C48" s="291" t="s">
        <v>2033</v>
      </c>
      <c r="I48" s="79" t="s">
        <v>13</v>
      </c>
      <c r="J48" s="307" t="s">
        <v>121</v>
      </c>
      <c r="K48" s="773" t="s">
        <v>120</v>
      </c>
      <c r="L48" s="336" t="s">
        <v>113</v>
      </c>
      <c r="M48" s="336" t="s">
        <v>113</v>
      </c>
    </row>
    <row r="49" spans="2:15" ht="30.75" customHeight="1" x14ac:dyDescent="0.25">
      <c r="B49" s="17"/>
      <c r="C49" s="1411" t="s">
        <v>594</v>
      </c>
      <c r="D49" s="1411"/>
      <c r="E49" s="1411"/>
      <c r="F49" s="1411"/>
      <c r="G49" s="1411"/>
      <c r="L49" s="63"/>
      <c r="M49" s="63"/>
    </row>
    <row r="50" spans="2:15" s="53" customFormat="1" x14ac:dyDescent="0.25">
      <c r="B50" s="308"/>
      <c r="C50" s="321" t="s">
        <v>618</v>
      </c>
      <c r="D50" s="310"/>
      <c r="I50" s="79" t="s">
        <v>615</v>
      </c>
      <c r="J50" s="39" t="s">
        <v>612</v>
      </c>
      <c r="K50" s="21" t="s">
        <v>613</v>
      </c>
      <c r="L50" s="336" t="s">
        <v>583</v>
      </c>
      <c r="M50" s="336" t="s">
        <v>898</v>
      </c>
      <c r="N50" s="307" t="s">
        <v>619</v>
      </c>
      <c r="O50" s="21" t="s">
        <v>620</v>
      </c>
    </row>
    <row r="51" spans="2:15" s="53" customFormat="1" ht="30" customHeight="1" x14ac:dyDescent="0.25">
      <c r="B51" s="308"/>
      <c r="C51" s="1456" t="s">
        <v>682</v>
      </c>
      <c r="D51" s="1456"/>
      <c r="E51" s="1456"/>
      <c r="F51" s="1456"/>
      <c r="G51" s="1456"/>
      <c r="H51" s="299"/>
      <c r="I51" s="79" t="s">
        <v>616</v>
      </c>
      <c r="J51" s="39" t="s">
        <v>105</v>
      </c>
      <c r="K51" s="21" t="s">
        <v>103</v>
      </c>
      <c r="L51" s="336" t="s">
        <v>107</v>
      </c>
      <c r="M51" s="336" t="s">
        <v>893</v>
      </c>
      <c r="N51" s="312"/>
      <c r="O51" s="312"/>
    </row>
    <row r="52" spans="2:15" s="53" customFormat="1" x14ac:dyDescent="0.25">
      <c r="B52" s="308"/>
      <c r="C52" s="213" t="str">
        <f>"Select the BG code to get the HVLDO output voltage the closest to 1.8V +"&amp;H5&amp;"%"</f>
        <v>Select the BG code to get the HVLDO output voltage the closest to 1.8V +4.3%</v>
      </c>
      <c r="D52" s="299"/>
      <c r="E52" s="299"/>
      <c r="F52" s="299"/>
      <c r="G52" s="299"/>
      <c r="H52" s="299"/>
      <c r="I52" s="79" t="s">
        <v>616</v>
      </c>
      <c r="J52" s="39" t="s">
        <v>105</v>
      </c>
      <c r="K52" s="21" t="s">
        <v>103</v>
      </c>
      <c r="L52" s="336" t="s">
        <v>107</v>
      </c>
      <c r="M52" s="336" t="s">
        <v>893</v>
      </c>
      <c r="N52" s="312"/>
      <c r="O52" s="312"/>
    </row>
    <row r="53" spans="2:15" x14ac:dyDescent="0.25">
      <c r="C53" s="291" t="s">
        <v>2034</v>
      </c>
      <c r="D53" s="318"/>
      <c r="E53" s="63"/>
      <c r="F53" s="63"/>
      <c r="G53" s="63"/>
      <c r="H53" s="63"/>
      <c r="I53" s="79" t="s">
        <v>13</v>
      </c>
      <c r="J53" s="307" t="s">
        <v>121</v>
      </c>
      <c r="K53" s="336" t="s">
        <v>119</v>
      </c>
      <c r="L53" s="336" t="s">
        <v>112</v>
      </c>
      <c r="M53" s="336" t="s">
        <v>112</v>
      </c>
    </row>
    <row r="54" spans="2:15" ht="47.25" customHeight="1" x14ac:dyDescent="0.25">
      <c r="B54" s="17"/>
      <c r="C54" s="1411" t="s">
        <v>593</v>
      </c>
      <c r="D54" s="1411"/>
      <c r="E54" s="1411"/>
      <c r="F54" s="1411"/>
      <c r="G54" s="1411"/>
      <c r="L54" s="63"/>
      <c r="M54" s="63"/>
    </row>
    <row r="55" spans="2:15" x14ac:dyDescent="0.25">
      <c r="B55" s="17"/>
      <c r="C55" s="291" t="s">
        <v>624</v>
      </c>
      <c r="D55" s="57"/>
      <c r="I55" s="79" t="s">
        <v>615</v>
      </c>
      <c r="J55" s="39" t="s">
        <v>612</v>
      </c>
      <c r="K55" s="21" t="s">
        <v>613</v>
      </c>
      <c r="L55" s="336" t="s">
        <v>583</v>
      </c>
      <c r="M55" s="336" t="s">
        <v>898</v>
      </c>
      <c r="N55" s="307" t="s">
        <v>621</v>
      </c>
      <c r="O55" s="21" t="s">
        <v>622</v>
      </c>
    </row>
    <row r="56" spans="2:15" x14ac:dyDescent="0.25">
      <c r="C56" s="291" t="s">
        <v>623</v>
      </c>
      <c r="D56" s="18"/>
    </row>
    <row r="57" spans="2:15" x14ac:dyDescent="0.25">
      <c r="C57" s="291"/>
      <c r="D57" s="18"/>
    </row>
    <row r="58" spans="2:15" x14ac:dyDescent="0.25">
      <c r="B58" s="17" t="s">
        <v>1174</v>
      </c>
    </row>
    <row r="59" spans="2:15" x14ac:dyDescent="0.25">
      <c r="C59" s="320" t="s">
        <v>274</v>
      </c>
      <c r="D59" s="57"/>
      <c r="I59" s="79" t="s">
        <v>13</v>
      </c>
      <c r="J59" s="39" t="s">
        <v>121</v>
      </c>
      <c r="K59" s="21" t="s">
        <v>294</v>
      </c>
      <c r="L59" s="79" t="s">
        <v>297</v>
      </c>
      <c r="M59" s="79" t="s">
        <v>297</v>
      </c>
      <c r="N59" s="307">
        <v>1.8</v>
      </c>
      <c r="O59" s="21" t="str">
        <f>DEC2BIN((N59-0.6)/0.05,5)</f>
        <v>11000</v>
      </c>
    </row>
    <row r="60" spans="2:15" x14ac:dyDescent="0.25">
      <c r="C60" s="320" t="s">
        <v>275</v>
      </c>
      <c r="D60" s="57"/>
      <c r="I60" s="79" t="s">
        <v>13</v>
      </c>
      <c r="J60" s="39" t="s">
        <v>121</v>
      </c>
      <c r="K60" s="21" t="s">
        <v>300</v>
      </c>
      <c r="L60" s="79" t="s">
        <v>303</v>
      </c>
      <c r="M60" s="79" t="s">
        <v>303</v>
      </c>
      <c r="N60" s="307">
        <v>5</v>
      </c>
      <c r="O60" s="21" t="str">
        <f>DEC2BIN((N60)/2.5,3)</f>
        <v>010</v>
      </c>
    </row>
    <row r="61" spans="2:15" x14ac:dyDescent="0.25">
      <c r="C61" s="320" t="s">
        <v>276</v>
      </c>
      <c r="D61" s="57"/>
      <c r="I61" s="79" t="s">
        <v>13</v>
      </c>
      <c r="J61" s="39" t="s">
        <v>121</v>
      </c>
      <c r="K61" s="21" t="s">
        <v>310</v>
      </c>
      <c r="L61" s="79" t="s">
        <v>305</v>
      </c>
      <c r="M61" s="79" t="s">
        <v>305</v>
      </c>
      <c r="N61" s="307">
        <v>-5</v>
      </c>
      <c r="O61" s="21" t="str">
        <f>DEC2BIN((-N61)/2.5,3)</f>
        <v>010</v>
      </c>
    </row>
    <row r="62" spans="2:15" ht="45" x14ac:dyDescent="0.25">
      <c r="C62" s="320" t="s">
        <v>610</v>
      </c>
      <c r="D62" s="57"/>
      <c r="I62" s="79" t="s">
        <v>13</v>
      </c>
      <c r="J62" s="39" t="s">
        <v>121</v>
      </c>
      <c r="K62" s="21" t="s">
        <v>313</v>
      </c>
      <c r="L62" s="79" t="s">
        <v>308</v>
      </c>
      <c r="M62" s="79" t="s">
        <v>308</v>
      </c>
      <c r="N62" s="322" t="s">
        <v>314</v>
      </c>
      <c r="O62" s="21" t="s">
        <v>281</v>
      </c>
    </row>
    <row r="63" spans="2:15" x14ac:dyDescent="0.25">
      <c r="C63" s="321" t="s">
        <v>611</v>
      </c>
      <c r="D63" s="310"/>
      <c r="E63" s="53"/>
      <c r="F63" s="53"/>
      <c r="G63" s="53"/>
      <c r="H63" s="53"/>
      <c r="I63" s="79" t="s">
        <v>615</v>
      </c>
      <c r="J63" s="39" t="s">
        <v>612</v>
      </c>
      <c r="K63" s="21" t="s">
        <v>613</v>
      </c>
      <c r="L63" s="79" t="s">
        <v>583</v>
      </c>
      <c r="M63" s="79" t="s">
        <v>898</v>
      </c>
      <c r="N63" s="323" t="s">
        <v>625</v>
      </c>
      <c r="O63" s="21" t="s">
        <v>614</v>
      </c>
    </row>
    <row r="64" spans="2:15" x14ac:dyDescent="0.25">
      <c r="C64" s="1456" t="s">
        <v>2011</v>
      </c>
      <c r="D64" s="1456"/>
      <c r="E64" s="1456"/>
      <c r="F64" s="1456"/>
      <c r="G64" s="1456"/>
      <c r="H64" s="299"/>
      <c r="I64" s="79" t="s">
        <v>616</v>
      </c>
      <c r="J64" s="39" t="s">
        <v>105</v>
      </c>
      <c r="K64" s="21" t="s">
        <v>103</v>
      </c>
      <c r="L64" s="79" t="s">
        <v>107</v>
      </c>
      <c r="M64" s="79" t="s">
        <v>893</v>
      </c>
      <c r="N64" s="312"/>
      <c r="O64" s="312"/>
    </row>
    <row r="65" spans="2:15" x14ac:dyDescent="0.25">
      <c r="C65" s="291" t="s">
        <v>626</v>
      </c>
      <c r="D65" s="280"/>
      <c r="E65" s="280"/>
      <c r="F65" s="280"/>
      <c r="G65" s="280"/>
      <c r="H65" s="280"/>
      <c r="I65" s="280"/>
      <c r="J65" s="53"/>
      <c r="K65" s="53"/>
      <c r="L65" s="53"/>
      <c r="M65" s="53"/>
      <c r="N65" s="312"/>
      <c r="O65" s="312"/>
    </row>
    <row r="66" spans="2:15" x14ac:dyDescent="0.25">
      <c r="C66" s="291" t="s">
        <v>683</v>
      </c>
      <c r="D66" s="280"/>
      <c r="E66" s="280"/>
      <c r="F66" s="280"/>
      <c r="G66" s="280"/>
      <c r="H66" s="280"/>
      <c r="I66" s="280"/>
      <c r="J66" s="53"/>
      <c r="K66" s="53"/>
      <c r="L66" s="53"/>
      <c r="M66" s="53"/>
      <c r="N66" s="312"/>
      <c r="O66" s="312"/>
    </row>
    <row r="67" spans="2:15" x14ac:dyDescent="0.25">
      <c r="C67" s="291" t="s">
        <v>599</v>
      </c>
      <c r="D67" s="299"/>
      <c r="E67" s="299"/>
      <c r="F67" s="299"/>
      <c r="G67" s="299"/>
      <c r="H67" s="299"/>
      <c r="I67" s="299"/>
      <c r="J67" s="53"/>
      <c r="K67" s="53"/>
      <c r="L67" s="53"/>
      <c r="M67" s="53"/>
      <c r="N67" s="312"/>
      <c r="O67" s="312"/>
    </row>
    <row r="68" spans="2:15" x14ac:dyDescent="0.25">
      <c r="C68" s="125" t="s">
        <v>627</v>
      </c>
      <c r="D68" s="299"/>
      <c r="E68" s="299"/>
      <c r="F68" s="299"/>
      <c r="G68" s="299"/>
      <c r="H68" s="299"/>
      <c r="I68" s="299"/>
      <c r="J68" s="53"/>
      <c r="K68" s="53"/>
      <c r="L68" s="53"/>
      <c r="M68" s="53"/>
      <c r="N68" s="312"/>
      <c r="O68" s="312"/>
    </row>
    <row r="69" spans="2:15" x14ac:dyDescent="0.25">
      <c r="C69" s="125" t="s">
        <v>676</v>
      </c>
      <c r="D69" s="299"/>
      <c r="E69" s="299"/>
      <c r="F69" s="299"/>
      <c r="G69" s="299"/>
      <c r="H69" s="299"/>
      <c r="I69" s="299"/>
      <c r="J69" s="53"/>
      <c r="K69" s="53"/>
      <c r="L69" s="53"/>
      <c r="M69" s="53"/>
      <c r="N69" s="312"/>
      <c r="O69" s="312"/>
    </row>
    <row r="70" spans="2:15" x14ac:dyDescent="0.25">
      <c r="C70" s="329" t="s">
        <v>679</v>
      </c>
      <c r="D70" s="330"/>
      <c r="E70" s="330"/>
      <c r="F70" s="330"/>
      <c r="G70" s="63"/>
      <c r="H70" s="330"/>
      <c r="I70" s="331"/>
      <c r="J70" s="53"/>
      <c r="K70" s="53"/>
      <c r="L70" s="53"/>
      <c r="M70" s="53"/>
      <c r="N70" s="312"/>
      <c r="O70" s="312"/>
    </row>
    <row r="71" spans="2:15" s="53" customFormat="1" x14ac:dyDescent="0.25">
      <c r="B71" s="308"/>
      <c r="C71" s="334" t="s">
        <v>618</v>
      </c>
      <c r="D71" s="335"/>
      <c r="E71" s="313"/>
      <c r="F71" s="313"/>
      <c r="G71" s="313"/>
      <c r="H71" s="313"/>
      <c r="I71" s="336" t="s">
        <v>615</v>
      </c>
      <c r="J71" s="39" t="s">
        <v>612</v>
      </c>
      <c r="K71" s="21" t="s">
        <v>613</v>
      </c>
      <c r="L71" s="79" t="s">
        <v>583</v>
      </c>
      <c r="M71" s="79" t="s">
        <v>898</v>
      </c>
      <c r="N71" s="307" t="s">
        <v>619</v>
      </c>
      <c r="O71" s="21" t="s">
        <v>620</v>
      </c>
    </row>
    <row r="72" spans="2:15" s="53" customFormat="1" ht="15.75" customHeight="1" x14ac:dyDescent="0.25">
      <c r="B72" s="308"/>
      <c r="C72" s="324" t="s">
        <v>2010</v>
      </c>
      <c r="D72" s="324"/>
      <c r="E72" s="324"/>
      <c r="F72" s="324"/>
      <c r="G72" s="324"/>
      <c r="H72" s="330"/>
      <c r="I72" s="336" t="s">
        <v>616</v>
      </c>
      <c r="J72" s="39" t="s">
        <v>105</v>
      </c>
      <c r="K72" s="21" t="s">
        <v>103</v>
      </c>
      <c r="L72" s="79" t="s">
        <v>107</v>
      </c>
      <c r="M72" s="79" t="s">
        <v>893</v>
      </c>
      <c r="N72" s="312"/>
      <c r="O72" s="312"/>
    </row>
    <row r="73" spans="2:15" x14ac:dyDescent="0.25">
      <c r="C73" s="331" t="s">
        <v>628</v>
      </c>
      <c r="D73" s="330"/>
      <c r="E73" s="330"/>
      <c r="F73" s="330"/>
      <c r="G73" s="330"/>
      <c r="H73" s="330"/>
      <c r="I73" s="313"/>
      <c r="J73" s="53"/>
      <c r="K73" s="53"/>
      <c r="L73" s="53"/>
      <c r="M73" s="53"/>
      <c r="N73" s="312"/>
      <c r="O73" s="312"/>
    </row>
    <row r="74" spans="2:15" x14ac:dyDescent="0.25">
      <c r="C74" s="331" t="s">
        <v>684</v>
      </c>
      <c r="D74" s="330"/>
      <c r="E74" s="330"/>
      <c r="F74" s="330"/>
      <c r="G74" s="330"/>
      <c r="H74" s="330"/>
      <c r="I74" s="330"/>
      <c r="J74" s="53"/>
      <c r="K74" s="53"/>
      <c r="L74" s="53"/>
      <c r="M74" s="53"/>
      <c r="N74" s="312"/>
      <c r="O74" s="312"/>
    </row>
    <row r="75" spans="2:15" x14ac:dyDescent="0.25">
      <c r="C75" s="331" t="s">
        <v>607</v>
      </c>
      <c r="D75" s="330"/>
      <c r="E75" s="330"/>
      <c r="F75" s="330"/>
      <c r="G75" s="330"/>
      <c r="H75" s="330"/>
      <c r="I75" s="330"/>
      <c r="J75" s="53"/>
      <c r="K75" s="53"/>
      <c r="L75" s="53"/>
      <c r="M75" s="53"/>
      <c r="N75" s="312"/>
      <c r="O75" s="312"/>
    </row>
    <row r="76" spans="2:15" x14ac:dyDescent="0.25">
      <c r="C76" s="329" t="s">
        <v>629</v>
      </c>
      <c r="D76" s="330"/>
      <c r="E76" s="330"/>
      <c r="F76" s="330"/>
      <c r="G76" s="330"/>
      <c r="H76" s="330"/>
      <c r="I76" s="330"/>
      <c r="J76" s="53"/>
      <c r="K76" s="53"/>
      <c r="L76" s="53"/>
      <c r="M76" s="53"/>
      <c r="N76" s="312"/>
      <c r="O76" s="312"/>
    </row>
    <row r="77" spans="2:15" x14ac:dyDescent="0.25">
      <c r="C77" s="329" t="s">
        <v>677</v>
      </c>
      <c r="D77" s="330"/>
      <c r="E77" s="330"/>
      <c r="F77" s="330"/>
      <c r="G77" s="330"/>
      <c r="H77" s="330"/>
      <c r="I77" s="330"/>
      <c r="J77" s="53"/>
      <c r="K77" s="53"/>
      <c r="L77" s="53"/>
      <c r="M77" s="53"/>
      <c r="N77" s="312"/>
      <c r="O77" s="312"/>
    </row>
    <row r="78" spans="2:15" x14ac:dyDescent="0.25">
      <c r="C78" s="329" t="s">
        <v>680</v>
      </c>
      <c r="D78" s="330"/>
      <c r="E78" s="330"/>
      <c r="F78" s="330"/>
      <c r="G78" s="330"/>
      <c r="H78" s="330"/>
      <c r="I78" s="331"/>
      <c r="J78" s="53"/>
      <c r="K78" s="53"/>
      <c r="L78" s="53"/>
      <c r="M78" s="53"/>
      <c r="N78" s="312"/>
      <c r="O78" s="312"/>
    </row>
    <row r="79" spans="2:15" x14ac:dyDescent="0.25">
      <c r="C79" s="291" t="s">
        <v>624</v>
      </c>
      <c r="D79" s="57"/>
      <c r="I79" s="79" t="s">
        <v>615</v>
      </c>
      <c r="J79" s="39" t="s">
        <v>612</v>
      </c>
      <c r="K79" s="21" t="s">
        <v>613</v>
      </c>
      <c r="L79" s="79" t="s">
        <v>583</v>
      </c>
      <c r="M79" s="79" t="s">
        <v>898</v>
      </c>
      <c r="N79" s="307" t="s">
        <v>621</v>
      </c>
      <c r="O79" s="21" t="s">
        <v>622</v>
      </c>
    </row>
    <row r="80" spans="2:15" x14ac:dyDescent="0.25">
      <c r="C80" s="291" t="s">
        <v>623</v>
      </c>
      <c r="D80" s="18"/>
    </row>
    <row r="82" spans="2:3" x14ac:dyDescent="0.25">
      <c r="B82" s="17" t="s">
        <v>56</v>
      </c>
    </row>
    <row r="83" spans="2:3" x14ac:dyDescent="0.25">
      <c r="C83" s="1" t="s">
        <v>595</v>
      </c>
    </row>
    <row r="84" spans="2:3" x14ac:dyDescent="0.25">
      <c r="C84" t="s">
        <v>651</v>
      </c>
    </row>
  </sheetData>
  <mergeCells count="17">
    <mergeCell ref="C64:G64"/>
    <mergeCell ref="C24:G24"/>
    <mergeCell ref="C33:G33"/>
    <mergeCell ref="C51:G51"/>
    <mergeCell ref="C49:G49"/>
    <mergeCell ref="C54:G54"/>
    <mergeCell ref="C34:G34"/>
    <mergeCell ref="L7:M8"/>
    <mergeCell ref="B5:B8"/>
    <mergeCell ref="C3:D3"/>
    <mergeCell ref="H3:J3"/>
    <mergeCell ref="D5:D6"/>
    <mergeCell ref="E5:E6"/>
    <mergeCell ref="C5:C6"/>
    <mergeCell ref="C7:C8"/>
    <mergeCell ref="E7:E8"/>
    <mergeCell ref="D7:D8"/>
  </mergeCells>
  <hyperlinks>
    <hyperlink ref="B1" location="'RFE SOC FuseMap'!A1" display="RFE/SOC FuseMap" xr:uid="{35CF24FD-0474-4072-80BD-366199D0266F}"/>
  </hyperlinks>
  <pageMargins left="0.7" right="0.7" top="0.75" bottom="0.75" header="0.3" footer="0.3"/>
  <pageSetup paperSize="9" orientation="portrait"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FE5DE-BB27-49AD-A74D-9DBFFA7BFBF8}">
  <dimension ref="B1:O52"/>
  <sheetViews>
    <sheetView workbookViewId="0">
      <selection activeCell="A2" sqref="A2:XFD4"/>
    </sheetView>
  </sheetViews>
  <sheetFormatPr defaultRowHeight="15" x14ac:dyDescent="0.25"/>
  <cols>
    <col min="2" max="2" width="16.28515625" customWidth="1"/>
    <col min="3" max="3" width="3.7109375" customWidth="1"/>
    <col min="4" max="4" width="18.140625" customWidth="1"/>
    <col min="5" max="5" width="29.7109375" customWidth="1"/>
    <col min="6" max="6" width="27.28515625" bestFit="1" customWidth="1"/>
    <col min="7" max="7" width="16.5703125" customWidth="1"/>
    <col min="9" max="9" width="16.5703125" bestFit="1" customWidth="1"/>
    <col min="10" max="10" width="15.28515625" bestFit="1" customWidth="1"/>
    <col min="11" max="11" width="24.5703125" bestFit="1" customWidth="1"/>
    <col min="12" max="12" width="17" customWidth="1"/>
    <col min="13" max="13" width="24.85546875" bestFit="1" customWidth="1"/>
    <col min="14" max="14" width="29.5703125" customWidth="1"/>
    <col min="15" max="15" width="17.85546875" bestFit="1" customWidth="1"/>
  </cols>
  <sheetData>
    <row r="1" spans="2:15" x14ac:dyDescent="0.25">
      <c r="B1" s="16" t="s">
        <v>1055</v>
      </c>
    </row>
    <row r="2" spans="2:15" ht="15.75" thickBot="1" x14ac:dyDescent="0.3"/>
    <row r="3" spans="2:15" ht="60.75" thickBot="1" x14ac:dyDescent="0.3">
      <c r="C3" s="1365" t="s">
        <v>0</v>
      </c>
      <c r="D3" s="1367"/>
      <c r="E3" s="167" t="s">
        <v>1</v>
      </c>
      <c r="F3" s="94" t="s">
        <v>63</v>
      </c>
      <c r="G3" s="62" t="s">
        <v>666</v>
      </c>
      <c r="H3" s="1392" t="s">
        <v>46</v>
      </c>
      <c r="I3" s="1394"/>
      <c r="J3" s="1393"/>
      <c r="K3" s="52" t="s">
        <v>61</v>
      </c>
      <c r="L3" s="77" t="s">
        <v>94</v>
      </c>
      <c r="M3" s="78" t="s">
        <v>96</v>
      </c>
      <c r="N3" s="59" t="s">
        <v>95</v>
      </c>
    </row>
    <row r="4" spans="2:15" x14ac:dyDescent="0.25">
      <c r="B4" s="42" t="s">
        <v>59</v>
      </c>
      <c r="C4" s="175"/>
      <c r="D4" s="44" t="s">
        <v>49</v>
      </c>
      <c r="E4" s="90" t="s">
        <v>49</v>
      </c>
      <c r="F4" s="55" t="s">
        <v>49</v>
      </c>
      <c r="G4" s="45" t="s">
        <v>49</v>
      </c>
      <c r="H4" s="48">
        <v>125</v>
      </c>
      <c r="I4" s="27">
        <v>25</v>
      </c>
      <c r="J4" s="37">
        <v>-40</v>
      </c>
      <c r="K4" s="33" t="s">
        <v>48</v>
      </c>
      <c r="L4" s="36" t="s">
        <v>49</v>
      </c>
      <c r="M4" s="84" t="s">
        <v>49</v>
      </c>
      <c r="N4" s="83" t="s">
        <v>49</v>
      </c>
    </row>
    <row r="5" spans="2:15" ht="15" customHeight="1" x14ac:dyDescent="0.25">
      <c r="B5" s="1437"/>
      <c r="C5" s="1461" t="s">
        <v>368</v>
      </c>
      <c r="D5" s="1463" t="s">
        <v>18</v>
      </c>
      <c r="E5" s="1464" t="s">
        <v>21</v>
      </c>
      <c r="F5" s="95" t="s">
        <v>183</v>
      </c>
      <c r="G5" s="54" t="s">
        <v>71</v>
      </c>
      <c r="H5" s="49" t="s">
        <v>142</v>
      </c>
      <c r="I5" s="30" t="s">
        <v>142</v>
      </c>
      <c r="J5" s="28" t="s">
        <v>142</v>
      </c>
      <c r="K5" s="34" t="s">
        <v>141</v>
      </c>
      <c r="L5" s="39" t="s">
        <v>154</v>
      </c>
      <c r="M5" s="85" t="s">
        <v>152</v>
      </c>
      <c r="N5" s="79" t="s">
        <v>148</v>
      </c>
    </row>
    <row r="6" spans="2:15" x14ac:dyDescent="0.25">
      <c r="B6" s="1438"/>
      <c r="C6" s="1462"/>
      <c r="D6" s="1463"/>
      <c r="E6" s="1464"/>
      <c r="F6" s="95" t="s">
        <v>184</v>
      </c>
      <c r="G6" s="54" t="s">
        <v>71</v>
      </c>
      <c r="H6" s="49" t="s">
        <v>143</v>
      </c>
      <c r="I6" s="30" t="s">
        <v>143</v>
      </c>
      <c r="J6" s="28" t="s">
        <v>143</v>
      </c>
      <c r="K6" s="34" t="s">
        <v>141</v>
      </c>
      <c r="L6" s="39" t="s">
        <v>154</v>
      </c>
      <c r="M6" s="85" t="s">
        <v>153</v>
      </c>
      <c r="N6" s="79" t="s">
        <v>149</v>
      </c>
    </row>
    <row r="7" spans="2:15" s="949" customFormat="1" x14ac:dyDescent="0.25">
      <c r="B7" s="1438"/>
      <c r="C7" s="1462"/>
      <c r="D7" s="1463"/>
      <c r="E7" s="1464"/>
      <c r="F7" s="95" t="s">
        <v>1994</v>
      </c>
      <c r="G7" s="54" t="s">
        <v>71</v>
      </c>
      <c r="H7" s="49" t="s">
        <v>142</v>
      </c>
      <c r="I7" s="30" t="s">
        <v>142</v>
      </c>
      <c r="J7" s="28" t="s">
        <v>142</v>
      </c>
      <c r="K7" s="999" t="s">
        <v>141</v>
      </c>
      <c r="L7" s="826" t="s">
        <v>1933</v>
      </c>
      <c r="M7" s="826" t="s">
        <v>1934</v>
      </c>
      <c r="N7" s="956" t="s">
        <v>1940</v>
      </c>
    </row>
    <row r="8" spans="2:15" s="949" customFormat="1" x14ac:dyDescent="0.25">
      <c r="B8" s="1438"/>
      <c r="C8" s="1462"/>
      <c r="D8" s="1463"/>
      <c r="E8" s="1464"/>
      <c r="F8" s="95" t="s">
        <v>185</v>
      </c>
      <c r="G8" s="54" t="s">
        <v>71</v>
      </c>
      <c r="H8" s="49" t="s">
        <v>142</v>
      </c>
      <c r="I8" s="30" t="s">
        <v>142</v>
      </c>
      <c r="J8" s="28" t="s">
        <v>142</v>
      </c>
      <c r="K8" s="34" t="s">
        <v>141</v>
      </c>
      <c r="L8" s="39" t="s">
        <v>155</v>
      </c>
      <c r="M8" s="85" t="s">
        <v>152</v>
      </c>
      <c r="N8" s="79" t="s">
        <v>150</v>
      </c>
    </row>
    <row r="9" spans="2:15" x14ac:dyDescent="0.25">
      <c r="B9" s="1438"/>
      <c r="C9" s="1462"/>
      <c r="D9" s="1463"/>
      <c r="E9" s="1464"/>
      <c r="F9" s="95" t="s">
        <v>186</v>
      </c>
      <c r="G9" s="54" t="s">
        <v>71</v>
      </c>
      <c r="H9" s="49" t="s">
        <v>143</v>
      </c>
      <c r="I9" s="30" t="s">
        <v>143</v>
      </c>
      <c r="J9" s="28" t="s">
        <v>143</v>
      </c>
      <c r="K9" s="34" t="s">
        <v>141</v>
      </c>
      <c r="L9" s="39" t="s">
        <v>155</v>
      </c>
      <c r="M9" s="85" t="s">
        <v>153</v>
      </c>
      <c r="N9" s="79" t="s">
        <v>151</v>
      </c>
    </row>
    <row r="10" spans="2:15" ht="15.75" thickBot="1" x14ac:dyDescent="0.3">
      <c r="B10" s="1438"/>
      <c r="C10" s="1462"/>
      <c r="D10" s="1463"/>
      <c r="E10" s="1464"/>
      <c r="F10" s="95" t="s">
        <v>1994</v>
      </c>
      <c r="G10" s="54" t="s">
        <v>71</v>
      </c>
      <c r="H10" s="49" t="s">
        <v>142</v>
      </c>
      <c r="I10" s="30" t="s">
        <v>142</v>
      </c>
      <c r="J10" s="28" t="s">
        <v>142</v>
      </c>
      <c r="K10" s="999" t="s">
        <v>141</v>
      </c>
      <c r="L10" s="826" t="s">
        <v>1935</v>
      </c>
      <c r="M10" s="826" t="s">
        <v>1934</v>
      </c>
      <c r="N10" s="956" t="s">
        <v>1941</v>
      </c>
    </row>
    <row r="11" spans="2:15" x14ac:dyDescent="0.25">
      <c r="B11" s="1438"/>
      <c r="C11" s="1462"/>
      <c r="D11" s="1184" t="s">
        <v>32</v>
      </c>
      <c r="E11" s="1465" t="s">
        <v>264</v>
      </c>
      <c r="F11" s="95" t="s">
        <v>187</v>
      </c>
      <c r="G11" s="54" t="s">
        <v>71</v>
      </c>
      <c r="H11" s="49" t="s">
        <v>142</v>
      </c>
      <c r="I11" s="30" t="s">
        <v>142</v>
      </c>
      <c r="J11" s="28" t="s">
        <v>142</v>
      </c>
      <c r="K11" s="34" t="s">
        <v>141</v>
      </c>
      <c r="L11" s="91" t="s">
        <v>195</v>
      </c>
      <c r="M11" s="92" t="s">
        <v>152</v>
      </c>
      <c r="N11" s="327" t="s">
        <v>196</v>
      </c>
      <c r="O11" s="1458" t="s">
        <v>288</v>
      </c>
    </row>
    <row r="12" spans="2:15" x14ac:dyDescent="0.25">
      <c r="B12" s="1438"/>
      <c r="C12" s="1462"/>
      <c r="D12" s="1184"/>
      <c r="E12" s="1465"/>
      <c r="F12" s="95" t="s">
        <v>188</v>
      </c>
      <c r="G12" s="54" t="s">
        <v>71</v>
      </c>
      <c r="H12" s="49" t="s">
        <v>143</v>
      </c>
      <c r="I12" s="30" t="s">
        <v>143</v>
      </c>
      <c r="J12" s="28" t="s">
        <v>143</v>
      </c>
      <c r="K12" s="34" t="s">
        <v>141</v>
      </c>
      <c r="L12" s="91" t="s">
        <v>195</v>
      </c>
      <c r="M12" s="92" t="s">
        <v>153</v>
      </c>
      <c r="N12" s="327" t="s">
        <v>197</v>
      </c>
      <c r="O12" s="1459"/>
    </row>
    <row r="13" spans="2:15" x14ac:dyDescent="0.25">
      <c r="B13" s="1438"/>
      <c r="C13" s="1462"/>
      <c r="D13" s="1184"/>
      <c r="E13" s="1465"/>
      <c r="F13" s="95" t="s">
        <v>189</v>
      </c>
      <c r="G13" s="54" t="s">
        <v>71</v>
      </c>
      <c r="H13" s="49" t="s">
        <v>142</v>
      </c>
      <c r="I13" s="30" t="s">
        <v>142</v>
      </c>
      <c r="J13" s="28" t="s">
        <v>142</v>
      </c>
      <c r="K13" s="34" t="s">
        <v>141</v>
      </c>
      <c r="L13" s="91" t="s">
        <v>195</v>
      </c>
      <c r="M13" s="92" t="s">
        <v>152</v>
      </c>
      <c r="N13" s="327" t="s">
        <v>196</v>
      </c>
      <c r="O13" s="1459" t="s">
        <v>289</v>
      </c>
    </row>
    <row r="14" spans="2:15" x14ac:dyDescent="0.25">
      <c r="B14" s="1438"/>
      <c r="C14" s="1462"/>
      <c r="D14" s="1184"/>
      <c r="E14" s="1465"/>
      <c r="F14" s="95" t="s">
        <v>190</v>
      </c>
      <c r="G14" s="54" t="s">
        <v>71</v>
      </c>
      <c r="H14" s="49" t="s">
        <v>143</v>
      </c>
      <c r="I14" s="30" t="s">
        <v>143</v>
      </c>
      <c r="J14" s="28" t="s">
        <v>143</v>
      </c>
      <c r="K14" s="34" t="s">
        <v>141</v>
      </c>
      <c r="L14" s="91" t="s">
        <v>195</v>
      </c>
      <c r="M14" s="92" t="s">
        <v>153</v>
      </c>
      <c r="N14" s="327" t="s">
        <v>197</v>
      </c>
      <c r="O14" s="1459"/>
    </row>
    <row r="15" spans="2:15" x14ac:dyDescent="0.25">
      <c r="B15" s="1438"/>
      <c r="C15" s="1462"/>
      <c r="D15" s="1184"/>
      <c r="E15" s="1465"/>
      <c r="F15" s="95" t="s">
        <v>191</v>
      </c>
      <c r="G15" s="54" t="s">
        <v>71</v>
      </c>
      <c r="H15" s="49" t="s">
        <v>142</v>
      </c>
      <c r="I15" s="30" t="s">
        <v>142</v>
      </c>
      <c r="J15" s="28" t="s">
        <v>142</v>
      </c>
      <c r="K15" s="34" t="s">
        <v>141</v>
      </c>
      <c r="L15" s="91" t="s">
        <v>195</v>
      </c>
      <c r="M15" s="92" t="s">
        <v>152</v>
      </c>
      <c r="N15" s="327" t="s">
        <v>196</v>
      </c>
      <c r="O15" s="1459" t="s">
        <v>290</v>
      </c>
    </row>
    <row r="16" spans="2:15" x14ac:dyDescent="0.25">
      <c r="B16" s="1438"/>
      <c r="C16" s="1462"/>
      <c r="D16" s="1184"/>
      <c r="E16" s="1465"/>
      <c r="F16" s="95" t="s">
        <v>192</v>
      </c>
      <c r="G16" s="54" t="s">
        <v>71</v>
      </c>
      <c r="H16" s="49" t="s">
        <v>143</v>
      </c>
      <c r="I16" s="30" t="s">
        <v>143</v>
      </c>
      <c r="J16" s="28" t="s">
        <v>143</v>
      </c>
      <c r="K16" s="34" t="s">
        <v>141</v>
      </c>
      <c r="L16" s="91" t="s">
        <v>195</v>
      </c>
      <c r="M16" s="92" t="s">
        <v>153</v>
      </c>
      <c r="N16" s="327" t="s">
        <v>197</v>
      </c>
      <c r="O16" s="1459"/>
    </row>
    <row r="17" spans="2:15" x14ac:dyDescent="0.25">
      <c r="B17" s="1438"/>
      <c r="C17" s="1462"/>
      <c r="D17" s="1184"/>
      <c r="E17" s="1465"/>
      <c r="F17" s="95" t="s">
        <v>193</v>
      </c>
      <c r="G17" s="54" t="s">
        <v>71</v>
      </c>
      <c r="H17" s="49" t="s">
        <v>142</v>
      </c>
      <c r="I17" s="30" t="s">
        <v>142</v>
      </c>
      <c r="J17" s="28" t="s">
        <v>142</v>
      </c>
      <c r="K17" s="34" t="s">
        <v>141</v>
      </c>
      <c r="L17" s="91" t="s">
        <v>195</v>
      </c>
      <c r="M17" s="92" t="s">
        <v>152</v>
      </c>
      <c r="N17" s="327" t="s">
        <v>196</v>
      </c>
      <c r="O17" s="1459" t="s">
        <v>291</v>
      </c>
    </row>
    <row r="18" spans="2:15" ht="15.75" thickBot="1" x14ac:dyDescent="0.3">
      <c r="B18" s="1438"/>
      <c r="C18" s="1462"/>
      <c r="D18" s="1145"/>
      <c r="E18" s="1246"/>
      <c r="F18" s="232" t="s">
        <v>194</v>
      </c>
      <c r="G18" s="233" t="s">
        <v>71</v>
      </c>
      <c r="H18" s="234" t="s">
        <v>143</v>
      </c>
      <c r="I18" s="235" t="s">
        <v>143</v>
      </c>
      <c r="J18" s="236" t="s">
        <v>143</v>
      </c>
      <c r="K18" s="61" t="s">
        <v>141</v>
      </c>
      <c r="L18" s="91" t="s">
        <v>195</v>
      </c>
      <c r="M18" s="92" t="s">
        <v>153</v>
      </c>
      <c r="N18" s="327" t="s">
        <v>197</v>
      </c>
      <c r="O18" s="1460"/>
    </row>
    <row r="19" spans="2:15" ht="15" customHeight="1" x14ac:dyDescent="0.25">
      <c r="B19" s="1466"/>
      <c r="C19" s="1474" t="s">
        <v>369</v>
      </c>
      <c r="D19" s="1470" t="s">
        <v>333</v>
      </c>
      <c r="E19" s="1472" t="s">
        <v>334</v>
      </c>
      <c r="F19" s="251" t="s">
        <v>425</v>
      </c>
      <c r="G19" s="55" t="s">
        <v>71</v>
      </c>
      <c r="H19" s="416" t="s">
        <v>423</v>
      </c>
      <c r="I19" s="27" t="s">
        <v>423</v>
      </c>
      <c r="J19" s="421" t="s">
        <v>423</v>
      </c>
      <c r="K19" s="72" t="s">
        <v>141</v>
      </c>
      <c r="L19" s="1467" t="s">
        <v>370</v>
      </c>
      <c r="M19" s="1467"/>
      <c r="N19" s="413" t="s">
        <v>880</v>
      </c>
      <c r="O19" s="237"/>
    </row>
    <row r="20" spans="2:15" x14ac:dyDescent="0.25">
      <c r="B20" s="1466"/>
      <c r="C20" s="1387"/>
      <c r="D20" s="1184"/>
      <c r="E20" s="1229"/>
      <c r="F20" s="252" t="s">
        <v>426</v>
      </c>
      <c r="G20" s="420" t="s">
        <v>71</v>
      </c>
      <c r="H20" s="417" t="s">
        <v>143</v>
      </c>
      <c r="I20" s="30" t="s">
        <v>143</v>
      </c>
      <c r="J20" s="422" t="s">
        <v>143</v>
      </c>
      <c r="K20" s="73" t="s">
        <v>141</v>
      </c>
      <c r="L20" s="1468"/>
      <c r="M20" s="1468"/>
      <c r="N20" s="414" t="s">
        <v>879</v>
      </c>
      <c r="O20" s="237"/>
    </row>
    <row r="21" spans="2:15" x14ac:dyDescent="0.25">
      <c r="B21" s="1466"/>
      <c r="C21" s="1387"/>
      <c r="D21" s="1184"/>
      <c r="E21" s="1229"/>
      <c r="F21" s="252" t="s">
        <v>427</v>
      </c>
      <c r="G21" s="420" t="s">
        <v>71</v>
      </c>
      <c r="H21" s="49" t="s">
        <v>142</v>
      </c>
      <c r="I21" s="30" t="s">
        <v>142</v>
      </c>
      <c r="J21" s="28" t="s">
        <v>142</v>
      </c>
      <c r="K21" s="73" t="s">
        <v>141</v>
      </c>
      <c r="L21" s="1468"/>
      <c r="M21" s="1468"/>
      <c r="N21" s="414" t="s">
        <v>878</v>
      </c>
      <c r="O21" s="237"/>
    </row>
    <row r="22" spans="2:15" x14ac:dyDescent="0.25">
      <c r="B22" s="1466"/>
      <c r="C22" s="1387"/>
      <c r="D22" s="1184"/>
      <c r="E22" s="1229"/>
      <c r="F22" s="252" t="s">
        <v>428</v>
      </c>
      <c r="G22" s="420" t="s">
        <v>71</v>
      </c>
      <c r="H22" s="418" t="s">
        <v>424</v>
      </c>
      <c r="I22" s="248" t="s">
        <v>424</v>
      </c>
      <c r="J22" s="423" t="s">
        <v>424</v>
      </c>
      <c r="K22" s="73" t="s">
        <v>141</v>
      </c>
      <c r="L22" s="1468"/>
      <c r="M22" s="1468"/>
      <c r="N22" s="414" t="s">
        <v>876</v>
      </c>
      <c r="O22" s="237"/>
    </row>
    <row r="23" spans="2:15" x14ac:dyDescent="0.25">
      <c r="B23" s="1466"/>
      <c r="C23" s="1387"/>
      <c r="D23" s="1184"/>
      <c r="E23" s="1229"/>
      <c r="F23" s="252" t="s">
        <v>429</v>
      </c>
      <c r="G23" s="420" t="s">
        <v>71</v>
      </c>
      <c r="H23" s="418" t="s">
        <v>424</v>
      </c>
      <c r="I23" s="248" t="s">
        <v>424</v>
      </c>
      <c r="J23" s="423" t="s">
        <v>424</v>
      </c>
      <c r="K23" s="73" t="s">
        <v>141</v>
      </c>
      <c r="L23" s="1468"/>
      <c r="M23" s="1468"/>
      <c r="N23" s="414" t="s">
        <v>877</v>
      </c>
      <c r="O23" s="237"/>
    </row>
    <row r="24" spans="2:15" ht="15.75" thickBot="1" x14ac:dyDescent="0.3">
      <c r="B24" s="1389"/>
      <c r="C24" s="1475"/>
      <c r="D24" s="1471"/>
      <c r="E24" s="1473"/>
      <c r="F24" s="253" t="s">
        <v>659</v>
      </c>
      <c r="G24" s="56" t="s">
        <v>71</v>
      </c>
      <c r="H24" s="419" t="s">
        <v>881</v>
      </c>
      <c r="I24" s="250" t="s">
        <v>881</v>
      </c>
      <c r="J24" s="424" t="s">
        <v>881</v>
      </c>
      <c r="K24" s="228" t="s">
        <v>141</v>
      </c>
      <c r="L24" s="1469"/>
      <c r="M24" s="1469"/>
      <c r="N24" s="415" t="s">
        <v>882</v>
      </c>
      <c r="O24" s="237"/>
    </row>
    <row r="25" spans="2:15" ht="15.75" thickBot="1" x14ac:dyDescent="0.3">
      <c r="B25" s="43" t="s">
        <v>60</v>
      </c>
      <c r="C25" s="244"/>
      <c r="D25" s="239" t="s">
        <v>49</v>
      </c>
      <c r="E25" s="177" t="s">
        <v>49</v>
      </c>
      <c r="F25" s="179" t="s">
        <v>49</v>
      </c>
      <c r="G25" s="178" t="s">
        <v>49</v>
      </c>
      <c r="H25" s="240" t="s">
        <v>372</v>
      </c>
      <c r="I25" s="225"/>
      <c r="J25" s="180"/>
      <c r="K25" s="181" t="s">
        <v>49</v>
      </c>
      <c r="L25" s="182" t="s">
        <v>49</v>
      </c>
      <c r="M25" s="241" t="s">
        <v>49</v>
      </c>
      <c r="N25" s="184" t="s">
        <v>49</v>
      </c>
    </row>
    <row r="26" spans="2:15" x14ac:dyDescent="0.25">
      <c r="B26" t="s">
        <v>58</v>
      </c>
    </row>
    <row r="27" spans="2:15" x14ac:dyDescent="0.25">
      <c r="B27" t="s">
        <v>50</v>
      </c>
    </row>
    <row r="29" spans="2:15" x14ac:dyDescent="0.25">
      <c r="B29" s="17" t="s">
        <v>822</v>
      </c>
      <c r="C29" t="s">
        <v>254</v>
      </c>
    </row>
    <row r="30" spans="2:15" x14ac:dyDescent="0.25">
      <c r="B30" s="17"/>
      <c r="C30" t="s">
        <v>255</v>
      </c>
    </row>
    <row r="31" spans="2:15" x14ac:dyDescent="0.25">
      <c r="B31" s="17"/>
      <c r="C31" t="s">
        <v>256</v>
      </c>
    </row>
    <row r="32" spans="2:15" x14ac:dyDescent="0.25">
      <c r="B32" s="17"/>
      <c r="C32" t="s">
        <v>871</v>
      </c>
    </row>
    <row r="34" spans="2:7" x14ac:dyDescent="0.25">
      <c r="B34" s="17" t="s">
        <v>51</v>
      </c>
    </row>
    <row r="35" spans="2:7" x14ac:dyDescent="0.25">
      <c r="C35" s="1" t="s">
        <v>1165</v>
      </c>
      <c r="D35" s="18"/>
    </row>
    <row r="37" spans="2:7" x14ac:dyDescent="0.25">
      <c r="B37" s="17" t="s">
        <v>53</v>
      </c>
    </row>
    <row r="38" spans="2:7" x14ac:dyDescent="0.25">
      <c r="C38" s="1" t="s">
        <v>88</v>
      </c>
      <c r="D38" s="18"/>
    </row>
    <row r="40" spans="2:7" x14ac:dyDescent="0.25">
      <c r="B40" s="17" t="s">
        <v>55</v>
      </c>
    </row>
    <row r="41" spans="2:7" x14ac:dyDescent="0.25">
      <c r="C41" t="s">
        <v>173</v>
      </c>
    </row>
    <row r="42" spans="2:7" ht="30.75" customHeight="1" x14ac:dyDescent="0.25">
      <c r="C42" s="1411" t="s">
        <v>145</v>
      </c>
      <c r="D42" s="1411"/>
      <c r="E42" s="1411"/>
      <c r="F42" s="1411"/>
      <c r="G42" s="1411"/>
    </row>
    <row r="44" spans="2:7" x14ac:dyDescent="0.25">
      <c r="B44" s="17" t="s">
        <v>1174</v>
      </c>
    </row>
    <row r="45" spans="2:7" x14ac:dyDescent="0.25">
      <c r="C45" t="s">
        <v>144</v>
      </c>
    </row>
    <row r="46" spans="2:7" x14ac:dyDescent="0.25">
      <c r="C46" t="s">
        <v>199</v>
      </c>
    </row>
    <row r="47" spans="2:7" x14ac:dyDescent="0.25">
      <c r="C47" t="s">
        <v>198</v>
      </c>
    </row>
    <row r="49" spans="2:4" x14ac:dyDescent="0.25">
      <c r="B49" s="17" t="s">
        <v>56</v>
      </c>
      <c r="D49" s="18"/>
    </row>
    <row r="50" spans="2:4" x14ac:dyDescent="0.25">
      <c r="C50" s="1" t="s">
        <v>146</v>
      </c>
    </row>
    <row r="51" spans="2:4" x14ac:dyDescent="0.25">
      <c r="C51" t="s">
        <v>147</v>
      </c>
    </row>
    <row r="52" spans="2:4" x14ac:dyDescent="0.25">
      <c r="C52" t="s">
        <v>156</v>
      </c>
    </row>
  </sheetData>
  <mergeCells count="17">
    <mergeCell ref="B5:B24"/>
    <mergeCell ref="L19:M24"/>
    <mergeCell ref="D19:D24"/>
    <mergeCell ref="E19:E24"/>
    <mergeCell ref="C19:C24"/>
    <mergeCell ref="C42:G42"/>
    <mergeCell ref="H3:J3"/>
    <mergeCell ref="D5:D10"/>
    <mergeCell ref="E5:E10"/>
    <mergeCell ref="E11:E18"/>
    <mergeCell ref="D11:D18"/>
    <mergeCell ref="C3:D3"/>
    <mergeCell ref="O11:O12"/>
    <mergeCell ref="O13:O14"/>
    <mergeCell ref="O15:O16"/>
    <mergeCell ref="O17:O18"/>
    <mergeCell ref="C5:C18"/>
  </mergeCells>
  <phoneticPr fontId="7" type="noConversion"/>
  <hyperlinks>
    <hyperlink ref="B1" location="'RFE SOC FuseMap'!A1" display="RFE/SOC FuseMap" xr:uid="{261746C3-8F40-4C8B-A53D-2A2A49484611}"/>
  </hyperlinks>
  <pageMargins left="0.7" right="0.7" top="0.75" bottom="0.75" header="0.3" footer="0.3"/>
  <pageSetup paperSize="9" orientation="portrait"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80C0D-9545-4A12-9DA5-6E40609613DD}">
  <dimension ref="B1:AA107"/>
  <sheetViews>
    <sheetView zoomScaleNormal="100" workbookViewId="0">
      <selection activeCell="A2" sqref="A2:XFD4"/>
    </sheetView>
  </sheetViews>
  <sheetFormatPr defaultRowHeight="15" x14ac:dyDescent="0.25"/>
  <cols>
    <col min="2" max="2" width="16.28515625" customWidth="1"/>
    <col min="3" max="3" width="7.5703125" customWidth="1"/>
    <col min="4" max="4" width="18.140625" customWidth="1"/>
    <col min="5" max="5" width="30.85546875" bestFit="1" customWidth="1"/>
    <col min="6" max="6" width="36.140625" customWidth="1"/>
    <col min="7" max="7" width="36.42578125" customWidth="1"/>
    <col min="9" max="9" width="16.5703125" bestFit="1" customWidth="1"/>
    <col min="11" max="11" width="10.42578125" bestFit="1" customWidth="1"/>
    <col min="12" max="12" width="13.85546875" bestFit="1" customWidth="1"/>
    <col min="13" max="13" width="21.140625" bestFit="1" customWidth="1"/>
    <col min="24" max="24" width="13.28515625" customWidth="1"/>
    <col min="25" max="25" width="15.85546875" customWidth="1"/>
  </cols>
  <sheetData>
    <row r="1" spans="2:27" x14ac:dyDescent="0.25">
      <c r="B1" s="16" t="s">
        <v>1055</v>
      </c>
    </row>
    <row r="2" spans="2:27" ht="15.75" thickBot="1" x14ac:dyDescent="0.3">
      <c r="Z2" s="112"/>
    </row>
    <row r="3" spans="2:27" ht="30.75" thickBot="1" x14ac:dyDescent="0.3">
      <c r="D3" s="97" t="s">
        <v>0</v>
      </c>
      <c r="E3" s="118" t="s">
        <v>1</v>
      </c>
      <c r="F3" s="94" t="s">
        <v>63</v>
      </c>
      <c r="G3" s="98" t="s">
        <v>666</v>
      </c>
      <c r="H3" s="1365" t="s">
        <v>46</v>
      </c>
      <c r="I3" s="1366"/>
      <c r="J3" s="1367"/>
      <c r="K3" s="52" t="s">
        <v>61</v>
      </c>
      <c r="L3" s="77" t="s">
        <v>94</v>
      </c>
      <c r="M3" s="78" t="s">
        <v>96</v>
      </c>
      <c r="N3" s="59" t="s">
        <v>95</v>
      </c>
      <c r="AA3" s="112"/>
    </row>
    <row r="4" spans="2:27" x14ac:dyDescent="0.25">
      <c r="B4" s="42" t="s">
        <v>59</v>
      </c>
      <c r="C4" s="31"/>
      <c r="D4" s="114" t="s">
        <v>49</v>
      </c>
      <c r="E4" s="115" t="s">
        <v>49</v>
      </c>
      <c r="F4" s="55" t="s">
        <v>49</v>
      </c>
      <c r="G4" s="45" t="s">
        <v>49</v>
      </c>
      <c r="H4" s="48">
        <v>125</v>
      </c>
      <c r="I4" s="27">
        <v>25</v>
      </c>
      <c r="J4" s="37">
        <v>-40</v>
      </c>
      <c r="K4" s="33" t="s">
        <v>48</v>
      </c>
      <c r="L4" s="36" t="s">
        <v>49</v>
      </c>
      <c r="M4" s="84" t="s">
        <v>49</v>
      </c>
      <c r="N4" s="83" t="s">
        <v>49</v>
      </c>
    </row>
    <row r="5" spans="2:27" x14ac:dyDescent="0.25">
      <c r="B5" s="1374"/>
      <c r="C5" s="1316" t="s">
        <v>368</v>
      </c>
      <c r="D5" s="1488" t="s">
        <v>18</v>
      </c>
      <c r="E5" s="1485" t="s">
        <v>21</v>
      </c>
      <c r="F5" s="119" t="s">
        <v>971</v>
      </c>
      <c r="G5" s="76" t="s">
        <v>263</v>
      </c>
      <c r="H5" s="1491" t="s">
        <v>779</v>
      </c>
      <c r="I5" s="1492"/>
      <c r="J5" s="1493"/>
      <c r="K5" s="61" t="s">
        <v>141</v>
      </c>
      <c r="L5" s="1480" t="s">
        <v>72</v>
      </c>
      <c r="M5" s="1476" t="s">
        <v>72</v>
      </c>
      <c r="N5" s="1478" t="s">
        <v>72</v>
      </c>
    </row>
    <row r="6" spans="2:27" s="949" customFormat="1" x14ac:dyDescent="0.25">
      <c r="B6" s="1375"/>
      <c r="C6" s="1317"/>
      <c r="D6" s="1489"/>
      <c r="E6" s="1486"/>
      <c r="F6" s="958" t="s">
        <v>1871</v>
      </c>
      <c r="G6" s="955" t="s">
        <v>263</v>
      </c>
      <c r="H6" s="1344"/>
      <c r="I6" s="1203"/>
      <c r="J6" s="1345"/>
      <c r="K6" s="954"/>
      <c r="L6" s="1481"/>
      <c r="M6" s="1477"/>
      <c r="N6" s="1479"/>
    </row>
    <row r="7" spans="2:27" x14ac:dyDescent="0.25">
      <c r="B7" s="1375"/>
      <c r="C7" s="1317"/>
      <c r="D7" s="1489"/>
      <c r="E7" s="1486"/>
      <c r="F7" s="119" t="s">
        <v>970</v>
      </c>
      <c r="G7" s="955" t="s">
        <v>263</v>
      </c>
      <c r="H7" s="1344"/>
      <c r="I7" s="1203"/>
      <c r="J7" s="1345"/>
      <c r="K7" s="61"/>
      <c r="L7" s="1481"/>
      <c r="M7" s="1477"/>
      <c r="N7" s="1479"/>
    </row>
    <row r="8" spans="2:27" s="949" customFormat="1" x14ac:dyDescent="0.25">
      <c r="B8" s="1375"/>
      <c r="C8" s="1317"/>
      <c r="D8" s="1489"/>
      <c r="E8" s="1486"/>
      <c r="F8" s="958" t="s">
        <v>2045</v>
      </c>
      <c r="G8" s="955" t="s">
        <v>263</v>
      </c>
      <c r="H8" s="1344"/>
      <c r="I8" s="1203"/>
      <c r="J8" s="1345"/>
      <c r="K8" s="954"/>
      <c r="L8" s="1481"/>
      <c r="M8" s="1477"/>
      <c r="N8" s="1479"/>
    </row>
    <row r="9" spans="2:27" ht="16.5" x14ac:dyDescent="0.25">
      <c r="B9" s="1375"/>
      <c r="C9" s="1317"/>
      <c r="D9" s="1489"/>
      <c r="E9" s="1486"/>
      <c r="F9" s="119" t="s">
        <v>972</v>
      </c>
      <c r="G9" s="955" t="s">
        <v>263</v>
      </c>
      <c r="H9" s="1344"/>
      <c r="I9" s="1203"/>
      <c r="J9" s="1345"/>
      <c r="K9" s="61" t="s">
        <v>141</v>
      </c>
      <c r="L9" s="1481"/>
      <c r="M9" s="1477"/>
      <c r="N9" s="1479"/>
      <c r="Y9" s="401"/>
    </row>
    <row r="10" spans="2:27" s="949" customFormat="1" ht="16.5" x14ac:dyDescent="0.25">
      <c r="B10" s="1375"/>
      <c r="C10" s="1317"/>
      <c r="D10" s="1489"/>
      <c r="E10" s="1486"/>
      <c r="F10" s="958" t="s">
        <v>1872</v>
      </c>
      <c r="G10" s="955" t="s">
        <v>263</v>
      </c>
      <c r="H10" s="1344"/>
      <c r="I10" s="1203"/>
      <c r="J10" s="1345"/>
      <c r="K10" s="954"/>
      <c r="L10" s="1481"/>
      <c r="M10" s="1477"/>
      <c r="N10" s="1479"/>
      <c r="Y10" s="966"/>
    </row>
    <row r="11" spans="2:27" ht="16.5" x14ac:dyDescent="0.25">
      <c r="B11" s="1375"/>
      <c r="C11" s="1317"/>
      <c r="D11" s="1489"/>
      <c r="E11" s="1486"/>
      <c r="F11" s="119" t="s">
        <v>975</v>
      </c>
      <c r="G11" s="955" t="s">
        <v>263</v>
      </c>
      <c r="H11" s="1344"/>
      <c r="I11" s="1203"/>
      <c r="J11" s="1345"/>
      <c r="K11" s="61"/>
      <c r="L11" s="1481"/>
      <c r="M11" s="1477"/>
      <c r="N11" s="1479"/>
      <c r="Y11" s="401"/>
    </row>
    <row r="12" spans="2:27" x14ac:dyDescent="0.25">
      <c r="B12" s="1375"/>
      <c r="C12" s="1317"/>
      <c r="D12" s="1489"/>
      <c r="E12" s="1486"/>
      <c r="F12" s="119" t="s">
        <v>973</v>
      </c>
      <c r="G12" s="955" t="s">
        <v>263</v>
      </c>
      <c r="H12" s="1344"/>
      <c r="I12" s="1203"/>
      <c r="J12" s="1345"/>
      <c r="K12" s="61" t="s">
        <v>141</v>
      </c>
      <c r="L12" s="1481"/>
      <c r="M12" s="1477"/>
      <c r="N12" s="1479"/>
    </row>
    <row r="13" spans="2:27" s="949" customFormat="1" x14ac:dyDescent="0.25">
      <c r="B13" s="1375"/>
      <c r="C13" s="1317"/>
      <c r="D13" s="1489"/>
      <c r="E13" s="1486"/>
      <c r="F13" s="958" t="s">
        <v>1873</v>
      </c>
      <c r="G13" s="955" t="s">
        <v>263</v>
      </c>
      <c r="H13" s="1344"/>
      <c r="I13" s="1203"/>
      <c r="J13" s="1345"/>
      <c r="K13" s="954"/>
      <c r="L13" s="1481"/>
      <c r="M13" s="1477"/>
      <c r="N13" s="1479"/>
    </row>
    <row r="14" spans="2:27" x14ac:dyDescent="0.25">
      <c r="B14" s="1375"/>
      <c r="C14" s="1317"/>
      <c r="D14" s="1489"/>
      <c r="E14" s="1486"/>
      <c r="F14" s="119" t="s">
        <v>976</v>
      </c>
      <c r="G14" s="955" t="s">
        <v>263</v>
      </c>
      <c r="H14" s="1344"/>
      <c r="I14" s="1203"/>
      <c r="J14" s="1345"/>
      <c r="K14" s="61"/>
      <c r="L14" s="1481"/>
      <c r="M14" s="1477"/>
      <c r="N14" s="1479"/>
    </row>
    <row r="15" spans="2:27" s="949" customFormat="1" x14ac:dyDescent="0.25">
      <c r="B15" s="1375"/>
      <c r="C15" s="1317"/>
      <c r="D15" s="1489"/>
      <c r="E15" s="1486"/>
      <c r="F15" s="958" t="s">
        <v>2046</v>
      </c>
      <c r="G15" s="955" t="s">
        <v>263</v>
      </c>
      <c r="H15" s="1344"/>
      <c r="I15" s="1203"/>
      <c r="J15" s="1345"/>
      <c r="K15" s="954"/>
      <c r="L15" s="1481"/>
      <c r="M15" s="1477"/>
      <c r="N15" s="1479"/>
    </row>
    <row r="16" spans="2:27" x14ac:dyDescent="0.25">
      <c r="B16" s="1375"/>
      <c r="C16" s="1317"/>
      <c r="D16" s="1489"/>
      <c r="E16" s="1486"/>
      <c r="F16" s="119" t="s">
        <v>974</v>
      </c>
      <c r="G16" s="955" t="s">
        <v>263</v>
      </c>
      <c r="H16" s="1344"/>
      <c r="I16" s="1203"/>
      <c r="J16" s="1345"/>
      <c r="K16" s="61" t="s">
        <v>141</v>
      </c>
      <c r="L16" s="1481"/>
      <c r="M16" s="1477"/>
      <c r="N16" s="1479"/>
    </row>
    <row r="17" spans="2:27" s="949" customFormat="1" x14ac:dyDescent="0.25">
      <c r="B17" s="1375"/>
      <c r="C17" s="1317"/>
      <c r="D17" s="1489"/>
      <c r="E17" s="1486"/>
      <c r="F17" s="958" t="s">
        <v>1874</v>
      </c>
      <c r="G17" s="955" t="s">
        <v>263</v>
      </c>
      <c r="H17" s="1344"/>
      <c r="I17" s="1203"/>
      <c r="J17" s="1345"/>
      <c r="K17" s="954"/>
      <c r="L17" s="1481"/>
      <c r="M17" s="1477"/>
      <c r="N17" s="1479"/>
    </row>
    <row r="18" spans="2:27" x14ac:dyDescent="0.25">
      <c r="B18" s="1375"/>
      <c r="C18" s="1317"/>
      <c r="D18" s="1490"/>
      <c r="E18" s="1487"/>
      <c r="F18" s="119" t="s">
        <v>977</v>
      </c>
      <c r="G18" s="955" t="s">
        <v>263</v>
      </c>
      <c r="H18" s="1344"/>
      <c r="I18" s="1203"/>
      <c r="J18" s="1345"/>
      <c r="K18" s="61"/>
      <c r="L18" s="1481"/>
      <c r="M18" s="1477"/>
      <c r="N18" s="1479"/>
    </row>
    <row r="19" spans="2:27" s="57" customFormat="1" x14ac:dyDescent="0.25">
      <c r="B19" s="1375"/>
      <c r="C19" s="1317"/>
      <c r="D19" s="1488" t="s">
        <v>265</v>
      </c>
      <c r="E19" s="1485" t="s">
        <v>264</v>
      </c>
      <c r="F19" s="119" t="s">
        <v>978</v>
      </c>
      <c r="G19" s="955" t="s">
        <v>263</v>
      </c>
      <c r="H19" s="1344"/>
      <c r="I19" s="1203"/>
      <c r="J19" s="1345"/>
      <c r="K19" s="61" t="s">
        <v>141</v>
      </c>
      <c r="L19" s="1481"/>
      <c r="M19" s="1477"/>
      <c r="N19" s="1479"/>
      <c r="AA19" s="438"/>
    </row>
    <row r="20" spans="2:27" s="57" customFormat="1" x14ac:dyDescent="0.25">
      <c r="B20" s="1375"/>
      <c r="C20" s="1317"/>
      <c r="D20" s="1489"/>
      <c r="E20" s="1486"/>
      <c r="F20" s="958" t="s">
        <v>1875</v>
      </c>
      <c r="G20" s="955" t="s">
        <v>263</v>
      </c>
      <c r="H20" s="1344"/>
      <c r="I20" s="1203"/>
      <c r="J20" s="1345"/>
      <c r="K20" s="954"/>
      <c r="L20" s="1481"/>
      <c r="M20" s="1477"/>
      <c r="N20" s="1479"/>
      <c r="AA20" s="438"/>
    </row>
    <row r="21" spans="2:27" s="57" customFormat="1" x14ac:dyDescent="0.25">
      <c r="B21" s="1375"/>
      <c r="C21" s="1317"/>
      <c r="D21" s="1489"/>
      <c r="E21" s="1486"/>
      <c r="F21" s="958" t="s">
        <v>966</v>
      </c>
      <c r="G21" s="955" t="s">
        <v>263</v>
      </c>
      <c r="H21" s="1344"/>
      <c r="I21" s="1203"/>
      <c r="J21" s="1345"/>
      <c r="K21" s="954"/>
      <c r="L21" s="1481"/>
      <c r="M21" s="1477"/>
      <c r="N21" s="1479"/>
      <c r="AA21" s="438"/>
    </row>
    <row r="22" spans="2:27" s="57" customFormat="1" x14ac:dyDescent="0.25">
      <c r="B22" s="1375"/>
      <c r="C22" s="1317"/>
      <c r="D22" s="1489"/>
      <c r="E22" s="1486"/>
      <c r="F22" s="958" t="s">
        <v>979</v>
      </c>
      <c r="G22" s="955" t="s">
        <v>263</v>
      </c>
      <c r="H22" s="1344"/>
      <c r="I22" s="1203"/>
      <c r="J22" s="1345"/>
      <c r="K22" s="954" t="s">
        <v>141</v>
      </c>
      <c r="L22" s="1481"/>
      <c r="M22" s="1477"/>
      <c r="N22" s="1479"/>
      <c r="AA22" s="438"/>
    </row>
    <row r="23" spans="2:27" s="57" customFormat="1" x14ac:dyDescent="0.25">
      <c r="B23" s="1375"/>
      <c r="C23" s="1317"/>
      <c r="D23" s="1489"/>
      <c r="E23" s="1486"/>
      <c r="F23" s="958" t="s">
        <v>1876</v>
      </c>
      <c r="G23" s="955" t="s">
        <v>263</v>
      </c>
      <c r="H23" s="1344"/>
      <c r="I23" s="1203"/>
      <c r="J23" s="1345"/>
      <c r="K23" s="954"/>
      <c r="L23" s="1481"/>
      <c r="M23" s="1477"/>
      <c r="N23" s="1479"/>
      <c r="AA23" s="438"/>
    </row>
    <row r="24" spans="2:27" s="57" customFormat="1" x14ac:dyDescent="0.25">
      <c r="B24" s="1375"/>
      <c r="C24" s="1317"/>
      <c r="D24" s="1489"/>
      <c r="E24" s="1486"/>
      <c r="F24" s="958" t="s">
        <v>967</v>
      </c>
      <c r="G24" s="955" t="s">
        <v>263</v>
      </c>
      <c r="H24" s="1344"/>
      <c r="I24" s="1203"/>
      <c r="J24" s="1345"/>
      <c r="K24" s="954"/>
      <c r="L24" s="1481"/>
      <c r="M24" s="1477"/>
      <c r="N24" s="1479"/>
      <c r="AA24" s="438"/>
    </row>
    <row r="25" spans="2:27" s="57" customFormat="1" x14ac:dyDescent="0.25">
      <c r="B25" s="1375"/>
      <c r="C25" s="1317"/>
      <c r="D25" s="1489"/>
      <c r="E25" s="1486"/>
      <c r="F25" s="119" t="s">
        <v>980</v>
      </c>
      <c r="G25" s="955" t="s">
        <v>263</v>
      </c>
      <c r="H25" s="1344"/>
      <c r="I25" s="1203"/>
      <c r="J25" s="1345"/>
      <c r="K25" s="954" t="s">
        <v>141</v>
      </c>
      <c r="L25" s="1481"/>
      <c r="M25" s="1477"/>
      <c r="N25" s="1479"/>
      <c r="AA25" s="438"/>
    </row>
    <row r="26" spans="2:27" s="57" customFormat="1" x14ac:dyDescent="0.25">
      <c r="B26" s="1375"/>
      <c r="C26" s="1317"/>
      <c r="D26" s="1489"/>
      <c r="E26" s="1486"/>
      <c r="F26" s="119" t="s">
        <v>1877</v>
      </c>
      <c r="G26" s="955" t="s">
        <v>263</v>
      </c>
      <c r="H26" s="1344"/>
      <c r="I26" s="1203"/>
      <c r="J26" s="1345"/>
      <c r="K26" s="954"/>
      <c r="L26" s="1481"/>
      <c r="M26" s="1477"/>
      <c r="N26" s="1479"/>
      <c r="AA26" s="438"/>
    </row>
    <row r="27" spans="2:27" s="57" customFormat="1" x14ac:dyDescent="0.25">
      <c r="B27" s="1375"/>
      <c r="C27" s="1317"/>
      <c r="D27" s="1489"/>
      <c r="E27" s="1486"/>
      <c r="F27" s="119" t="s">
        <v>969</v>
      </c>
      <c r="G27" s="955" t="s">
        <v>263</v>
      </c>
      <c r="H27" s="1344"/>
      <c r="I27" s="1203"/>
      <c r="J27" s="1345"/>
      <c r="K27" s="954"/>
      <c r="L27" s="1481"/>
      <c r="M27" s="1477"/>
      <c r="N27" s="1479"/>
      <c r="AA27" s="438"/>
    </row>
    <row r="28" spans="2:27" x14ac:dyDescent="0.25">
      <c r="B28" s="1375"/>
      <c r="C28" s="1317"/>
      <c r="D28" s="1489"/>
      <c r="E28" s="1486"/>
      <c r="F28" s="119" t="s">
        <v>981</v>
      </c>
      <c r="G28" s="955" t="s">
        <v>263</v>
      </c>
      <c r="H28" s="1344"/>
      <c r="I28" s="1203"/>
      <c r="J28" s="1345"/>
      <c r="K28" s="954" t="s">
        <v>141</v>
      </c>
      <c r="L28" s="1481"/>
      <c r="M28" s="1477"/>
      <c r="N28" s="1479"/>
    </row>
    <row r="29" spans="2:27" x14ac:dyDescent="0.25">
      <c r="B29" s="1375"/>
      <c r="C29" s="1317"/>
      <c r="D29" s="1489"/>
      <c r="E29" s="1486"/>
      <c r="F29" s="119" t="s">
        <v>1878</v>
      </c>
      <c r="G29" s="955" t="s">
        <v>263</v>
      </c>
      <c r="H29" s="1344"/>
      <c r="I29" s="1203"/>
      <c r="J29" s="1345"/>
      <c r="K29" s="954"/>
      <c r="L29" s="1481"/>
      <c r="M29" s="1477"/>
      <c r="N29" s="1479"/>
    </row>
    <row r="30" spans="2:27" x14ac:dyDescent="0.25">
      <c r="B30" s="1375"/>
      <c r="C30" s="1317"/>
      <c r="D30" s="1489"/>
      <c r="E30" s="1486"/>
      <c r="F30" s="119" t="s">
        <v>968</v>
      </c>
      <c r="G30" s="955" t="s">
        <v>263</v>
      </c>
      <c r="H30" s="1344"/>
      <c r="I30" s="1203"/>
      <c r="J30" s="1345"/>
      <c r="K30" s="954"/>
      <c r="L30" s="1481"/>
      <c r="M30" s="1477"/>
      <c r="N30" s="1479"/>
    </row>
    <row r="31" spans="2:27" x14ac:dyDescent="0.25">
      <c r="B31" s="391"/>
      <c r="C31" s="1497" t="s">
        <v>369</v>
      </c>
      <c r="D31" s="1488" t="s">
        <v>333</v>
      </c>
      <c r="E31" s="1485" t="s">
        <v>335</v>
      </c>
      <c r="F31" s="252" t="s">
        <v>814</v>
      </c>
      <c r="G31" s="76" t="s">
        <v>263</v>
      </c>
      <c r="H31" s="1344"/>
      <c r="I31" s="1203"/>
      <c r="J31" s="1345"/>
      <c r="K31" s="61" t="s">
        <v>141</v>
      </c>
      <c r="L31" s="1480" t="s">
        <v>72</v>
      </c>
      <c r="M31" s="1476" t="s">
        <v>72</v>
      </c>
      <c r="N31" s="1478" t="s">
        <v>72</v>
      </c>
    </row>
    <row r="32" spans="2:27" x14ac:dyDescent="0.25">
      <c r="B32" s="391"/>
      <c r="C32" s="1498"/>
      <c r="D32" s="1489"/>
      <c r="E32" s="1486"/>
      <c r="F32" s="252" t="s">
        <v>815</v>
      </c>
      <c r="G32" s="76" t="s">
        <v>263</v>
      </c>
      <c r="H32" s="1344"/>
      <c r="I32" s="1203"/>
      <c r="J32" s="1345"/>
      <c r="K32" s="61"/>
      <c r="L32" s="1481"/>
      <c r="M32" s="1477"/>
      <c r="N32" s="1479"/>
    </row>
    <row r="33" spans="2:14" x14ac:dyDescent="0.25">
      <c r="B33" s="391"/>
      <c r="C33" s="1498"/>
      <c r="D33" s="1489"/>
      <c r="E33" s="1486"/>
      <c r="F33" s="252" t="s">
        <v>816</v>
      </c>
      <c r="G33" s="76" t="s">
        <v>263</v>
      </c>
      <c r="H33" s="1344"/>
      <c r="I33" s="1203"/>
      <c r="J33" s="1345"/>
      <c r="K33" s="61" t="s">
        <v>141</v>
      </c>
      <c r="L33" s="1481"/>
      <c r="M33" s="1477"/>
      <c r="N33" s="1479"/>
    </row>
    <row r="34" spans="2:14" x14ac:dyDescent="0.25">
      <c r="B34" s="391"/>
      <c r="C34" s="1498"/>
      <c r="D34" s="1489"/>
      <c r="E34" s="1486"/>
      <c r="F34" s="252" t="s">
        <v>817</v>
      </c>
      <c r="G34" s="76" t="s">
        <v>263</v>
      </c>
      <c r="H34" s="1494"/>
      <c r="I34" s="1495"/>
      <c r="J34" s="1496"/>
      <c r="K34" s="61"/>
      <c r="L34" s="1482"/>
      <c r="M34" s="1483"/>
      <c r="N34" s="1484"/>
    </row>
    <row r="35" spans="2:14" s="949" customFormat="1" x14ac:dyDescent="0.25">
      <c r="B35" s="1120"/>
      <c r="C35" s="1499"/>
      <c r="D35" s="1490"/>
      <c r="E35" s="1487"/>
      <c r="F35" s="1123" t="s">
        <v>2125</v>
      </c>
      <c r="G35" s="955" t="s">
        <v>1386</v>
      </c>
      <c r="H35" s="1115">
        <v>1</v>
      </c>
      <c r="I35" s="1112">
        <v>1</v>
      </c>
      <c r="J35" s="1125">
        <v>1</v>
      </c>
      <c r="K35" s="954" t="s">
        <v>141</v>
      </c>
      <c r="L35" s="1122" t="s">
        <v>72</v>
      </c>
      <c r="M35" s="1124" t="s">
        <v>72</v>
      </c>
      <c r="N35" s="1121" t="s">
        <v>72</v>
      </c>
    </row>
    <row r="36" spans="2:14" ht="15.75" thickBot="1" x14ac:dyDescent="0.3">
      <c r="B36" s="43" t="s">
        <v>60</v>
      </c>
      <c r="C36" s="32"/>
      <c r="D36" s="116" t="s">
        <v>49</v>
      </c>
      <c r="E36" s="117" t="s">
        <v>49</v>
      </c>
      <c r="F36" s="56" t="s">
        <v>49</v>
      </c>
      <c r="G36" s="47" t="s">
        <v>49</v>
      </c>
      <c r="H36" s="51" t="s">
        <v>372</v>
      </c>
      <c r="I36" s="29"/>
      <c r="J36" s="41"/>
      <c r="K36" s="35" t="s">
        <v>49</v>
      </c>
      <c r="L36" s="40" t="s">
        <v>49</v>
      </c>
      <c r="M36" s="86" t="s">
        <v>49</v>
      </c>
      <c r="N36" s="81" t="s">
        <v>49</v>
      </c>
    </row>
    <row r="37" spans="2:14" x14ac:dyDescent="0.25">
      <c r="B37" t="s">
        <v>58</v>
      </c>
    </row>
    <row r="38" spans="2:14" x14ac:dyDescent="0.25">
      <c r="B38" t="s">
        <v>50</v>
      </c>
    </row>
    <row r="40" spans="2:14" x14ac:dyDescent="0.25">
      <c r="B40" s="17" t="s">
        <v>822</v>
      </c>
      <c r="C40" t="s">
        <v>254</v>
      </c>
    </row>
    <row r="41" spans="2:14" x14ac:dyDescent="0.25">
      <c r="B41" s="17"/>
      <c r="C41" t="s">
        <v>255</v>
      </c>
    </row>
    <row r="42" spans="2:14" x14ac:dyDescent="0.25">
      <c r="B42" s="17"/>
      <c r="C42" t="s">
        <v>871</v>
      </c>
    </row>
    <row r="43" spans="2:14" x14ac:dyDescent="0.25">
      <c r="B43" s="17"/>
    </row>
    <row r="44" spans="2:14" x14ac:dyDescent="0.25">
      <c r="B44" s="17" t="s">
        <v>51</v>
      </c>
    </row>
    <row r="45" spans="2:14" ht="57" customHeight="1" x14ac:dyDescent="0.25">
      <c r="C45" s="1372" t="s">
        <v>2007</v>
      </c>
      <c r="D45" s="1372"/>
      <c r="E45" s="1372"/>
      <c r="F45" s="1372"/>
      <c r="G45" s="1372"/>
    </row>
    <row r="47" spans="2:14" x14ac:dyDescent="0.25">
      <c r="B47" s="17" t="s">
        <v>53</v>
      </c>
    </row>
    <row r="48" spans="2:14" x14ac:dyDescent="0.25">
      <c r="C48" s="1" t="s">
        <v>88</v>
      </c>
      <c r="D48" s="18"/>
    </row>
    <row r="50" spans="2:12" x14ac:dyDescent="0.25">
      <c r="B50" s="17" t="s">
        <v>633</v>
      </c>
      <c r="C50" s="1"/>
    </row>
    <row r="51" spans="2:12" x14ac:dyDescent="0.25">
      <c r="C51" s="1500" t="s">
        <v>1085</v>
      </c>
      <c r="D51" s="1500"/>
      <c r="E51" s="1500"/>
      <c r="F51" s="1500"/>
      <c r="G51" s="1500"/>
    </row>
    <row r="53" spans="2:12" x14ac:dyDescent="0.25">
      <c r="B53" s="17" t="s">
        <v>55</v>
      </c>
      <c r="L53" t="s">
        <v>962</v>
      </c>
    </row>
    <row r="54" spans="2:12" x14ac:dyDescent="0.25">
      <c r="B54" s="17"/>
      <c r="C54" t="s">
        <v>956</v>
      </c>
    </row>
    <row r="55" spans="2:12" x14ac:dyDescent="0.25">
      <c r="B55" s="17"/>
      <c r="C55" t="s">
        <v>957</v>
      </c>
    </row>
    <row r="56" spans="2:12" x14ac:dyDescent="0.25">
      <c r="B56" s="17"/>
      <c r="C56" s="212" t="s">
        <v>958</v>
      </c>
    </row>
    <row r="57" spans="2:12" x14ac:dyDescent="0.25">
      <c r="C57" s="212" t="s">
        <v>1169</v>
      </c>
    </row>
    <row r="58" spans="2:12" x14ac:dyDescent="0.25">
      <c r="B58" s="17"/>
      <c r="C58" s="212" t="s">
        <v>1005</v>
      </c>
    </row>
    <row r="59" spans="2:12" x14ac:dyDescent="0.25">
      <c r="B59" s="17"/>
      <c r="C59" t="s">
        <v>960</v>
      </c>
    </row>
    <row r="60" spans="2:12" x14ac:dyDescent="0.25">
      <c r="B60" s="17"/>
      <c r="C60" s="212" t="s">
        <v>961</v>
      </c>
    </row>
    <row r="61" spans="2:12" x14ac:dyDescent="0.25">
      <c r="B61" s="17"/>
      <c r="C61" s="291" t="s">
        <v>959</v>
      </c>
    </row>
    <row r="62" spans="2:12" x14ac:dyDescent="0.25">
      <c r="B62" s="17"/>
      <c r="C62" s="212" t="s">
        <v>1503</v>
      </c>
    </row>
    <row r="63" spans="2:12" x14ac:dyDescent="0.25">
      <c r="B63" s="17"/>
      <c r="C63" s="212" t="s">
        <v>1170</v>
      </c>
    </row>
    <row r="64" spans="2:12" x14ac:dyDescent="0.25">
      <c r="C64" s="291" t="s">
        <v>963</v>
      </c>
    </row>
    <row r="65" spans="3:3" x14ac:dyDescent="0.25">
      <c r="C65" s="212" t="s">
        <v>985</v>
      </c>
    </row>
    <row r="66" spans="3:3" x14ac:dyDescent="0.25">
      <c r="C66" s="339" t="s">
        <v>982</v>
      </c>
    </row>
    <row r="67" spans="3:3" x14ac:dyDescent="0.25">
      <c r="C67" s="212" t="s">
        <v>1879</v>
      </c>
    </row>
    <row r="68" spans="3:3" x14ac:dyDescent="0.25">
      <c r="C68" s="339" t="s">
        <v>983</v>
      </c>
    </row>
    <row r="69" spans="3:3" x14ac:dyDescent="0.25">
      <c r="C69" s="339"/>
    </row>
    <row r="70" spans="3:3" x14ac:dyDescent="0.25">
      <c r="C70" t="s">
        <v>964</v>
      </c>
    </row>
    <row r="71" spans="3:3" x14ac:dyDescent="0.25">
      <c r="C71" t="s">
        <v>965</v>
      </c>
    </row>
    <row r="72" spans="3:3" x14ac:dyDescent="0.25">
      <c r="C72" s="212" t="s">
        <v>958</v>
      </c>
    </row>
    <row r="73" spans="3:3" x14ac:dyDescent="0.25">
      <c r="C73" s="212" t="s">
        <v>1169</v>
      </c>
    </row>
    <row r="74" spans="3:3" x14ac:dyDescent="0.25">
      <c r="C74" s="212" t="s">
        <v>1005</v>
      </c>
    </row>
    <row r="75" spans="3:3" x14ac:dyDescent="0.25">
      <c r="C75" t="s">
        <v>960</v>
      </c>
    </row>
    <row r="76" spans="3:3" x14ac:dyDescent="0.25">
      <c r="C76" s="212" t="s">
        <v>961</v>
      </c>
    </row>
    <row r="77" spans="3:3" x14ac:dyDescent="0.25">
      <c r="C77" s="291" t="s">
        <v>959</v>
      </c>
    </row>
    <row r="78" spans="3:3" x14ac:dyDescent="0.25">
      <c r="C78" s="212" t="s">
        <v>1502</v>
      </c>
    </row>
    <row r="79" spans="3:3" x14ac:dyDescent="0.25">
      <c r="C79" s="212" t="s">
        <v>1170</v>
      </c>
    </row>
    <row r="80" spans="3:3" x14ac:dyDescent="0.25">
      <c r="C80" s="291" t="s">
        <v>963</v>
      </c>
    </row>
    <row r="81" spans="2:3" x14ac:dyDescent="0.25">
      <c r="C81" s="212" t="s">
        <v>984</v>
      </c>
    </row>
    <row r="82" spans="2:3" x14ac:dyDescent="0.25">
      <c r="C82" s="339" t="s">
        <v>982</v>
      </c>
    </row>
    <row r="83" spans="2:3" x14ac:dyDescent="0.25">
      <c r="C83" s="212" t="s">
        <v>1880</v>
      </c>
    </row>
    <row r="84" spans="2:3" x14ac:dyDescent="0.25">
      <c r="C84" s="339" t="s">
        <v>983</v>
      </c>
    </row>
    <row r="86" spans="2:3" x14ac:dyDescent="0.25">
      <c r="B86" s="17" t="s">
        <v>1150</v>
      </c>
    </row>
    <row r="87" spans="2:3" x14ac:dyDescent="0.25">
      <c r="B87" s="17"/>
      <c r="C87" t="s">
        <v>1145</v>
      </c>
    </row>
    <row r="88" spans="2:3" x14ac:dyDescent="0.25">
      <c r="B88" s="17"/>
      <c r="C88" s="125" t="s">
        <v>1140</v>
      </c>
    </row>
    <row r="89" spans="2:3" x14ac:dyDescent="0.25">
      <c r="B89" s="17"/>
      <c r="C89" s="125" t="s">
        <v>1141</v>
      </c>
    </row>
    <row r="90" spans="2:3" x14ac:dyDescent="0.25">
      <c r="B90" s="17"/>
      <c r="C90" s="125" t="s">
        <v>1142</v>
      </c>
    </row>
    <row r="91" spans="2:3" x14ac:dyDescent="0.25">
      <c r="B91" s="17"/>
      <c r="C91" s="125" t="s">
        <v>1143</v>
      </c>
    </row>
    <row r="92" spans="2:3" x14ac:dyDescent="0.25">
      <c r="C92" t="s">
        <v>1144</v>
      </c>
    </row>
    <row r="93" spans="2:3" x14ac:dyDescent="0.25">
      <c r="B93" s="17"/>
      <c r="C93" s="125" t="s">
        <v>1146</v>
      </c>
    </row>
    <row r="94" spans="2:3" x14ac:dyDescent="0.25">
      <c r="B94" s="17"/>
      <c r="C94" s="125" t="s">
        <v>1147</v>
      </c>
    </row>
    <row r="95" spans="2:3" x14ac:dyDescent="0.25">
      <c r="B95" s="17"/>
      <c r="C95" s="125" t="s">
        <v>1148</v>
      </c>
    </row>
    <row r="96" spans="2:3" x14ac:dyDescent="0.25">
      <c r="B96" s="17"/>
      <c r="C96" s="125" t="s">
        <v>1149</v>
      </c>
    </row>
    <row r="98" spans="2:4" x14ac:dyDescent="0.25">
      <c r="B98" s="17" t="s">
        <v>1174</v>
      </c>
    </row>
    <row r="99" spans="2:4" x14ac:dyDescent="0.25">
      <c r="B99" s="17"/>
      <c r="C99" s="291" t="s">
        <v>1178</v>
      </c>
    </row>
    <row r="100" spans="2:4" x14ac:dyDescent="0.25">
      <c r="C100" t="s">
        <v>1145</v>
      </c>
    </row>
    <row r="101" spans="2:4" x14ac:dyDescent="0.25">
      <c r="C101" s="125" t="s">
        <v>1500</v>
      </c>
    </row>
    <row r="102" spans="2:4" x14ac:dyDescent="0.25">
      <c r="C102" t="s">
        <v>1144</v>
      </c>
    </row>
    <row r="103" spans="2:4" x14ac:dyDescent="0.25">
      <c r="C103" s="125" t="s">
        <v>1501</v>
      </c>
    </row>
    <row r="104" spans="2:4" x14ac:dyDescent="0.25">
      <c r="C104" t="s">
        <v>1151</v>
      </c>
    </row>
    <row r="106" spans="2:4" x14ac:dyDescent="0.25">
      <c r="B106" s="17" t="s">
        <v>56</v>
      </c>
    </row>
    <row r="107" spans="2:4" x14ac:dyDescent="0.25">
      <c r="C107" s="1" t="s">
        <v>1179</v>
      </c>
      <c r="D107" s="18"/>
    </row>
  </sheetData>
  <mergeCells count="19">
    <mergeCell ref="B5:B30"/>
    <mergeCell ref="E19:E30"/>
    <mergeCell ref="D19:D30"/>
    <mergeCell ref="C51:G51"/>
    <mergeCell ref="L5:L30"/>
    <mergeCell ref="C45:G45"/>
    <mergeCell ref="M5:M30"/>
    <mergeCell ref="N5:N30"/>
    <mergeCell ref="H3:J3"/>
    <mergeCell ref="C5:C30"/>
    <mergeCell ref="L31:L34"/>
    <mergeCell ref="M31:M34"/>
    <mergeCell ref="N31:N34"/>
    <mergeCell ref="E5:E18"/>
    <mergeCell ref="D5:D18"/>
    <mergeCell ref="H5:J34"/>
    <mergeCell ref="C31:C35"/>
    <mergeCell ref="D31:D35"/>
    <mergeCell ref="E31:E35"/>
  </mergeCells>
  <phoneticPr fontId="7" type="noConversion"/>
  <hyperlinks>
    <hyperlink ref="B1" location="'RFE SOC FuseMap'!A1" display="RFE/SOC FuseMap" xr:uid="{FA17C3EE-B406-43E0-9FFB-EF4FC183D427}"/>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89175-BFA6-4D90-8ADE-070AECCC2AEA}">
  <dimension ref="B1:K58"/>
  <sheetViews>
    <sheetView workbookViewId="0">
      <selection activeCell="E1" sqref="E1:G4"/>
    </sheetView>
  </sheetViews>
  <sheetFormatPr defaultColWidth="8.7109375" defaultRowHeight="15" x14ac:dyDescent="0.25"/>
  <cols>
    <col min="1" max="1" width="8.7109375" style="949"/>
    <col min="2" max="2" width="16.28515625" style="949" customWidth="1"/>
    <col min="3" max="3" width="21.28515625" style="949" customWidth="1"/>
    <col min="4" max="4" width="18.140625" style="949" customWidth="1"/>
    <col min="5" max="5" width="20.5703125" style="949" customWidth="1"/>
    <col min="6" max="6" width="18.85546875" style="949" customWidth="1"/>
    <col min="7" max="7" width="16.5703125" style="949" customWidth="1"/>
    <col min="8" max="8" width="18.5703125" style="949" customWidth="1"/>
    <col min="9" max="10" width="17.7109375" style="949" bestFit="1" customWidth="1"/>
    <col min="11" max="12" width="29.140625" style="949" bestFit="1" customWidth="1"/>
    <col min="13" max="16384" width="8.7109375" style="949"/>
  </cols>
  <sheetData>
    <row r="1" spans="2:11" x14ac:dyDescent="0.25">
      <c r="B1" s="16" t="s">
        <v>1055</v>
      </c>
    </row>
    <row r="2" spans="2:11" ht="15.75" thickBot="1" x14ac:dyDescent="0.3"/>
    <row r="3" spans="2:11" x14ac:dyDescent="0.25">
      <c r="B3" s="1031" t="s">
        <v>0</v>
      </c>
      <c r="C3" s="20" t="s">
        <v>1954</v>
      </c>
    </row>
    <row r="4" spans="2:11" ht="15.75" thickBot="1" x14ac:dyDescent="0.3">
      <c r="B4" s="1032" t="s">
        <v>1</v>
      </c>
      <c r="C4" s="23" t="s">
        <v>20</v>
      </c>
    </row>
    <row r="5" spans="2:11" ht="15.75" thickBot="1" x14ac:dyDescent="0.3"/>
    <row r="6" spans="2:11" ht="45.75" thickBot="1" x14ac:dyDescent="0.3">
      <c r="D6" s="52" t="s">
        <v>666</v>
      </c>
      <c r="E6" s="1365" t="s">
        <v>46</v>
      </c>
      <c r="F6" s="1366"/>
      <c r="G6" s="1367"/>
      <c r="H6" s="52" t="s">
        <v>61</v>
      </c>
      <c r="I6" s="1037" t="s">
        <v>1955</v>
      </c>
      <c r="J6" s="1035" t="s">
        <v>1956</v>
      </c>
      <c r="K6" s="1036" t="s">
        <v>95</v>
      </c>
    </row>
    <row r="7" spans="2:11" x14ac:dyDescent="0.25">
      <c r="B7" s="42" t="s">
        <v>59</v>
      </c>
      <c r="C7" s="45" t="s">
        <v>49</v>
      </c>
      <c r="D7" s="1038" t="s">
        <v>49</v>
      </c>
      <c r="E7" s="48">
        <v>125</v>
      </c>
      <c r="F7" s="27">
        <v>25</v>
      </c>
      <c r="G7" s="69">
        <v>-40</v>
      </c>
      <c r="H7" s="1043" t="s">
        <v>48</v>
      </c>
      <c r="I7" s="36" t="s">
        <v>49</v>
      </c>
      <c r="J7" s="82" t="s">
        <v>49</v>
      </c>
      <c r="K7" s="430" t="s">
        <v>49</v>
      </c>
    </row>
    <row r="8" spans="2:11" ht="45" x14ac:dyDescent="0.25">
      <c r="B8" s="1501"/>
      <c r="C8" s="382" t="s">
        <v>1957</v>
      </c>
      <c r="D8" s="955" t="s">
        <v>1089</v>
      </c>
      <c r="E8" s="1033">
        <v>7.8</v>
      </c>
      <c r="F8" s="30">
        <v>7.8</v>
      </c>
      <c r="G8" s="1034">
        <v>7.8</v>
      </c>
      <c r="H8" s="1033" t="s">
        <v>80</v>
      </c>
      <c r="I8" s="1041" t="s">
        <v>1958</v>
      </c>
      <c r="J8" s="951" t="s">
        <v>1959</v>
      </c>
      <c r="K8" s="983" t="s">
        <v>1960</v>
      </c>
    </row>
    <row r="9" spans="2:11" ht="45" x14ac:dyDescent="0.25">
      <c r="B9" s="1501"/>
      <c r="C9" s="382" t="s">
        <v>1961</v>
      </c>
      <c r="D9" s="955" t="s">
        <v>1089</v>
      </c>
      <c r="E9" s="1033">
        <v>35</v>
      </c>
      <c r="F9" s="30">
        <v>35</v>
      </c>
      <c r="G9" s="1034">
        <v>35</v>
      </c>
      <c r="H9" s="1033" t="s">
        <v>80</v>
      </c>
      <c r="I9" s="1041" t="s">
        <v>1962</v>
      </c>
      <c r="J9" s="951" t="s">
        <v>1963</v>
      </c>
      <c r="K9" s="983" t="s">
        <v>1964</v>
      </c>
    </row>
    <row r="10" spans="2:11" ht="15.75" thickBot="1" x14ac:dyDescent="0.3">
      <c r="B10" s="43" t="s">
        <v>60</v>
      </c>
      <c r="C10" s="47" t="s">
        <v>49</v>
      </c>
      <c r="D10" s="1039" t="s">
        <v>49</v>
      </c>
      <c r="E10" s="51" t="s">
        <v>372</v>
      </c>
      <c r="F10" s="29"/>
      <c r="G10" s="71"/>
      <c r="H10" s="1044" t="s">
        <v>49</v>
      </c>
      <c r="I10" s="40" t="s">
        <v>49</v>
      </c>
      <c r="J10" s="80" t="s">
        <v>49</v>
      </c>
      <c r="K10" s="432" t="s">
        <v>49</v>
      </c>
    </row>
    <row r="11" spans="2:11" x14ac:dyDescent="0.25">
      <c r="B11" s="949" t="s">
        <v>58</v>
      </c>
    </row>
    <row r="12" spans="2:11" x14ac:dyDescent="0.25">
      <c r="B12" s="949" t="s">
        <v>50</v>
      </c>
    </row>
    <row r="14" spans="2:11" x14ac:dyDescent="0.25">
      <c r="B14" s="17" t="s">
        <v>822</v>
      </c>
    </row>
    <row r="15" spans="2:11" x14ac:dyDescent="0.25">
      <c r="I15" s="949" t="s">
        <v>1976</v>
      </c>
    </row>
    <row r="16" spans="2:11" x14ac:dyDescent="0.25">
      <c r="B16" s="17" t="s">
        <v>51</v>
      </c>
    </row>
    <row r="17" spans="2:7" x14ac:dyDescent="0.25">
      <c r="C17" s="1" t="s">
        <v>1965</v>
      </c>
      <c r="D17" s="950"/>
    </row>
    <row r="19" spans="2:7" x14ac:dyDescent="0.25">
      <c r="B19" s="17" t="s">
        <v>53</v>
      </c>
    </row>
    <row r="20" spans="2:7" x14ac:dyDescent="0.25">
      <c r="C20" s="1" t="s">
        <v>88</v>
      </c>
      <c r="D20" s="950"/>
    </row>
    <row r="22" spans="2:7" x14ac:dyDescent="0.25">
      <c r="B22" s="17" t="s">
        <v>633</v>
      </c>
      <c r="C22" s="1"/>
    </row>
    <row r="23" spans="2:7" ht="30" customHeight="1" x14ac:dyDescent="0.25">
      <c r="C23" s="1372" t="s">
        <v>1090</v>
      </c>
      <c r="D23" s="1372"/>
      <c r="E23" s="1372"/>
      <c r="F23" s="1372"/>
      <c r="G23" s="1372"/>
    </row>
    <row r="25" spans="2:7" x14ac:dyDescent="0.25">
      <c r="B25" s="17" t="s">
        <v>55</v>
      </c>
    </row>
    <row r="26" spans="2:7" x14ac:dyDescent="0.25">
      <c r="B26" s="17"/>
      <c r="C26" s="437" t="s">
        <v>1250</v>
      </c>
    </row>
    <row r="27" spans="2:7" x14ac:dyDescent="0.25">
      <c r="B27" s="17"/>
      <c r="C27" s="212" t="s">
        <v>1966</v>
      </c>
    </row>
    <row r="28" spans="2:7" x14ac:dyDescent="0.25">
      <c r="B28" s="17"/>
      <c r="C28" s="212" t="s">
        <v>1967</v>
      </c>
    </row>
    <row r="29" spans="2:7" x14ac:dyDescent="0.25">
      <c r="B29" s="17"/>
      <c r="C29" s="949" t="s">
        <v>1264</v>
      </c>
    </row>
    <row r="30" spans="2:7" x14ac:dyDescent="0.25">
      <c r="B30" s="17"/>
      <c r="C30" s="212" t="s">
        <v>1265</v>
      </c>
    </row>
    <row r="31" spans="2:7" x14ac:dyDescent="0.25">
      <c r="B31" s="17"/>
      <c r="C31" s="212" t="s">
        <v>1968</v>
      </c>
    </row>
    <row r="32" spans="2:7" x14ac:dyDescent="0.25">
      <c r="B32" s="17"/>
      <c r="C32" s="212" t="s">
        <v>1267</v>
      </c>
    </row>
    <row r="33" spans="2:8" x14ac:dyDescent="0.25">
      <c r="B33" s="17"/>
      <c r="C33" s="949" t="s">
        <v>1969</v>
      </c>
    </row>
    <row r="34" spans="2:8" x14ac:dyDescent="0.25">
      <c r="B34" s="17"/>
      <c r="C34" s="125" t="s">
        <v>1977</v>
      </c>
    </row>
    <row r="35" spans="2:8" x14ac:dyDescent="0.25">
      <c r="B35" s="17"/>
      <c r="C35" s="125" t="s">
        <v>1978</v>
      </c>
    </row>
    <row r="36" spans="2:8" x14ac:dyDescent="0.25">
      <c r="B36" s="17"/>
      <c r="C36" s="125" t="s">
        <v>1970</v>
      </c>
    </row>
    <row r="37" spans="2:8" x14ac:dyDescent="0.25">
      <c r="B37" s="17"/>
      <c r="C37" s="125" t="s">
        <v>83</v>
      </c>
    </row>
    <row r="38" spans="2:8" x14ac:dyDescent="0.25">
      <c r="B38" s="17"/>
      <c r="C38" s="125" t="s">
        <v>1971</v>
      </c>
    </row>
    <row r="39" spans="2:8" x14ac:dyDescent="0.25">
      <c r="B39" s="17"/>
      <c r="C39" s="949" t="s">
        <v>1972</v>
      </c>
    </row>
    <row r="40" spans="2:8" x14ac:dyDescent="0.25">
      <c r="B40" s="17"/>
      <c r="C40" s="125" t="s">
        <v>1979</v>
      </c>
    </row>
    <row r="41" spans="2:8" x14ac:dyDescent="0.25">
      <c r="B41" s="17"/>
      <c r="C41" s="125" t="s">
        <v>1980</v>
      </c>
    </row>
    <row r="42" spans="2:8" x14ac:dyDescent="0.25">
      <c r="B42" s="17"/>
      <c r="C42" s="125" t="s">
        <v>1973</v>
      </c>
    </row>
    <row r="43" spans="2:8" x14ac:dyDescent="0.25">
      <c r="B43" s="17"/>
      <c r="C43" s="125" t="s">
        <v>83</v>
      </c>
    </row>
    <row r="44" spans="2:8" x14ac:dyDescent="0.25">
      <c r="B44" s="17"/>
      <c r="C44" s="125" t="s">
        <v>1974</v>
      </c>
    </row>
    <row r="45" spans="2:8" ht="30.75" customHeight="1" x14ac:dyDescent="0.25">
      <c r="C45" s="1411" t="s">
        <v>1975</v>
      </c>
      <c r="D45" s="1411"/>
      <c r="E45" s="1411"/>
      <c r="F45" s="1411"/>
      <c r="G45" s="1411"/>
      <c r="H45" s="1411"/>
    </row>
    <row r="47" spans="2:8" x14ac:dyDescent="0.25">
      <c r="B47" s="17" t="s">
        <v>1174</v>
      </c>
    </row>
    <row r="48" spans="2:8" x14ac:dyDescent="0.25">
      <c r="B48" s="17"/>
      <c r="C48" s="949" t="s">
        <v>1981</v>
      </c>
    </row>
    <row r="49" spans="2:4" x14ac:dyDescent="0.25">
      <c r="B49" s="17"/>
      <c r="C49" s="949" t="s">
        <v>1982</v>
      </c>
    </row>
    <row r="50" spans="2:4" x14ac:dyDescent="0.25">
      <c r="B50" s="17"/>
      <c r="C50" s="949" t="s">
        <v>685</v>
      </c>
    </row>
    <row r="51" spans="2:4" x14ac:dyDescent="0.25">
      <c r="B51" s="17"/>
      <c r="C51" s="949" t="s">
        <v>1158</v>
      </c>
    </row>
    <row r="52" spans="2:4" x14ac:dyDescent="0.25">
      <c r="B52" s="17"/>
      <c r="C52" s="949" t="s">
        <v>1979</v>
      </c>
    </row>
    <row r="53" spans="2:4" x14ac:dyDescent="0.25">
      <c r="B53" s="17"/>
      <c r="C53" s="949" t="s">
        <v>1983</v>
      </c>
    </row>
    <row r="54" spans="2:4" x14ac:dyDescent="0.25">
      <c r="C54" s="949" t="s">
        <v>685</v>
      </c>
    </row>
    <row r="55" spans="2:4" x14ac:dyDescent="0.25">
      <c r="C55" s="949" t="s">
        <v>1157</v>
      </c>
    </row>
    <row r="56" spans="2:4" x14ac:dyDescent="0.25">
      <c r="D56" s="950"/>
    </row>
    <row r="57" spans="2:4" x14ac:dyDescent="0.25">
      <c r="B57" s="17" t="s">
        <v>56</v>
      </c>
    </row>
    <row r="58" spans="2:4" x14ac:dyDescent="0.25">
      <c r="C58" s="949" t="s">
        <v>88</v>
      </c>
    </row>
  </sheetData>
  <mergeCells count="4">
    <mergeCell ref="E6:G6"/>
    <mergeCell ref="B8:B9"/>
    <mergeCell ref="C23:G23"/>
    <mergeCell ref="C45:H45"/>
  </mergeCells>
  <hyperlinks>
    <hyperlink ref="B1" location="'RFE SOC FuseMap'!A1" display="RFE/SOC FuseMap" xr:uid="{5E991042-A602-4BD8-9DCC-8A9C1B041965}"/>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A4659-7D52-41EA-B5D8-CF0F691390BE}">
  <dimension ref="B1:K47"/>
  <sheetViews>
    <sheetView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 min="11" max="11" width="20" bestFit="1" customWidth="1"/>
  </cols>
  <sheetData>
    <row r="1" spans="2:11" x14ac:dyDescent="0.25">
      <c r="B1" s="16" t="s">
        <v>1055</v>
      </c>
    </row>
    <row r="2" spans="2:11" ht="15.75" thickBot="1" x14ac:dyDescent="0.3">
      <c r="E2" s="949"/>
      <c r="F2" s="949"/>
      <c r="G2" s="949"/>
    </row>
    <row r="3" spans="2:11" x14ac:dyDescent="0.25">
      <c r="B3" s="347" t="s">
        <v>0</v>
      </c>
      <c r="C3" s="20" t="s">
        <v>824</v>
      </c>
      <c r="E3" s="949"/>
      <c r="F3" s="949"/>
      <c r="G3" s="949"/>
    </row>
    <row r="4" spans="2:11" ht="15.75" thickBot="1" x14ac:dyDescent="0.3">
      <c r="B4" s="348" t="s">
        <v>1</v>
      </c>
      <c r="C4" s="23" t="s">
        <v>825</v>
      </c>
      <c r="E4" s="949"/>
      <c r="F4" s="949"/>
      <c r="G4" s="949"/>
    </row>
    <row r="5" spans="2:11" ht="15.75" thickBot="1" x14ac:dyDescent="0.3"/>
    <row r="6" spans="2:11" ht="58.5" customHeight="1" thickBot="1" x14ac:dyDescent="0.3">
      <c r="D6" s="52" t="s">
        <v>666</v>
      </c>
      <c r="E6" s="1365" t="s">
        <v>46</v>
      </c>
      <c r="F6" s="1366"/>
      <c r="G6" s="1367"/>
      <c r="H6" s="52" t="s">
        <v>61</v>
      </c>
      <c r="I6" s="350" t="s">
        <v>94</v>
      </c>
      <c r="J6" s="351" t="s">
        <v>96</v>
      </c>
      <c r="K6" s="349" t="s">
        <v>95</v>
      </c>
    </row>
    <row r="7" spans="2:11" x14ac:dyDescent="0.25">
      <c r="B7" s="42" t="s">
        <v>59</v>
      </c>
      <c r="C7" s="45" t="s">
        <v>49</v>
      </c>
      <c r="D7" s="45" t="s">
        <v>49</v>
      </c>
      <c r="E7" s="48">
        <v>125</v>
      </c>
      <c r="F7" s="27">
        <v>25</v>
      </c>
      <c r="G7" s="37">
        <v>-40</v>
      </c>
      <c r="H7" s="33" t="s">
        <v>48</v>
      </c>
      <c r="I7" s="36" t="s">
        <v>49</v>
      </c>
      <c r="J7" s="84" t="s">
        <v>49</v>
      </c>
      <c r="K7" s="83" t="s">
        <v>49</v>
      </c>
    </row>
    <row r="8" spans="2:11" ht="150" x14ac:dyDescent="0.25">
      <c r="B8" s="352" t="s">
        <v>63</v>
      </c>
      <c r="C8" s="208" t="s">
        <v>1347</v>
      </c>
      <c r="D8" s="137" t="s">
        <v>392</v>
      </c>
      <c r="E8" s="209">
        <v>20</v>
      </c>
      <c r="F8" s="210">
        <v>20</v>
      </c>
      <c r="G8" s="211">
        <v>20</v>
      </c>
      <c r="H8" s="739" t="s">
        <v>393</v>
      </c>
      <c r="I8" s="1380" t="s">
        <v>370</v>
      </c>
      <c r="J8" s="1381"/>
      <c r="K8" s="725" t="s">
        <v>1313</v>
      </c>
    </row>
    <row r="9" spans="2:11" ht="15.75" thickBot="1" x14ac:dyDescent="0.3">
      <c r="B9" s="43" t="s">
        <v>60</v>
      </c>
      <c r="C9" s="47" t="s">
        <v>49</v>
      </c>
      <c r="D9" s="47" t="s">
        <v>49</v>
      </c>
      <c r="E9" s="51" t="s">
        <v>47</v>
      </c>
      <c r="F9" s="29"/>
      <c r="G9" s="41"/>
      <c r="H9" s="35" t="s">
        <v>49</v>
      </c>
      <c r="I9" s="40" t="s">
        <v>49</v>
      </c>
      <c r="J9" s="86" t="s">
        <v>49</v>
      </c>
      <c r="K9" s="81" t="s">
        <v>49</v>
      </c>
    </row>
    <row r="10" spans="2:11" x14ac:dyDescent="0.25">
      <c r="B10" t="s">
        <v>58</v>
      </c>
    </row>
    <row r="11" spans="2:11" x14ac:dyDescent="0.25">
      <c r="B11" t="s">
        <v>50</v>
      </c>
    </row>
    <row r="13" spans="2:11" x14ac:dyDescent="0.25">
      <c r="B13" s="17" t="s">
        <v>822</v>
      </c>
      <c r="C13" t="s">
        <v>823</v>
      </c>
    </row>
    <row r="15" spans="2:11" x14ac:dyDescent="0.25">
      <c r="B15" s="17" t="s">
        <v>51</v>
      </c>
    </row>
    <row r="16" spans="2:11" x14ac:dyDescent="0.25">
      <c r="C16" s="202" t="s">
        <v>873</v>
      </c>
      <c r="D16" s="18"/>
    </row>
    <row r="18" spans="2:9" x14ac:dyDescent="0.25">
      <c r="B18" s="17" t="s">
        <v>633</v>
      </c>
      <c r="C18" s="1"/>
    </row>
    <row r="19" spans="2:9" ht="45.75" customHeight="1" x14ac:dyDescent="0.25">
      <c r="C19" s="1500" t="s">
        <v>1118</v>
      </c>
      <c r="D19" s="1500"/>
      <c r="E19" s="1500"/>
      <c r="F19" s="1500"/>
      <c r="G19" s="1500"/>
      <c r="H19" s="1500"/>
      <c r="I19" s="1500"/>
    </row>
    <row r="21" spans="2:9" x14ac:dyDescent="0.25">
      <c r="B21" s="17" t="s">
        <v>53</v>
      </c>
    </row>
    <row r="22" spans="2:9" x14ac:dyDescent="0.25">
      <c r="C22" t="s">
        <v>830</v>
      </c>
      <c r="D22" s="18"/>
    </row>
    <row r="24" spans="2:9" x14ac:dyDescent="0.25">
      <c r="B24" s="17" t="s">
        <v>55</v>
      </c>
    </row>
    <row r="25" spans="2:9" x14ac:dyDescent="0.25">
      <c r="B25" s="17"/>
      <c r="C25" t="s">
        <v>827</v>
      </c>
    </row>
    <row r="26" spans="2:9" x14ac:dyDescent="0.25">
      <c r="B26" s="17"/>
      <c r="C26" s="212" t="s">
        <v>828</v>
      </c>
    </row>
    <row r="27" spans="2:9" x14ac:dyDescent="0.25">
      <c r="B27" s="17"/>
      <c r="C27" s="372" t="s">
        <v>826</v>
      </c>
    </row>
    <row r="28" spans="2:9" ht="81" customHeight="1" x14ac:dyDescent="0.25">
      <c r="B28" s="17"/>
    </row>
    <row r="29" spans="2:9" x14ac:dyDescent="0.25">
      <c r="B29" s="17"/>
      <c r="C29" t="s">
        <v>396</v>
      </c>
    </row>
    <row r="30" spans="2:9" x14ac:dyDescent="0.25">
      <c r="B30" s="17"/>
      <c r="C30" s="212" t="s">
        <v>1314</v>
      </c>
    </row>
    <row r="31" spans="2:9" x14ac:dyDescent="0.25">
      <c r="B31" s="17"/>
      <c r="C31" s="212" t="s">
        <v>390</v>
      </c>
    </row>
    <row r="32" spans="2:9" x14ac:dyDescent="0.25">
      <c r="B32" s="17"/>
      <c r="C32" s="931" t="s">
        <v>1784</v>
      </c>
      <c r="D32" s="63"/>
      <c r="E32" s="63"/>
    </row>
    <row r="33" spans="2:4" x14ac:dyDescent="0.25">
      <c r="B33" s="17"/>
      <c r="C33" s="212" t="s">
        <v>1171</v>
      </c>
    </row>
    <row r="34" spans="2:4" x14ac:dyDescent="0.25">
      <c r="B34" s="17"/>
      <c r="C34" s="213" t="s">
        <v>678</v>
      </c>
    </row>
    <row r="36" spans="2:4" x14ac:dyDescent="0.25">
      <c r="B36" s="17" t="s">
        <v>1174</v>
      </c>
    </row>
    <row r="37" spans="2:4" x14ac:dyDescent="0.25">
      <c r="C37" t="s">
        <v>395</v>
      </c>
    </row>
    <row r="38" spans="2:4" x14ac:dyDescent="0.25">
      <c r="C38" s="212" t="s">
        <v>829</v>
      </c>
    </row>
    <row r="39" spans="2:4" x14ac:dyDescent="0.25">
      <c r="C39" s="212" t="s">
        <v>388</v>
      </c>
    </row>
    <row r="40" spans="2:4" x14ac:dyDescent="0.25">
      <c r="C40" t="s">
        <v>397</v>
      </c>
      <c r="D40" s="18"/>
    </row>
    <row r="41" spans="2:4" x14ac:dyDescent="0.25">
      <c r="C41" s="212" t="s">
        <v>390</v>
      </c>
    </row>
    <row r="42" spans="2:4" x14ac:dyDescent="0.25">
      <c r="C42" s="212" t="s">
        <v>391</v>
      </c>
    </row>
    <row r="43" spans="2:4" x14ac:dyDescent="0.25">
      <c r="C43" t="s">
        <v>389</v>
      </c>
    </row>
    <row r="44" spans="2:4" x14ac:dyDescent="0.25">
      <c r="C44" t="s">
        <v>398</v>
      </c>
    </row>
    <row r="46" spans="2:4" x14ac:dyDescent="0.25">
      <c r="B46" s="17" t="s">
        <v>56</v>
      </c>
    </row>
    <row r="47" spans="2:4" x14ac:dyDescent="0.25">
      <c r="C47" s="66" t="s">
        <v>72</v>
      </c>
    </row>
  </sheetData>
  <mergeCells count="3">
    <mergeCell ref="E6:G6"/>
    <mergeCell ref="I8:J8"/>
    <mergeCell ref="C19:I19"/>
  </mergeCells>
  <hyperlinks>
    <hyperlink ref="B1" location="'RFE SOC FuseMap'!A1" display="RFE/SOC FuseMap" xr:uid="{C311CFB0-B7BE-45DC-BE8D-86CA5A24323E}"/>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7CB83-1040-4905-84F2-705248DD4BD9}">
  <sheetPr>
    <tabColor theme="6" tint="0.59999389629810485"/>
  </sheetPr>
  <dimension ref="A1:R57"/>
  <sheetViews>
    <sheetView zoomScale="115" zoomScaleNormal="115" workbookViewId="0">
      <selection activeCell="B8" sqref="B8:F8"/>
    </sheetView>
  </sheetViews>
  <sheetFormatPr defaultRowHeight="15" x14ac:dyDescent="0.25"/>
  <cols>
    <col min="1" max="1" width="7" customWidth="1"/>
    <col min="2" max="6" width="31.5703125" customWidth="1"/>
    <col min="7" max="18" width="21.140625" style="510" customWidth="1"/>
  </cols>
  <sheetData>
    <row r="1" spans="1:6" ht="36" customHeight="1" x14ac:dyDescent="0.25">
      <c r="A1" s="1133" t="s">
        <v>1052</v>
      </c>
      <c r="B1" s="1133"/>
      <c r="C1" s="1133"/>
      <c r="D1" s="1133"/>
      <c r="E1" s="1133"/>
      <c r="F1" s="1133"/>
    </row>
    <row r="2" spans="1:6" x14ac:dyDescent="0.25">
      <c r="A2" s="510"/>
      <c r="B2" s="510"/>
      <c r="C2" s="510"/>
      <c r="D2" s="510"/>
      <c r="E2" s="510"/>
      <c r="F2" s="510"/>
    </row>
    <row r="3" spans="1:6" ht="63" customHeight="1" x14ac:dyDescent="0.25">
      <c r="A3" s="510"/>
      <c r="B3" s="1134" t="s">
        <v>2001</v>
      </c>
      <c r="C3" s="1134"/>
      <c r="D3" s="1134"/>
      <c r="E3" s="1134"/>
      <c r="F3" s="1134"/>
    </row>
    <row r="4" spans="1:6" x14ac:dyDescent="0.25">
      <c r="A4" s="510"/>
      <c r="B4" s="510"/>
      <c r="C4" s="510"/>
      <c r="D4" s="510"/>
      <c r="E4" s="510"/>
      <c r="F4" s="510"/>
    </row>
    <row r="5" spans="1:6" x14ac:dyDescent="0.25">
      <c r="A5" s="510"/>
      <c r="B5" s="1135" t="s">
        <v>1049</v>
      </c>
      <c r="C5" s="1135"/>
      <c r="D5" s="1135"/>
      <c r="E5" s="1135"/>
      <c r="F5" s="1135"/>
    </row>
    <row r="6" spans="1:6" x14ac:dyDescent="0.25">
      <c r="A6" s="510"/>
      <c r="B6" s="1135" t="s">
        <v>1056</v>
      </c>
      <c r="C6" s="1135"/>
      <c r="D6" s="1135"/>
      <c r="E6" s="1135"/>
      <c r="F6" s="1135"/>
    </row>
    <row r="7" spans="1:6" x14ac:dyDescent="0.25">
      <c r="A7" s="510"/>
      <c r="B7" s="558"/>
      <c r="C7" s="558"/>
      <c r="D7" s="558"/>
      <c r="E7" s="558"/>
      <c r="F7" s="558"/>
    </row>
    <row r="8" spans="1:6" ht="46.5" customHeight="1" x14ac:dyDescent="0.25">
      <c r="A8" s="510"/>
      <c r="B8" s="1132" t="s">
        <v>1066</v>
      </c>
      <c r="C8" s="1132"/>
      <c r="D8" s="1132"/>
      <c r="E8" s="1132"/>
      <c r="F8" s="1132"/>
    </row>
    <row r="9" spans="1:6" x14ac:dyDescent="0.25">
      <c r="A9" s="510"/>
      <c r="B9" s="510"/>
      <c r="C9" s="510"/>
      <c r="D9" s="510"/>
      <c r="E9" s="510"/>
      <c r="F9" s="510"/>
    </row>
    <row r="10" spans="1:6" ht="76.5" customHeight="1" x14ac:dyDescent="0.25">
      <c r="A10" s="510"/>
      <c r="B10" s="1134" t="s">
        <v>1057</v>
      </c>
      <c r="C10" s="1134"/>
      <c r="D10" s="1134"/>
      <c r="E10" s="1134"/>
      <c r="F10" s="1134"/>
    </row>
    <row r="11" spans="1:6" x14ac:dyDescent="0.25">
      <c r="A11" s="510"/>
      <c r="B11" s="510"/>
      <c r="C11" s="510"/>
      <c r="D11" s="510"/>
      <c r="E11" s="510"/>
      <c r="F11" s="510"/>
    </row>
    <row r="12" spans="1:6" x14ac:dyDescent="0.25">
      <c r="A12" s="510"/>
      <c r="B12" s="510" t="s">
        <v>1050</v>
      </c>
      <c r="C12" s="510"/>
      <c r="D12" s="510"/>
      <c r="E12" s="510"/>
      <c r="F12" s="510"/>
    </row>
    <row r="13" spans="1:6" x14ac:dyDescent="0.25">
      <c r="A13" s="510"/>
      <c r="B13" s="510" t="s">
        <v>1051</v>
      </c>
      <c r="C13" s="510"/>
      <c r="D13" s="510"/>
      <c r="E13" s="510"/>
      <c r="F13" s="510"/>
    </row>
    <row r="14" spans="1:6" x14ac:dyDescent="0.25">
      <c r="A14" s="510"/>
      <c r="B14" s="510"/>
      <c r="C14" s="510"/>
      <c r="D14" s="510"/>
      <c r="E14" s="510"/>
      <c r="F14" s="510"/>
    </row>
    <row r="15" spans="1:6" ht="30.75" customHeight="1" x14ac:dyDescent="0.25">
      <c r="A15" s="510"/>
      <c r="B15" s="1132" t="s">
        <v>1188</v>
      </c>
      <c r="C15" s="1132"/>
      <c r="D15" s="1132"/>
      <c r="E15" s="1132"/>
      <c r="F15" s="1132"/>
    </row>
    <row r="16" spans="1:6" x14ac:dyDescent="0.25">
      <c r="A16" s="510"/>
      <c r="B16" s="795"/>
      <c r="C16" s="795"/>
      <c r="D16" s="795"/>
      <c r="E16" s="795"/>
      <c r="F16" s="795"/>
    </row>
    <row r="17" spans="1:6" ht="30.75" customHeight="1" x14ac:dyDescent="0.25">
      <c r="A17" s="510"/>
      <c r="B17" s="1134" t="s">
        <v>1506</v>
      </c>
      <c r="C17" s="1134"/>
      <c r="D17" s="1134"/>
      <c r="E17" s="1134"/>
      <c r="F17" s="1134"/>
    </row>
    <row r="18" spans="1:6" x14ac:dyDescent="0.25">
      <c r="A18" s="510"/>
      <c r="B18" s="510"/>
      <c r="C18" s="510"/>
      <c r="D18" s="510"/>
      <c r="E18" s="510"/>
      <c r="F18" s="510"/>
    </row>
    <row r="19" spans="1:6" x14ac:dyDescent="0.25">
      <c r="A19" s="510"/>
      <c r="B19" s="60" t="s">
        <v>1064</v>
      </c>
      <c r="C19" s="60"/>
      <c r="D19" s="60"/>
      <c r="E19" s="60"/>
      <c r="F19" s="60"/>
    </row>
    <row r="20" spans="1:6" x14ac:dyDescent="0.25">
      <c r="A20" s="510"/>
      <c r="B20" s="510"/>
      <c r="C20" s="510"/>
      <c r="D20" s="510"/>
      <c r="E20" s="510"/>
      <c r="F20" s="510"/>
    </row>
    <row r="21" spans="1:6" ht="20.25" thickBot="1" x14ac:dyDescent="0.3">
      <c r="A21" s="510"/>
      <c r="B21" s="149" t="s">
        <v>359</v>
      </c>
      <c r="C21" s="510"/>
      <c r="D21" s="510"/>
      <c r="E21" s="510"/>
      <c r="F21" s="510"/>
    </row>
    <row r="22" spans="1:6" ht="44.25" customHeight="1" thickBot="1" x14ac:dyDescent="0.3">
      <c r="A22" s="510"/>
      <c r="B22" s="151" t="s">
        <v>360</v>
      </c>
      <c r="C22" s="1131" t="s">
        <v>1059</v>
      </c>
      <c r="D22" s="1131"/>
      <c r="E22" s="1131"/>
      <c r="F22" s="1131"/>
    </row>
    <row r="23" spans="1:6" ht="14.25" customHeight="1" thickBot="1" x14ac:dyDescent="0.3">
      <c r="A23" s="510"/>
      <c r="B23" s="151" t="s">
        <v>361</v>
      </c>
      <c r="C23" s="1131" t="s">
        <v>665</v>
      </c>
      <c r="D23" s="1131"/>
      <c r="E23" s="1131"/>
      <c r="F23" s="1131"/>
    </row>
    <row r="24" spans="1:6" ht="51" customHeight="1" x14ac:dyDescent="0.25">
      <c r="A24" s="510"/>
      <c r="B24" s="590" t="s">
        <v>666</v>
      </c>
      <c r="C24" s="1131" t="s">
        <v>774</v>
      </c>
      <c r="D24" s="1131"/>
      <c r="E24" s="1131"/>
      <c r="F24" s="1131"/>
    </row>
    <row r="25" spans="1:6" x14ac:dyDescent="0.25">
      <c r="A25" s="510"/>
      <c r="B25" s="510"/>
      <c r="C25" s="510"/>
      <c r="D25" s="510"/>
      <c r="E25" s="510"/>
      <c r="F25" s="510"/>
    </row>
    <row r="26" spans="1:6" x14ac:dyDescent="0.25">
      <c r="A26" s="510"/>
      <c r="B26" s="510"/>
      <c r="C26" s="510"/>
      <c r="D26" s="510"/>
      <c r="E26" s="510"/>
      <c r="F26" s="510"/>
    </row>
    <row r="27" spans="1:6" x14ac:dyDescent="0.25">
      <c r="A27" s="510"/>
      <c r="B27" s="510"/>
      <c r="C27" s="510"/>
      <c r="D27" s="510"/>
      <c r="E27" s="510"/>
      <c r="F27" s="510"/>
    </row>
    <row r="28" spans="1:6" x14ac:dyDescent="0.25">
      <c r="A28" s="510"/>
      <c r="B28" s="1045" t="s">
        <v>1988</v>
      </c>
      <c r="C28" s="510"/>
      <c r="D28" s="510"/>
      <c r="E28" s="510"/>
      <c r="F28" s="510"/>
    </row>
    <row r="29" spans="1:6" x14ac:dyDescent="0.25">
      <c r="A29" s="510"/>
      <c r="B29" s="495" t="s">
        <v>368</v>
      </c>
      <c r="C29" s="510"/>
      <c r="D29" s="510"/>
      <c r="E29" s="510"/>
      <c r="F29" s="510"/>
    </row>
    <row r="30" spans="1:6" x14ac:dyDescent="0.25">
      <c r="A30" s="510"/>
      <c r="B30" s="494" t="s">
        <v>369</v>
      </c>
      <c r="C30" s="510"/>
      <c r="D30" s="510"/>
      <c r="E30" s="510"/>
      <c r="F30" s="510"/>
    </row>
    <row r="31" spans="1:6" x14ac:dyDescent="0.25">
      <c r="A31" s="510"/>
      <c r="B31" s="510"/>
      <c r="C31" s="510"/>
      <c r="D31" s="510"/>
      <c r="E31" s="510"/>
      <c r="F31" s="510"/>
    </row>
    <row r="32" spans="1:6" x14ac:dyDescent="0.25">
      <c r="A32" s="510"/>
      <c r="B32" s="510"/>
      <c r="C32" s="510"/>
      <c r="D32" s="510"/>
      <c r="E32" s="510"/>
      <c r="F32" s="510"/>
    </row>
    <row r="33" spans="1:6" x14ac:dyDescent="0.25">
      <c r="A33" s="510"/>
      <c r="B33" s="510"/>
      <c r="C33" s="510"/>
      <c r="D33" s="510"/>
      <c r="E33" s="510"/>
      <c r="F33" s="510"/>
    </row>
    <row r="34" spans="1:6" x14ac:dyDescent="0.25">
      <c r="A34" s="510"/>
      <c r="B34" s="510"/>
      <c r="C34" s="510"/>
      <c r="D34" s="510"/>
      <c r="E34" s="510"/>
      <c r="F34" s="510"/>
    </row>
    <row r="35" spans="1:6" x14ac:dyDescent="0.25">
      <c r="A35" s="510"/>
      <c r="B35" s="510"/>
      <c r="C35" s="510"/>
      <c r="D35" s="510"/>
      <c r="E35" s="510"/>
      <c r="F35" s="510"/>
    </row>
    <row r="36" spans="1:6" x14ac:dyDescent="0.25">
      <c r="A36" s="510"/>
      <c r="B36" s="510"/>
      <c r="C36" s="510"/>
      <c r="D36" s="510"/>
      <c r="E36" s="510"/>
      <c r="F36" s="510"/>
    </row>
    <row r="37" spans="1:6" x14ac:dyDescent="0.25">
      <c r="A37" s="510"/>
      <c r="B37" s="510"/>
      <c r="C37" s="510"/>
      <c r="D37" s="510"/>
      <c r="E37" s="510"/>
      <c r="F37" s="510"/>
    </row>
    <row r="38" spans="1:6" x14ac:dyDescent="0.25">
      <c r="A38" s="510"/>
      <c r="B38" s="510"/>
      <c r="C38" s="510"/>
      <c r="D38" s="510"/>
      <c r="E38" s="510"/>
      <c r="F38" s="510"/>
    </row>
    <row r="39" spans="1:6" x14ac:dyDescent="0.25">
      <c r="A39" s="510"/>
      <c r="B39" s="510"/>
      <c r="C39" s="510"/>
      <c r="D39" s="510"/>
      <c r="E39" s="510"/>
      <c r="F39" s="510"/>
    </row>
    <row r="40" spans="1:6" x14ac:dyDescent="0.25">
      <c r="A40" s="510"/>
      <c r="B40" s="510"/>
      <c r="C40" s="510"/>
      <c r="D40" s="510"/>
      <c r="E40" s="510"/>
      <c r="F40" s="510"/>
    </row>
    <row r="41" spans="1:6" x14ac:dyDescent="0.25">
      <c r="A41" s="510"/>
      <c r="B41" s="510"/>
      <c r="C41" s="510"/>
      <c r="D41" s="510"/>
      <c r="E41" s="510"/>
      <c r="F41" s="510"/>
    </row>
    <row r="42" spans="1:6" x14ac:dyDescent="0.25">
      <c r="A42" s="510"/>
      <c r="B42" s="510"/>
      <c r="C42" s="510"/>
      <c r="D42" s="510"/>
      <c r="E42" s="510"/>
      <c r="F42" s="510"/>
    </row>
    <row r="43" spans="1:6" x14ac:dyDescent="0.25">
      <c r="A43" s="510"/>
      <c r="B43" s="510"/>
      <c r="C43" s="510"/>
      <c r="D43" s="510"/>
      <c r="E43" s="510"/>
      <c r="F43" s="510"/>
    </row>
    <row r="44" spans="1:6" x14ac:dyDescent="0.25">
      <c r="A44" s="510"/>
      <c r="B44" s="510"/>
      <c r="C44" s="510"/>
      <c r="D44" s="510"/>
      <c r="E44" s="510"/>
      <c r="F44" s="510"/>
    </row>
    <row r="45" spans="1:6" x14ac:dyDescent="0.25">
      <c r="A45" s="510"/>
      <c r="B45" s="510"/>
      <c r="C45" s="510"/>
      <c r="D45" s="510"/>
      <c r="E45" s="510"/>
      <c r="F45" s="510"/>
    </row>
    <row r="46" spans="1:6" x14ac:dyDescent="0.25">
      <c r="A46" s="510"/>
      <c r="B46" s="510"/>
      <c r="C46" s="510"/>
      <c r="D46" s="510"/>
      <c r="E46" s="510"/>
      <c r="F46" s="510"/>
    </row>
    <row r="47" spans="1:6" x14ac:dyDescent="0.25">
      <c r="A47" s="510"/>
      <c r="B47" s="510"/>
      <c r="C47" s="510"/>
      <c r="D47" s="510"/>
      <c r="E47" s="510"/>
      <c r="F47" s="510"/>
    </row>
    <row r="48" spans="1:6" x14ac:dyDescent="0.25">
      <c r="A48" s="510"/>
      <c r="B48" s="510"/>
      <c r="C48" s="510"/>
      <c r="D48" s="510"/>
      <c r="E48" s="510"/>
      <c r="F48" s="510"/>
    </row>
    <row r="49" spans="1:6" x14ac:dyDescent="0.25">
      <c r="A49" s="510"/>
      <c r="B49" s="510"/>
      <c r="C49" s="510"/>
      <c r="D49" s="510"/>
      <c r="E49" s="510"/>
      <c r="F49" s="510"/>
    </row>
    <row r="50" spans="1:6" x14ac:dyDescent="0.25">
      <c r="A50" s="510"/>
      <c r="B50" s="510"/>
      <c r="C50" s="510"/>
      <c r="D50" s="510"/>
      <c r="E50" s="510"/>
      <c r="F50" s="510"/>
    </row>
    <row r="51" spans="1:6" x14ac:dyDescent="0.25">
      <c r="A51" s="510"/>
      <c r="B51" s="510"/>
      <c r="C51" s="510"/>
      <c r="D51" s="510"/>
      <c r="E51" s="510"/>
      <c r="F51" s="510"/>
    </row>
    <row r="52" spans="1:6" x14ac:dyDescent="0.25">
      <c r="A52" s="510"/>
      <c r="B52" s="510"/>
      <c r="C52" s="510"/>
      <c r="D52" s="510"/>
      <c r="E52" s="510"/>
      <c r="F52" s="510"/>
    </row>
    <row r="53" spans="1:6" x14ac:dyDescent="0.25">
      <c r="A53" s="510"/>
      <c r="B53" s="510"/>
      <c r="C53" s="510"/>
      <c r="D53" s="510"/>
      <c r="E53" s="510"/>
      <c r="F53" s="510"/>
    </row>
    <row r="54" spans="1:6" x14ac:dyDescent="0.25">
      <c r="A54" s="510"/>
      <c r="B54" s="510"/>
      <c r="C54" s="510"/>
      <c r="D54" s="510"/>
      <c r="E54" s="510"/>
      <c r="F54" s="510"/>
    </row>
    <row r="55" spans="1:6" x14ac:dyDescent="0.25">
      <c r="A55" s="510"/>
      <c r="B55" s="510"/>
      <c r="C55" s="510"/>
      <c r="D55" s="510"/>
      <c r="E55" s="510"/>
      <c r="F55" s="510"/>
    </row>
    <row r="56" spans="1:6" x14ac:dyDescent="0.25">
      <c r="A56" s="510"/>
      <c r="B56" s="510"/>
      <c r="C56" s="510"/>
      <c r="D56" s="510"/>
      <c r="E56" s="510"/>
      <c r="F56" s="510"/>
    </row>
    <row r="57" spans="1:6" x14ac:dyDescent="0.25">
      <c r="A57" s="510"/>
    </row>
  </sheetData>
  <mergeCells count="11">
    <mergeCell ref="C23:F23"/>
    <mergeCell ref="C24:F24"/>
    <mergeCell ref="B8:F8"/>
    <mergeCell ref="A1:F1"/>
    <mergeCell ref="B3:F3"/>
    <mergeCell ref="B10:F10"/>
    <mergeCell ref="B5:F5"/>
    <mergeCell ref="B6:F6"/>
    <mergeCell ref="C22:F22"/>
    <mergeCell ref="B15:F15"/>
    <mergeCell ref="B17:F17"/>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E3459-B83A-47CC-8B51-071F3C5E078B}">
  <dimension ref="B1:K62"/>
  <sheetViews>
    <sheetView workbookViewId="0">
      <selection activeCell="E1" sqref="E1:G4"/>
    </sheetView>
  </sheetViews>
  <sheetFormatPr defaultRowHeight="15" x14ac:dyDescent="0.25"/>
  <cols>
    <col min="2" max="2" width="16.28515625" customWidth="1"/>
    <col min="3" max="3" width="21.28515625" customWidth="1"/>
    <col min="4" max="4" width="18.140625" customWidth="1"/>
    <col min="5" max="5" width="20.5703125" customWidth="1"/>
    <col min="6" max="6" width="18.85546875" customWidth="1"/>
    <col min="7" max="7" width="16.5703125" customWidth="1"/>
    <col min="8" max="8" width="18.5703125" customWidth="1"/>
    <col min="9" max="10" width="17.7109375" bestFit="1" customWidth="1"/>
    <col min="11" max="12" width="29.140625" bestFit="1" customWidth="1"/>
  </cols>
  <sheetData>
    <row r="1" spans="2:11" x14ac:dyDescent="0.25">
      <c r="B1" s="16" t="s">
        <v>1055</v>
      </c>
    </row>
    <row r="2" spans="2:11" ht="15.75" thickBot="1" x14ac:dyDescent="0.3">
      <c r="E2" s="949"/>
      <c r="F2" s="949"/>
      <c r="G2" s="949"/>
    </row>
    <row r="3" spans="2:11" x14ac:dyDescent="0.25">
      <c r="B3" s="19" t="s">
        <v>0</v>
      </c>
      <c r="C3" s="20" t="s">
        <v>18</v>
      </c>
      <c r="D3" s="53"/>
      <c r="E3" s="949"/>
      <c r="F3" s="949"/>
      <c r="G3" s="949"/>
    </row>
    <row r="4" spans="2:11" ht="15.75" thickBot="1" x14ac:dyDescent="0.3">
      <c r="B4" s="22" t="s">
        <v>1</v>
      </c>
      <c r="C4" s="23" t="s">
        <v>20</v>
      </c>
      <c r="D4" s="53"/>
      <c r="E4" s="949"/>
      <c r="F4" s="949"/>
      <c r="G4" s="949"/>
    </row>
    <row r="5" spans="2:11" ht="15.75" thickBot="1" x14ac:dyDescent="0.3"/>
    <row r="6" spans="2:11" ht="45.75" thickBot="1" x14ac:dyDescent="0.3">
      <c r="D6" s="52" t="s">
        <v>666</v>
      </c>
      <c r="E6" s="1365" t="s">
        <v>46</v>
      </c>
      <c r="F6" s="1366"/>
      <c r="G6" s="1367"/>
      <c r="H6" s="52" t="s">
        <v>61</v>
      </c>
      <c r="I6" s="77" t="s">
        <v>94</v>
      </c>
      <c r="J6" s="78" t="s">
        <v>96</v>
      </c>
      <c r="K6" s="59" t="s">
        <v>95</v>
      </c>
    </row>
    <row r="7" spans="2:11" x14ac:dyDescent="0.25">
      <c r="B7" s="42" t="s">
        <v>59</v>
      </c>
      <c r="C7" s="45" t="s">
        <v>49</v>
      </c>
      <c r="D7" s="90" t="s">
        <v>49</v>
      </c>
      <c r="E7" s="48">
        <v>125</v>
      </c>
      <c r="F7" s="27">
        <v>25</v>
      </c>
      <c r="G7" s="69">
        <v>-40</v>
      </c>
      <c r="H7" s="72" t="s">
        <v>48</v>
      </c>
      <c r="I7" s="36" t="s">
        <v>49</v>
      </c>
      <c r="J7" s="84" t="s">
        <v>49</v>
      </c>
      <c r="K7" s="83" t="s">
        <v>49</v>
      </c>
    </row>
    <row r="8" spans="2:11" ht="45" x14ac:dyDescent="0.25">
      <c r="B8" s="1501" t="s">
        <v>63</v>
      </c>
      <c r="C8" s="10" t="s">
        <v>200</v>
      </c>
      <c r="D8" s="76" t="s">
        <v>1089</v>
      </c>
      <c r="E8" s="68">
        <v>7.8</v>
      </c>
      <c r="F8" s="30">
        <v>7.8</v>
      </c>
      <c r="G8" s="70">
        <v>7.8</v>
      </c>
      <c r="H8" s="73" t="s">
        <v>80</v>
      </c>
      <c r="I8" s="39" t="s">
        <v>126</v>
      </c>
      <c r="J8" s="85" t="s">
        <v>127</v>
      </c>
      <c r="K8" s="79" t="s">
        <v>122</v>
      </c>
    </row>
    <row r="9" spans="2:11" ht="45" x14ac:dyDescent="0.25">
      <c r="B9" s="1501"/>
      <c r="C9" s="10" t="s">
        <v>201</v>
      </c>
      <c r="D9" s="76" t="s">
        <v>1089</v>
      </c>
      <c r="E9" s="68">
        <v>35</v>
      </c>
      <c r="F9" s="30">
        <v>35</v>
      </c>
      <c r="G9" s="70">
        <v>35</v>
      </c>
      <c r="H9" s="73" t="s">
        <v>80</v>
      </c>
      <c r="I9" s="39" t="s">
        <v>126</v>
      </c>
      <c r="J9" s="85" t="s">
        <v>128</v>
      </c>
      <c r="K9" s="79" t="s">
        <v>123</v>
      </c>
    </row>
    <row r="10" spans="2:11" ht="45" x14ac:dyDescent="0.25">
      <c r="B10" s="1501"/>
      <c r="C10" s="10" t="s">
        <v>202</v>
      </c>
      <c r="D10" s="76" t="s">
        <v>1089</v>
      </c>
      <c r="E10" s="68">
        <v>7.8</v>
      </c>
      <c r="F10" s="30">
        <v>7.8</v>
      </c>
      <c r="G10" s="70">
        <v>7.8</v>
      </c>
      <c r="H10" s="73" t="s">
        <v>80</v>
      </c>
      <c r="I10" s="39" t="s">
        <v>126</v>
      </c>
      <c r="J10" s="85" t="s">
        <v>129</v>
      </c>
      <c r="K10" s="79" t="s">
        <v>124</v>
      </c>
    </row>
    <row r="11" spans="2:11" ht="45" x14ac:dyDescent="0.25">
      <c r="B11" s="1501"/>
      <c r="C11" s="10" t="s">
        <v>203</v>
      </c>
      <c r="D11" s="76" t="s">
        <v>1089</v>
      </c>
      <c r="E11" s="68">
        <v>35</v>
      </c>
      <c r="F11" s="30">
        <v>35</v>
      </c>
      <c r="G11" s="70">
        <v>35</v>
      </c>
      <c r="H11" s="73" t="s">
        <v>80</v>
      </c>
      <c r="I11" s="39" t="s">
        <v>126</v>
      </c>
      <c r="J11" s="85" t="s">
        <v>130</v>
      </c>
      <c r="K11" s="79" t="s">
        <v>125</v>
      </c>
    </row>
    <row r="12" spans="2:11" ht="15.75" thickBot="1" x14ac:dyDescent="0.3">
      <c r="B12" s="43" t="s">
        <v>60</v>
      </c>
      <c r="C12" s="47" t="s">
        <v>49</v>
      </c>
      <c r="D12" s="26" t="s">
        <v>49</v>
      </c>
      <c r="E12" s="51" t="s">
        <v>372</v>
      </c>
      <c r="F12" s="29"/>
      <c r="G12" s="71"/>
      <c r="H12" s="56" t="s">
        <v>49</v>
      </c>
      <c r="I12" s="40" t="s">
        <v>49</v>
      </c>
      <c r="J12" s="86" t="s">
        <v>49</v>
      </c>
      <c r="K12" s="81" t="s">
        <v>49</v>
      </c>
    </row>
    <row r="13" spans="2:11" x14ac:dyDescent="0.25">
      <c r="B13" t="s">
        <v>58</v>
      </c>
    </row>
    <row r="14" spans="2:11" x14ac:dyDescent="0.25">
      <c r="B14" t="s">
        <v>50</v>
      </c>
    </row>
    <row r="16" spans="2:11" x14ac:dyDescent="0.25">
      <c r="B16" s="17" t="s">
        <v>822</v>
      </c>
      <c r="C16" t="s">
        <v>253</v>
      </c>
    </row>
    <row r="18" spans="2:7" x14ac:dyDescent="0.25">
      <c r="B18" s="17" t="s">
        <v>51</v>
      </c>
    </row>
    <row r="19" spans="2:7" x14ac:dyDescent="0.25">
      <c r="C19" s="202" t="s">
        <v>1154</v>
      </c>
      <c r="D19" s="18"/>
    </row>
    <row r="21" spans="2:7" x14ac:dyDescent="0.25">
      <c r="B21" s="17" t="s">
        <v>53</v>
      </c>
    </row>
    <row r="22" spans="2:7" x14ac:dyDescent="0.25">
      <c r="C22" s="1" t="s">
        <v>88</v>
      </c>
      <c r="D22" s="18"/>
    </row>
    <row r="24" spans="2:7" x14ac:dyDescent="0.25">
      <c r="B24" s="17" t="s">
        <v>633</v>
      </c>
      <c r="C24" s="1"/>
    </row>
    <row r="25" spans="2:7" ht="30" customHeight="1" x14ac:dyDescent="0.25">
      <c r="C25" s="1500" t="s">
        <v>1090</v>
      </c>
      <c r="D25" s="1500"/>
      <c r="E25" s="1500"/>
      <c r="F25" s="1500"/>
      <c r="G25" s="1500"/>
    </row>
    <row r="27" spans="2:7" x14ac:dyDescent="0.25">
      <c r="B27" s="17" t="s">
        <v>55</v>
      </c>
    </row>
    <row r="28" spans="2:7" x14ac:dyDescent="0.25">
      <c r="B28" s="17"/>
      <c r="C28" s="437" t="s">
        <v>1250</v>
      </c>
    </row>
    <row r="29" spans="2:7" x14ac:dyDescent="0.25">
      <c r="B29" s="17"/>
      <c r="C29" s="372" t="s">
        <v>1262</v>
      </c>
    </row>
    <row r="30" spans="2:7" x14ac:dyDescent="0.25">
      <c r="B30" s="17"/>
      <c r="C30" s="212" t="s">
        <v>1268</v>
      </c>
    </row>
    <row r="31" spans="2:7" x14ac:dyDescent="0.25">
      <c r="B31" s="17"/>
      <c r="C31" s="212" t="s">
        <v>1269</v>
      </c>
    </row>
    <row r="32" spans="2:7" x14ac:dyDescent="0.25">
      <c r="B32" s="17"/>
      <c r="C32" t="s">
        <v>1264</v>
      </c>
    </row>
    <row r="33" spans="2:3" x14ac:dyDescent="0.25">
      <c r="B33" s="17"/>
      <c r="C33" s="212" t="s">
        <v>1265</v>
      </c>
    </row>
    <row r="34" spans="2:3" x14ac:dyDescent="0.25">
      <c r="B34" s="17"/>
      <c r="C34" s="212" t="s">
        <v>1266</v>
      </c>
    </row>
    <row r="35" spans="2:3" x14ac:dyDescent="0.25">
      <c r="B35" s="17"/>
      <c r="C35" s="212" t="s">
        <v>1267</v>
      </c>
    </row>
    <row r="36" spans="2:3" x14ac:dyDescent="0.25">
      <c r="B36" s="17"/>
      <c r="C36" t="s">
        <v>1273</v>
      </c>
    </row>
    <row r="37" spans="2:3" x14ac:dyDescent="0.25">
      <c r="B37" s="17"/>
      <c r="C37" s="125" t="s">
        <v>85</v>
      </c>
    </row>
    <row r="38" spans="2:3" x14ac:dyDescent="0.25">
      <c r="B38" s="17"/>
      <c r="C38" s="125" t="s">
        <v>1270</v>
      </c>
    </row>
    <row r="39" spans="2:3" x14ac:dyDescent="0.25">
      <c r="B39" s="17"/>
      <c r="C39" s="125" t="s">
        <v>82</v>
      </c>
    </row>
    <row r="40" spans="2:3" x14ac:dyDescent="0.25">
      <c r="B40" s="17"/>
      <c r="C40" s="125" t="s">
        <v>83</v>
      </c>
    </row>
    <row r="41" spans="2:3" x14ac:dyDescent="0.25">
      <c r="B41" s="17"/>
      <c r="C41" s="125" t="s">
        <v>1272</v>
      </c>
    </row>
    <row r="42" spans="2:3" x14ac:dyDescent="0.25">
      <c r="B42" s="17"/>
      <c r="C42" t="s">
        <v>278</v>
      </c>
    </row>
    <row r="43" spans="2:3" x14ac:dyDescent="0.25">
      <c r="B43" s="17"/>
      <c r="C43" s="125" t="s">
        <v>84</v>
      </c>
    </row>
    <row r="44" spans="2:3" x14ac:dyDescent="0.25">
      <c r="B44" s="17"/>
      <c r="C44" s="125" t="s">
        <v>1271</v>
      </c>
    </row>
    <row r="45" spans="2:3" x14ac:dyDescent="0.25">
      <c r="B45" s="17"/>
      <c r="C45" s="125" t="s">
        <v>87</v>
      </c>
    </row>
    <row r="46" spans="2:3" x14ac:dyDescent="0.25">
      <c r="B46" s="17"/>
      <c r="C46" s="125" t="s">
        <v>83</v>
      </c>
    </row>
    <row r="47" spans="2:3" x14ac:dyDescent="0.25">
      <c r="B47" s="17"/>
      <c r="C47" s="125" t="s">
        <v>1274</v>
      </c>
    </row>
    <row r="48" spans="2:3" x14ac:dyDescent="0.25">
      <c r="C48" s="125" t="s">
        <v>1336</v>
      </c>
    </row>
    <row r="49" spans="2:8" ht="30.75" customHeight="1" x14ac:dyDescent="0.25">
      <c r="C49" s="1502" t="s">
        <v>1312</v>
      </c>
      <c r="D49" s="1502"/>
      <c r="E49" s="1502"/>
      <c r="F49" s="1502"/>
      <c r="G49" s="1502"/>
      <c r="H49" s="1502"/>
    </row>
    <row r="51" spans="2:8" x14ac:dyDescent="0.25">
      <c r="B51" s="17" t="s">
        <v>1174</v>
      </c>
    </row>
    <row r="52" spans="2:8" x14ac:dyDescent="0.25">
      <c r="B52" s="17"/>
      <c r="C52" t="s">
        <v>85</v>
      </c>
    </row>
    <row r="53" spans="2:8" x14ac:dyDescent="0.25">
      <c r="B53" s="17"/>
      <c r="C53" t="s">
        <v>81</v>
      </c>
    </row>
    <row r="54" spans="2:8" x14ac:dyDescent="0.25">
      <c r="B54" s="17"/>
      <c r="C54" t="s">
        <v>685</v>
      </c>
    </row>
    <row r="55" spans="2:8" x14ac:dyDescent="0.25">
      <c r="B55" s="17"/>
      <c r="C55" t="s">
        <v>1158</v>
      </c>
    </row>
    <row r="56" spans="2:8" x14ac:dyDescent="0.25">
      <c r="B56" s="17"/>
      <c r="C56" t="s">
        <v>84</v>
      </c>
    </row>
    <row r="57" spans="2:8" x14ac:dyDescent="0.25">
      <c r="B57" s="17"/>
      <c r="C57" t="s">
        <v>86</v>
      </c>
    </row>
    <row r="58" spans="2:8" x14ac:dyDescent="0.25">
      <c r="C58" t="s">
        <v>685</v>
      </c>
    </row>
    <row r="59" spans="2:8" x14ac:dyDescent="0.25">
      <c r="C59" t="s">
        <v>1157</v>
      </c>
    </row>
    <row r="60" spans="2:8" x14ac:dyDescent="0.25">
      <c r="D60" s="18"/>
    </row>
    <row r="61" spans="2:8" x14ac:dyDescent="0.25">
      <c r="B61" s="17" t="s">
        <v>56</v>
      </c>
    </row>
    <row r="62" spans="2:8" x14ac:dyDescent="0.25">
      <c r="C62" t="s">
        <v>88</v>
      </c>
    </row>
  </sheetData>
  <mergeCells count="4">
    <mergeCell ref="E6:G6"/>
    <mergeCell ref="B8:B11"/>
    <mergeCell ref="C25:G25"/>
    <mergeCell ref="C49:H49"/>
  </mergeCells>
  <hyperlinks>
    <hyperlink ref="B1" location="'RFE SOC FuseMap'!A1" display="RFE/SOC FuseMap" xr:uid="{43B82F68-F4E0-4AEC-A913-6E5001EA211B}"/>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6D7B3-F6D9-4B44-B6FE-AEC4CA9ED085}">
  <dimension ref="B1:N52"/>
  <sheetViews>
    <sheetView zoomScale="85" zoomScaleNormal="85"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8" max="8" width="10.28515625" bestFit="1" customWidth="1"/>
    <col min="9" max="9" width="16.5703125" bestFit="1" customWidth="1"/>
    <col min="10" max="10" width="16.85546875" bestFit="1" customWidth="1"/>
    <col min="11" max="11" width="24.140625" bestFit="1" customWidth="1"/>
  </cols>
  <sheetData>
    <row r="1" spans="2:11" x14ac:dyDescent="0.25">
      <c r="B1" s="16" t="s">
        <v>1055</v>
      </c>
    </row>
    <row r="2" spans="2:11" ht="15.75" thickBot="1" x14ac:dyDescent="0.3">
      <c r="E2" s="949"/>
      <c r="F2" s="949"/>
      <c r="G2" s="949"/>
    </row>
    <row r="3" spans="2:11" x14ac:dyDescent="0.25">
      <c r="B3" s="19" t="s">
        <v>0</v>
      </c>
      <c r="C3" s="20" t="s">
        <v>69</v>
      </c>
      <c r="D3" s="53"/>
      <c r="E3" s="949"/>
      <c r="F3" s="949"/>
      <c r="G3" s="949"/>
    </row>
    <row r="4" spans="2:11" ht="15.75" thickBot="1" x14ac:dyDescent="0.3">
      <c r="B4" s="22" t="s">
        <v>1</v>
      </c>
      <c r="C4" s="23" t="s">
        <v>23</v>
      </c>
      <c r="D4" s="53"/>
      <c r="E4" s="949"/>
      <c r="F4" s="949"/>
      <c r="G4" s="949"/>
    </row>
    <row r="5" spans="2:11" ht="15.75" thickBot="1" x14ac:dyDescent="0.3"/>
    <row r="6" spans="2:11" ht="45.75" thickBot="1" x14ac:dyDescent="0.3">
      <c r="D6" s="52" t="s">
        <v>666</v>
      </c>
      <c r="E6" s="1392" t="s">
        <v>46</v>
      </c>
      <c r="F6" s="1394"/>
      <c r="G6" s="1393"/>
      <c r="H6" s="52" t="s">
        <v>61</v>
      </c>
      <c r="I6" s="77" t="s">
        <v>94</v>
      </c>
      <c r="J6" s="78" t="s">
        <v>96</v>
      </c>
      <c r="K6" s="59" t="s">
        <v>95</v>
      </c>
    </row>
    <row r="7" spans="2:11" x14ac:dyDescent="0.25">
      <c r="B7" s="42" t="s">
        <v>59</v>
      </c>
      <c r="C7" s="45" t="s">
        <v>49</v>
      </c>
      <c r="D7" s="45" t="s">
        <v>49</v>
      </c>
      <c r="E7" s="48">
        <v>125</v>
      </c>
      <c r="F7" s="27">
        <v>25</v>
      </c>
      <c r="G7" s="37">
        <v>-40</v>
      </c>
      <c r="H7" s="33" t="s">
        <v>48</v>
      </c>
      <c r="I7" s="36" t="s">
        <v>49</v>
      </c>
      <c r="J7" s="84" t="s">
        <v>49</v>
      </c>
      <c r="K7" s="83" t="s">
        <v>49</v>
      </c>
    </row>
    <row r="8" spans="2:11" x14ac:dyDescent="0.25">
      <c r="B8" s="1374" t="s">
        <v>63</v>
      </c>
      <c r="C8" s="595" t="s">
        <v>1259</v>
      </c>
      <c r="D8" s="54" t="s">
        <v>71</v>
      </c>
      <c r="E8" s="49">
        <f>24-0.0552*(150-E$7)</f>
        <v>22.62</v>
      </c>
      <c r="F8" s="30">
        <f>24-0.0552*(150-F$7)</f>
        <v>17.100000000000001</v>
      </c>
      <c r="G8" s="28">
        <f>24-0.0552*(150-G$7)</f>
        <v>13.512</v>
      </c>
      <c r="H8" s="34" t="s">
        <v>174</v>
      </c>
      <c r="I8" s="109" t="s">
        <v>176</v>
      </c>
      <c r="J8" s="110" t="s">
        <v>1261</v>
      </c>
      <c r="K8" s="111" t="s">
        <v>1260</v>
      </c>
    </row>
    <row r="9" spans="2:11" ht="15" customHeight="1" x14ac:dyDescent="0.25">
      <c r="B9" s="1376"/>
      <c r="C9" s="46" t="s">
        <v>244</v>
      </c>
      <c r="D9" s="54" t="s">
        <v>71</v>
      </c>
      <c r="E9" s="49">
        <v>24</v>
      </c>
      <c r="F9" s="30">
        <v>24</v>
      </c>
      <c r="G9" s="38">
        <v>24</v>
      </c>
      <c r="H9" s="34" t="s">
        <v>174</v>
      </c>
      <c r="I9" s="39" t="s">
        <v>176</v>
      </c>
      <c r="J9" s="85" t="s">
        <v>177</v>
      </c>
      <c r="K9" s="79" t="s">
        <v>178</v>
      </c>
    </row>
    <row r="10" spans="2:11" ht="15.75" thickBot="1" x14ac:dyDescent="0.3">
      <c r="B10" s="43" t="s">
        <v>60</v>
      </c>
      <c r="C10" s="47" t="s">
        <v>49</v>
      </c>
      <c r="D10" s="47" t="s">
        <v>49</v>
      </c>
      <c r="E10" s="51" t="s">
        <v>372</v>
      </c>
      <c r="F10" s="29"/>
      <c r="G10" s="41"/>
      <c r="H10" s="35" t="s">
        <v>49</v>
      </c>
      <c r="I10" s="40" t="s">
        <v>49</v>
      </c>
      <c r="J10" s="86" t="s">
        <v>49</v>
      </c>
      <c r="K10" s="81" t="s">
        <v>49</v>
      </c>
    </row>
    <row r="11" spans="2:11" x14ac:dyDescent="0.25">
      <c r="B11" t="s">
        <v>58</v>
      </c>
    </row>
    <row r="12" spans="2:11" x14ac:dyDescent="0.25">
      <c r="B12" t="s">
        <v>50</v>
      </c>
    </row>
    <row r="14" spans="2:11" x14ac:dyDescent="0.25">
      <c r="B14" s="17" t="s">
        <v>822</v>
      </c>
      <c r="C14" t="s">
        <v>253</v>
      </c>
    </row>
    <row r="16" spans="2:11" x14ac:dyDescent="0.25">
      <c r="B16" s="17" t="s">
        <v>51</v>
      </c>
    </row>
    <row r="17" spans="2:4" x14ac:dyDescent="0.25">
      <c r="C17" s="1" t="s">
        <v>1086</v>
      </c>
      <c r="D17" s="18"/>
    </row>
    <row r="19" spans="2:4" x14ac:dyDescent="0.25">
      <c r="B19" s="17" t="s">
        <v>53</v>
      </c>
    </row>
    <row r="20" spans="2:4" x14ac:dyDescent="0.25">
      <c r="C20" s="1" t="s">
        <v>1463</v>
      </c>
      <c r="D20" s="18"/>
    </row>
    <row r="21" spans="2:4" s="949" customFormat="1" x14ac:dyDescent="0.25">
      <c r="C21" s="1"/>
      <c r="D21" s="950"/>
    </row>
    <row r="22" spans="2:4" s="949" customFormat="1" x14ac:dyDescent="0.25">
      <c r="B22" s="17" t="s">
        <v>2030</v>
      </c>
      <c r="C22" s="1"/>
      <c r="D22" s="950"/>
    </row>
    <row r="23" spans="2:4" s="949" customFormat="1" x14ac:dyDescent="0.25">
      <c r="C23" s="1" t="s">
        <v>2026</v>
      </c>
      <c r="D23" s="950"/>
    </row>
    <row r="24" spans="2:4" s="949" customFormat="1" x14ac:dyDescent="0.25">
      <c r="C24" s="1" t="s">
        <v>2027</v>
      </c>
      <c r="D24" s="950"/>
    </row>
    <row r="25" spans="2:4" x14ac:dyDescent="0.25">
      <c r="C25" s="949" t="s">
        <v>2028</v>
      </c>
    </row>
    <row r="26" spans="2:4" s="949" customFormat="1" x14ac:dyDescent="0.25"/>
    <row r="27" spans="2:4" x14ac:dyDescent="0.25">
      <c r="B27" s="17" t="s">
        <v>55</v>
      </c>
    </row>
    <row r="28" spans="2:4" x14ac:dyDescent="0.25">
      <c r="B28" s="17"/>
      <c r="C28" s="437" t="s">
        <v>1250</v>
      </c>
    </row>
    <row r="29" spans="2:4" x14ac:dyDescent="0.25">
      <c r="B29" s="17"/>
      <c r="C29" s="372" t="s">
        <v>1262</v>
      </c>
    </row>
    <row r="30" spans="2:4" x14ac:dyDescent="0.25">
      <c r="B30" s="17"/>
      <c r="C30" s="706" t="s">
        <v>1252</v>
      </c>
    </row>
    <row r="31" spans="2:4" x14ac:dyDescent="0.25">
      <c r="B31" s="17"/>
      <c r="C31" s="705" t="s">
        <v>1998</v>
      </c>
    </row>
    <row r="32" spans="2:4" x14ac:dyDescent="0.25">
      <c r="B32" s="17"/>
    </row>
    <row r="33" spans="2:14" s="949" customFormat="1" ht="76.5" customHeight="1" x14ac:dyDescent="0.25">
      <c r="B33" s="17"/>
      <c r="C33" s="1505" t="s">
        <v>2031</v>
      </c>
      <c r="D33" s="1505"/>
      <c r="E33" s="1505"/>
      <c r="F33" s="1505"/>
      <c r="G33" s="1505"/>
    </row>
    <row r="34" spans="2:14" s="949" customFormat="1" x14ac:dyDescent="0.25">
      <c r="B34" s="17"/>
    </row>
    <row r="35" spans="2:14" x14ac:dyDescent="0.25">
      <c r="B35" s="17"/>
      <c r="C35" t="s">
        <v>1263</v>
      </c>
    </row>
    <row r="36" spans="2:14" x14ac:dyDescent="0.25">
      <c r="B36" s="17"/>
      <c r="C36" t="str">
        <f>"Select the trim code to get the voltage the closest to "&amp;E8&amp;"µA"</f>
        <v>Select the trim code to get the voltage the closest to 22.62µA</v>
      </c>
    </row>
    <row r="37" spans="2:14" x14ac:dyDescent="0.25">
      <c r="C37" t="s">
        <v>674</v>
      </c>
    </row>
    <row r="38" spans="2:14" x14ac:dyDescent="0.25">
      <c r="C38" t="str">
        <f>"Select the trim code to get the voltage the closest to "&amp;E9&amp;"µA"</f>
        <v>Select the trim code to get the voltage the closest to 24µA</v>
      </c>
      <c r="G38" s="339"/>
      <c r="K38" s="89"/>
      <c r="L38" s="89"/>
      <c r="M38" s="89"/>
    </row>
    <row r="39" spans="2:14" x14ac:dyDescent="0.25">
      <c r="N39" s="89"/>
    </row>
    <row r="40" spans="2:14" x14ac:dyDescent="0.25">
      <c r="B40" s="17" t="s">
        <v>1174</v>
      </c>
    </row>
    <row r="41" spans="2:14" x14ac:dyDescent="0.25">
      <c r="C41" t="str">
        <f>"atb_out_bg current measured on trimmed parts should be a rectangular distribution centered on "&amp;E9&amp;"µA +/-0.2µA"</f>
        <v>atb_out_bg current measured on trimmed parts should be a rectangular distribution centered on 24µA +/-0.2µA</v>
      </c>
    </row>
    <row r="42" spans="2:14" x14ac:dyDescent="0.25">
      <c r="C42" t="s">
        <v>675</v>
      </c>
    </row>
    <row r="44" spans="2:14" x14ac:dyDescent="0.25">
      <c r="B44" s="17" t="s">
        <v>56</v>
      </c>
      <c r="I44" s="1503"/>
      <c r="J44" s="1503"/>
      <c r="K44" s="1503"/>
      <c r="L44" s="1503"/>
      <c r="M44" s="1503"/>
    </row>
    <row r="45" spans="2:14" x14ac:dyDescent="0.25">
      <c r="C45" s="1" t="s">
        <v>88</v>
      </c>
      <c r="D45" s="18"/>
      <c r="I45" s="1504"/>
      <c r="J45" s="1504"/>
      <c r="K45" s="1504"/>
      <c r="L45" s="1504"/>
      <c r="M45" s="1504"/>
    </row>
    <row r="52" spans="9:9" x14ac:dyDescent="0.25">
      <c r="I52" s="212"/>
    </row>
  </sheetData>
  <mergeCells count="5">
    <mergeCell ref="E6:G6"/>
    <mergeCell ref="B8:B9"/>
    <mergeCell ref="I44:M44"/>
    <mergeCell ref="I45:M45"/>
    <mergeCell ref="C33:G33"/>
  </mergeCells>
  <hyperlinks>
    <hyperlink ref="B1" location="'RFE SOC FuseMap'!A1" display="RFE/SOC FuseMap" xr:uid="{D46C03A4-8B58-454F-9608-425359EC039B}"/>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0A3F7-97D8-4A06-9088-53AA6FD3EAC4}">
  <sheetPr filterMode="1"/>
  <dimension ref="B1:P111"/>
  <sheetViews>
    <sheetView zoomScale="85" zoomScaleNormal="85" workbookViewId="0">
      <selection activeCell="E1" sqref="E1:G4"/>
    </sheetView>
  </sheetViews>
  <sheetFormatPr defaultRowHeight="15" x14ac:dyDescent="0.25"/>
  <cols>
    <col min="2" max="2" width="16.28515625" customWidth="1"/>
    <col min="3" max="3" width="51.5703125" customWidth="1"/>
    <col min="4" max="4" width="41.85546875" bestFit="1" customWidth="1"/>
    <col min="5" max="5" width="20.5703125" customWidth="1"/>
    <col min="6" max="6" width="18.85546875" customWidth="1"/>
    <col min="7" max="7" width="16.5703125" customWidth="1"/>
    <col min="9" max="9" width="16.5703125" bestFit="1" customWidth="1"/>
    <col min="10" max="10" width="14.7109375" bestFit="1" customWidth="1"/>
    <col min="11" max="11" width="17.5703125" bestFit="1" customWidth="1"/>
    <col min="12" max="12" width="26.140625" bestFit="1" customWidth="1"/>
    <col min="14" max="16" width="27.140625" bestFit="1" customWidth="1"/>
    <col min="18" max="18" width="14.7109375" bestFit="1" customWidth="1"/>
    <col min="19" max="19" width="28.5703125" bestFit="1" customWidth="1"/>
    <col min="21" max="21" width="60.5703125" bestFit="1" customWidth="1"/>
  </cols>
  <sheetData>
    <row r="1" spans="2:16" x14ac:dyDescent="0.25">
      <c r="B1" s="16" t="s">
        <v>1055</v>
      </c>
    </row>
    <row r="2" spans="2:16" ht="15.75" thickBot="1" x14ac:dyDescent="0.3">
      <c r="E2" s="949"/>
      <c r="F2" s="949"/>
      <c r="G2" s="949"/>
    </row>
    <row r="3" spans="2:16" ht="15.75" thickBot="1" x14ac:dyDescent="0.3">
      <c r="B3" s="106" t="s">
        <v>0</v>
      </c>
      <c r="C3" s="260" t="s">
        <v>69</v>
      </c>
      <c r="D3" s="53"/>
      <c r="E3" s="949"/>
      <c r="F3" s="949"/>
      <c r="G3" s="949"/>
    </row>
    <row r="4" spans="2:16" x14ac:dyDescent="0.25">
      <c r="D4" s="53"/>
      <c r="E4" s="949"/>
      <c r="F4" s="949"/>
      <c r="G4" s="949"/>
    </row>
    <row r="5" spans="2:16" ht="15.75" thickBot="1" x14ac:dyDescent="0.3"/>
    <row r="6" spans="2:16" ht="45.75" customHeight="1" x14ac:dyDescent="0.25">
      <c r="C6" s="1512" t="s">
        <v>1</v>
      </c>
      <c r="D6" s="1514" t="s">
        <v>63</v>
      </c>
      <c r="E6" s="1394" t="s">
        <v>666</v>
      </c>
      <c r="F6" s="1325" t="s">
        <v>548</v>
      </c>
      <c r="G6" s="1508"/>
      <c r="H6" s="1508"/>
      <c r="I6" s="1509"/>
      <c r="J6" s="1394" t="s">
        <v>46</v>
      </c>
      <c r="K6" s="1394"/>
      <c r="L6" s="1393"/>
      <c r="M6" s="1512" t="s">
        <v>61</v>
      </c>
      <c r="N6" s="1514" t="s">
        <v>94</v>
      </c>
      <c r="O6" s="1506" t="s">
        <v>96</v>
      </c>
      <c r="P6" s="1512" t="s">
        <v>95</v>
      </c>
    </row>
    <row r="7" spans="2:16" ht="49.5" customHeight="1" thickBot="1" x14ac:dyDescent="0.3">
      <c r="C7" s="1513"/>
      <c r="D7" s="1515"/>
      <c r="E7" s="1510"/>
      <c r="F7" s="274" t="s">
        <v>551</v>
      </c>
      <c r="G7" s="275" t="s">
        <v>549</v>
      </c>
      <c r="H7" s="275" t="s">
        <v>550</v>
      </c>
      <c r="I7" s="276" t="s">
        <v>2029</v>
      </c>
      <c r="J7" s="1510"/>
      <c r="K7" s="1510"/>
      <c r="L7" s="1511"/>
      <c r="M7" s="1513"/>
      <c r="N7" s="1515"/>
      <c r="O7" s="1507"/>
      <c r="P7" s="1513"/>
    </row>
    <row r="8" spans="2:16" hidden="1" x14ac:dyDescent="0.25">
      <c r="B8" s="216" t="s">
        <v>59</v>
      </c>
      <c r="C8" s="439"/>
      <c r="D8" s="189" t="s">
        <v>49</v>
      </c>
      <c r="E8" s="269" t="s">
        <v>49</v>
      </c>
      <c r="F8" s="187" t="s">
        <v>49</v>
      </c>
      <c r="G8" s="270" t="s">
        <v>49</v>
      </c>
      <c r="H8" s="270" t="s">
        <v>49</v>
      </c>
      <c r="I8" s="188" t="s">
        <v>49</v>
      </c>
      <c r="J8" s="272">
        <v>125</v>
      </c>
      <c r="K8" s="192">
        <v>25</v>
      </c>
      <c r="L8" s="193">
        <v>-40</v>
      </c>
      <c r="M8" s="263" t="s">
        <v>48</v>
      </c>
      <c r="N8" s="194" t="s">
        <v>49</v>
      </c>
      <c r="O8" s="195" t="s">
        <v>49</v>
      </c>
      <c r="P8" s="196" t="s">
        <v>49</v>
      </c>
    </row>
    <row r="9" spans="2:16" ht="15" hidden="1" customHeight="1" x14ac:dyDescent="0.25">
      <c r="B9" s="259"/>
      <c r="C9" s="440" t="s">
        <v>264</v>
      </c>
      <c r="D9" s="264" t="s">
        <v>204</v>
      </c>
      <c r="E9" s="113" t="s">
        <v>71</v>
      </c>
      <c r="F9" s="277" t="s">
        <v>47</v>
      </c>
      <c r="G9" s="242" t="s">
        <v>1033</v>
      </c>
      <c r="H9" s="242">
        <v>3</v>
      </c>
      <c r="I9" s="1060">
        <v>20</v>
      </c>
      <c r="J9" s="48">
        <v>20</v>
      </c>
      <c r="K9" s="27">
        <v>20</v>
      </c>
      <c r="L9" s="245">
        <v>20</v>
      </c>
      <c r="M9" s="88" t="s">
        <v>174</v>
      </c>
      <c r="N9" s="265" t="s">
        <v>440</v>
      </c>
      <c r="O9" s="286" t="s">
        <v>441</v>
      </c>
      <c r="P9" s="20" t="s">
        <v>499</v>
      </c>
    </row>
    <row r="10" spans="2:16" x14ac:dyDescent="0.25">
      <c r="B10" s="259"/>
      <c r="C10" s="1238" t="s">
        <v>265</v>
      </c>
      <c r="D10" s="255" t="s">
        <v>206</v>
      </c>
      <c r="E10" s="326" t="s">
        <v>71</v>
      </c>
      <c r="F10" s="278" t="s">
        <v>47</v>
      </c>
      <c r="G10" s="238" t="s">
        <v>1033</v>
      </c>
      <c r="H10" s="238">
        <v>5</v>
      </c>
      <c r="I10" s="1061">
        <v>90</v>
      </c>
      <c r="J10" s="49">
        <v>90</v>
      </c>
      <c r="K10" s="30">
        <v>90</v>
      </c>
      <c r="L10" s="28">
        <v>90</v>
      </c>
      <c r="M10" s="70" t="s">
        <v>174</v>
      </c>
      <c r="N10" s="1516" t="s">
        <v>442</v>
      </c>
      <c r="O10" s="172" t="s">
        <v>443</v>
      </c>
      <c r="P10" s="21" t="s">
        <v>500</v>
      </c>
    </row>
    <row r="11" spans="2:16" x14ac:dyDescent="0.25">
      <c r="B11" s="259"/>
      <c r="C11" s="1336"/>
      <c r="D11" s="255" t="s">
        <v>208</v>
      </c>
      <c r="E11" s="326" t="s">
        <v>71</v>
      </c>
      <c r="F11" s="278"/>
      <c r="G11" s="238" t="s">
        <v>1033</v>
      </c>
      <c r="H11" s="238">
        <v>5</v>
      </c>
      <c r="I11" s="1061">
        <v>90</v>
      </c>
      <c r="J11" s="49">
        <v>90</v>
      </c>
      <c r="K11" s="30">
        <v>90</v>
      </c>
      <c r="L11" s="28">
        <v>90</v>
      </c>
      <c r="M11" s="70" t="s">
        <v>174</v>
      </c>
      <c r="N11" s="1516"/>
      <c r="O11" s="172" t="s">
        <v>444</v>
      </c>
      <c r="P11" s="21" t="s">
        <v>501</v>
      </c>
    </row>
    <row r="12" spans="2:16" x14ac:dyDescent="0.25">
      <c r="B12" s="259"/>
      <c r="C12" s="1336"/>
      <c r="D12" s="255" t="s">
        <v>212</v>
      </c>
      <c r="E12" s="326" t="s">
        <v>71</v>
      </c>
      <c r="F12" s="278"/>
      <c r="G12" s="238" t="s">
        <v>1033</v>
      </c>
      <c r="H12" s="238">
        <v>5</v>
      </c>
      <c r="I12" s="1061">
        <v>90</v>
      </c>
      <c r="J12" s="247">
        <v>90</v>
      </c>
      <c r="K12" s="248">
        <v>90</v>
      </c>
      <c r="L12" s="249">
        <v>90</v>
      </c>
      <c r="M12" s="70" t="s">
        <v>174</v>
      </c>
      <c r="N12" s="1516"/>
      <c r="O12" s="172" t="s">
        <v>445</v>
      </c>
      <c r="P12" s="21" t="s">
        <v>502</v>
      </c>
    </row>
    <row r="13" spans="2:16" x14ac:dyDescent="0.25">
      <c r="B13" s="259"/>
      <c r="C13" s="1336"/>
      <c r="D13" s="255" t="s">
        <v>205</v>
      </c>
      <c r="E13" s="326" t="s">
        <v>71</v>
      </c>
      <c r="F13" s="278"/>
      <c r="G13" s="238" t="s">
        <v>1244</v>
      </c>
      <c r="H13" s="238">
        <v>5</v>
      </c>
      <c r="I13" s="1062">
        <v>90</v>
      </c>
      <c r="J13" s="1059">
        <f t="shared" ref="J13:L16" si="0">90-(0.2*(150-J$8))</f>
        <v>85</v>
      </c>
      <c r="K13" s="1064">
        <f t="shared" si="0"/>
        <v>65</v>
      </c>
      <c r="L13" s="1065">
        <f t="shared" si="0"/>
        <v>52</v>
      </c>
      <c r="M13" s="70" t="s">
        <v>174</v>
      </c>
      <c r="N13" s="1516" t="s">
        <v>446</v>
      </c>
      <c r="O13" s="172" t="s">
        <v>447</v>
      </c>
      <c r="P13" s="21" t="s">
        <v>503</v>
      </c>
    </row>
    <row r="14" spans="2:16" x14ac:dyDescent="0.25">
      <c r="B14" s="259"/>
      <c r="C14" s="1336"/>
      <c r="D14" s="255" t="s">
        <v>207</v>
      </c>
      <c r="E14" s="326" t="s">
        <v>71</v>
      </c>
      <c r="F14" s="278"/>
      <c r="G14" s="238" t="s">
        <v>1244</v>
      </c>
      <c r="H14" s="238">
        <v>5</v>
      </c>
      <c r="I14" s="1061">
        <v>90</v>
      </c>
      <c r="J14" s="1059">
        <f t="shared" si="0"/>
        <v>85</v>
      </c>
      <c r="K14" s="1064">
        <f t="shared" si="0"/>
        <v>65</v>
      </c>
      <c r="L14" s="1065">
        <f t="shared" si="0"/>
        <v>52</v>
      </c>
      <c r="M14" s="70" t="s">
        <v>174</v>
      </c>
      <c r="N14" s="1516"/>
      <c r="O14" s="172" t="s">
        <v>448</v>
      </c>
      <c r="P14" s="21" t="s">
        <v>504</v>
      </c>
    </row>
    <row r="15" spans="2:16" x14ac:dyDescent="0.25">
      <c r="B15" s="259"/>
      <c r="C15" s="1336"/>
      <c r="D15" s="255" t="s">
        <v>211</v>
      </c>
      <c r="E15" s="326" t="s">
        <v>71</v>
      </c>
      <c r="F15" s="278"/>
      <c r="G15" s="238" t="s">
        <v>1244</v>
      </c>
      <c r="H15" s="238">
        <v>5</v>
      </c>
      <c r="I15" s="1061">
        <v>90</v>
      </c>
      <c r="J15" s="1059">
        <f t="shared" si="0"/>
        <v>85</v>
      </c>
      <c r="K15" s="1064">
        <f t="shared" si="0"/>
        <v>65</v>
      </c>
      <c r="L15" s="1065">
        <f t="shared" si="0"/>
        <v>52</v>
      </c>
      <c r="M15" s="70" t="s">
        <v>174</v>
      </c>
      <c r="N15" s="1516"/>
      <c r="O15" s="172" t="s">
        <v>449</v>
      </c>
      <c r="P15" s="21" t="s">
        <v>505</v>
      </c>
    </row>
    <row r="16" spans="2:16" x14ac:dyDescent="0.25">
      <c r="B16" s="259"/>
      <c r="C16" s="1336"/>
      <c r="D16" s="255" t="s">
        <v>496</v>
      </c>
      <c r="E16" s="326" t="s">
        <v>71</v>
      </c>
      <c r="F16" s="278"/>
      <c r="G16" s="238" t="s">
        <v>1244</v>
      </c>
      <c r="H16" s="238">
        <v>5</v>
      </c>
      <c r="I16" s="1061">
        <v>90</v>
      </c>
      <c r="J16" s="1059">
        <f t="shared" si="0"/>
        <v>85</v>
      </c>
      <c r="K16" s="1064">
        <f t="shared" si="0"/>
        <v>65</v>
      </c>
      <c r="L16" s="1065">
        <f t="shared" si="0"/>
        <v>52</v>
      </c>
      <c r="M16" s="70" t="s">
        <v>174</v>
      </c>
      <c r="N16" s="1516"/>
      <c r="O16" s="172" t="s">
        <v>450</v>
      </c>
      <c r="P16" s="21" t="s">
        <v>506</v>
      </c>
    </row>
    <row r="17" spans="2:16" hidden="1" x14ac:dyDescent="0.25">
      <c r="B17" s="259"/>
      <c r="C17" s="1336"/>
      <c r="D17" s="255" t="s">
        <v>209</v>
      </c>
      <c r="E17" s="326" t="s">
        <v>71</v>
      </c>
      <c r="F17" s="278" t="s">
        <v>47</v>
      </c>
      <c r="G17" s="238" t="s">
        <v>1033</v>
      </c>
      <c r="H17" s="238">
        <v>5</v>
      </c>
      <c r="I17" s="1061">
        <v>20</v>
      </c>
      <c r="J17" s="247">
        <v>20</v>
      </c>
      <c r="K17" s="248">
        <v>20</v>
      </c>
      <c r="L17" s="249">
        <v>20</v>
      </c>
      <c r="M17" s="70" t="s">
        <v>174</v>
      </c>
      <c r="N17" s="1516" t="s">
        <v>451</v>
      </c>
      <c r="O17" s="172" t="s">
        <v>452</v>
      </c>
      <c r="P17" s="21" t="s">
        <v>507</v>
      </c>
    </row>
    <row r="18" spans="2:16" hidden="1" x14ac:dyDescent="0.25">
      <c r="B18" s="259"/>
      <c r="C18" s="1336"/>
      <c r="D18" s="255" t="s">
        <v>210</v>
      </c>
      <c r="E18" s="326" t="s">
        <v>71</v>
      </c>
      <c r="F18" s="278"/>
      <c r="G18" s="238" t="s">
        <v>1033</v>
      </c>
      <c r="H18" s="238">
        <v>5</v>
      </c>
      <c r="I18" s="1061">
        <v>20</v>
      </c>
      <c r="J18" s="247">
        <v>20</v>
      </c>
      <c r="K18" s="248">
        <v>20</v>
      </c>
      <c r="L18" s="249">
        <v>20</v>
      </c>
      <c r="M18" s="70" t="s">
        <v>174</v>
      </c>
      <c r="N18" s="1516"/>
      <c r="O18" s="172" t="s">
        <v>453</v>
      </c>
      <c r="P18" s="21" t="s">
        <v>508</v>
      </c>
    </row>
    <row r="19" spans="2:16" hidden="1" x14ac:dyDescent="0.25">
      <c r="B19" s="259"/>
      <c r="C19" s="1336"/>
      <c r="D19" s="255" t="s">
        <v>497</v>
      </c>
      <c r="E19" s="326" t="s">
        <v>71</v>
      </c>
      <c r="F19" s="278"/>
      <c r="G19" s="238" t="s">
        <v>1033</v>
      </c>
      <c r="H19" s="238">
        <v>5</v>
      </c>
      <c r="I19" s="1061">
        <v>20</v>
      </c>
      <c r="J19" s="247">
        <v>20</v>
      </c>
      <c r="K19" s="248">
        <v>20</v>
      </c>
      <c r="L19" s="249">
        <v>20</v>
      </c>
      <c r="M19" s="70" t="s">
        <v>174</v>
      </c>
      <c r="N19" s="1516"/>
      <c r="O19" s="172" t="s">
        <v>454</v>
      </c>
      <c r="P19" s="21" t="s">
        <v>509</v>
      </c>
    </row>
    <row r="20" spans="2:16" hidden="1" x14ac:dyDescent="0.25">
      <c r="B20" s="259"/>
      <c r="C20" s="1336"/>
      <c r="D20" s="255" t="s">
        <v>213</v>
      </c>
      <c r="E20" s="326" t="s">
        <v>71</v>
      </c>
      <c r="F20" s="278"/>
      <c r="G20" s="238" t="s">
        <v>1033</v>
      </c>
      <c r="H20" s="238">
        <v>5</v>
      </c>
      <c r="I20" s="1061">
        <v>20</v>
      </c>
      <c r="J20" s="247">
        <v>20</v>
      </c>
      <c r="K20" s="248">
        <v>20</v>
      </c>
      <c r="L20" s="249">
        <v>20</v>
      </c>
      <c r="M20" s="70" t="s">
        <v>174</v>
      </c>
      <c r="N20" s="1516"/>
      <c r="O20" s="172" t="s">
        <v>445</v>
      </c>
      <c r="P20" s="21" t="s">
        <v>510</v>
      </c>
    </row>
    <row r="21" spans="2:16" hidden="1" x14ac:dyDescent="0.25">
      <c r="B21" s="259"/>
      <c r="C21" s="1336"/>
      <c r="D21" s="255" t="s">
        <v>214</v>
      </c>
      <c r="E21" s="326" t="s">
        <v>71</v>
      </c>
      <c r="F21" s="278"/>
      <c r="G21" s="238" t="s">
        <v>1033</v>
      </c>
      <c r="H21" s="238">
        <v>3</v>
      </c>
      <c r="I21" s="1061">
        <v>20</v>
      </c>
      <c r="J21" s="247">
        <v>20</v>
      </c>
      <c r="K21" s="248">
        <v>20</v>
      </c>
      <c r="L21" s="249">
        <v>20</v>
      </c>
      <c r="M21" s="70" t="s">
        <v>174</v>
      </c>
      <c r="N21" s="1516" t="s">
        <v>455</v>
      </c>
      <c r="O21" s="172" t="s">
        <v>456</v>
      </c>
      <c r="P21" s="21" t="s">
        <v>511</v>
      </c>
    </row>
    <row r="22" spans="2:16" hidden="1" x14ac:dyDescent="0.25">
      <c r="B22" s="259"/>
      <c r="C22" s="1239"/>
      <c r="D22" s="255" t="s">
        <v>215</v>
      </c>
      <c r="E22" s="326" t="s">
        <v>71</v>
      </c>
      <c r="F22" s="278"/>
      <c r="G22" s="238" t="s">
        <v>1033</v>
      </c>
      <c r="H22" s="238">
        <v>3</v>
      </c>
      <c r="I22" s="1061">
        <v>20</v>
      </c>
      <c r="J22" s="247">
        <v>20</v>
      </c>
      <c r="K22" s="248">
        <v>20</v>
      </c>
      <c r="L22" s="249">
        <v>20</v>
      </c>
      <c r="M22" s="70" t="s">
        <v>174</v>
      </c>
      <c r="N22" s="1516"/>
      <c r="O22" s="172" t="s">
        <v>457</v>
      </c>
      <c r="P22" s="21" t="s">
        <v>512</v>
      </c>
    </row>
    <row r="23" spans="2:16" x14ac:dyDescent="0.25">
      <c r="B23" s="259"/>
      <c r="C23" s="1238" t="s">
        <v>28</v>
      </c>
      <c r="D23" s="254" t="s">
        <v>216</v>
      </c>
      <c r="E23" s="326" t="s">
        <v>71</v>
      </c>
      <c r="F23" s="278" t="s">
        <v>47</v>
      </c>
      <c r="G23" s="238" t="s">
        <v>1244</v>
      </c>
      <c r="H23" s="238">
        <v>5</v>
      </c>
      <c r="I23" s="1061">
        <v>90</v>
      </c>
      <c r="J23" s="1059">
        <f>90-(0.2*(150-J$8))</f>
        <v>85</v>
      </c>
      <c r="K23" s="1064">
        <f>90-(0.2*(150-K$8))</f>
        <v>65</v>
      </c>
      <c r="L23" s="1065">
        <f>90-(0.2*(150-L$8))</f>
        <v>52</v>
      </c>
      <c r="M23" s="70" t="s">
        <v>174</v>
      </c>
      <c r="N23" s="1516" t="s">
        <v>458</v>
      </c>
      <c r="O23" s="172" t="s">
        <v>459</v>
      </c>
      <c r="P23" s="21" t="s">
        <v>513</v>
      </c>
    </row>
    <row r="24" spans="2:16" x14ac:dyDescent="0.25">
      <c r="B24" s="259"/>
      <c r="C24" s="1336"/>
      <c r="D24" s="493" t="s">
        <v>494</v>
      </c>
      <c r="E24" s="326" t="s">
        <v>71</v>
      </c>
      <c r="F24" s="278" t="s">
        <v>47</v>
      </c>
      <c r="G24" s="238" t="s">
        <v>1033</v>
      </c>
      <c r="H24" s="238">
        <v>3</v>
      </c>
      <c r="I24" s="1061">
        <v>90</v>
      </c>
      <c r="J24" s="247">
        <v>90</v>
      </c>
      <c r="K24" s="248">
        <v>90</v>
      </c>
      <c r="L24" s="249">
        <v>90</v>
      </c>
      <c r="M24" s="70" t="s">
        <v>174</v>
      </c>
      <c r="N24" s="1516"/>
      <c r="O24" s="172" t="s">
        <v>432</v>
      </c>
      <c r="P24" s="21" t="s">
        <v>514</v>
      </c>
    </row>
    <row r="25" spans="2:16" hidden="1" x14ac:dyDescent="0.25">
      <c r="B25" s="259"/>
      <c r="C25" s="1336"/>
      <c r="D25" s="254" t="s">
        <v>495</v>
      </c>
      <c r="E25" s="326" t="s">
        <v>71</v>
      </c>
      <c r="F25" s="278"/>
      <c r="G25" s="238" t="s">
        <v>1033</v>
      </c>
      <c r="H25" s="238">
        <v>3</v>
      </c>
      <c r="I25" s="1061">
        <v>20</v>
      </c>
      <c r="J25" s="247">
        <v>20</v>
      </c>
      <c r="K25" s="248">
        <v>20</v>
      </c>
      <c r="L25" s="249">
        <v>20</v>
      </c>
      <c r="M25" s="70" t="s">
        <v>174</v>
      </c>
      <c r="N25" s="1516"/>
      <c r="O25" s="172" t="s">
        <v>460</v>
      </c>
      <c r="P25" s="21" t="s">
        <v>515</v>
      </c>
    </row>
    <row r="26" spans="2:16" hidden="1" x14ac:dyDescent="0.25">
      <c r="B26" s="259"/>
      <c r="C26" s="1336"/>
      <c r="D26" s="255" t="s">
        <v>221</v>
      </c>
      <c r="E26" s="326" t="s">
        <v>71</v>
      </c>
      <c r="F26" s="278"/>
      <c r="G26" s="238" t="s">
        <v>1033</v>
      </c>
      <c r="H26" s="238">
        <v>3</v>
      </c>
      <c r="I26" s="1061">
        <v>20</v>
      </c>
      <c r="J26" s="247">
        <v>20</v>
      </c>
      <c r="K26" s="248">
        <v>20</v>
      </c>
      <c r="L26" s="249">
        <v>20</v>
      </c>
      <c r="M26" s="70" t="s">
        <v>174</v>
      </c>
      <c r="N26" s="1516" t="s">
        <v>461</v>
      </c>
      <c r="O26" s="172" t="s">
        <v>462</v>
      </c>
      <c r="P26" s="21" t="s">
        <v>516</v>
      </c>
    </row>
    <row r="27" spans="2:16" hidden="1" x14ac:dyDescent="0.25">
      <c r="B27" s="259"/>
      <c r="C27" s="1336"/>
      <c r="D27" s="254" t="s">
        <v>222</v>
      </c>
      <c r="E27" s="326" t="s">
        <v>71</v>
      </c>
      <c r="F27" s="278"/>
      <c r="G27" s="238" t="s">
        <v>1033</v>
      </c>
      <c r="H27" s="238">
        <v>3</v>
      </c>
      <c r="I27" s="1061">
        <v>20</v>
      </c>
      <c r="J27" s="247">
        <v>20</v>
      </c>
      <c r="K27" s="248">
        <v>20</v>
      </c>
      <c r="L27" s="249">
        <v>20</v>
      </c>
      <c r="M27" s="70" t="s">
        <v>174</v>
      </c>
      <c r="N27" s="1516"/>
      <c r="O27" s="172" t="s">
        <v>463</v>
      </c>
      <c r="P27" s="21" t="s">
        <v>517</v>
      </c>
    </row>
    <row r="28" spans="2:16" hidden="1" x14ac:dyDescent="0.25">
      <c r="B28" s="259"/>
      <c r="C28" s="1336"/>
      <c r="D28" s="255" t="s">
        <v>218</v>
      </c>
      <c r="E28" s="326" t="s">
        <v>71</v>
      </c>
      <c r="F28" s="278" t="s">
        <v>47</v>
      </c>
      <c r="G28" s="702" t="s">
        <v>1246</v>
      </c>
      <c r="H28" s="238">
        <v>5</v>
      </c>
      <c r="I28" s="1061">
        <v>30</v>
      </c>
      <c r="J28" s="1059">
        <f t="shared" ref="J28:L29" si="1">30-(0.067*(150-J$8))</f>
        <v>28.324999999999999</v>
      </c>
      <c r="K28" s="1064">
        <f t="shared" si="1"/>
        <v>21.625</v>
      </c>
      <c r="L28" s="1065">
        <f t="shared" si="1"/>
        <v>17.27</v>
      </c>
      <c r="M28" s="70" t="s">
        <v>174</v>
      </c>
      <c r="N28" s="1516"/>
      <c r="O28" s="172" t="s">
        <v>464</v>
      </c>
      <c r="P28" s="21" t="s">
        <v>518</v>
      </c>
    </row>
    <row r="29" spans="2:16" hidden="1" x14ac:dyDescent="0.25">
      <c r="B29" s="259"/>
      <c r="C29" s="1336"/>
      <c r="D29" s="254" t="s">
        <v>220</v>
      </c>
      <c r="E29" s="326" t="s">
        <v>71</v>
      </c>
      <c r="F29" s="278"/>
      <c r="G29" s="702" t="s">
        <v>1246</v>
      </c>
      <c r="H29" s="238">
        <v>5</v>
      </c>
      <c r="I29" s="1061">
        <v>30</v>
      </c>
      <c r="J29" s="1059">
        <f t="shared" si="1"/>
        <v>28.324999999999999</v>
      </c>
      <c r="K29" s="1064">
        <f t="shared" si="1"/>
        <v>21.625</v>
      </c>
      <c r="L29" s="1065">
        <f t="shared" si="1"/>
        <v>17.27</v>
      </c>
      <c r="M29" s="70" t="s">
        <v>174</v>
      </c>
      <c r="N29" s="1516"/>
      <c r="O29" s="172" t="s">
        <v>465</v>
      </c>
      <c r="P29" s="21" t="s">
        <v>519</v>
      </c>
    </row>
    <row r="30" spans="2:16" hidden="1" x14ac:dyDescent="0.25">
      <c r="B30" s="259"/>
      <c r="C30" s="1336"/>
      <c r="D30" s="254" t="s">
        <v>217</v>
      </c>
      <c r="E30" s="326" t="s">
        <v>71</v>
      </c>
      <c r="F30" s="278"/>
      <c r="G30" s="238" t="s">
        <v>1033</v>
      </c>
      <c r="H30" s="238">
        <v>3</v>
      </c>
      <c r="I30" s="1061">
        <v>20</v>
      </c>
      <c r="J30" s="247">
        <v>20</v>
      </c>
      <c r="K30" s="248">
        <v>20</v>
      </c>
      <c r="L30" s="249">
        <v>20</v>
      </c>
      <c r="M30" s="70" t="s">
        <v>174</v>
      </c>
      <c r="N30" s="1516"/>
      <c r="O30" s="172" t="s">
        <v>466</v>
      </c>
      <c r="P30" s="21" t="s">
        <v>520</v>
      </c>
    </row>
    <row r="31" spans="2:16" hidden="1" x14ac:dyDescent="0.25">
      <c r="B31" s="259"/>
      <c r="C31" s="1239"/>
      <c r="D31" s="254" t="s">
        <v>219</v>
      </c>
      <c r="E31" s="326" t="s">
        <v>71</v>
      </c>
      <c r="F31" s="278"/>
      <c r="G31" s="238" t="s">
        <v>1033</v>
      </c>
      <c r="H31" s="238">
        <v>3</v>
      </c>
      <c r="I31" s="1061">
        <v>20</v>
      </c>
      <c r="J31" s="247">
        <v>20</v>
      </c>
      <c r="K31" s="248">
        <v>20</v>
      </c>
      <c r="L31" s="249">
        <v>20</v>
      </c>
      <c r="M31" s="70" t="s">
        <v>174</v>
      </c>
      <c r="N31" s="1516"/>
      <c r="O31" s="172" t="s">
        <v>467</v>
      </c>
      <c r="P31" s="21" t="s">
        <v>521</v>
      </c>
    </row>
    <row r="32" spans="2:16" x14ac:dyDescent="0.25">
      <c r="B32" s="259"/>
      <c r="C32" s="1238" t="s">
        <v>489</v>
      </c>
      <c r="D32" s="255" t="s">
        <v>224</v>
      </c>
      <c r="E32" s="326" t="s">
        <v>71</v>
      </c>
      <c r="F32" s="278"/>
      <c r="G32" s="238" t="s">
        <v>1244</v>
      </c>
      <c r="H32" s="238">
        <v>5</v>
      </c>
      <c r="I32" s="1061">
        <v>90</v>
      </c>
      <c r="J32" s="1059">
        <f>90-(0.2*(150-J$8))</f>
        <v>85</v>
      </c>
      <c r="K32" s="1064">
        <f>90-(0.2*(150-K$8))</f>
        <v>65</v>
      </c>
      <c r="L32" s="1065">
        <f>90-(0.2*(150-L$8))</f>
        <v>52</v>
      </c>
      <c r="M32" s="70" t="s">
        <v>174</v>
      </c>
      <c r="N32" s="1516" t="s">
        <v>468</v>
      </c>
      <c r="O32" s="172" t="s">
        <v>459</v>
      </c>
      <c r="P32" s="21" t="s">
        <v>522</v>
      </c>
    </row>
    <row r="33" spans="2:16" x14ac:dyDescent="0.25">
      <c r="B33" s="259"/>
      <c r="C33" s="1336"/>
      <c r="D33" s="254" t="s">
        <v>223</v>
      </c>
      <c r="E33" s="326" t="s">
        <v>71</v>
      </c>
      <c r="F33" s="278"/>
      <c r="G33" s="238" t="s">
        <v>1033</v>
      </c>
      <c r="H33" s="238">
        <v>5</v>
      </c>
      <c r="I33" s="1061">
        <v>90</v>
      </c>
      <c r="J33" s="247">
        <v>90</v>
      </c>
      <c r="K33" s="248">
        <v>90</v>
      </c>
      <c r="L33" s="249">
        <v>90</v>
      </c>
      <c r="M33" s="70" t="s">
        <v>174</v>
      </c>
      <c r="N33" s="1516"/>
      <c r="O33" s="172" t="s">
        <v>432</v>
      </c>
      <c r="P33" s="21" t="s">
        <v>523</v>
      </c>
    </row>
    <row r="34" spans="2:16" x14ac:dyDescent="0.25">
      <c r="B34" s="259"/>
      <c r="C34" s="1336"/>
      <c r="D34" s="255" t="s">
        <v>225</v>
      </c>
      <c r="E34" s="326" t="s">
        <v>71</v>
      </c>
      <c r="F34" s="278"/>
      <c r="G34" s="238" t="s">
        <v>1033</v>
      </c>
      <c r="H34" s="238">
        <v>3</v>
      </c>
      <c r="I34" s="1061">
        <v>90</v>
      </c>
      <c r="J34" s="247">
        <v>90</v>
      </c>
      <c r="K34" s="248">
        <v>90</v>
      </c>
      <c r="L34" s="249">
        <v>90</v>
      </c>
      <c r="M34" s="70" t="s">
        <v>174</v>
      </c>
      <c r="N34" s="1516"/>
      <c r="O34" s="172" t="s">
        <v>469</v>
      </c>
      <c r="P34" s="21" t="s">
        <v>524</v>
      </c>
    </row>
    <row r="35" spans="2:16" hidden="1" x14ac:dyDescent="0.25">
      <c r="B35" s="259"/>
      <c r="C35" s="1336"/>
      <c r="D35" s="254" t="s">
        <v>226</v>
      </c>
      <c r="E35" s="326" t="s">
        <v>71</v>
      </c>
      <c r="F35" s="278"/>
      <c r="G35" s="238" t="s">
        <v>1033</v>
      </c>
      <c r="H35" s="238">
        <v>3</v>
      </c>
      <c r="I35" s="1061">
        <v>20</v>
      </c>
      <c r="J35" s="247">
        <v>20</v>
      </c>
      <c r="K35" s="248">
        <v>20</v>
      </c>
      <c r="L35" s="249">
        <v>20</v>
      </c>
      <c r="M35" s="70" t="s">
        <v>174</v>
      </c>
      <c r="N35" s="1516" t="s">
        <v>470</v>
      </c>
      <c r="O35" s="172" t="s">
        <v>471</v>
      </c>
      <c r="P35" s="21" t="s">
        <v>525</v>
      </c>
    </row>
    <row r="36" spans="2:16" hidden="1" x14ac:dyDescent="0.25">
      <c r="B36" s="259"/>
      <c r="C36" s="1336"/>
      <c r="D36" s="254" t="s">
        <v>227</v>
      </c>
      <c r="E36" s="326" t="s">
        <v>71</v>
      </c>
      <c r="F36" s="278"/>
      <c r="G36" s="238" t="s">
        <v>1033</v>
      </c>
      <c r="H36" s="238">
        <v>3</v>
      </c>
      <c r="I36" s="1061">
        <v>20</v>
      </c>
      <c r="J36" s="247">
        <v>20</v>
      </c>
      <c r="K36" s="248">
        <v>20</v>
      </c>
      <c r="L36" s="249">
        <v>20</v>
      </c>
      <c r="M36" s="70" t="s">
        <v>174</v>
      </c>
      <c r="N36" s="1516"/>
      <c r="O36" s="172" t="s">
        <v>462</v>
      </c>
      <c r="P36" s="21" t="s">
        <v>526</v>
      </c>
    </row>
    <row r="37" spans="2:16" hidden="1" x14ac:dyDescent="0.25">
      <c r="B37" s="259"/>
      <c r="C37" s="1336"/>
      <c r="D37" s="254" t="s">
        <v>228</v>
      </c>
      <c r="E37" s="326" t="s">
        <v>71</v>
      </c>
      <c r="F37" s="278"/>
      <c r="G37" s="238" t="s">
        <v>1033</v>
      </c>
      <c r="H37" s="238">
        <v>3</v>
      </c>
      <c r="I37" s="1061">
        <v>20</v>
      </c>
      <c r="J37" s="247">
        <v>20</v>
      </c>
      <c r="K37" s="248">
        <v>20</v>
      </c>
      <c r="L37" s="249">
        <v>20</v>
      </c>
      <c r="M37" s="70" t="s">
        <v>174</v>
      </c>
      <c r="N37" s="1516"/>
      <c r="O37" s="172" t="s">
        <v>472</v>
      </c>
      <c r="P37" s="21" t="s">
        <v>527</v>
      </c>
    </row>
    <row r="38" spans="2:16" hidden="1" x14ac:dyDescent="0.25">
      <c r="B38" s="259"/>
      <c r="C38" s="1239"/>
      <c r="D38" s="254" t="s">
        <v>638</v>
      </c>
      <c r="E38" s="326" t="s">
        <v>71</v>
      </c>
      <c r="F38" s="278"/>
      <c r="G38" s="238" t="s">
        <v>1033</v>
      </c>
      <c r="H38" s="238">
        <v>3</v>
      </c>
      <c r="I38" s="1061">
        <v>20</v>
      </c>
      <c r="J38" s="247">
        <v>20</v>
      </c>
      <c r="K38" s="248">
        <v>20</v>
      </c>
      <c r="L38" s="103">
        <v>20</v>
      </c>
      <c r="M38" s="70" t="s">
        <v>174</v>
      </c>
      <c r="N38" s="1516"/>
      <c r="O38" s="172" t="s">
        <v>473</v>
      </c>
      <c r="P38" s="21" t="s">
        <v>528</v>
      </c>
    </row>
    <row r="39" spans="2:16" hidden="1" x14ac:dyDescent="0.25">
      <c r="B39" s="259"/>
      <c r="C39" s="1238" t="s">
        <v>490</v>
      </c>
      <c r="D39" s="256" t="s">
        <v>229</v>
      </c>
      <c r="E39" s="326" t="s">
        <v>71</v>
      </c>
      <c r="F39" s="278"/>
      <c r="G39" s="702" t="s">
        <v>1246</v>
      </c>
      <c r="H39" s="238">
        <v>5</v>
      </c>
      <c r="I39" s="1061">
        <v>30</v>
      </c>
      <c r="J39" s="1059">
        <f>30-(0.067*(150-J$8))</f>
        <v>28.324999999999999</v>
      </c>
      <c r="K39" s="1064">
        <f>30-(0.067*(150-K$8))</f>
        <v>21.625</v>
      </c>
      <c r="L39" s="1065">
        <f>30-(0.067*(150-L$8))</f>
        <v>17.27</v>
      </c>
      <c r="M39" s="70" t="s">
        <v>174</v>
      </c>
      <c r="N39" s="1516" t="s">
        <v>430</v>
      </c>
      <c r="O39" s="172" t="s">
        <v>431</v>
      </c>
      <c r="P39" s="21" t="s">
        <v>529</v>
      </c>
    </row>
    <row r="40" spans="2:16" hidden="1" x14ac:dyDescent="0.25">
      <c r="B40" s="259"/>
      <c r="C40" s="1336"/>
      <c r="D40" s="256" t="s">
        <v>437</v>
      </c>
      <c r="E40" s="326" t="s">
        <v>71</v>
      </c>
      <c r="F40" s="278"/>
      <c r="G40" s="238" t="s">
        <v>1033</v>
      </c>
      <c r="H40" s="238">
        <v>5</v>
      </c>
      <c r="I40" s="1061">
        <v>20</v>
      </c>
      <c r="J40" s="247">
        <v>20</v>
      </c>
      <c r="K40" s="248">
        <v>20</v>
      </c>
      <c r="L40" s="249">
        <v>20</v>
      </c>
      <c r="M40" s="70" t="s">
        <v>174</v>
      </c>
      <c r="N40" s="1516"/>
      <c r="O40" s="172" t="s">
        <v>432</v>
      </c>
      <c r="P40" s="21" t="s">
        <v>530</v>
      </c>
    </row>
    <row r="41" spans="2:16" hidden="1" x14ac:dyDescent="0.25">
      <c r="B41" s="259"/>
      <c r="C41" s="1336"/>
      <c r="D41" s="257" t="s">
        <v>436</v>
      </c>
      <c r="E41" s="326" t="s">
        <v>71</v>
      </c>
      <c r="F41" s="278"/>
      <c r="G41" s="238" t="s">
        <v>1033</v>
      </c>
      <c r="H41" s="238">
        <v>5</v>
      </c>
      <c r="I41" s="1061">
        <v>20</v>
      </c>
      <c r="J41" s="247">
        <v>20</v>
      </c>
      <c r="K41" s="248">
        <v>20</v>
      </c>
      <c r="L41" s="249">
        <v>20</v>
      </c>
      <c r="M41" s="70" t="s">
        <v>174</v>
      </c>
      <c r="N41" s="1516"/>
      <c r="O41" s="172" t="s">
        <v>433</v>
      </c>
      <c r="P41" s="21" t="s">
        <v>531</v>
      </c>
    </row>
    <row r="42" spans="2:16" hidden="1" x14ac:dyDescent="0.25">
      <c r="B42" s="259"/>
      <c r="C42" s="1239"/>
      <c r="D42" s="257" t="s">
        <v>435</v>
      </c>
      <c r="E42" s="326" t="s">
        <v>71</v>
      </c>
      <c r="F42" s="278"/>
      <c r="G42" s="238" t="s">
        <v>1033</v>
      </c>
      <c r="H42" s="238">
        <v>5</v>
      </c>
      <c r="I42" s="1061">
        <v>20</v>
      </c>
      <c r="J42" s="247">
        <v>20</v>
      </c>
      <c r="K42" s="248">
        <v>20</v>
      </c>
      <c r="L42" s="249">
        <v>20</v>
      </c>
      <c r="M42" s="70" t="s">
        <v>174</v>
      </c>
      <c r="N42" s="1516"/>
      <c r="O42" s="172" t="s">
        <v>434</v>
      </c>
      <c r="P42" s="21" t="s">
        <v>532</v>
      </c>
    </row>
    <row r="43" spans="2:16" hidden="1" x14ac:dyDescent="0.25">
      <c r="B43" s="259"/>
      <c r="C43" s="1238" t="s">
        <v>18</v>
      </c>
      <c r="D43" s="257" t="s">
        <v>498</v>
      </c>
      <c r="E43" s="326" t="s">
        <v>71</v>
      </c>
      <c r="F43" s="278"/>
      <c r="G43" s="238" t="s">
        <v>1033</v>
      </c>
      <c r="H43" s="238">
        <v>5</v>
      </c>
      <c r="I43" s="1061">
        <v>20</v>
      </c>
      <c r="J43" s="247">
        <v>20</v>
      </c>
      <c r="K43" s="248">
        <v>20</v>
      </c>
      <c r="L43" s="249">
        <v>20</v>
      </c>
      <c r="M43" s="70" t="s">
        <v>174</v>
      </c>
      <c r="N43" s="505" t="s">
        <v>439</v>
      </c>
      <c r="O43" s="172" t="s">
        <v>438</v>
      </c>
      <c r="P43" s="21" t="s">
        <v>533</v>
      </c>
    </row>
    <row r="44" spans="2:16" hidden="1" x14ac:dyDescent="0.25">
      <c r="B44" s="259"/>
      <c r="C44" s="1239"/>
      <c r="D44" s="792" t="s">
        <v>1464</v>
      </c>
      <c r="E44" s="793" t="s">
        <v>71</v>
      </c>
      <c r="G44" s="238" t="s">
        <v>1033</v>
      </c>
      <c r="H44" s="238">
        <v>3</v>
      </c>
      <c r="I44" s="1061">
        <v>20</v>
      </c>
      <c r="J44" s="247">
        <v>20</v>
      </c>
      <c r="K44" s="248">
        <v>20</v>
      </c>
      <c r="L44" s="249">
        <v>20</v>
      </c>
      <c r="M44" s="70" t="s">
        <v>174</v>
      </c>
      <c r="N44" s="505" t="s">
        <v>1466</v>
      </c>
      <c r="O44" s="172" t="s">
        <v>1467</v>
      </c>
      <c r="P44" s="21" t="s">
        <v>1465</v>
      </c>
    </row>
    <row r="45" spans="2:16" x14ac:dyDescent="0.25">
      <c r="B45" s="259"/>
      <c r="C45" s="689" t="s">
        <v>491</v>
      </c>
      <c r="D45" s="257" t="s">
        <v>230</v>
      </c>
      <c r="E45" s="326" t="s">
        <v>71</v>
      </c>
      <c r="F45" s="278"/>
      <c r="G45" s="238" t="s">
        <v>1033</v>
      </c>
      <c r="H45" s="238">
        <v>5</v>
      </c>
      <c r="I45" s="1061">
        <v>90</v>
      </c>
      <c r="J45" s="247">
        <v>90</v>
      </c>
      <c r="K45" s="248">
        <v>90</v>
      </c>
      <c r="L45" s="249">
        <v>90</v>
      </c>
      <c r="M45" s="70" t="s">
        <v>174</v>
      </c>
      <c r="N45" s="703" t="s">
        <v>474</v>
      </c>
      <c r="O45" s="172" t="s">
        <v>432</v>
      </c>
      <c r="P45" s="21" t="s">
        <v>534</v>
      </c>
    </row>
    <row r="46" spans="2:16" x14ac:dyDescent="0.25">
      <c r="B46" s="259"/>
      <c r="C46" s="1238" t="s">
        <v>492</v>
      </c>
      <c r="D46" s="257" t="s">
        <v>231</v>
      </c>
      <c r="E46" s="326" t="s">
        <v>71</v>
      </c>
      <c r="F46" s="278"/>
      <c r="G46" s="238" t="s">
        <v>1244</v>
      </c>
      <c r="H46" s="238">
        <v>5</v>
      </c>
      <c r="I46" s="1061">
        <v>90</v>
      </c>
      <c r="J46" s="1059">
        <f t="shared" ref="J46:L47" si="2">90-(0.2*(150-J$8))</f>
        <v>85</v>
      </c>
      <c r="K46" s="1064">
        <f t="shared" si="2"/>
        <v>65</v>
      </c>
      <c r="L46" s="1065">
        <f t="shared" si="2"/>
        <v>52</v>
      </c>
      <c r="M46" s="70" t="s">
        <v>174</v>
      </c>
      <c r="N46" s="1516" t="s">
        <v>475</v>
      </c>
      <c r="O46" s="172" t="s">
        <v>476</v>
      </c>
      <c r="P46" s="21" t="s">
        <v>535</v>
      </c>
    </row>
    <row r="47" spans="2:16" x14ac:dyDescent="0.25">
      <c r="B47" s="259"/>
      <c r="C47" s="1336"/>
      <c r="D47" s="257" t="s">
        <v>232</v>
      </c>
      <c r="E47" s="326" t="s">
        <v>71</v>
      </c>
      <c r="F47" s="278"/>
      <c r="G47" s="238" t="s">
        <v>1244</v>
      </c>
      <c r="H47" s="238">
        <v>5</v>
      </c>
      <c r="I47" s="1061">
        <v>90</v>
      </c>
      <c r="J47" s="1059">
        <f t="shared" si="2"/>
        <v>85</v>
      </c>
      <c r="K47" s="1064">
        <f t="shared" si="2"/>
        <v>65</v>
      </c>
      <c r="L47" s="1065">
        <f t="shared" si="2"/>
        <v>52</v>
      </c>
      <c r="M47" s="70" t="s">
        <v>174</v>
      </c>
      <c r="N47" s="1516"/>
      <c r="O47" s="172" t="s">
        <v>449</v>
      </c>
      <c r="P47" s="21" t="s">
        <v>536</v>
      </c>
    </row>
    <row r="48" spans="2:16" x14ac:dyDescent="0.25">
      <c r="B48" s="259"/>
      <c r="C48" s="1336"/>
      <c r="D48" s="258" t="s">
        <v>233</v>
      </c>
      <c r="E48" s="326" t="s">
        <v>71</v>
      </c>
      <c r="F48" s="278"/>
      <c r="G48" s="238" t="s">
        <v>1033</v>
      </c>
      <c r="H48" s="238">
        <v>5</v>
      </c>
      <c r="I48" s="1061">
        <v>90</v>
      </c>
      <c r="J48" s="247">
        <v>90</v>
      </c>
      <c r="K48" s="248">
        <v>90</v>
      </c>
      <c r="L48" s="249">
        <v>90</v>
      </c>
      <c r="M48" s="70" t="s">
        <v>174</v>
      </c>
      <c r="N48" s="1516"/>
      <c r="O48" s="172" t="s">
        <v>477</v>
      </c>
      <c r="P48" s="21" t="s">
        <v>537</v>
      </c>
    </row>
    <row r="49" spans="2:16" x14ac:dyDescent="0.25">
      <c r="B49" s="259"/>
      <c r="C49" s="1336"/>
      <c r="D49" s="258" t="s">
        <v>234</v>
      </c>
      <c r="E49" s="326" t="s">
        <v>71</v>
      </c>
      <c r="F49" s="278"/>
      <c r="G49" s="238" t="s">
        <v>1033</v>
      </c>
      <c r="H49" s="238">
        <v>5</v>
      </c>
      <c r="I49" s="1061">
        <v>90</v>
      </c>
      <c r="J49" s="247">
        <v>90</v>
      </c>
      <c r="K49" s="248">
        <v>90</v>
      </c>
      <c r="L49" s="249">
        <v>90</v>
      </c>
      <c r="M49" s="70" t="s">
        <v>174</v>
      </c>
      <c r="N49" s="1516" t="s">
        <v>478</v>
      </c>
      <c r="O49" s="172" t="s">
        <v>454</v>
      </c>
      <c r="P49" s="21" t="s">
        <v>538</v>
      </c>
    </row>
    <row r="50" spans="2:16" x14ac:dyDescent="0.25">
      <c r="B50" s="259"/>
      <c r="C50" s="1336"/>
      <c r="D50" s="258" t="s">
        <v>235</v>
      </c>
      <c r="E50" s="326" t="s">
        <v>71</v>
      </c>
      <c r="F50" s="278"/>
      <c r="G50" s="238" t="s">
        <v>1033</v>
      </c>
      <c r="H50" s="238">
        <v>5</v>
      </c>
      <c r="I50" s="1061">
        <v>90</v>
      </c>
      <c r="J50" s="49">
        <v>90</v>
      </c>
      <c r="K50" s="30">
        <v>90</v>
      </c>
      <c r="L50" s="28">
        <v>90</v>
      </c>
      <c r="M50" s="70" t="s">
        <v>174</v>
      </c>
      <c r="N50" s="1516"/>
      <c r="O50" s="172" t="s">
        <v>479</v>
      </c>
      <c r="P50" s="21" t="s">
        <v>539</v>
      </c>
    </row>
    <row r="51" spans="2:16" x14ac:dyDescent="0.25">
      <c r="B51" s="259"/>
      <c r="C51" s="1336"/>
      <c r="D51" s="258" t="s">
        <v>236</v>
      </c>
      <c r="E51" s="326" t="s">
        <v>71</v>
      </c>
      <c r="F51" s="278"/>
      <c r="G51" s="238" t="s">
        <v>1033</v>
      </c>
      <c r="H51" s="238">
        <v>5</v>
      </c>
      <c r="I51" s="1061">
        <v>90</v>
      </c>
      <c r="J51" s="49">
        <v>90</v>
      </c>
      <c r="K51" s="30">
        <v>90</v>
      </c>
      <c r="L51" s="28">
        <v>90</v>
      </c>
      <c r="M51" s="70" t="s">
        <v>174</v>
      </c>
      <c r="N51" s="1516"/>
      <c r="O51" s="172" t="s">
        <v>480</v>
      </c>
      <c r="P51" s="21" t="s">
        <v>540</v>
      </c>
    </row>
    <row r="52" spans="2:16" x14ac:dyDescent="0.25">
      <c r="B52" s="259"/>
      <c r="C52" s="1336"/>
      <c r="D52" s="258" t="s">
        <v>237</v>
      </c>
      <c r="E52" s="326" t="s">
        <v>71</v>
      </c>
      <c r="F52" s="278"/>
      <c r="G52" s="238" t="s">
        <v>1033</v>
      </c>
      <c r="H52" s="238">
        <v>5</v>
      </c>
      <c r="I52" s="1061">
        <v>90</v>
      </c>
      <c r="J52" s="49">
        <v>90</v>
      </c>
      <c r="K52" s="30">
        <v>90</v>
      </c>
      <c r="L52" s="28">
        <v>90</v>
      </c>
      <c r="M52" s="70" t="s">
        <v>174</v>
      </c>
      <c r="N52" s="1516"/>
      <c r="O52" s="172" t="s">
        <v>481</v>
      </c>
      <c r="P52" s="21" t="s">
        <v>541</v>
      </c>
    </row>
    <row r="53" spans="2:16" hidden="1" x14ac:dyDescent="0.25">
      <c r="B53" s="259"/>
      <c r="C53" s="1336"/>
      <c r="D53" s="258" t="s">
        <v>238</v>
      </c>
      <c r="E53" s="326" t="s">
        <v>71</v>
      </c>
      <c r="F53" s="278"/>
      <c r="G53" s="238" t="s">
        <v>1033</v>
      </c>
      <c r="H53" s="238">
        <v>3</v>
      </c>
      <c r="I53" s="1061">
        <v>20</v>
      </c>
      <c r="J53" s="49">
        <v>20</v>
      </c>
      <c r="K53" s="30">
        <v>20</v>
      </c>
      <c r="L53" s="28">
        <v>20</v>
      </c>
      <c r="M53" s="70" t="s">
        <v>174</v>
      </c>
      <c r="N53" s="1516" t="s">
        <v>482</v>
      </c>
      <c r="O53" s="172" t="s">
        <v>483</v>
      </c>
      <c r="P53" s="21" t="s">
        <v>542</v>
      </c>
    </row>
    <row r="54" spans="2:16" hidden="1" x14ac:dyDescent="0.25">
      <c r="B54" s="259"/>
      <c r="C54" s="1336"/>
      <c r="D54" s="258" t="s">
        <v>239</v>
      </c>
      <c r="E54" s="326" t="s">
        <v>71</v>
      </c>
      <c r="F54" s="278"/>
      <c r="G54" s="238" t="s">
        <v>1033</v>
      </c>
      <c r="H54" s="238">
        <v>3</v>
      </c>
      <c r="I54" s="1061">
        <v>20</v>
      </c>
      <c r="J54" s="49">
        <v>20</v>
      </c>
      <c r="K54" s="30">
        <v>20</v>
      </c>
      <c r="L54" s="28">
        <v>20</v>
      </c>
      <c r="M54" s="70" t="s">
        <v>174</v>
      </c>
      <c r="N54" s="1516"/>
      <c r="O54" s="172" t="s">
        <v>484</v>
      </c>
      <c r="P54" s="21" t="s">
        <v>543</v>
      </c>
    </row>
    <row r="55" spans="2:16" hidden="1" x14ac:dyDescent="0.25">
      <c r="B55" s="259"/>
      <c r="C55" s="1239"/>
      <c r="D55" s="258" t="s">
        <v>240</v>
      </c>
      <c r="E55" s="326" t="s">
        <v>71</v>
      </c>
      <c r="F55" s="278"/>
      <c r="G55" s="238" t="s">
        <v>1033</v>
      </c>
      <c r="H55" s="238">
        <v>3</v>
      </c>
      <c r="I55" s="1061">
        <v>20</v>
      </c>
      <c r="J55" s="49">
        <v>20</v>
      </c>
      <c r="K55" s="30">
        <v>20</v>
      </c>
      <c r="L55" s="28">
        <v>20</v>
      </c>
      <c r="M55" s="70" t="s">
        <v>174</v>
      </c>
      <c r="N55" s="1516"/>
      <c r="O55" s="172" t="s">
        <v>485</v>
      </c>
      <c r="P55" s="21" t="s">
        <v>544</v>
      </c>
    </row>
    <row r="56" spans="2:16" hidden="1" x14ac:dyDescent="0.25">
      <c r="B56" s="259"/>
      <c r="C56" s="1238" t="s">
        <v>493</v>
      </c>
      <c r="D56" s="258" t="s">
        <v>241</v>
      </c>
      <c r="E56" s="326" t="s">
        <v>71</v>
      </c>
      <c r="F56" s="278"/>
      <c r="G56" s="238" t="s">
        <v>1033</v>
      </c>
      <c r="H56" s="238">
        <v>3</v>
      </c>
      <c r="I56" s="1061">
        <v>20</v>
      </c>
      <c r="J56" s="49">
        <v>20</v>
      </c>
      <c r="K56" s="30">
        <v>20</v>
      </c>
      <c r="L56" s="28">
        <v>20</v>
      </c>
      <c r="M56" s="70" t="s">
        <v>174</v>
      </c>
      <c r="N56" s="1516" t="s">
        <v>486</v>
      </c>
      <c r="O56" s="172" t="s">
        <v>487</v>
      </c>
      <c r="P56" s="21" t="s">
        <v>545</v>
      </c>
    </row>
    <row r="57" spans="2:16" hidden="1" x14ac:dyDescent="0.25">
      <c r="B57" s="259"/>
      <c r="C57" s="1239"/>
      <c r="D57" s="258" t="s">
        <v>242</v>
      </c>
      <c r="E57" s="326" t="s">
        <v>71</v>
      </c>
      <c r="F57" s="278"/>
      <c r="G57" s="238" t="s">
        <v>1033</v>
      </c>
      <c r="H57" s="238">
        <v>3</v>
      </c>
      <c r="I57" s="1061">
        <v>20</v>
      </c>
      <c r="J57" s="49">
        <v>20</v>
      </c>
      <c r="K57" s="30">
        <v>20</v>
      </c>
      <c r="L57" s="28">
        <v>20</v>
      </c>
      <c r="M57" s="70" t="s">
        <v>174</v>
      </c>
      <c r="N57" s="1516"/>
      <c r="O57" s="172" t="s">
        <v>488</v>
      </c>
      <c r="P57" s="21" t="s">
        <v>546</v>
      </c>
    </row>
    <row r="58" spans="2:16" ht="15" customHeight="1" x14ac:dyDescent="0.25">
      <c r="B58" s="259"/>
      <c r="C58" s="1517" t="s">
        <v>1240</v>
      </c>
      <c r="D58" s="258" t="s">
        <v>1256</v>
      </c>
      <c r="E58" s="326" t="s">
        <v>71</v>
      </c>
      <c r="F58" s="278"/>
      <c r="G58" s="238" t="s">
        <v>1033</v>
      </c>
      <c r="H58" s="238">
        <v>3</v>
      </c>
      <c r="I58" s="1061">
        <v>90</v>
      </c>
      <c r="J58" s="49">
        <v>90</v>
      </c>
      <c r="K58" s="30">
        <v>90</v>
      </c>
      <c r="L58" s="28">
        <v>90</v>
      </c>
      <c r="M58" s="70" t="s">
        <v>174</v>
      </c>
      <c r="N58" s="1516" t="s">
        <v>1243</v>
      </c>
      <c r="O58" s="172" t="s">
        <v>469</v>
      </c>
      <c r="P58" s="21" t="s">
        <v>1237</v>
      </c>
    </row>
    <row r="59" spans="2:16" x14ac:dyDescent="0.25">
      <c r="B59" s="259"/>
      <c r="C59" s="1518"/>
      <c r="D59" s="258" t="s">
        <v>1257</v>
      </c>
      <c r="E59" s="326" t="s">
        <v>71</v>
      </c>
      <c r="F59" s="278"/>
      <c r="G59" s="238" t="s">
        <v>1244</v>
      </c>
      <c r="H59" s="238">
        <v>3</v>
      </c>
      <c r="I59" s="1061">
        <v>90</v>
      </c>
      <c r="J59" s="1059">
        <f>90-(0.2*(150-J$8))</f>
        <v>85</v>
      </c>
      <c r="K59" s="1064">
        <f>90-(0.2*(150-K$8))</f>
        <v>65</v>
      </c>
      <c r="L59" s="1065">
        <f>90-(0.2*(150-L$8))</f>
        <v>52</v>
      </c>
      <c r="M59" s="70" t="s">
        <v>174</v>
      </c>
      <c r="N59" s="1516"/>
      <c r="O59" s="172" t="s">
        <v>1241</v>
      </c>
      <c r="P59" s="21" t="s">
        <v>1238</v>
      </c>
    </row>
    <row r="60" spans="2:16" ht="15.75" thickBot="1" x14ac:dyDescent="0.3">
      <c r="B60" s="259"/>
      <c r="C60" s="1519"/>
      <c r="D60" s="266" t="s">
        <v>1258</v>
      </c>
      <c r="E60" s="35" t="s">
        <v>71</v>
      </c>
      <c r="F60" s="279" t="s">
        <v>47</v>
      </c>
      <c r="G60" s="243" t="s">
        <v>1245</v>
      </c>
      <c r="H60" s="704">
        <v>3</v>
      </c>
      <c r="I60" s="1063">
        <v>90</v>
      </c>
      <c r="J60" s="1066">
        <f>90-(0.3*(150-J$8))</f>
        <v>82.5</v>
      </c>
      <c r="K60" s="1067">
        <f>90-(0.3*(150-K$8))</f>
        <v>52.5</v>
      </c>
      <c r="L60" s="1068">
        <f>90-(0.3*(150-L$8))</f>
        <v>33</v>
      </c>
      <c r="M60" s="246" t="s">
        <v>174</v>
      </c>
      <c r="N60" s="1520"/>
      <c r="O60" s="581" t="s">
        <v>1242</v>
      </c>
      <c r="P60" s="23" t="s">
        <v>1239</v>
      </c>
    </row>
    <row r="61" spans="2:16" ht="15.75" hidden="1" thickBot="1" x14ac:dyDescent="0.3">
      <c r="B61" s="217" t="s">
        <v>60</v>
      </c>
      <c r="C61" s="244"/>
      <c r="D61" s="178" t="s">
        <v>49</v>
      </c>
      <c r="E61" s="178" t="s">
        <v>49</v>
      </c>
      <c r="F61" s="176" t="s">
        <v>49</v>
      </c>
      <c r="G61" s="271" t="s">
        <v>49</v>
      </c>
      <c r="H61" s="271" t="s">
        <v>49</v>
      </c>
      <c r="I61" s="177" t="s">
        <v>49</v>
      </c>
      <c r="J61" s="273" t="s">
        <v>372</v>
      </c>
      <c r="K61" s="225"/>
      <c r="L61" s="180"/>
      <c r="M61" s="181" t="s">
        <v>49</v>
      </c>
      <c r="N61" s="261" t="s">
        <v>49</v>
      </c>
      <c r="O61" s="241" t="s">
        <v>49</v>
      </c>
      <c r="P61" s="184" t="s">
        <v>49</v>
      </c>
    </row>
    <row r="62" spans="2:16" hidden="1" x14ac:dyDescent="0.25">
      <c r="B62" t="s">
        <v>58</v>
      </c>
    </row>
    <row r="63" spans="2:16" hidden="1" x14ac:dyDescent="0.25">
      <c r="B63" t="s">
        <v>50</v>
      </c>
    </row>
    <row r="65" spans="2:4" x14ac:dyDescent="0.25">
      <c r="B65" s="17" t="s">
        <v>822</v>
      </c>
      <c r="C65" t="s">
        <v>253</v>
      </c>
    </row>
    <row r="66" spans="2:4" x14ac:dyDescent="0.25">
      <c r="B66" s="17"/>
    </row>
    <row r="67" spans="2:4" x14ac:dyDescent="0.25">
      <c r="B67" s="17" t="s">
        <v>51</v>
      </c>
    </row>
    <row r="68" spans="2:4" x14ac:dyDescent="0.25">
      <c r="C68" t="s">
        <v>1087</v>
      </c>
      <c r="D68" s="18"/>
    </row>
    <row r="69" spans="2:4" x14ac:dyDescent="0.25">
      <c r="C69" t="s">
        <v>547</v>
      </c>
    </row>
    <row r="70" spans="2:4" x14ac:dyDescent="0.25">
      <c r="D70" s="18"/>
    </row>
    <row r="71" spans="2:4" x14ac:dyDescent="0.25">
      <c r="B71" s="17" t="s">
        <v>53</v>
      </c>
    </row>
    <row r="72" spans="2:4" x14ac:dyDescent="0.25">
      <c r="C72" s="18" t="s">
        <v>54</v>
      </c>
    </row>
    <row r="73" spans="2:4" s="949" customFormat="1" x14ac:dyDescent="0.25">
      <c r="C73" s="950"/>
    </row>
    <row r="74" spans="2:4" s="949" customFormat="1" x14ac:dyDescent="0.25">
      <c r="B74" s="17" t="s">
        <v>2030</v>
      </c>
      <c r="C74" s="1"/>
    </row>
    <row r="75" spans="2:4" s="949" customFormat="1" x14ac:dyDescent="0.25">
      <c r="C75" s="1" t="s">
        <v>2026</v>
      </c>
    </row>
    <row r="76" spans="2:4" s="949" customFormat="1" x14ac:dyDescent="0.25">
      <c r="C76" s="1" t="s">
        <v>2027</v>
      </c>
    </row>
    <row r="77" spans="2:4" x14ac:dyDescent="0.25">
      <c r="B77" s="949"/>
      <c r="C77" s="949" t="s">
        <v>2028</v>
      </c>
    </row>
    <row r="78" spans="2:4" s="949" customFormat="1" x14ac:dyDescent="0.25"/>
    <row r="79" spans="2:4" x14ac:dyDescent="0.25">
      <c r="B79" s="17" t="s">
        <v>55</v>
      </c>
    </row>
    <row r="80" spans="2:4" x14ac:dyDescent="0.25">
      <c r="B80" s="17"/>
      <c r="C80" s="437" t="s">
        <v>1250</v>
      </c>
    </row>
    <row r="81" spans="3:7" ht="90.75" customHeight="1" x14ac:dyDescent="0.25">
      <c r="C81" s="1503" t="s">
        <v>1432</v>
      </c>
      <c r="D81" s="1503"/>
      <c r="E81" s="1503"/>
      <c r="F81" s="1503"/>
      <c r="G81" s="1503"/>
    </row>
    <row r="82" spans="3:7" ht="45" customHeight="1" x14ac:dyDescent="0.25">
      <c r="C82" s="1504" t="s">
        <v>1433</v>
      </c>
      <c r="D82" s="1504"/>
      <c r="E82" s="1504"/>
      <c r="F82" s="1504"/>
      <c r="G82" s="1504"/>
    </row>
    <row r="83" spans="3:7" x14ac:dyDescent="0.25">
      <c r="C83" s="705" t="s">
        <v>1251</v>
      </c>
    </row>
    <row r="84" spans="3:7" x14ac:dyDescent="0.25">
      <c r="C84" s="372" t="s">
        <v>1262</v>
      </c>
    </row>
    <row r="85" spans="3:7" x14ac:dyDescent="0.25">
      <c r="C85" s="706" t="s">
        <v>1252</v>
      </c>
    </row>
    <row r="86" spans="3:7" x14ac:dyDescent="0.25">
      <c r="C86" s="708" t="s">
        <v>1276</v>
      </c>
    </row>
    <row r="87" spans="3:7" s="949" customFormat="1" x14ac:dyDescent="0.25">
      <c r="C87" s="708"/>
    </row>
    <row r="88" spans="3:7" s="949" customFormat="1" ht="66" customHeight="1" x14ac:dyDescent="0.25">
      <c r="C88" s="1505" t="s">
        <v>2031</v>
      </c>
      <c r="D88" s="1505"/>
      <c r="E88" s="1505"/>
      <c r="F88" s="1505"/>
      <c r="G88" s="1505"/>
    </row>
    <row r="90" spans="3:7" x14ac:dyDescent="0.25">
      <c r="C90" t="s">
        <v>658</v>
      </c>
    </row>
    <row r="91" spans="3:7" x14ac:dyDescent="0.25">
      <c r="C91" s="212" t="s">
        <v>1995</v>
      </c>
    </row>
    <row r="92" spans="3:7" x14ac:dyDescent="0.25">
      <c r="C92" s="212" t="s">
        <v>1996</v>
      </c>
    </row>
    <row r="93" spans="3:7" x14ac:dyDescent="0.25">
      <c r="C93" s="372" t="s">
        <v>2032</v>
      </c>
    </row>
    <row r="94" spans="3:7" x14ac:dyDescent="0.25">
      <c r="C94" s="339" t="s">
        <v>1253</v>
      </c>
    </row>
    <row r="95" spans="3:7" x14ac:dyDescent="0.25">
      <c r="C95" s="212" t="s">
        <v>1088</v>
      </c>
      <c r="D95" s="18"/>
    </row>
    <row r="96" spans="3:7" x14ac:dyDescent="0.25">
      <c r="C96" s="212" t="s">
        <v>668</v>
      </c>
    </row>
    <row r="97" spans="2:6" x14ac:dyDescent="0.25">
      <c r="C97" s="212" t="s">
        <v>552</v>
      </c>
    </row>
    <row r="98" spans="2:6" x14ac:dyDescent="0.25">
      <c r="C98" s="212" t="s">
        <v>1247</v>
      </c>
    </row>
    <row r="100" spans="2:6" ht="15.75" thickBot="1" x14ac:dyDescent="0.3">
      <c r="B100" s="17" t="s">
        <v>1174</v>
      </c>
    </row>
    <row r="101" spans="2:6" ht="45.75" customHeight="1" thickBot="1" x14ac:dyDescent="0.3">
      <c r="C101" s="288" t="s">
        <v>578</v>
      </c>
      <c r="D101" s="289" t="s">
        <v>639</v>
      </c>
      <c r="E101" s="289" t="s">
        <v>569</v>
      </c>
      <c r="F101" s="290" t="s">
        <v>577</v>
      </c>
    </row>
    <row r="102" spans="2:6" x14ac:dyDescent="0.25">
      <c r="C102" s="285" t="s">
        <v>572</v>
      </c>
      <c r="D102" s="286" t="s">
        <v>575</v>
      </c>
      <c r="E102" s="287" t="s">
        <v>579</v>
      </c>
      <c r="F102" s="20">
        <v>4</v>
      </c>
    </row>
    <row r="103" spans="2:6" x14ac:dyDescent="0.25">
      <c r="C103" s="283" t="s">
        <v>573</v>
      </c>
      <c r="D103" s="172" t="s">
        <v>575</v>
      </c>
      <c r="E103" s="282" t="s">
        <v>580</v>
      </c>
      <c r="F103" s="21">
        <v>16</v>
      </c>
    </row>
    <row r="104" spans="2:6" x14ac:dyDescent="0.25">
      <c r="C104" s="283" t="s">
        <v>574</v>
      </c>
      <c r="D104" s="172" t="s">
        <v>576</v>
      </c>
      <c r="E104" s="282" t="s">
        <v>581</v>
      </c>
      <c r="F104" s="21">
        <v>4</v>
      </c>
    </row>
    <row r="105" spans="2:6" x14ac:dyDescent="0.25">
      <c r="C105" s="283" t="s">
        <v>570</v>
      </c>
      <c r="D105" s="172" t="s">
        <v>576</v>
      </c>
      <c r="E105" s="282" t="s">
        <v>579</v>
      </c>
      <c r="F105" s="21">
        <v>16</v>
      </c>
    </row>
    <row r="106" spans="2:6" x14ac:dyDescent="0.25">
      <c r="C106" s="283" t="s">
        <v>1248</v>
      </c>
      <c r="D106" s="314" t="str">
        <f>J60&amp;"uA"</f>
        <v>82.5uA</v>
      </c>
      <c r="E106" s="282" t="s">
        <v>579</v>
      </c>
      <c r="F106" s="21">
        <v>16</v>
      </c>
    </row>
    <row r="107" spans="2:6" x14ac:dyDescent="0.25">
      <c r="C107" s="283" t="s">
        <v>1249</v>
      </c>
      <c r="D107" s="314" t="str">
        <f>J23&amp;"uA"</f>
        <v>85uA</v>
      </c>
      <c r="E107" s="282" t="s">
        <v>579</v>
      </c>
      <c r="F107" s="21">
        <v>16</v>
      </c>
    </row>
    <row r="108" spans="2:6" ht="15.75" thickBot="1" x14ac:dyDescent="0.3">
      <c r="C108" s="284" t="s">
        <v>571</v>
      </c>
      <c r="D108" s="328" t="str">
        <f>J28&amp;"uA"</f>
        <v>28.325uA</v>
      </c>
      <c r="E108" s="292" t="s">
        <v>582</v>
      </c>
      <c r="F108" s="23">
        <v>16</v>
      </c>
    </row>
    <row r="110" spans="2:6" x14ac:dyDescent="0.25">
      <c r="B110" s="17" t="s">
        <v>56</v>
      </c>
    </row>
    <row r="111" spans="2:6" x14ac:dyDescent="0.25">
      <c r="C111" s="1" t="s">
        <v>553</v>
      </c>
    </row>
  </sheetData>
  <autoFilter ref="B7:AB63" xr:uid="{D66C3132-F590-46D4-99CD-3B2E7F66FEEB}">
    <filterColumn colId="7">
      <filters>
        <filter val="90"/>
      </filters>
    </filterColumn>
    <filterColumn colId="8" showButton="0"/>
    <filterColumn colId="9" showButton="0"/>
  </autoFilter>
  <mergeCells count="34">
    <mergeCell ref="C88:G88"/>
    <mergeCell ref="C58:C60"/>
    <mergeCell ref="N58:N60"/>
    <mergeCell ref="C81:G81"/>
    <mergeCell ref="C82:G82"/>
    <mergeCell ref="C32:C38"/>
    <mergeCell ref="C23:C31"/>
    <mergeCell ref="C10:C22"/>
    <mergeCell ref="N49:N52"/>
    <mergeCell ref="N26:N31"/>
    <mergeCell ref="N32:N34"/>
    <mergeCell ref="C43:C44"/>
    <mergeCell ref="N35:N38"/>
    <mergeCell ref="C39:C42"/>
    <mergeCell ref="N39:N42"/>
    <mergeCell ref="N10:N12"/>
    <mergeCell ref="N13:N16"/>
    <mergeCell ref="N17:N20"/>
    <mergeCell ref="N21:N22"/>
    <mergeCell ref="N23:N25"/>
    <mergeCell ref="N53:N55"/>
    <mergeCell ref="N56:N57"/>
    <mergeCell ref="C56:C57"/>
    <mergeCell ref="C46:C55"/>
    <mergeCell ref="N46:N48"/>
    <mergeCell ref="O6:O7"/>
    <mergeCell ref="F6:I6"/>
    <mergeCell ref="J6:L7"/>
    <mergeCell ref="P6:P7"/>
    <mergeCell ref="C6:C7"/>
    <mergeCell ref="D6:D7"/>
    <mergeCell ref="E6:E7"/>
    <mergeCell ref="M6:M7"/>
    <mergeCell ref="N6:N7"/>
  </mergeCells>
  <phoneticPr fontId="7" type="noConversion"/>
  <hyperlinks>
    <hyperlink ref="B1" location="'RFE SOC FuseMap'!A1" display="RFE/SOC FuseMap" xr:uid="{6EEF07D0-221B-4A13-A4BD-32F791C54F8A}"/>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F5AF8-BC82-4D86-BB1A-95B16B8875C1}">
  <dimension ref="B1:K37"/>
  <sheetViews>
    <sheetView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 min="10" max="10" width="25.140625" bestFit="1" customWidth="1"/>
    <col min="11" max="11" width="26.85546875" bestFit="1" customWidth="1"/>
  </cols>
  <sheetData>
    <row r="1" spans="2:11" x14ac:dyDescent="0.25">
      <c r="B1" s="16" t="s">
        <v>1055</v>
      </c>
    </row>
    <row r="2" spans="2:11" ht="15.75" thickBot="1" x14ac:dyDescent="0.3">
      <c r="E2" s="949"/>
      <c r="F2" s="949"/>
      <c r="G2" s="949"/>
    </row>
    <row r="3" spans="2:11" x14ac:dyDescent="0.25">
      <c r="B3" s="387" t="s">
        <v>0</v>
      </c>
      <c r="C3" s="20" t="s">
        <v>986</v>
      </c>
      <c r="D3" s="53"/>
      <c r="E3" s="949"/>
      <c r="F3" s="949"/>
      <c r="G3" s="949"/>
    </row>
    <row r="4" spans="2:11" ht="15.75" thickBot="1" x14ac:dyDescent="0.3">
      <c r="B4" s="388" t="s">
        <v>1</v>
      </c>
      <c r="C4" s="23" t="s">
        <v>493</v>
      </c>
      <c r="D4" s="53"/>
      <c r="E4" s="949"/>
      <c r="F4" s="949"/>
      <c r="G4" s="949"/>
    </row>
    <row r="5" spans="2:11" ht="15.75" thickBot="1" x14ac:dyDescent="0.3"/>
    <row r="6" spans="2:11" ht="45.75" thickBot="1" x14ac:dyDescent="0.3">
      <c r="D6" s="52" t="s">
        <v>666</v>
      </c>
      <c r="E6" s="1365" t="s">
        <v>46</v>
      </c>
      <c r="F6" s="1366"/>
      <c r="G6" s="1367"/>
      <c r="H6" s="52" t="s">
        <v>61</v>
      </c>
      <c r="I6" s="395" t="s">
        <v>94</v>
      </c>
      <c r="J6" s="396" t="s">
        <v>96</v>
      </c>
      <c r="K6" s="392" t="s">
        <v>95</v>
      </c>
    </row>
    <row r="7" spans="2:11" x14ac:dyDescent="0.25">
      <c r="B7" s="42" t="s">
        <v>59</v>
      </c>
      <c r="C7" s="45" t="s">
        <v>49</v>
      </c>
      <c r="D7" s="45" t="s">
        <v>49</v>
      </c>
      <c r="E7" s="48">
        <v>125</v>
      </c>
      <c r="F7" s="27">
        <v>25</v>
      </c>
      <c r="G7" s="37">
        <v>-40</v>
      </c>
      <c r="H7" s="33" t="s">
        <v>48</v>
      </c>
      <c r="I7" s="36" t="s">
        <v>49</v>
      </c>
      <c r="J7" s="84" t="s">
        <v>49</v>
      </c>
      <c r="K7" s="83" t="s">
        <v>49</v>
      </c>
    </row>
    <row r="8" spans="2:11" ht="45" x14ac:dyDescent="0.25">
      <c r="B8" s="398" t="s">
        <v>63</v>
      </c>
      <c r="C8" s="46" t="s">
        <v>989</v>
      </c>
      <c r="D8" s="137" t="s">
        <v>1120</v>
      </c>
      <c r="E8" s="49">
        <v>0.94499999999999995</v>
      </c>
      <c r="F8" s="30">
        <f>E8</f>
        <v>0.94499999999999995</v>
      </c>
      <c r="G8" s="38">
        <f>E8</f>
        <v>0.94499999999999995</v>
      </c>
      <c r="H8" s="34" t="s">
        <v>90</v>
      </c>
      <c r="I8" s="307" t="s">
        <v>1093</v>
      </c>
      <c r="J8" s="582" t="s">
        <v>1094</v>
      </c>
      <c r="K8" s="336" t="s">
        <v>1092</v>
      </c>
    </row>
    <row r="9" spans="2:11" ht="15.75" thickBot="1" x14ac:dyDescent="0.3">
      <c r="B9" s="43" t="s">
        <v>60</v>
      </c>
      <c r="C9" s="47" t="s">
        <v>49</v>
      </c>
      <c r="D9" s="47" t="s">
        <v>49</v>
      </c>
      <c r="E9" s="51" t="s">
        <v>372</v>
      </c>
      <c r="F9" s="29"/>
      <c r="G9" s="41"/>
      <c r="H9" s="35" t="s">
        <v>49</v>
      </c>
      <c r="I9" s="40" t="s">
        <v>49</v>
      </c>
      <c r="J9" s="86" t="s">
        <v>49</v>
      </c>
      <c r="K9" s="81" t="s">
        <v>49</v>
      </c>
    </row>
    <row r="10" spans="2:11" x14ac:dyDescent="0.25">
      <c r="B10" t="s">
        <v>58</v>
      </c>
    </row>
    <row r="11" spans="2:11" x14ac:dyDescent="0.25">
      <c r="B11" t="s">
        <v>50</v>
      </c>
    </row>
    <row r="13" spans="2:11" x14ac:dyDescent="0.25">
      <c r="B13" s="17" t="s">
        <v>822</v>
      </c>
      <c r="C13" t="s">
        <v>2121</v>
      </c>
    </row>
    <row r="14" spans="2:11" x14ac:dyDescent="0.25">
      <c r="B14" s="17"/>
      <c r="C14" t="s">
        <v>987</v>
      </c>
    </row>
    <row r="15" spans="2:11" x14ac:dyDescent="0.25">
      <c r="B15" s="17"/>
    </row>
    <row r="16" spans="2:11" x14ac:dyDescent="0.25">
      <c r="B16" s="17" t="s">
        <v>51</v>
      </c>
    </row>
    <row r="17" spans="2:10" x14ac:dyDescent="0.25">
      <c r="C17" s="1" t="s">
        <v>1091</v>
      </c>
      <c r="D17" s="18"/>
    </row>
    <row r="19" spans="2:10" x14ac:dyDescent="0.25">
      <c r="B19" s="17" t="s">
        <v>53</v>
      </c>
    </row>
    <row r="20" spans="2:10" x14ac:dyDescent="0.25">
      <c r="C20" s="1" t="s">
        <v>88</v>
      </c>
      <c r="D20" s="18"/>
    </row>
    <row r="22" spans="2:10" x14ac:dyDescent="0.25">
      <c r="B22" s="17" t="s">
        <v>633</v>
      </c>
      <c r="C22" s="1"/>
    </row>
    <row r="23" spans="2:10" ht="47.25" customHeight="1" x14ac:dyDescent="0.25">
      <c r="C23" s="1500" t="s">
        <v>1121</v>
      </c>
      <c r="D23" s="1500"/>
      <c r="E23" s="1500"/>
      <c r="F23" s="1500"/>
      <c r="G23" s="1500"/>
    </row>
    <row r="24" spans="2:10" ht="15.75" thickBot="1" x14ac:dyDescent="0.3"/>
    <row r="25" spans="2:10" ht="45" x14ac:dyDescent="0.25">
      <c r="B25" s="17" t="s">
        <v>55</v>
      </c>
      <c r="H25" s="578" t="s">
        <v>94</v>
      </c>
      <c r="I25" s="579" t="s">
        <v>96</v>
      </c>
      <c r="J25" s="580" t="s">
        <v>896</v>
      </c>
    </row>
    <row r="26" spans="2:10" ht="15.75" thickBot="1" x14ac:dyDescent="0.3">
      <c r="B26" s="17"/>
      <c r="C26" t="s">
        <v>1096</v>
      </c>
      <c r="H26" s="102" t="s">
        <v>1093</v>
      </c>
      <c r="I26" s="581" t="s">
        <v>1097</v>
      </c>
      <c r="J26" s="23" t="s">
        <v>1098</v>
      </c>
    </row>
    <row r="27" spans="2:10" x14ac:dyDescent="0.25">
      <c r="C27" s="291" t="s">
        <v>1095</v>
      </c>
    </row>
    <row r="28" spans="2:10" x14ac:dyDescent="0.25">
      <c r="C28" s="212" t="s">
        <v>1101</v>
      </c>
    </row>
    <row r="29" spans="2:10" x14ac:dyDescent="0.25">
      <c r="C29" s="212" t="s">
        <v>1172</v>
      </c>
    </row>
    <row r="30" spans="2:10" x14ac:dyDescent="0.25">
      <c r="C30" s="291" t="str">
        <f>"Select the trim code to get the voltage the first code where the voltage is above "&amp;E8&amp;"V"</f>
        <v>Select the trim code to get the voltage the first code where the voltage is above 0.945V</v>
      </c>
    </row>
    <row r="32" spans="2:10" x14ac:dyDescent="0.25">
      <c r="B32" s="17" t="s">
        <v>1174</v>
      </c>
    </row>
    <row r="33" spans="2:4" x14ac:dyDescent="0.25">
      <c r="C33" s="291" t="s">
        <v>988</v>
      </c>
      <c r="D33" s="18"/>
    </row>
    <row r="34" spans="2:4" x14ac:dyDescent="0.25">
      <c r="C34" s="291" t="str">
        <f>"It should be a destribution centered on "&amp;E8+0.0045&amp;"V +/-4.5mV."</f>
        <v>It should be a destribution centered on 0.9495V +/-4.5mV.</v>
      </c>
      <c r="D34" s="18"/>
    </row>
    <row r="36" spans="2:4" x14ac:dyDescent="0.25">
      <c r="B36" s="17" t="s">
        <v>56</v>
      </c>
    </row>
    <row r="37" spans="2:4" x14ac:dyDescent="0.25">
      <c r="C37" s="1" t="s">
        <v>1100</v>
      </c>
    </row>
  </sheetData>
  <mergeCells count="2">
    <mergeCell ref="E6:G6"/>
    <mergeCell ref="C23:G23"/>
  </mergeCells>
  <hyperlinks>
    <hyperlink ref="B1" location="'RFE SOC FuseMap'!A1" display="RFE/SOC FuseMap" xr:uid="{FF586DB2-8B50-4E0D-AB55-3B5091BF66E5}"/>
  </hyperlinks>
  <pageMargins left="0.7" right="0.7" top="0.75" bottom="0.75" header="0.3" footer="0.3"/>
  <pageSetup paperSize="9" orientation="portrait" verticalDpi="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7FDF-BBB5-468F-8702-1C5479B4EF93}">
  <dimension ref="B1:K47"/>
  <sheetViews>
    <sheetView zoomScale="85" zoomScaleNormal="85"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 min="10" max="10" width="19.42578125" bestFit="1" customWidth="1"/>
    <col min="11" max="11" width="24.85546875" bestFit="1" customWidth="1"/>
  </cols>
  <sheetData>
    <row r="1" spans="2:11" x14ac:dyDescent="0.25">
      <c r="B1" s="16" t="s">
        <v>1055</v>
      </c>
    </row>
    <row r="2" spans="2:11" ht="15.75" thickBot="1" x14ac:dyDescent="0.3">
      <c r="E2" s="949"/>
      <c r="F2" s="949"/>
      <c r="G2" s="949"/>
    </row>
    <row r="3" spans="2:11" x14ac:dyDescent="0.25">
      <c r="B3" s="19" t="s">
        <v>0</v>
      </c>
      <c r="C3" s="20" t="s">
        <v>36</v>
      </c>
      <c r="D3" s="53"/>
      <c r="E3" s="949"/>
      <c r="F3" s="949"/>
      <c r="G3" s="949"/>
    </row>
    <row r="4" spans="2:11" ht="15.75" thickBot="1" x14ac:dyDescent="0.3">
      <c r="B4" s="22" t="s">
        <v>1</v>
      </c>
      <c r="C4" s="23" t="s">
        <v>377</v>
      </c>
      <c r="D4" s="53"/>
      <c r="E4" s="949"/>
      <c r="F4" s="949"/>
      <c r="G4" s="949"/>
    </row>
    <row r="5" spans="2:11" ht="15.75" thickBot="1" x14ac:dyDescent="0.3"/>
    <row r="6" spans="2:11" ht="45.75" thickBot="1" x14ac:dyDescent="0.3">
      <c r="D6" s="52" t="s">
        <v>666</v>
      </c>
      <c r="E6" s="1365" t="s">
        <v>46</v>
      </c>
      <c r="F6" s="1366"/>
      <c r="G6" s="1367"/>
      <c r="H6" s="52" t="s">
        <v>61</v>
      </c>
      <c r="I6" s="77" t="s">
        <v>94</v>
      </c>
      <c r="J6" s="78" t="s">
        <v>96</v>
      </c>
      <c r="K6" s="185" t="s">
        <v>95</v>
      </c>
    </row>
    <row r="7" spans="2:11" x14ac:dyDescent="0.25">
      <c r="B7" s="42" t="s">
        <v>59</v>
      </c>
      <c r="C7" s="45" t="s">
        <v>49</v>
      </c>
      <c r="D7" s="90" t="s">
        <v>49</v>
      </c>
      <c r="E7" s="48">
        <v>125</v>
      </c>
      <c r="F7" s="27">
        <v>25</v>
      </c>
      <c r="G7" s="37">
        <v>-40</v>
      </c>
      <c r="H7" s="33" t="s">
        <v>48</v>
      </c>
      <c r="I7" s="36" t="s">
        <v>49</v>
      </c>
      <c r="J7" s="84" t="s">
        <v>49</v>
      </c>
      <c r="K7" s="83" t="s">
        <v>49</v>
      </c>
    </row>
    <row r="8" spans="2:11" ht="45" x14ac:dyDescent="0.25">
      <c r="B8" s="173" t="s">
        <v>63</v>
      </c>
      <c r="C8" s="208" t="s">
        <v>1346</v>
      </c>
      <c r="D8" s="137" t="s">
        <v>392</v>
      </c>
      <c r="E8" s="209">
        <v>20</v>
      </c>
      <c r="F8" s="210">
        <v>20</v>
      </c>
      <c r="G8" s="211">
        <v>20</v>
      </c>
      <c r="H8" s="205" t="s">
        <v>393</v>
      </c>
      <c r="I8" s="204" t="s">
        <v>385</v>
      </c>
      <c r="J8" s="206" t="s">
        <v>386</v>
      </c>
      <c r="K8" s="207" t="s">
        <v>384</v>
      </c>
    </row>
    <row r="9" spans="2:11" ht="15.75" thickBot="1" x14ac:dyDescent="0.3">
      <c r="B9" s="43" t="s">
        <v>60</v>
      </c>
      <c r="C9" s="47" t="s">
        <v>49</v>
      </c>
      <c r="D9" s="26" t="s">
        <v>49</v>
      </c>
      <c r="E9" s="51" t="s">
        <v>372</v>
      </c>
      <c r="F9" s="29"/>
      <c r="G9" s="41"/>
      <c r="H9" s="35" t="s">
        <v>49</v>
      </c>
      <c r="I9" s="40" t="s">
        <v>49</v>
      </c>
      <c r="J9" s="86" t="s">
        <v>49</v>
      </c>
      <c r="K9" s="81" t="s">
        <v>49</v>
      </c>
    </row>
    <row r="10" spans="2:11" x14ac:dyDescent="0.25">
      <c r="B10" t="s">
        <v>58</v>
      </c>
    </row>
    <row r="11" spans="2:11" x14ac:dyDescent="0.25">
      <c r="B11" t="s">
        <v>50</v>
      </c>
    </row>
    <row r="13" spans="2:11" x14ac:dyDescent="0.25">
      <c r="B13" s="17" t="s">
        <v>822</v>
      </c>
      <c r="C13" t="s">
        <v>383</v>
      </c>
    </row>
    <row r="14" spans="2:11" x14ac:dyDescent="0.25">
      <c r="B14" s="17"/>
    </row>
    <row r="15" spans="2:11" x14ac:dyDescent="0.25">
      <c r="B15" s="17" t="s">
        <v>51</v>
      </c>
    </row>
    <row r="16" spans="2:11" x14ac:dyDescent="0.25">
      <c r="C16" t="s">
        <v>373</v>
      </c>
      <c r="D16" s="18"/>
    </row>
    <row r="17" spans="2:8" x14ac:dyDescent="0.25">
      <c r="C17" t="s">
        <v>414</v>
      </c>
      <c r="D17" s="18"/>
    </row>
    <row r="19" spans="2:8" x14ac:dyDescent="0.25">
      <c r="B19" s="17" t="s">
        <v>53</v>
      </c>
    </row>
    <row r="20" spans="2:8" x14ac:dyDescent="0.25">
      <c r="C20" t="s">
        <v>374</v>
      </c>
      <c r="D20" s="18"/>
    </row>
    <row r="21" spans="2:8" x14ac:dyDescent="0.25">
      <c r="C21" t="s">
        <v>375</v>
      </c>
    </row>
    <row r="23" spans="2:8" x14ac:dyDescent="0.25">
      <c r="B23" s="17" t="s">
        <v>633</v>
      </c>
      <c r="C23" s="1"/>
    </row>
    <row r="24" spans="2:8" ht="93.75" customHeight="1" x14ac:dyDescent="0.25">
      <c r="C24" s="1500" t="s">
        <v>1118</v>
      </c>
      <c r="D24" s="1500"/>
      <c r="E24" s="1500"/>
      <c r="F24" s="1500"/>
      <c r="G24" s="1500"/>
    </row>
    <row r="26" spans="2:8" x14ac:dyDescent="0.25">
      <c r="B26" s="17" t="s">
        <v>55</v>
      </c>
    </row>
    <row r="27" spans="2:8" ht="48.75" customHeight="1" x14ac:dyDescent="0.25">
      <c r="C27" s="1505" t="s">
        <v>1175</v>
      </c>
      <c r="D27" s="1505"/>
      <c r="E27" s="1505"/>
      <c r="F27" s="1505"/>
      <c r="G27" s="1505"/>
      <c r="H27" s="1505"/>
    </row>
    <row r="28" spans="2:8" x14ac:dyDescent="0.25">
      <c r="C28" t="s">
        <v>394</v>
      </c>
    </row>
    <row r="29" spans="2:8" x14ac:dyDescent="0.25">
      <c r="C29" s="212" t="s">
        <v>387</v>
      </c>
    </row>
    <row r="30" spans="2:8" x14ac:dyDescent="0.25">
      <c r="C30" s="212" t="s">
        <v>409</v>
      </c>
    </row>
    <row r="31" spans="2:8" x14ac:dyDescent="0.25">
      <c r="C31" t="s">
        <v>396</v>
      </c>
    </row>
    <row r="32" spans="2:8" x14ac:dyDescent="0.25">
      <c r="C32" s="212" t="s">
        <v>390</v>
      </c>
    </row>
    <row r="33" spans="2:4" x14ac:dyDescent="0.25">
      <c r="C33" s="212" t="s">
        <v>391</v>
      </c>
      <c r="D33" s="18"/>
    </row>
    <row r="34" spans="2:4" x14ac:dyDescent="0.25">
      <c r="C34" s="213" t="s">
        <v>678</v>
      </c>
    </row>
    <row r="36" spans="2:4" x14ac:dyDescent="0.25">
      <c r="B36" s="17" t="s">
        <v>1174</v>
      </c>
    </row>
    <row r="37" spans="2:4" x14ac:dyDescent="0.25">
      <c r="C37" t="s">
        <v>395</v>
      </c>
    </row>
    <row r="38" spans="2:4" x14ac:dyDescent="0.25">
      <c r="C38" s="212" t="s">
        <v>387</v>
      </c>
    </row>
    <row r="39" spans="2:4" x14ac:dyDescent="0.25">
      <c r="C39" s="212" t="s">
        <v>388</v>
      </c>
    </row>
    <row r="40" spans="2:4" x14ac:dyDescent="0.25">
      <c r="C40" t="s">
        <v>397</v>
      </c>
    </row>
    <row r="41" spans="2:4" x14ac:dyDescent="0.25">
      <c r="C41" s="212" t="s">
        <v>390</v>
      </c>
    </row>
    <row r="42" spans="2:4" x14ac:dyDescent="0.25">
      <c r="C42" s="212" t="s">
        <v>391</v>
      </c>
    </row>
    <row r="43" spans="2:4" x14ac:dyDescent="0.25">
      <c r="C43" t="s">
        <v>389</v>
      </c>
    </row>
    <row r="44" spans="2:4" x14ac:dyDescent="0.25">
      <c r="C44" t="s">
        <v>398</v>
      </c>
    </row>
    <row r="46" spans="2:4" x14ac:dyDescent="0.25">
      <c r="B46" s="17" t="s">
        <v>56</v>
      </c>
    </row>
    <row r="47" spans="2:4" x14ac:dyDescent="0.25">
      <c r="C47" t="s">
        <v>88</v>
      </c>
    </row>
  </sheetData>
  <mergeCells count="3">
    <mergeCell ref="E6:G6"/>
    <mergeCell ref="C24:G24"/>
    <mergeCell ref="C27:H27"/>
  </mergeCells>
  <hyperlinks>
    <hyperlink ref="B1" location="'RFE SOC FuseMap'!A1" display="RFE/SOC FuseMap" xr:uid="{2003E011-1B62-4E74-8985-D57FD7E1448E}"/>
  </hyperlinks>
  <pageMargins left="0.7" right="0.7" top="0.75" bottom="0.75" header="0.3" footer="0.3"/>
  <pageSetup paperSize="9" orientation="portrait" verticalDpi="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EF00D-5911-43A8-94A1-FB29A6CFB4C0}">
  <dimension ref="B1:K62"/>
  <sheetViews>
    <sheetView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 min="10" max="10" width="19.42578125" bestFit="1" customWidth="1"/>
    <col min="11" max="11" width="24.85546875" bestFit="1" customWidth="1"/>
  </cols>
  <sheetData>
    <row r="1" spans="2:11" x14ac:dyDescent="0.25">
      <c r="B1" s="16" t="s">
        <v>1055</v>
      </c>
    </row>
    <row r="2" spans="2:11" ht="15.75" thickBot="1" x14ac:dyDescent="0.3">
      <c r="E2" s="949"/>
      <c r="F2" s="949"/>
      <c r="G2" s="949"/>
    </row>
    <row r="3" spans="2:11" x14ac:dyDescent="0.25">
      <c r="B3" s="19" t="s">
        <v>0</v>
      </c>
      <c r="C3" s="20" t="s">
        <v>36</v>
      </c>
      <c r="D3" s="53"/>
      <c r="E3" s="949"/>
      <c r="F3" s="949"/>
      <c r="G3" s="949"/>
    </row>
    <row r="4" spans="2:11" ht="15.75" thickBot="1" x14ac:dyDescent="0.3">
      <c r="B4" s="22" t="s">
        <v>1</v>
      </c>
      <c r="C4" s="23" t="s">
        <v>376</v>
      </c>
      <c r="D4" s="53"/>
      <c r="E4" s="949"/>
      <c r="F4" s="949"/>
      <c r="G4" s="949"/>
    </row>
    <row r="5" spans="2:11" ht="15.75" thickBot="1" x14ac:dyDescent="0.3"/>
    <row r="6" spans="2:11" ht="45.75" thickBot="1" x14ac:dyDescent="0.3">
      <c r="D6" s="52" t="s">
        <v>666</v>
      </c>
      <c r="E6" s="1365" t="s">
        <v>46</v>
      </c>
      <c r="F6" s="1366"/>
      <c r="G6" s="1367"/>
      <c r="H6" s="52" t="s">
        <v>61</v>
      </c>
      <c r="I6" s="77" t="s">
        <v>94</v>
      </c>
      <c r="J6" s="78" t="s">
        <v>96</v>
      </c>
      <c r="K6" s="185" t="s">
        <v>95</v>
      </c>
    </row>
    <row r="7" spans="2:11" x14ac:dyDescent="0.25">
      <c r="B7" s="42" t="s">
        <v>59</v>
      </c>
      <c r="C7" s="45" t="s">
        <v>49</v>
      </c>
      <c r="D7" s="45" t="s">
        <v>49</v>
      </c>
      <c r="E7" s="48">
        <v>125</v>
      </c>
      <c r="F7" s="27">
        <v>25</v>
      </c>
      <c r="G7" s="37">
        <v>-40</v>
      </c>
      <c r="H7" s="33" t="s">
        <v>48</v>
      </c>
      <c r="I7" s="36" t="s">
        <v>49</v>
      </c>
      <c r="J7" s="84" t="s">
        <v>49</v>
      </c>
      <c r="K7" s="83" t="s">
        <v>49</v>
      </c>
    </row>
    <row r="8" spans="2:11" ht="45" x14ac:dyDescent="0.25">
      <c r="B8" s="1501" t="s">
        <v>63</v>
      </c>
      <c r="C8" s="9" t="s">
        <v>248</v>
      </c>
      <c r="D8" s="137" t="s">
        <v>263</v>
      </c>
      <c r="E8" s="1523" t="s">
        <v>415</v>
      </c>
      <c r="F8" s="1524"/>
      <c r="G8" s="1525"/>
      <c r="H8" s="231" t="s">
        <v>49</v>
      </c>
      <c r="I8" s="1521" t="s">
        <v>378</v>
      </c>
      <c r="J8" s="85" t="s">
        <v>379</v>
      </c>
      <c r="K8" s="79" t="s">
        <v>381</v>
      </c>
    </row>
    <row r="9" spans="2:11" ht="45" x14ac:dyDescent="0.25">
      <c r="B9" s="1501"/>
      <c r="C9" s="9" t="s">
        <v>249</v>
      </c>
      <c r="D9" s="137" t="s">
        <v>812</v>
      </c>
      <c r="E9" s="1526"/>
      <c r="F9" s="1527"/>
      <c r="G9" s="1528"/>
      <c r="H9" s="231" t="s">
        <v>49</v>
      </c>
      <c r="I9" s="1522"/>
      <c r="J9" s="85" t="s">
        <v>380</v>
      </c>
      <c r="K9" s="79" t="s">
        <v>382</v>
      </c>
    </row>
    <row r="10" spans="2:11" ht="15.75" thickBot="1" x14ac:dyDescent="0.3">
      <c r="B10" s="43" t="s">
        <v>60</v>
      </c>
      <c r="C10" s="47" t="s">
        <v>49</v>
      </c>
      <c r="D10" s="47" t="s">
        <v>49</v>
      </c>
      <c r="E10" s="51" t="s">
        <v>372</v>
      </c>
      <c r="F10" s="29"/>
      <c r="G10" s="41"/>
      <c r="H10" s="35" t="s">
        <v>49</v>
      </c>
      <c r="I10" s="40" t="s">
        <v>49</v>
      </c>
      <c r="J10" s="86" t="s">
        <v>49</v>
      </c>
      <c r="K10" s="81" t="s">
        <v>49</v>
      </c>
    </row>
    <row r="11" spans="2:11" x14ac:dyDescent="0.25">
      <c r="B11" t="s">
        <v>58</v>
      </c>
    </row>
    <row r="12" spans="2:11" x14ac:dyDescent="0.25">
      <c r="B12" t="s">
        <v>50</v>
      </c>
    </row>
    <row r="14" spans="2:11" x14ac:dyDescent="0.25">
      <c r="B14" s="17" t="s">
        <v>822</v>
      </c>
      <c r="C14" t="s">
        <v>636</v>
      </c>
    </row>
    <row r="15" spans="2:11" x14ac:dyDescent="0.25">
      <c r="B15" s="17"/>
      <c r="C15" t="s">
        <v>637</v>
      </c>
    </row>
    <row r="16" spans="2:11" x14ac:dyDescent="0.25">
      <c r="B16" s="17"/>
    </row>
    <row r="17" spans="2:7" x14ac:dyDescent="0.25">
      <c r="B17" s="17" t="s">
        <v>51</v>
      </c>
    </row>
    <row r="18" spans="2:7" x14ac:dyDescent="0.25">
      <c r="C18" t="s">
        <v>373</v>
      </c>
      <c r="D18" s="18"/>
    </row>
    <row r="20" spans="2:7" x14ac:dyDescent="0.25">
      <c r="B20" s="17" t="s">
        <v>53</v>
      </c>
    </row>
    <row r="21" spans="2:7" x14ac:dyDescent="0.25">
      <c r="C21" t="s">
        <v>374</v>
      </c>
      <c r="D21" s="18"/>
    </row>
    <row r="23" spans="2:7" x14ac:dyDescent="0.25">
      <c r="B23" s="17" t="s">
        <v>633</v>
      </c>
      <c r="C23" s="1"/>
    </row>
    <row r="24" spans="2:7" ht="63" customHeight="1" x14ac:dyDescent="0.25">
      <c r="C24" s="1500" t="s">
        <v>813</v>
      </c>
      <c r="D24" s="1500"/>
      <c r="E24" s="1500"/>
      <c r="F24" s="1500"/>
      <c r="G24" s="1500"/>
    </row>
    <row r="26" spans="2:7" x14ac:dyDescent="0.25">
      <c r="B26" s="17" t="s">
        <v>55</v>
      </c>
    </row>
    <row r="27" spans="2:7" x14ac:dyDescent="0.25">
      <c r="B27" s="17"/>
      <c r="C27" t="s">
        <v>1173</v>
      </c>
    </row>
    <row r="28" spans="2:7" x14ac:dyDescent="0.25">
      <c r="C28" s="214" t="s">
        <v>1477</v>
      </c>
    </row>
    <row r="29" spans="2:7" x14ac:dyDescent="0.25">
      <c r="C29" s="230" t="s">
        <v>399</v>
      </c>
    </row>
    <row r="30" spans="2:7" x14ac:dyDescent="0.25">
      <c r="C30" s="214" t="s">
        <v>416</v>
      </c>
    </row>
    <row r="31" spans="2:7" x14ac:dyDescent="0.25">
      <c r="C31" s="353" t="s">
        <v>808</v>
      </c>
      <c r="E31" s="215"/>
    </row>
    <row r="32" spans="2:7" x14ac:dyDescent="0.25">
      <c r="C32" s="230" t="s">
        <v>417</v>
      </c>
    </row>
    <row r="33" spans="2:5" x14ac:dyDescent="0.25">
      <c r="C33" s="214" t="s">
        <v>418</v>
      </c>
    </row>
    <row r="34" spans="2:5" x14ac:dyDescent="0.25">
      <c r="C34" s="214" t="s">
        <v>1476</v>
      </c>
    </row>
    <row r="35" spans="2:5" x14ac:dyDescent="0.25">
      <c r="C35" s="230" t="s">
        <v>400</v>
      </c>
    </row>
    <row r="36" spans="2:5" x14ac:dyDescent="0.25">
      <c r="C36" s="214" t="s">
        <v>401</v>
      </c>
    </row>
    <row r="37" spans="2:5" x14ac:dyDescent="0.25">
      <c r="C37" s="354" t="s">
        <v>809</v>
      </c>
      <c r="E37" s="215"/>
    </row>
    <row r="38" spans="2:5" x14ac:dyDescent="0.25">
      <c r="C38" s="229" t="s">
        <v>402</v>
      </c>
    </row>
    <row r="39" spans="2:5" x14ac:dyDescent="0.25">
      <c r="C39" s="214" t="s">
        <v>419</v>
      </c>
    </row>
    <row r="41" spans="2:5" x14ac:dyDescent="0.25">
      <c r="B41" s="17" t="s">
        <v>1174</v>
      </c>
    </row>
    <row r="42" spans="2:5" x14ac:dyDescent="0.25">
      <c r="C42" t="s">
        <v>420</v>
      </c>
    </row>
    <row r="43" spans="2:5" x14ac:dyDescent="0.25">
      <c r="C43" t="s">
        <v>421</v>
      </c>
    </row>
    <row r="44" spans="2:5" x14ac:dyDescent="0.25">
      <c r="C44" t="s">
        <v>1176</v>
      </c>
    </row>
    <row r="45" spans="2:5" x14ac:dyDescent="0.25">
      <c r="C45" t="s">
        <v>818</v>
      </c>
    </row>
    <row r="46" spans="2:5" x14ac:dyDescent="0.25">
      <c r="C46" t="s">
        <v>1177</v>
      </c>
    </row>
    <row r="47" spans="2:5" x14ac:dyDescent="0.25">
      <c r="C47" t="s">
        <v>422</v>
      </c>
    </row>
    <row r="61" spans="2:3" x14ac:dyDescent="0.25">
      <c r="B61" s="17" t="s">
        <v>56</v>
      </c>
    </row>
    <row r="62" spans="2:3" x14ac:dyDescent="0.25">
      <c r="C62" s="1" t="s">
        <v>88</v>
      </c>
    </row>
  </sheetData>
  <mergeCells count="5">
    <mergeCell ref="E6:G6"/>
    <mergeCell ref="B8:B9"/>
    <mergeCell ref="I8:I9"/>
    <mergeCell ref="E8:G9"/>
    <mergeCell ref="C24:G24"/>
  </mergeCells>
  <hyperlinks>
    <hyperlink ref="B1" location="'RFE SOC FuseMap'!A1" display="RFE/SOC FuseMap" xr:uid="{F6302895-B9F8-4BCA-87B4-BA494858E71F}"/>
  </hyperlinks>
  <pageMargins left="0.7" right="0.7" top="0.75" bottom="0.75" header="0.3" footer="0.3"/>
  <pageSetup paperSize="9" orientation="portrait" verticalDpi="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57C2B-5B79-4CBC-9093-FCA630737957}">
  <dimension ref="B1:K41"/>
  <sheetViews>
    <sheetView zoomScale="85" zoomScaleNormal="85"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 min="10" max="10" width="8.28515625" bestFit="1" customWidth="1"/>
    <col min="11" max="11" width="20.7109375" bestFit="1" customWidth="1"/>
  </cols>
  <sheetData>
    <row r="1" spans="2:11" x14ac:dyDescent="0.25">
      <c r="B1" s="16" t="s">
        <v>1055</v>
      </c>
    </row>
    <row r="2" spans="2:11" ht="15.75" thickBot="1" x14ac:dyDescent="0.3">
      <c r="E2" s="949"/>
      <c r="F2" s="949"/>
      <c r="G2" s="949"/>
    </row>
    <row r="3" spans="2:11" x14ac:dyDescent="0.25">
      <c r="B3" s="380" t="s">
        <v>0</v>
      </c>
      <c r="C3" s="20" t="s">
        <v>847</v>
      </c>
      <c r="D3" s="53"/>
      <c r="E3" s="949"/>
      <c r="F3" s="949"/>
      <c r="G3" s="949"/>
    </row>
    <row r="4" spans="2:11" ht="15.75" thickBot="1" x14ac:dyDescent="0.3">
      <c r="B4" s="381" t="s">
        <v>1</v>
      </c>
      <c r="C4" s="23" t="s">
        <v>992</v>
      </c>
      <c r="D4" s="53"/>
      <c r="E4" s="949"/>
      <c r="F4" s="949"/>
      <c r="G4" s="949"/>
    </row>
    <row r="5" spans="2:11" ht="15.75" thickBot="1" x14ac:dyDescent="0.3"/>
    <row r="6" spans="2:11" ht="45.75" thickBot="1" x14ac:dyDescent="0.3">
      <c r="D6" s="52" t="s">
        <v>666</v>
      </c>
      <c r="E6" s="1365" t="s">
        <v>46</v>
      </c>
      <c r="F6" s="1366"/>
      <c r="G6" s="1367"/>
      <c r="H6" s="52" t="s">
        <v>61</v>
      </c>
      <c r="I6" s="384" t="s">
        <v>94</v>
      </c>
      <c r="J6" s="385" t="s">
        <v>96</v>
      </c>
      <c r="K6" s="383" t="s">
        <v>95</v>
      </c>
    </row>
    <row r="7" spans="2:11" x14ac:dyDescent="0.25">
      <c r="B7" s="42" t="s">
        <v>59</v>
      </c>
      <c r="C7" s="45" t="s">
        <v>49</v>
      </c>
      <c r="D7" s="45" t="s">
        <v>49</v>
      </c>
      <c r="E7" s="48">
        <v>125</v>
      </c>
      <c r="F7" s="27">
        <v>25</v>
      </c>
      <c r="G7" s="37">
        <v>-40</v>
      </c>
      <c r="H7" s="33" t="s">
        <v>48</v>
      </c>
      <c r="I7" s="36" t="s">
        <v>49</v>
      </c>
      <c r="J7" s="84" t="s">
        <v>49</v>
      </c>
      <c r="K7" s="83" t="s">
        <v>49</v>
      </c>
    </row>
    <row r="8" spans="2:11" ht="45" x14ac:dyDescent="0.25">
      <c r="B8" s="386" t="s">
        <v>63</v>
      </c>
      <c r="C8" s="382" t="s">
        <v>250</v>
      </c>
      <c r="D8" s="597" t="str">
        <f>"no, value d31 by default if not trimmed"</f>
        <v>no, value d31 by default if not trimmed</v>
      </c>
      <c r="E8" s="247">
        <v>20</v>
      </c>
      <c r="F8" s="30">
        <v>20</v>
      </c>
      <c r="G8" s="38">
        <v>20</v>
      </c>
      <c r="H8" s="34" t="s">
        <v>393</v>
      </c>
      <c r="I8" s="39" t="s">
        <v>135</v>
      </c>
      <c r="J8" s="85" t="s">
        <v>849</v>
      </c>
      <c r="K8" s="79" t="s">
        <v>848</v>
      </c>
    </row>
    <row r="9" spans="2:11" ht="15.75" thickBot="1" x14ac:dyDescent="0.3">
      <c r="B9" s="43" t="s">
        <v>60</v>
      </c>
      <c r="C9" s="47" t="s">
        <v>49</v>
      </c>
      <c r="D9" s="47" t="s">
        <v>49</v>
      </c>
      <c r="E9" s="51" t="s">
        <v>372</v>
      </c>
      <c r="F9" s="29"/>
      <c r="G9" s="41"/>
      <c r="H9" s="35" t="s">
        <v>49</v>
      </c>
      <c r="I9" s="40" t="s">
        <v>49</v>
      </c>
      <c r="J9" s="86" t="s">
        <v>49</v>
      </c>
      <c r="K9" s="81" t="s">
        <v>49</v>
      </c>
    </row>
    <row r="10" spans="2:11" x14ac:dyDescent="0.25">
      <c r="B10" t="s">
        <v>58</v>
      </c>
    </row>
    <row r="11" spans="2:11" x14ac:dyDescent="0.25">
      <c r="B11" t="s">
        <v>50</v>
      </c>
    </row>
    <row r="13" spans="2:11" x14ac:dyDescent="0.25">
      <c r="B13" s="17" t="s">
        <v>822</v>
      </c>
    </row>
    <row r="14" spans="2:11" x14ac:dyDescent="0.25">
      <c r="B14" s="17"/>
      <c r="C14" s="63" t="s">
        <v>856</v>
      </c>
    </row>
    <row r="15" spans="2:11" x14ac:dyDescent="0.25">
      <c r="B15" s="17"/>
      <c r="C15" t="s">
        <v>850</v>
      </c>
    </row>
    <row r="16" spans="2:11" x14ac:dyDescent="0.25">
      <c r="B16" s="17"/>
    </row>
    <row r="17" spans="2:8" x14ac:dyDescent="0.25">
      <c r="B17" s="17" t="s">
        <v>51</v>
      </c>
    </row>
    <row r="18" spans="2:8" x14ac:dyDescent="0.25">
      <c r="C18" s="1" t="s">
        <v>851</v>
      </c>
      <c r="D18" s="18"/>
    </row>
    <row r="20" spans="2:8" x14ac:dyDescent="0.25">
      <c r="B20" s="17" t="s">
        <v>53</v>
      </c>
    </row>
    <row r="21" spans="2:8" x14ac:dyDescent="0.25">
      <c r="C21" s="1" t="s">
        <v>88</v>
      </c>
      <c r="D21" s="18"/>
    </row>
    <row r="23" spans="2:8" x14ac:dyDescent="0.25">
      <c r="B23" s="17" t="s">
        <v>633</v>
      </c>
      <c r="C23" s="1"/>
    </row>
    <row r="24" spans="2:8" ht="30" customHeight="1" x14ac:dyDescent="0.25">
      <c r="C24" s="1" t="s">
        <v>88</v>
      </c>
      <c r="D24" s="1"/>
      <c r="E24" s="1"/>
      <c r="F24" s="1"/>
      <c r="G24" s="1"/>
    </row>
    <row r="26" spans="2:8" x14ac:dyDescent="0.25">
      <c r="B26" s="17" t="s">
        <v>55</v>
      </c>
    </row>
    <row r="27" spans="2:8" ht="31.5" customHeight="1" x14ac:dyDescent="0.25">
      <c r="B27" s="17"/>
      <c r="C27" s="437" t="s">
        <v>1250</v>
      </c>
      <c r="D27" s="731"/>
      <c r="E27" s="731"/>
      <c r="F27" s="731"/>
      <c r="G27" s="731"/>
    </row>
    <row r="28" spans="2:8" x14ac:dyDescent="0.25">
      <c r="C28" s="372" t="s">
        <v>1262</v>
      </c>
    </row>
    <row r="29" spans="2:8" x14ac:dyDescent="0.25">
      <c r="C29" s="706" t="s">
        <v>1252</v>
      </c>
      <c r="D29" s="732"/>
      <c r="E29" s="732"/>
      <c r="F29" s="732"/>
      <c r="G29" s="732"/>
      <c r="H29" s="732"/>
    </row>
    <row r="30" spans="2:8" x14ac:dyDescent="0.25">
      <c r="C30" s="212" t="s">
        <v>1351</v>
      </c>
    </row>
    <row r="31" spans="2:8" x14ac:dyDescent="0.25">
      <c r="C31" s="577" t="s">
        <v>1352</v>
      </c>
    </row>
    <row r="32" spans="2:8" x14ac:dyDescent="0.25">
      <c r="C32" s="577"/>
    </row>
    <row r="33" spans="2:4" x14ac:dyDescent="0.25">
      <c r="C33" t="s">
        <v>1353</v>
      </c>
    </row>
    <row r="34" spans="2:4" x14ac:dyDescent="0.25">
      <c r="C34" t="str">
        <f>"Select the trim code to get the current the closest to "&amp;E8&amp;"µA"</f>
        <v>Select the trim code to get the current the closest to 20µA</v>
      </c>
    </row>
    <row r="36" spans="2:4" x14ac:dyDescent="0.25">
      <c r="B36" s="17" t="s">
        <v>1174</v>
      </c>
    </row>
    <row r="37" spans="2:4" x14ac:dyDescent="0.25">
      <c r="C37" s="63" t="str">
        <f>"The current measured on trimmed parts should be a rectangular distribution centered on "&amp;E8&amp;"µA +/-0.2µA"</f>
        <v>The current measured on trimmed parts should be a rectangular distribution centered on 20µA +/-0.2µA</v>
      </c>
    </row>
    <row r="38" spans="2:4" x14ac:dyDescent="0.25">
      <c r="C38" t="s">
        <v>852</v>
      </c>
    </row>
    <row r="40" spans="2:4" x14ac:dyDescent="0.25">
      <c r="B40" s="17" t="s">
        <v>56</v>
      </c>
      <c r="D40" s="18"/>
    </row>
    <row r="41" spans="2:4" x14ac:dyDescent="0.25">
      <c r="C41" s="1" t="s">
        <v>88</v>
      </c>
    </row>
  </sheetData>
  <mergeCells count="1">
    <mergeCell ref="E6:G6"/>
  </mergeCells>
  <hyperlinks>
    <hyperlink ref="B1" location="'RFE SOC FuseMap'!A1" display="RFE/SOC FuseMap" xr:uid="{F09D0D02-21BF-4699-8992-2EADAC760A62}"/>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912C0-742B-4DCA-9BC9-76C074AD00C9}">
  <dimension ref="B1:N73"/>
  <sheetViews>
    <sheetView zoomScale="70" zoomScaleNormal="70"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 min="10" max="10" width="9.7109375" bestFit="1" customWidth="1"/>
    <col min="11" max="11" width="20.7109375" bestFit="1" customWidth="1"/>
  </cols>
  <sheetData>
    <row r="1" spans="2:11" x14ac:dyDescent="0.25">
      <c r="B1" s="16" t="s">
        <v>1055</v>
      </c>
    </row>
    <row r="2" spans="2:11" ht="15.75" thickBot="1" x14ac:dyDescent="0.3">
      <c r="E2" s="949"/>
      <c r="F2" s="949"/>
      <c r="G2" s="949"/>
    </row>
    <row r="3" spans="2:11" x14ac:dyDescent="0.25">
      <c r="B3" s="737" t="s">
        <v>0</v>
      </c>
      <c r="C3" s="20" t="s">
        <v>847</v>
      </c>
      <c r="D3" s="53"/>
      <c r="E3" s="949"/>
      <c r="F3" s="949"/>
      <c r="G3" s="949"/>
    </row>
    <row r="4" spans="2:11" ht="15.75" thickBot="1" x14ac:dyDescent="0.3">
      <c r="B4" s="738" t="s">
        <v>1</v>
      </c>
      <c r="C4" s="23" t="s">
        <v>1358</v>
      </c>
      <c r="D4" s="53"/>
      <c r="E4" s="949"/>
      <c r="F4" s="949"/>
      <c r="G4" s="949"/>
    </row>
    <row r="5" spans="2:11" ht="15.75" thickBot="1" x14ac:dyDescent="0.3"/>
    <row r="6" spans="2:11" ht="45.75" thickBot="1" x14ac:dyDescent="0.3">
      <c r="D6" s="52" t="s">
        <v>666</v>
      </c>
      <c r="E6" s="1365" t="s">
        <v>46</v>
      </c>
      <c r="F6" s="1366"/>
      <c r="G6" s="1367"/>
      <c r="H6" s="52" t="s">
        <v>61</v>
      </c>
      <c r="I6" s="741" t="s">
        <v>94</v>
      </c>
      <c r="J6" s="742" t="s">
        <v>96</v>
      </c>
      <c r="K6" s="743" t="s">
        <v>95</v>
      </c>
    </row>
    <row r="7" spans="2:11" x14ac:dyDescent="0.25">
      <c r="B7" s="42" t="s">
        <v>59</v>
      </c>
      <c r="C7" s="45" t="s">
        <v>49</v>
      </c>
      <c r="D7" s="45" t="s">
        <v>49</v>
      </c>
      <c r="E7" s="48">
        <v>125</v>
      </c>
      <c r="F7" s="27">
        <v>25</v>
      </c>
      <c r="G7" s="37">
        <v>-40</v>
      </c>
      <c r="H7" s="33" t="s">
        <v>48</v>
      </c>
      <c r="I7" s="36" t="s">
        <v>49</v>
      </c>
      <c r="J7" s="84" t="s">
        <v>49</v>
      </c>
      <c r="K7" s="83" t="s">
        <v>49</v>
      </c>
    </row>
    <row r="8" spans="2:11" ht="45" x14ac:dyDescent="0.25">
      <c r="B8" s="740" t="s">
        <v>63</v>
      </c>
      <c r="C8" s="382" t="s">
        <v>1356</v>
      </c>
      <c r="D8" s="1070" t="str">
        <f>"no, value d18147 by default if not trimmed"</f>
        <v>no, value d18147 by default if not trimmed</v>
      </c>
      <c r="E8" s="1529" t="s">
        <v>1361</v>
      </c>
      <c r="F8" s="1530"/>
      <c r="G8" s="1531"/>
      <c r="H8" s="231" t="s">
        <v>49</v>
      </c>
      <c r="I8" s="39" t="s">
        <v>1357</v>
      </c>
      <c r="J8" s="85" t="s">
        <v>1358</v>
      </c>
      <c r="K8" s="744" t="s">
        <v>1359</v>
      </c>
    </row>
    <row r="9" spans="2:11" ht="15.75" thickBot="1" x14ac:dyDescent="0.3">
      <c r="B9" s="43" t="s">
        <v>60</v>
      </c>
      <c r="C9" s="47" t="s">
        <v>49</v>
      </c>
      <c r="D9" s="47" t="s">
        <v>49</v>
      </c>
      <c r="E9" s="51" t="s">
        <v>372</v>
      </c>
      <c r="F9" s="29"/>
      <c r="G9" s="41"/>
      <c r="H9" s="35" t="s">
        <v>49</v>
      </c>
      <c r="I9" s="40" t="s">
        <v>49</v>
      </c>
      <c r="J9" s="86" t="s">
        <v>49</v>
      </c>
      <c r="K9" s="81" t="s">
        <v>49</v>
      </c>
    </row>
    <row r="10" spans="2:11" x14ac:dyDescent="0.25">
      <c r="B10" t="s">
        <v>58</v>
      </c>
    </row>
    <row r="11" spans="2:11" x14ac:dyDescent="0.25">
      <c r="B11" t="s">
        <v>50</v>
      </c>
    </row>
    <row r="13" spans="2:11" x14ac:dyDescent="0.25">
      <c r="B13" s="17" t="s">
        <v>822</v>
      </c>
    </row>
    <row r="14" spans="2:11" x14ac:dyDescent="0.25">
      <c r="B14" s="17"/>
      <c r="C14" s="63" t="s">
        <v>856</v>
      </c>
    </row>
    <row r="15" spans="2:11" x14ac:dyDescent="0.25">
      <c r="B15" s="17"/>
      <c r="C15" t="s">
        <v>850</v>
      </c>
    </row>
    <row r="16" spans="2:11" x14ac:dyDescent="0.25">
      <c r="B16" s="17"/>
    </row>
    <row r="17" spans="2:14" x14ac:dyDescent="0.25">
      <c r="B17" s="17" t="s">
        <v>51</v>
      </c>
    </row>
    <row r="18" spans="2:14" x14ac:dyDescent="0.25">
      <c r="C18" s="1" t="s">
        <v>1354</v>
      </c>
      <c r="D18" s="18"/>
    </row>
    <row r="19" spans="2:14" x14ac:dyDescent="0.25">
      <c r="N19" t="s">
        <v>1364</v>
      </c>
    </row>
    <row r="20" spans="2:14" x14ac:dyDescent="0.25">
      <c r="B20" s="17" t="s">
        <v>53</v>
      </c>
    </row>
    <row r="21" spans="2:14" x14ac:dyDescent="0.25">
      <c r="C21" s="1" t="s">
        <v>88</v>
      </c>
      <c r="D21" s="18"/>
    </row>
    <row r="23" spans="2:14" x14ac:dyDescent="0.25">
      <c r="B23" s="17" t="s">
        <v>633</v>
      </c>
      <c r="C23" s="1"/>
    </row>
    <row r="24" spans="2:14" ht="30" customHeight="1" x14ac:dyDescent="0.25">
      <c r="C24" s="1" t="s">
        <v>88</v>
      </c>
      <c r="D24" s="1"/>
      <c r="E24" s="1"/>
      <c r="F24" s="1"/>
      <c r="G24" s="1"/>
    </row>
    <row r="26" spans="2:14" x14ac:dyDescent="0.25">
      <c r="B26" s="17" t="s">
        <v>55</v>
      </c>
    </row>
    <row r="27" spans="2:14" ht="31.5" customHeight="1" x14ac:dyDescent="0.25">
      <c r="B27" s="17"/>
      <c r="C27" s="437" t="s">
        <v>1250</v>
      </c>
      <c r="D27" s="731"/>
      <c r="E27" s="731"/>
      <c r="F27" s="731"/>
      <c r="G27" s="731"/>
    </row>
    <row r="28" spans="2:14" x14ac:dyDescent="0.25">
      <c r="C28" s="372" t="s">
        <v>1262</v>
      </c>
    </row>
    <row r="29" spans="2:14" x14ac:dyDescent="0.25">
      <c r="C29" s="706" t="s">
        <v>1365</v>
      </c>
      <c r="D29" s="732"/>
      <c r="E29" s="732"/>
      <c r="F29" s="732"/>
      <c r="G29" s="732"/>
      <c r="H29" s="732"/>
    </row>
    <row r="30" spans="2:14" s="1" customFormat="1" x14ac:dyDescent="0.25">
      <c r="C30" s="708"/>
    </row>
    <row r="31" spans="2:14" s="1" customFormat="1" x14ac:dyDescent="0.25">
      <c r="C31" s="745" t="s">
        <v>1360</v>
      </c>
      <c r="J31" s="332" t="s">
        <v>267</v>
      </c>
    </row>
    <row r="32" spans="2:14" s="1" customFormat="1" x14ac:dyDescent="0.25">
      <c r="C32" s="708" t="s">
        <v>1362</v>
      </c>
      <c r="J32" s="748"/>
    </row>
    <row r="33" spans="2:14" s="1" customFormat="1" x14ac:dyDescent="0.25">
      <c r="C33" s="212" t="s">
        <v>2050</v>
      </c>
      <c r="J33" s="941">
        <v>1.1080000000000001</v>
      </c>
    </row>
    <row r="34" spans="2:14" s="1" customFormat="1" x14ac:dyDescent="0.25">
      <c r="C34" s="708"/>
      <c r="J34" s="748"/>
    </row>
    <row r="35" spans="2:14" s="1" customFormat="1" x14ac:dyDescent="0.25">
      <c r="C35" s="746" t="s">
        <v>1363</v>
      </c>
      <c r="J35" s="748"/>
    </row>
    <row r="36" spans="2:14" s="1" customFormat="1" x14ac:dyDescent="0.25">
      <c r="C36" s="708" t="s">
        <v>1368</v>
      </c>
      <c r="J36" s="748" t="s">
        <v>1366</v>
      </c>
      <c r="N36" t="s">
        <v>1369</v>
      </c>
    </row>
    <row r="37" spans="2:14" x14ac:dyDescent="0.25">
      <c r="C37" s="339" t="s">
        <v>1351</v>
      </c>
      <c r="J37" s="67"/>
    </row>
    <row r="38" spans="2:14" x14ac:dyDescent="0.25">
      <c r="C38" s="747" t="s">
        <v>1352</v>
      </c>
      <c r="J38" s="67"/>
    </row>
    <row r="39" spans="2:14" x14ac:dyDescent="0.25">
      <c r="C39" s="747"/>
      <c r="J39" s="67"/>
    </row>
    <row r="40" spans="2:14" x14ac:dyDescent="0.25">
      <c r="C40" s="746" t="s">
        <v>1367</v>
      </c>
      <c r="J40" s="67"/>
    </row>
    <row r="41" spans="2:14" x14ac:dyDescent="0.25">
      <c r="C41" s="708" t="s">
        <v>1372</v>
      </c>
      <c r="E41" t="s">
        <v>2024</v>
      </c>
      <c r="J41" s="940" t="s">
        <v>1855</v>
      </c>
    </row>
    <row r="42" spans="2:14" x14ac:dyDescent="0.25">
      <c r="C42" s="708" t="s">
        <v>1373</v>
      </c>
      <c r="J42" s="940">
        <v>18375</v>
      </c>
    </row>
    <row r="43" spans="2:14" x14ac:dyDescent="0.25">
      <c r="C43" s="577"/>
    </row>
    <row r="44" spans="2:14" x14ac:dyDescent="0.25">
      <c r="B44" s="17" t="s">
        <v>1174</v>
      </c>
    </row>
    <row r="45" spans="2:14" x14ac:dyDescent="0.25">
      <c r="C45" s="63" t="str">
        <f>"The resistor measured on trimmed parts should be a rectangular distribution centered on 18.15kOhm"</f>
        <v>The resistor measured on trimmed parts should be a rectangular distribution centered on 18.15kOhm</v>
      </c>
    </row>
    <row r="47" spans="2:14" x14ac:dyDescent="0.25">
      <c r="B47" s="17" t="s">
        <v>56</v>
      </c>
      <c r="D47" s="18"/>
    </row>
    <row r="48" spans="2:14" x14ac:dyDescent="0.25">
      <c r="C48" s="1" t="s">
        <v>88</v>
      </c>
    </row>
    <row r="54" spans="14:14" x14ac:dyDescent="0.25">
      <c r="N54" t="s">
        <v>1370</v>
      </c>
    </row>
    <row r="73" spans="14:14" x14ac:dyDescent="0.25">
      <c r="N73" t="s">
        <v>1371</v>
      </c>
    </row>
  </sheetData>
  <mergeCells count="2">
    <mergeCell ref="E6:G6"/>
    <mergeCell ref="E8:G8"/>
  </mergeCells>
  <hyperlinks>
    <hyperlink ref="B1" location="'RFE SOC FuseMap'!A1" display="RFE/SOC FuseMap" xr:uid="{0DC1CA46-3C1F-4590-9F3C-484251DC0182}"/>
  </hyperlink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B6610-90AD-4344-B8CF-37F8F8B6F640}">
  <dimension ref="B1:K33"/>
  <sheetViews>
    <sheetView zoomScale="85" zoomScaleNormal="85"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 min="10" max="10" width="18.7109375" customWidth="1"/>
    <col min="11" max="11" width="29.7109375" customWidth="1"/>
  </cols>
  <sheetData>
    <row r="1" spans="2:11" x14ac:dyDescent="0.25">
      <c r="B1" s="16" t="s">
        <v>1055</v>
      </c>
    </row>
    <row r="2" spans="2:11" ht="15.75" thickBot="1" x14ac:dyDescent="0.3">
      <c r="E2" s="949"/>
      <c r="F2" s="949"/>
      <c r="G2" s="949"/>
    </row>
    <row r="3" spans="2:11" x14ac:dyDescent="0.25">
      <c r="B3" s="380" t="s">
        <v>0</v>
      </c>
      <c r="C3" s="20" t="s">
        <v>847</v>
      </c>
      <c r="D3" s="53"/>
      <c r="E3" s="949"/>
      <c r="F3" s="949"/>
      <c r="G3" s="949"/>
    </row>
    <row r="4" spans="2:11" ht="15.75" thickBot="1" x14ac:dyDescent="0.3">
      <c r="B4" s="381" t="s">
        <v>1</v>
      </c>
      <c r="C4" s="23" t="s">
        <v>993</v>
      </c>
      <c r="D4" s="53"/>
      <c r="E4" s="949"/>
      <c r="F4" s="949"/>
      <c r="G4" s="949"/>
    </row>
    <row r="5" spans="2:11" ht="15.75" thickBot="1" x14ac:dyDescent="0.3"/>
    <row r="6" spans="2:11" ht="45.75" thickBot="1" x14ac:dyDescent="0.3">
      <c r="D6" s="52" t="s">
        <v>666</v>
      </c>
      <c r="E6" s="1365" t="s">
        <v>46</v>
      </c>
      <c r="F6" s="1366"/>
      <c r="G6" s="1367"/>
      <c r="H6" s="52" t="s">
        <v>61</v>
      </c>
      <c r="I6" s="384" t="s">
        <v>94</v>
      </c>
      <c r="J6" s="385" t="s">
        <v>96</v>
      </c>
      <c r="K6" s="383" t="s">
        <v>95</v>
      </c>
    </row>
    <row r="7" spans="2:11" x14ac:dyDescent="0.25">
      <c r="B7" s="42" t="s">
        <v>59</v>
      </c>
      <c r="C7" s="45" t="s">
        <v>49</v>
      </c>
      <c r="D7" s="45" t="s">
        <v>49</v>
      </c>
      <c r="E7" s="48">
        <v>125</v>
      </c>
      <c r="F7" s="27">
        <v>25</v>
      </c>
      <c r="G7" s="37">
        <v>-40</v>
      </c>
      <c r="H7" s="33" t="s">
        <v>48</v>
      </c>
      <c r="I7" s="36" t="s">
        <v>49</v>
      </c>
      <c r="J7" s="84" t="s">
        <v>49</v>
      </c>
      <c r="K7" s="83" t="s">
        <v>49</v>
      </c>
    </row>
    <row r="8" spans="2:11" ht="45" x14ac:dyDescent="0.25">
      <c r="B8" s="386" t="s">
        <v>63</v>
      </c>
      <c r="C8" s="46" t="s">
        <v>844</v>
      </c>
      <c r="D8" s="597" t="str">
        <f>"no, value d15 by default if not trimmed"</f>
        <v>no, value d15 by default if not trimmed</v>
      </c>
      <c r="E8" s="247">
        <v>0.9</v>
      </c>
      <c r="F8" s="30">
        <v>0.9</v>
      </c>
      <c r="G8" s="38">
        <v>0.9</v>
      </c>
      <c r="H8" s="34" t="s">
        <v>90</v>
      </c>
      <c r="I8" s="39" t="s">
        <v>853</v>
      </c>
      <c r="J8" s="85" t="s">
        <v>854</v>
      </c>
      <c r="K8" s="79" t="s">
        <v>855</v>
      </c>
    </row>
    <row r="9" spans="2:11" ht="15.75" thickBot="1" x14ac:dyDescent="0.3">
      <c r="B9" s="43" t="s">
        <v>60</v>
      </c>
      <c r="C9" s="47" t="s">
        <v>49</v>
      </c>
      <c r="D9" s="47" t="s">
        <v>49</v>
      </c>
      <c r="E9" s="51" t="s">
        <v>372</v>
      </c>
      <c r="F9" s="29"/>
      <c r="G9" s="41"/>
      <c r="H9" s="35" t="s">
        <v>49</v>
      </c>
      <c r="I9" s="40" t="s">
        <v>49</v>
      </c>
      <c r="J9" s="86" t="s">
        <v>49</v>
      </c>
      <c r="K9" s="81" t="s">
        <v>49</v>
      </c>
    </row>
    <row r="10" spans="2:11" x14ac:dyDescent="0.25">
      <c r="B10" t="s">
        <v>58</v>
      </c>
    </row>
    <row r="11" spans="2:11" x14ac:dyDescent="0.25">
      <c r="B11" t="s">
        <v>50</v>
      </c>
    </row>
    <row r="13" spans="2:11" x14ac:dyDescent="0.25">
      <c r="B13" s="17" t="s">
        <v>822</v>
      </c>
      <c r="C13" s="63" t="s">
        <v>856</v>
      </c>
    </row>
    <row r="14" spans="2:11" x14ac:dyDescent="0.25">
      <c r="B14" s="17"/>
    </row>
    <row r="15" spans="2:11" x14ac:dyDescent="0.25">
      <c r="B15" s="17" t="s">
        <v>51</v>
      </c>
    </row>
    <row r="16" spans="2:11" x14ac:dyDescent="0.25">
      <c r="C16" s="1" t="s">
        <v>1000</v>
      </c>
      <c r="D16" s="18"/>
      <c r="I16" s="510"/>
      <c r="J16" s="510"/>
      <c r="K16" s="510"/>
    </row>
    <row r="17" spans="2:11" x14ac:dyDescent="0.25">
      <c r="I17" s="510"/>
      <c r="J17" s="510"/>
      <c r="K17" s="510"/>
    </row>
    <row r="18" spans="2:11" x14ac:dyDescent="0.25">
      <c r="B18" s="17" t="s">
        <v>53</v>
      </c>
      <c r="I18" s="510"/>
      <c r="J18" s="510"/>
      <c r="K18" s="510"/>
    </row>
    <row r="19" spans="2:11" x14ac:dyDescent="0.25">
      <c r="C19" s="1" t="s">
        <v>88</v>
      </c>
      <c r="D19" s="18"/>
      <c r="I19" s="510"/>
      <c r="J19" s="510"/>
      <c r="K19" s="510"/>
    </row>
    <row r="20" spans="2:11" x14ac:dyDescent="0.25">
      <c r="I20" s="510"/>
      <c r="J20" s="510"/>
      <c r="K20" s="510"/>
    </row>
    <row r="21" spans="2:11" x14ac:dyDescent="0.25">
      <c r="B21" s="17" t="s">
        <v>633</v>
      </c>
      <c r="C21" s="1"/>
    </row>
    <row r="22" spans="2:11" x14ac:dyDescent="0.25">
      <c r="C22" s="1" t="s">
        <v>88</v>
      </c>
      <c r="D22" s="1"/>
      <c r="E22" s="1"/>
      <c r="G22" s="1"/>
    </row>
    <row r="24" spans="2:11" x14ac:dyDescent="0.25">
      <c r="B24" s="17" t="s">
        <v>55</v>
      </c>
    </row>
    <row r="25" spans="2:11" x14ac:dyDescent="0.25">
      <c r="B25" s="17"/>
      <c r="C25" s="291" t="s">
        <v>1333</v>
      </c>
    </row>
    <row r="26" spans="2:11" x14ac:dyDescent="0.25">
      <c r="B26" s="17"/>
      <c r="C26" s="212" t="s">
        <v>1332</v>
      </c>
    </row>
    <row r="27" spans="2:11" x14ac:dyDescent="0.25">
      <c r="B27" s="17"/>
      <c r="C27" s="291" t="str">
        <f>"Select the trim code to get the voltage the closest to "&amp;E8&amp;"V"</f>
        <v>Select the trim code to get the voltage the closest to 0.9V</v>
      </c>
    </row>
    <row r="29" spans="2:11" x14ac:dyDescent="0.25">
      <c r="B29" s="17" t="s">
        <v>1174</v>
      </c>
    </row>
    <row r="30" spans="2:11" x14ac:dyDescent="0.25">
      <c r="C30" s="63" t="s">
        <v>1334</v>
      </c>
    </row>
    <row r="32" spans="2:11" x14ac:dyDescent="0.25">
      <c r="B32" s="17" t="s">
        <v>56</v>
      </c>
    </row>
    <row r="33" spans="3:3" x14ac:dyDescent="0.25">
      <c r="C33" s="1" t="s">
        <v>88</v>
      </c>
    </row>
  </sheetData>
  <mergeCells count="1">
    <mergeCell ref="E6:G6"/>
  </mergeCells>
  <hyperlinks>
    <hyperlink ref="B1" location="'RFE SOC FuseMap'!A1" display="RFE/SOC FuseMap" xr:uid="{AD8469E2-10C8-491E-A52F-619408B86AAC}"/>
  </hyperlinks>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F94CF-10A5-4163-A440-D5F34A404780}">
  <dimension ref="B1:N87"/>
  <sheetViews>
    <sheetView zoomScale="70" zoomScaleNormal="70"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21" customWidth="1"/>
    <col min="10" max="10" width="20.5703125" bestFit="1" customWidth="1"/>
    <col min="11" max="11" width="32.85546875" bestFit="1" customWidth="1"/>
    <col min="12" max="12" width="39.140625" bestFit="1" customWidth="1"/>
    <col min="13" max="13" width="33.85546875" bestFit="1" customWidth="1"/>
  </cols>
  <sheetData>
    <row r="1" spans="2:12" x14ac:dyDescent="0.25">
      <c r="B1" s="16" t="s">
        <v>1055</v>
      </c>
    </row>
    <row r="2" spans="2:12" ht="15.75" thickBot="1" x14ac:dyDescent="0.3">
      <c r="E2" s="949"/>
      <c r="F2" s="949"/>
      <c r="G2" s="949"/>
    </row>
    <row r="3" spans="2:12" x14ac:dyDescent="0.25">
      <c r="B3" s="380" t="s">
        <v>0</v>
      </c>
      <c r="C3" s="20" t="s">
        <v>847</v>
      </c>
      <c r="D3" s="53"/>
      <c r="E3" s="949"/>
      <c r="F3" s="949"/>
      <c r="G3" s="949"/>
    </row>
    <row r="4" spans="2:12" ht="15.75" thickBot="1" x14ac:dyDescent="0.3">
      <c r="B4" s="381" t="s">
        <v>1</v>
      </c>
      <c r="C4" s="23" t="s">
        <v>868</v>
      </c>
      <c r="D4" s="53"/>
      <c r="E4" s="949"/>
      <c r="F4" s="949"/>
      <c r="G4" s="949"/>
    </row>
    <row r="5" spans="2:12" ht="15.75" thickBot="1" x14ac:dyDescent="0.3"/>
    <row r="6" spans="2:12" ht="45.75" thickBot="1" x14ac:dyDescent="0.3">
      <c r="D6" s="52" t="s">
        <v>666</v>
      </c>
      <c r="E6" s="1392" t="s">
        <v>46</v>
      </c>
      <c r="F6" s="1394"/>
      <c r="G6" s="1393"/>
      <c r="H6" s="52" t="s">
        <v>61</v>
      </c>
      <c r="I6" s="384" t="s">
        <v>94</v>
      </c>
      <c r="J6" s="385" t="s">
        <v>96</v>
      </c>
      <c r="K6" s="383" t="s">
        <v>95</v>
      </c>
    </row>
    <row r="7" spans="2:12" x14ac:dyDescent="0.25">
      <c r="B7" s="42" t="s">
        <v>59</v>
      </c>
      <c r="C7" s="45" t="s">
        <v>49</v>
      </c>
      <c r="D7" s="45" t="s">
        <v>49</v>
      </c>
      <c r="E7" s="48">
        <v>125</v>
      </c>
      <c r="F7" s="27">
        <v>25</v>
      </c>
      <c r="G7" s="37">
        <v>-40</v>
      </c>
      <c r="H7" s="33" t="s">
        <v>48</v>
      </c>
      <c r="I7" s="36" t="s">
        <v>49</v>
      </c>
      <c r="J7" s="82" t="s">
        <v>49</v>
      </c>
      <c r="K7" s="83" t="s">
        <v>49</v>
      </c>
    </row>
    <row r="8" spans="2:12" ht="45" x14ac:dyDescent="0.25">
      <c r="B8" s="1501" t="s">
        <v>63</v>
      </c>
      <c r="C8" s="402" t="s">
        <v>2070</v>
      </c>
      <c r="D8" s="1100" t="str">
        <f>"no, value d49 by default if not trimmed"</f>
        <v>no, value d49 by default if not trimmed</v>
      </c>
      <c r="E8" s="50">
        <v>1.55</v>
      </c>
      <c r="F8" s="24">
        <v>1.55</v>
      </c>
      <c r="G8" s="25">
        <v>1.55</v>
      </c>
      <c r="H8" s="34" t="s">
        <v>90</v>
      </c>
      <c r="I8" s="400" t="s">
        <v>936</v>
      </c>
      <c r="J8" s="21" t="s">
        <v>939</v>
      </c>
      <c r="K8" s="79" t="s">
        <v>943</v>
      </c>
    </row>
    <row r="9" spans="2:12" ht="45" x14ac:dyDescent="0.25">
      <c r="B9" s="1501"/>
      <c r="C9" s="96" t="s">
        <v>2071</v>
      </c>
      <c r="D9" s="1100" t="str">
        <f>"no, value d52 by default if not trimmed"</f>
        <v>no, value d52 by default if not trimmed</v>
      </c>
      <c r="E9" s="50">
        <v>1.7</v>
      </c>
      <c r="F9" s="24">
        <v>1.7</v>
      </c>
      <c r="G9" s="25">
        <v>1.7</v>
      </c>
      <c r="H9" s="34" t="s">
        <v>90</v>
      </c>
      <c r="I9" s="400" t="s">
        <v>936</v>
      </c>
      <c r="J9" s="21" t="s">
        <v>937</v>
      </c>
      <c r="K9" s="79" t="s">
        <v>941</v>
      </c>
    </row>
    <row r="10" spans="2:12" ht="45" x14ac:dyDescent="0.25">
      <c r="B10" s="1501"/>
      <c r="C10" s="96" t="s">
        <v>2072</v>
      </c>
      <c r="D10" s="1100" t="str">
        <f>"no, value d"&amp;ROUND(E10/1.8*(2^6-1),0)&amp;" by default if not trimmed"</f>
        <v>no, value d21 by default if not trimmed</v>
      </c>
      <c r="E10" s="50">
        <v>0.6</v>
      </c>
      <c r="F10" s="24">
        <v>0.6</v>
      </c>
      <c r="G10" s="25">
        <v>0.6</v>
      </c>
      <c r="H10" s="34" t="s">
        <v>90</v>
      </c>
      <c r="I10" s="400" t="s">
        <v>936</v>
      </c>
      <c r="J10" s="21" t="s">
        <v>938</v>
      </c>
      <c r="K10" s="79" t="s">
        <v>942</v>
      </c>
    </row>
    <row r="11" spans="2:12" ht="45" x14ac:dyDescent="0.25">
      <c r="B11" s="1501"/>
      <c r="C11" s="96" t="s">
        <v>2073</v>
      </c>
      <c r="D11" s="1100" t="str">
        <f>"no, value d"&amp;ROUND(E11/1.8*(2^6-1),0)&amp;" by default if not trimmed"</f>
        <v>no, value d37 by default if not trimmed</v>
      </c>
      <c r="E11" s="50">
        <v>1.05</v>
      </c>
      <c r="F11" s="24">
        <v>1.05</v>
      </c>
      <c r="G11" s="25">
        <v>1.05</v>
      </c>
      <c r="H11" s="34" t="s">
        <v>90</v>
      </c>
      <c r="I11" s="400" t="s">
        <v>936</v>
      </c>
      <c r="J11" s="21" t="s">
        <v>940</v>
      </c>
      <c r="K11" s="79" t="s">
        <v>944</v>
      </c>
    </row>
    <row r="12" spans="2:12" ht="15.75" thickBot="1" x14ac:dyDescent="0.3">
      <c r="B12" s="43" t="s">
        <v>60</v>
      </c>
      <c r="C12" s="47" t="s">
        <v>49</v>
      </c>
      <c r="D12" s="47" t="s">
        <v>49</v>
      </c>
      <c r="E12" s="51" t="s">
        <v>372</v>
      </c>
      <c r="F12" s="29"/>
      <c r="G12" s="41"/>
      <c r="H12" s="35" t="s">
        <v>49</v>
      </c>
      <c r="I12" s="40" t="s">
        <v>49</v>
      </c>
      <c r="J12" s="80" t="s">
        <v>49</v>
      </c>
      <c r="K12" s="81" t="s">
        <v>49</v>
      </c>
    </row>
    <row r="13" spans="2:12" x14ac:dyDescent="0.25">
      <c r="B13" t="s">
        <v>58</v>
      </c>
    </row>
    <row r="14" spans="2:12" x14ac:dyDescent="0.25">
      <c r="B14" t="s">
        <v>50</v>
      </c>
    </row>
    <row r="16" spans="2:12" x14ac:dyDescent="0.25">
      <c r="B16" s="17" t="s">
        <v>822</v>
      </c>
      <c r="C16" s="63" t="s">
        <v>856</v>
      </c>
      <c r="H16" s="60" t="s">
        <v>2113</v>
      </c>
      <c r="I16" s="60"/>
      <c r="J16" s="60"/>
      <c r="K16" s="60"/>
      <c r="L16" s="60"/>
    </row>
    <row r="17" spans="2:13" x14ac:dyDescent="0.25">
      <c r="B17" s="17"/>
      <c r="C17" s="63" t="s">
        <v>1557</v>
      </c>
      <c r="H17" s="949"/>
      <c r="I17" s="949"/>
      <c r="J17" s="949"/>
      <c r="K17" s="949"/>
    </row>
    <row r="18" spans="2:13" x14ac:dyDescent="0.25">
      <c r="B18" s="17"/>
      <c r="C18" s="63"/>
      <c r="H18" s="949"/>
      <c r="I18" s="949"/>
      <c r="J18" s="949"/>
      <c r="K18" s="949"/>
    </row>
    <row r="19" spans="2:13" x14ac:dyDescent="0.25">
      <c r="B19" s="17" t="s">
        <v>51</v>
      </c>
      <c r="H19" s="949"/>
      <c r="I19" s="949"/>
      <c r="J19" s="949"/>
      <c r="K19" s="949"/>
    </row>
    <row r="20" spans="2:13" x14ac:dyDescent="0.25">
      <c r="C20" s="1" t="s">
        <v>999</v>
      </c>
      <c r="D20" s="18"/>
      <c r="H20" s="949"/>
      <c r="I20" s="949"/>
      <c r="J20" s="949"/>
      <c r="K20" s="949"/>
    </row>
    <row r="21" spans="2:13" x14ac:dyDescent="0.25">
      <c r="C21" s="1" t="s">
        <v>1000</v>
      </c>
      <c r="D21" s="18"/>
    </row>
    <row r="23" spans="2:13" x14ac:dyDescent="0.25">
      <c r="B23" s="17" t="s">
        <v>53</v>
      </c>
    </row>
    <row r="24" spans="2:13" x14ac:dyDescent="0.25">
      <c r="C24" s="202" t="s">
        <v>88</v>
      </c>
      <c r="D24" s="18"/>
    </row>
    <row r="26" spans="2:13" x14ac:dyDescent="0.25">
      <c r="B26" s="17" t="s">
        <v>633</v>
      </c>
      <c r="C26" s="1"/>
    </row>
    <row r="27" spans="2:13" x14ac:dyDescent="0.25">
      <c r="C27" s="202" t="s">
        <v>88</v>
      </c>
      <c r="D27" s="202"/>
      <c r="E27" s="202"/>
      <c r="F27" s="202"/>
      <c r="G27" s="202"/>
    </row>
    <row r="29" spans="2:13" ht="15.75" thickBot="1" x14ac:dyDescent="0.3">
      <c r="B29" s="17" t="s">
        <v>55</v>
      </c>
    </row>
    <row r="30" spans="2:13" ht="30" x14ac:dyDescent="0.25">
      <c r="C30" t="s">
        <v>1727</v>
      </c>
      <c r="J30" s="578" t="s">
        <v>94</v>
      </c>
      <c r="K30" s="580" t="s">
        <v>96</v>
      </c>
      <c r="L30" s="94" t="s">
        <v>95</v>
      </c>
      <c r="M30" s="885" t="s">
        <v>1648</v>
      </c>
    </row>
    <row r="31" spans="2:13" x14ac:dyDescent="0.25">
      <c r="C31" s="339" t="s">
        <v>1609</v>
      </c>
      <c r="J31" s="39" t="s">
        <v>18</v>
      </c>
      <c r="K31" s="21" t="s">
        <v>1570</v>
      </c>
      <c r="L31" s="79" t="s">
        <v>1591</v>
      </c>
      <c r="M31" s="886">
        <v>1</v>
      </c>
    </row>
    <row r="32" spans="2:13" x14ac:dyDescent="0.25">
      <c r="C32" s="339" t="s">
        <v>1728</v>
      </c>
      <c r="J32" s="39" t="s">
        <v>18</v>
      </c>
      <c r="K32" s="21" t="s">
        <v>1571</v>
      </c>
      <c r="L32" s="79" t="s">
        <v>1592</v>
      </c>
      <c r="M32" s="886">
        <v>54</v>
      </c>
    </row>
    <row r="33" spans="3:14" x14ac:dyDescent="0.25">
      <c r="C33" s="339" t="s">
        <v>1729</v>
      </c>
      <c r="J33" s="39" t="s">
        <v>1715</v>
      </c>
      <c r="K33" s="21" t="s">
        <v>1716</v>
      </c>
      <c r="L33" s="79" t="s">
        <v>1741</v>
      </c>
      <c r="M33" s="886">
        <v>1</v>
      </c>
    </row>
    <row r="34" spans="3:14" x14ac:dyDescent="0.25">
      <c r="C34" s="339" t="s">
        <v>1730</v>
      </c>
      <c r="J34" s="39" t="s">
        <v>1553</v>
      </c>
      <c r="K34" s="21" t="s">
        <v>1717</v>
      </c>
      <c r="L34" s="79" t="s">
        <v>1742</v>
      </c>
      <c r="M34" s="886">
        <v>1</v>
      </c>
    </row>
    <row r="35" spans="3:14" x14ac:dyDescent="0.25">
      <c r="C35" s="339" t="s">
        <v>1731</v>
      </c>
      <c r="J35" s="39" t="s">
        <v>1715</v>
      </c>
      <c r="K35" s="21" t="s">
        <v>1718</v>
      </c>
      <c r="L35" s="79" t="s">
        <v>1743</v>
      </c>
      <c r="M35" s="886">
        <v>1</v>
      </c>
    </row>
    <row r="36" spans="3:14" x14ac:dyDescent="0.25">
      <c r="C36" s="339" t="s">
        <v>1732</v>
      </c>
      <c r="J36" s="39" t="s">
        <v>1715</v>
      </c>
      <c r="K36" s="21" t="s">
        <v>1719</v>
      </c>
      <c r="L36" s="79" t="s">
        <v>1744</v>
      </c>
      <c r="M36" s="886">
        <v>0</v>
      </c>
    </row>
    <row r="37" spans="3:14" x14ac:dyDescent="0.25">
      <c r="C37" s="339" t="s">
        <v>1733</v>
      </c>
      <c r="J37" s="39" t="s">
        <v>1715</v>
      </c>
      <c r="K37" s="21" t="s">
        <v>1720</v>
      </c>
      <c r="L37" s="79" t="s">
        <v>1745</v>
      </c>
      <c r="M37" s="886">
        <v>1</v>
      </c>
    </row>
    <row r="38" spans="3:14" x14ac:dyDescent="0.25">
      <c r="C38" s="339" t="s">
        <v>1734</v>
      </c>
      <c r="J38" s="39" t="s">
        <v>1715</v>
      </c>
      <c r="K38" s="21" t="s">
        <v>1721</v>
      </c>
      <c r="L38" s="79" t="s">
        <v>1746</v>
      </c>
      <c r="M38" s="886">
        <v>0</v>
      </c>
    </row>
    <row r="39" spans="3:14" x14ac:dyDescent="0.25">
      <c r="C39" s="339" t="s">
        <v>1735</v>
      </c>
      <c r="J39" s="39" t="s">
        <v>1715</v>
      </c>
      <c r="K39" s="21" t="s">
        <v>1722</v>
      </c>
      <c r="L39" s="79" t="s">
        <v>1747</v>
      </c>
      <c r="M39" s="929" t="s">
        <v>1739</v>
      </c>
      <c r="N39" s="313"/>
    </row>
    <row r="40" spans="3:14" s="949" customFormat="1" ht="60" customHeight="1" x14ac:dyDescent="0.25">
      <c r="C40" s="1532" t="s">
        <v>1870</v>
      </c>
      <c r="D40" s="1532"/>
      <c r="E40" s="1532"/>
      <c r="F40" s="1532"/>
      <c r="G40" s="1532"/>
      <c r="J40" s="53"/>
      <c r="K40" s="53"/>
      <c r="L40" s="53"/>
      <c r="M40" s="945"/>
      <c r="N40" s="313"/>
    </row>
    <row r="41" spans="3:14" x14ac:dyDescent="0.25">
      <c r="C41" s="339" t="s">
        <v>1736</v>
      </c>
    </row>
    <row r="42" spans="3:14" x14ac:dyDescent="0.25">
      <c r="C42" s="583" t="s">
        <v>1823</v>
      </c>
    </row>
    <row r="43" spans="3:14" x14ac:dyDescent="0.25">
      <c r="C43" s="583" t="s">
        <v>1822</v>
      </c>
    </row>
    <row r="44" spans="3:14" x14ac:dyDescent="0.25">
      <c r="C44" s="583" t="s">
        <v>1824</v>
      </c>
    </row>
    <row r="45" spans="3:14" x14ac:dyDescent="0.25">
      <c r="C45" s="583" t="s">
        <v>1825</v>
      </c>
    </row>
    <row r="46" spans="3:14" x14ac:dyDescent="0.25">
      <c r="C46" s="339" t="s">
        <v>1738</v>
      </c>
      <c r="J46" s="39" t="s">
        <v>1715</v>
      </c>
      <c r="K46" s="21" t="s">
        <v>1721</v>
      </c>
      <c r="L46" s="79" t="s">
        <v>1746</v>
      </c>
      <c r="M46" s="886">
        <v>1</v>
      </c>
    </row>
    <row r="47" spans="3:14" x14ac:dyDescent="0.25">
      <c r="C47" s="583"/>
    </row>
    <row r="48" spans="3:14" x14ac:dyDescent="0.25">
      <c r="C48" s="291" t="s">
        <v>1737</v>
      </c>
    </row>
    <row r="49" spans="3:14" x14ac:dyDescent="0.25">
      <c r="C49" s="339" t="s">
        <v>1750</v>
      </c>
      <c r="J49" s="39" t="s">
        <v>1715</v>
      </c>
      <c r="K49" s="21" t="s">
        <v>1722</v>
      </c>
      <c r="L49" s="79" t="s">
        <v>1747</v>
      </c>
      <c r="M49" s="886" t="s">
        <v>1752</v>
      </c>
    </row>
    <row r="50" spans="3:14" s="949" customFormat="1" x14ac:dyDescent="0.25">
      <c r="C50" s="964" t="s">
        <v>1861</v>
      </c>
      <c r="J50" s="953" t="s">
        <v>936</v>
      </c>
      <c r="K50" s="951" t="s">
        <v>940</v>
      </c>
      <c r="L50" s="956" t="s">
        <v>944</v>
      </c>
      <c r="M50" s="948">
        <v>0</v>
      </c>
    </row>
    <row r="51" spans="3:14" x14ac:dyDescent="0.25">
      <c r="C51" s="339" t="s">
        <v>1828</v>
      </c>
      <c r="I51" t="s">
        <v>1864</v>
      </c>
      <c r="J51" s="953" t="s">
        <v>1723</v>
      </c>
      <c r="K51" s="951" t="s">
        <v>1869</v>
      </c>
      <c r="L51" s="956" t="s">
        <v>1866</v>
      </c>
      <c r="M51" s="886" t="s">
        <v>1443</v>
      </c>
      <c r="N51" t="s">
        <v>1865</v>
      </c>
    </row>
    <row r="52" spans="3:14" s="949" customFormat="1" x14ac:dyDescent="0.25">
      <c r="C52" s="964"/>
      <c r="I52" s="950" t="s">
        <v>1863</v>
      </c>
      <c r="J52" s="946" t="s">
        <v>1723</v>
      </c>
      <c r="K52" s="943" t="s">
        <v>1724</v>
      </c>
      <c r="L52" s="947" t="s">
        <v>1748</v>
      </c>
      <c r="M52" s="944" t="s">
        <v>1443</v>
      </c>
    </row>
    <row r="53" spans="3:14" x14ac:dyDescent="0.25">
      <c r="C53" s="339" t="s">
        <v>1780</v>
      </c>
      <c r="J53" s="39" t="s">
        <v>936</v>
      </c>
      <c r="K53" s="21" t="s">
        <v>940</v>
      </c>
      <c r="L53" s="79" t="s">
        <v>944</v>
      </c>
      <c r="M53" s="886" t="s">
        <v>1739</v>
      </c>
    </row>
    <row r="54" spans="3:14" x14ac:dyDescent="0.25">
      <c r="C54" s="928" t="s">
        <v>1883</v>
      </c>
      <c r="J54" s="39" t="s">
        <v>1725</v>
      </c>
      <c r="K54" s="21" t="s">
        <v>1726</v>
      </c>
      <c r="L54" s="79" t="s">
        <v>1749</v>
      </c>
      <c r="M54" s="886" t="s">
        <v>1647</v>
      </c>
    </row>
    <row r="55" spans="3:14" x14ac:dyDescent="0.25">
      <c r="C55" s="339" t="s">
        <v>1740</v>
      </c>
      <c r="J55" s="39" t="s">
        <v>936</v>
      </c>
      <c r="K55" s="21" t="s">
        <v>940</v>
      </c>
      <c r="L55" s="79" t="s">
        <v>944</v>
      </c>
      <c r="M55" s="886" t="s">
        <v>1751</v>
      </c>
    </row>
    <row r="56" spans="3:14" x14ac:dyDescent="0.25">
      <c r="C56" s="339"/>
      <c r="J56" s="53"/>
      <c r="K56" s="53"/>
      <c r="L56" s="53"/>
      <c r="M56" s="53"/>
    </row>
    <row r="57" spans="3:14" x14ac:dyDescent="0.25">
      <c r="C57" s="291" t="s">
        <v>1769</v>
      </c>
    </row>
    <row r="58" spans="3:14" x14ac:dyDescent="0.25">
      <c r="C58" s="339" t="s">
        <v>1750</v>
      </c>
      <c r="J58" s="39" t="s">
        <v>1715</v>
      </c>
      <c r="K58" s="21" t="s">
        <v>1722</v>
      </c>
      <c r="L58" s="79" t="s">
        <v>1747</v>
      </c>
      <c r="M58" s="886" t="s">
        <v>1753</v>
      </c>
    </row>
    <row r="59" spans="3:14" s="949" customFormat="1" x14ac:dyDescent="0.25">
      <c r="C59" s="964" t="s">
        <v>1862</v>
      </c>
      <c r="J59" s="953" t="s">
        <v>936</v>
      </c>
      <c r="K59" s="951" t="s">
        <v>939</v>
      </c>
      <c r="L59" s="956" t="s">
        <v>943</v>
      </c>
      <c r="M59" s="948">
        <v>63</v>
      </c>
    </row>
    <row r="60" spans="3:14" x14ac:dyDescent="0.25">
      <c r="C60" s="339" t="s">
        <v>1828</v>
      </c>
      <c r="I60" s="949" t="s">
        <v>1864</v>
      </c>
      <c r="J60" s="953" t="s">
        <v>1723</v>
      </c>
      <c r="K60" s="951" t="s">
        <v>1868</v>
      </c>
      <c r="L60" s="956" t="s">
        <v>1867</v>
      </c>
      <c r="M60" s="983" t="s">
        <v>1443</v>
      </c>
      <c r="N60" s="949" t="s">
        <v>1865</v>
      </c>
    </row>
    <row r="61" spans="3:14" s="949" customFormat="1" x14ac:dyDescent="0.25">
      <c r="C61" s="964"/>
      <c r="I61" s="950" t="s">
        <v>1863</v>
      </c>
      <c r="J61" s="946" t="s">
        <v>1723</v>
      </c>
      <c r="K61" s="943" t="s">
        <v>1755</v>
      </c>
      <c r="L61" s="947" t="s">
        <v>1765</v>
      </c>
      <c r="M61" s="944" t="s">
        <v>1443</v>
      </c>
    </row>
    <row r="62" spans="3:14" x14ac:dyDescent="0.25">
      <c r="C62" s="339" t="s">
        <v>1781</v>
      </c>
      <c r="J62" s="39" t="s">
        <v>936</v>
      </c>
      <c r="K62" s="21" t="s">
        <v>939</v>
      </c>
      <c r="L62" s="79" t="s">
        <v>943</v>
      </c>
      <c r="M62" s="886" t="s">
        <v>1779</v>
      </c>
    </row>
    <row r="63" spans="3:14" x14ac:dyDescent="0.25">
      <c r="C63" s="928" t="s">
        <v>1829</v>
      </c>
      <c r="J63" s="39" t="s">
        <v>1725</v>
      </c>
      <c r="K63" s="21" t="s">
        <v>1763</v>
      </c>
      <c r="L63" s="79" t="s">
        <v>1766</v>
      </c>
      <c r="M63" s="886" t="s">
        <v>1647</v>
      </c>
    </row>
    <row r="64" spans="3:14" x14ac:dyDescent="0.25">
      <c r="C64" s="339" t="s">
        <v>1740</v>
      </c>
      <c r="J64" s="39" t="s">
        <v>936</v>
      </c>
      <c r="K64" s="21" t="s">
        <v>939</v>
      </c>
      <c r="L64" s="79" t="s">
        <v>943</v>
      </c>
      <c r="M64" s="886" t="s">
        <v>1754</v>
      </c>
    </row>
    <row r="66" spans="3:13" x14ac:dyDescent="0.25">
      <c r="C66" s="291" t="s">
        <v>1770</v>
      </c>
    </row>
    <row r="67" spans="3:13" x14ac:dyDescent="0.25">
      <c r="C67" s="339" t="s">
        <v>1750</v>
      </c>
      <c r="J67" s="39" t="s">
        <v>1715</v>
      </c>
      <c r="K67" s="21" t="s">
        <v>1722</v>
      </c>
      <c r="L67" s="79" t="s">
        <v>1747</v>
      </c>
      <c r="M67" s="886" t="s">
        <v>1756</v>
      </c>
    </row>
    <row r="68" spans="3:13" s="949" customFormat="1" x14ac:dyDescent="0.25">
      <c r="C68" s="964" t="s">
        <v>1861</v>
      </c>
      <c r="J68" s="953" t="s">
        <v>936</v>
      </c>
      <c r="K68" s="951" t="s">
        <v>938</v>
      </c>
      <c r="L68" s="956" t="s">
        <v>942</v>
      </c>
      <c r="M68" s="948">
        <v>0</v>
      </c>
    </row>
    <row r="69" spans="3:13" x14ac:dyDescent="0.25">
      <c r="C69" s="339" t="s">
        <v>1828</v>
      </c>
      <c r="J69" s="39" t="s">
        <v>1760</v>
      </c>
      <c r="K69" s="21" t="s">
        <v>1761</v>
      </c>
      <c r="L69" s="79" t="s">
        <v>1767</v>
      </c>
      <c r="M69" s="886" t="s">
        <v>1443</v>
      </c>
    </row>
    <row r="70" spans="3:13" x14ac:dyDescent="0.25">
      <c r="C70" s="339" t="s">
        <v>1780</v>
      </c>
      <c r="J70" s="39" t="s">
        <v>936</v>
      </c>
      <c r="K70" s="21" t="s">
        <v>938</v>
      </c>
      <c r="L70" s="79" t="s">
        <v>942</v>
      </c>
      <c r="M70" s="886" t="s">
        <v>1739</v>
      </c>
    </row>
    <row r="71" spans="3:13" x14ac:dyDescent="0.25">
      <c r="C71" s="928" t="s">
        <v>1883</v>
      </c>
      <c r="J71" s="39" t="s">
        <v>1764</v>
      </c>
      <c r="K71" s="21" t="s">
        <v>1761</v>
      </c>
      <c r="L71" s="79" t="s">
        <v>1826</v>
      </c>
      <c r="M71" s="886" t="s">
        <v>1647</v>
      </c>
    </row>
    <row r="72" spans="3:13" x14ac:dyDescent="0.25">
      <c r="C72" s="339" t="s">
        <v>1740</v>
      </c>
      <c r="J72" s="39" t="s">
        <v>936</v>
      </c>
      <c r="K72" s="21" t="s">
        <v>938</v>
      </c>
      <c r="L72" s="79" t="s">
        <v>942</v>
      </c>
      <c r="M72" s="886" t="s">
        <v>1757</v>
      </c>
    </row>
    <row r="73" spans="3:13" x14ac:dyDescent="0.25">
      <c r="C73" s="339"/>
      <c r="J73" s="53"/>
      <c r="K73" s="53"/>
      <c r="L73" s="53"/>
      <c r="M73" s="53"/>
    </row>
    <row r="74" spans="3:13" x14ac:dyDescent="0.25">
      <c r="C74" s="291" t="s">
        <v>1771</v>
      </c>
    </row>
    <row r="75" spans="3:13" x14ac:dyDescent="0.25">
      <c r="C75" s="339" t="s">
        <v>1750</v>
      </c>
      <c r="J75" s="39" t="s">
        <v>1715</v>
      </c>
      <c r="K75" s="21" t="s">
        <v>1722</v>
      </c>
      <c r="L75" s="79" t="s">
        <v>1747</v>
      </c>
      <c r="M75" s="886" t="s">
        <v>1758</v>
      </c>
    </row>
    <row r="76" spans="3:13" s="949" customFormat="1" x14ac:dyDescent="0.25">
      <c r="C76" s="964" t="s">
        <v>1862</v>
      </c>
      <c r="J76" s="953" t="s">
        <v>936</v>
      </c>
      <c r="K76" s="951" t="s">
        <v>937</v>
      </c>
      <c r="L76" s="956" t="s">
        <v>941</v>
      </c>
      <c r="M76" s="948">
        <v>63</v>
      </c>
    </row>
    <row r="77" spans="3:13" x14ac:dyDescent="0.25">
      <c r="C77" s="339" t="s">
        <v>1828</v>
      </c>
      <c r="J77" s="39" t="s">
        <v>1760</v>
      </c>
      <c r="K77" s="21" t="s">
        <v>1762</v>
      </c>
      <c r="L77" s="79" t="s">
        <v>1768</v>
      </c>
      <c r="M77" s="886" t="s">
        <v>1443</v>
      </c>
    </row>
    <row r="78" spans="3:13" x14ac:dyDescent="0.25">
      <c r="C78" s="339" t="s">
        <v>1781</v>
      </c>
      <c r="J78" s="39" t="s">
        <v>936</v>
      </c>
      <c r="K78" s="21" t="s">
        <v>937</v>
      </c>
      <c r="L78" s="79" t="s">
        <v>941</v>
      </c>
      <c r="M78" s="886" t="s">
        <v>1779</v>
      </c>
    </row>
    <row r="79" spans="3:13" x14ac:dyDescent="0.25">
      <c r="C79" s="928" t="s">
        <v>1829</v>
      </c>
      <c r="J79" s="39" t="s">
        <v>1764</v>
      </c>
      <c r="K79" s="21" t="s">
        <v>1762</v>
      </c>
      <c r="L79" s="79" t="s">
        <v>1827</v>
      </c>
      <c r="M79" s="886" t="s">
        <v>1647</v>
      </c>
    </row>
    <row r="80" spans="3:13" x14ac:dyDescent="0.25">
      <c r="C80" s="339" t="s">
        <v>1740</v>
      </c>
      <c r="J80" s="39" t="s">
        <v>936</v>
      </c>
      <c r="K80" s="21" t="s">
        <v>937</v>
      </c>
      <c r="L80" s="79" t="s">
        <v>941</v>
      </c>
      <c r="M80" s="886" t="s">
        <v>1759</v>
      </c>
    </row>
    <row r="81" spans="2:13" x14ac:dyDescent="0.25">
      <c r="C81" s="339"/>
      <c r="J81" s="53"/>
      <c r="K81" s="53"/>
      <c r="L81" s="53"/>
      <c r="M81" s="53"/>
    </row>
    <row r="82" spans="2:13" x14ac:dyDescent="0.25">
      <c r="B82" s="17" t="s">
        <v>1174</v>
      </c>
    </row>
    <row r="83" spans="2:13" x14ac:dyDescent="0.25">
      <c r="C83" s="63" t="s">
        <v>1335</v>
      </c>
    </row>
    <row r="84" spans="2:13" x14ac:dyDescent="0.25">
      <c r="C84" t="s">
        <v>1376</v>
      </c>
      <c r="D84" s="18"/>
    </row>
    <row r="85" spans="2:13" x14ac:dyDescent="0.25">
      <c r="D85" s="18"/>
    </row>
    <row r="86" spans="2:13" x14ac:dyDescent="0.25">
      <c r="B86" s="17" t="s">
        <v>56</v>
      </c>
    </row>
    <row r="87" spans="2:13" x14ac:dyDescent="0.25">
      <c r="C87" s="202" t="s">
        <v>88</v>
      </c>
    </row>
  </sheetData>
  <mergeCells count="3">
    <mergeCell ref="E6:G6"/>
    <mergeCell ref="B8:B11"/>
    <mergeCell ref="C40:G40"/>
  </mergeCells>
  <hyperlinks>
    <hyperlink ref="B1" location="'RFE SOC FuseMap'!A1" display="RFE/SOC FuseMap" xr:uid="{05F7C9CA-C3E0-441E-B2E1-085EFB674B85}"/>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C836E-3C23-42AA-ACC8-FB85C233A3CB}">
  <sheetPr filterMode="1">
    <tabColor rgb="FFFFC000"/>
  </sheetPr>
  <dimension ref="A1:T55"/>
  <sheetViews>
    <sheetView workbookViewId="0">
      <pane ySplit="3" topLeftCell="A4" activePane="bottomLeft" state="frozen"/>
      <selection pane="bottomLeft" activeCell="E58" sqref="E58"/>
    </sheetView>
  </sheetViews>
  <sheetFormatPr defaultRowHeight="15" x14ac:dyDescent="0.25"/>
  <cols>
    <col min="1" max="1" width="4.42578125" customWidth="1"/>
    <col min="2" max="2" width="11.140625" customWidth="1"/>
    <col min="3" max="3" width="21.42578125" bestFit="1" customWidth="1"/>
    <col min="4" max="4" width="13.85546875" customWidth="1"/>
    <col min="5" max="6" width="63.85546875" customWidth="1"/>
    <col min="7" max="7" width="9.42578125" customWidth="1"/>
    <col min="8" max="20" width="15.42578125" style="510" customWidth="1"/>
  </cols>
  <sheetData>
    <row r="1" spans="1:20" ht="36" customHeight="1" x14ac:dyDescent="0.25">
      <c r="A1" s="1133" t="s">
        <v>554</v>
      </c>
      <c r="B1" s="1133"/>
      <c r="C1" s="1133"/>
      <c r="D1" s="1133"/>
      <c r="E1" s="1133"/>
      <c r="F1" s="1133"/>
      <c r="G1" s="1133"/>
    </row>
    <row r="2" spans="1:20" s="510" customFormat="1" x14ac:dyDescent="0.25"/>
    <row r="3" spans="1:20" x14ac:dyDescent="0.25">
      <c r="A3" s="510"/>
      <c r="B3" s="171" t="s">
        <v>321</v>
      </c>
      <c r="C3" s="171" t="s">
        <v>555</v>
      </c>
      <c r="D3" s="171" t="s">
        <v>556</v>
      </c>
      <c r="E3" s="171" t="s">
        <v>557</v>
      </c>
      <c r="F3" s="171" t="s">
        <v>560</v>
      </c>
      <c r="G3" s="171" t="s">
        <v>320</v>
      </c>
    </row>
    <row r="4" spans="1:20" ht="30" hidden="1" x14ac:dyDescent="0.25">
      <c r="A4" s="510"/>
      <c r="B4" s="172" t="s">
        <v>699</v>
      </c>
      <c r="C4" s="172" t="s">
        <v>1117</v>
      </c>
      <c r="D4" s="514">
        <v>44443</v>
      </c>
      <c r="E4" s="281" t="s">
        <v>700</v>
      </c>
      <c r="F4" s="281" t="s">
        <v>1342</v>
      </c>
      <c r="G4" s="172" t="s">
        <v>811</v>
      </c>
    </row>
    <row r="5" spans="1:20" ht="30" hidden="1" x14ac:dyDescent="0.25">
      <c r="B5" s="172" t="s">
        <v>699</v>
      </c>
      <c r="C5" s="172" t="s">
        <v>690</v>
      </c>
      <c r="D5" s="172"/>
      <c r="E5" s="281" t="s">
        <v>701</v>
      </c>
      <c r="F5" s="281" t="s">
        <v>1017</v>
      </c>
      <c r="G5" s="172" t="s">
        <v>811</v>
      </c>
      <c r="H5"/>
      <c r="I5"/>
      <c r="J5"/>
      <c r="K5"/>
      <c r="L5"/>
      <c r="M5"/>
      <c r="N5"/>
      <c r="O5"/>
      <c r="P5"/>
      <c r="Q5"/>
      <c r="R5"/>
      <c r="S5"/>
      <c r="T5"/>
    </row>
    <row r="6" spans="1:20" ht="45" hidden="1" x14ac:dyDescent="0.25">
      <c r="A6" s="510"/>
      <c r="B6" s="172" t="s">
        <v>694</v>
      </c>
      <c r="C6" s="172" t="s">
        <v>1018</v>
      </c>
      <c r="D6" s="477" t="s">
        <v>1034</v>
      </c>
      <c r="E6" s="281" t="s">
        <v>703</v>
      </c>
      <c r="F6" s="281" t="s">
        <v>1341</v>
      </c>
      <c r="G6" s="172" t="s">
        <v>811</v>
      </c>
    </row>
    <row r="7" spans="1:20" ht="45" hidden="1" x14ac:dyDescent="0.25">
      <c r="B7" s="172" t="s">
        <v>694</v>
      </c>
      <c r="C7" s="172" t="s">
        <v>695</v>
      </c>
      <c r="D7" s="172"/>
      <c r="E7" s="281" t="s">
        <v>696</v>
      </c>
      <c r="F7" s="281" t="s">
        <v>819</v>
      </c>
      <c r="G7" s="172" t="s">
        <v>811</v>
      </c>
      <c r="H7"/>
      <c r="I7"/>
      <c r="J7"/>
      <c r="K7"/>
      <c r="L7"/>
      <c r="M7"/>
      <c r="N7"/>
      <c r="O7"/>
      <c r="P7"/>
      <c r="Q7"/>
      <c r="R7"/>
      <c r="S7"/>
      <c r="T7"/>
    </row>
    <row r="8" spans="1:20" ht="45" hidden="1" x14ac:dyDescent="0.25">
      <c r="A8" s="510"/>
      <c r="B8" s="172" t="s">
        <v>565</v>
      </c>
      <c r="C8" s="172" t="s">
        <v>566</v>
      </c>
      <c r="D8" s="514" t="s">
        <v>1035</v>
      </c>
      <c r="E8" s="281" t="s">
        <v>1060</v>
      </c>
      <c r="F8" s="281" t="s">
        <v>2091</v>
      </c>
      <c r="G8" s="172" t="s">
        <v>811</v>
      </c>
    </row>
    <row r="9" spans="1:20" ht="60" hidden="1" x14ac:dyDescent="0.25">
      <c r="A9" s="510"/>
      <c r="B9" s="172" t="s">
        <v>565</v>
      </c>
      <c r="C9" s="172" t="s">
        <v>566</v>
      </c>
      <c r="D9" s="514" t="s">
        <v>1035</v>
      </c>
      <c r="E9" s="281" t="s">
        <v>567</v>
      </c>
      <c r="F9" s="281" t="s">
        <v>1992</v>
      </c>
      <c r="G9" s="172" t="s">
        <v>811</v>
      </c>
    </row>
    <row r="10" spans="1:20" ht="120" hidden="1" x14ac:dyDescent="0.25">
      <c r="A10" s="510"/>
      <c r="B10" s="172" t="s">
        <v>565</v>
      </c>
      <c r="C10" s="172" t="s">
        <v>690</v>
      </c>
      <c r="D10" s="477"/>
      <c r="E10" s="281" t="s">
        <v>806</v>
      </c>
      <c r="F10" s="281" t="s">
        <v>1114</v>
      </c>
      <c r="G10" s="172" t="s">
        <v>811</v>
      </c>
    </row>
    <row r="11" spans="1:20" ht="30" hidden="1" x14ac:dyDescent="0.25">
      <c r="B11" s="172" t="s">
        <v>558</v>
      </c>
      <c r="C11" s="172" t="s">
        <v>559</v>
      </c>
      <c r="D11" s="172"/>
      <c r="E11" s="281" t="s">
        <v>561</v>
      </c>
      <c r="F11" s="281" t="s">
        <v>1037</v>
      </c>
      <c r="G11" s="172" t="s">
        <v>1008</v>
      </c>
      <c r="H11"/>
      <c r="I11"/>
      <c r="J11"/>
      <c r="K11"/>
      <c r="L11"/>
      <c r="M11"/>
      <c r="N11"/>
      <c r="O11"/>
      <c r="P11"/>
      <c r="Q11"/>
      <c r="R11"/>
      <c r="S11"/>
      <c r="T11"/>
    </row>
    <row r="12" spans="1:20" hidden="1" x14ac:dyDescent="0.25">
      <c r="B12" s="172" t="s">
        <v>558</v>
      </c>
      <c r="C12" s="172" t="s">
        <v>697</v>
      </c>
      <c r="D12" s="172"/>
      <c r="E12" s="281" t="s">
        <v>842</v>
      </c>
      <c r="F12" s="281" t="s">
        <v>1019</v>
      </c>
      <c r="G12" s="172" t="s">
        <v>811</v>
      </c>
      <c r="H12"/>
      <c r="I12"/>
      <c r="J12"/>
      <c r="K12"/>
      <c r="L12"/>
      <c r="M12"/>
      <c r="N12"/>
      <c r="O12"/>
      <c r="P12"/>
      <c r="Q12"/>
      <c r="R12"/>
      <c r="S12"/>
      <c r="T12"/>
    </row>
    <row r="13" spans="1:20" ht="45" hidden="1" x14ac:dyDescent="0.25">
      <c r="B13" s="338">
        <v>44199</v>
      </c>
      <c r="C13" s="172" t="s">
        <v>691</v>
      </c>
      <c r="D13" s="338">
        <v>44200</v>
      </c>
      <c r="E13" s="281" t="s">
        <v>869</v>
      </c>
      <c r="F13" s="281" t="s">
        <v>1027</v>
      </c>
      <c r="G13" s="172" t="s">
        <v>811</v>
      </c>
      <c r="H13"/>
      <c r="I13"/>
      <c r="J13"/>
      <c r="K13"/>
      <c r="L13"/>
      <c r="M13"/>
      <c r="N13"/>
      <c r="O13"/>
      <c r="P13"/>
      <c r="Q13"/>
      <c r="R13"/>
      <c r="S13"/>
      <c r="T13"/>
    </row>
    <row r="14" spans="1:20" hidden="1" x14ac:dyDescent="0.25">
      <c r="B14" s="338">
        <v>44199</v>
      </c>
      <c r="C14" s="172" t="s">
        <v>692</v>
      </c>
      <c r="D14" s="172"/>
      <c r="E14" s="281" t="s">
        <v>693</v>
      </c>
      <c r="F14" s="449" t="s">
        <v>1004</v>
      </c>
      <c r="G14" s="172" t="s">
        <v>811</v>
      </c>
      <c r="H14"/>
      <c r="I14"/>
      <c r="J14"/>
      <c r="K14"/>
      <c r="L14"/>
      <c r="M14"/>
      <c r="N14"/>
      <c r="O14"/>
      <c r="P14"/>
      <c r="Q14"/>
      <c r="R14"/>
      <c r="S14"/>
      <c r="T14"/>
    </row>
    <row r="15" spans="1:20" ht="30" hidden="1" x14ac:dyDescent="0.25">
      <c r="B15" s="338">
        <v>44230</v>
      </c>
      <c r="C15" s="172" t="s">
        <v>1020</v>
      </c>
      <c r="D15" s="172"/>
      <c r="E15" s="281" t="s">
        <v>698</v>
      </c>
      <c r="F15" s="281" t="s">
        <v>1031</v>
      </c>
      <c r="G15" s="172" t="s">
        <v>811</v>
      </c>
      <c r="H15"/>
      <c r="I15"/>
      <c r="J15"/>
      <c r="K15"/>
      <c r="L15"/>
      <c r="M15"/>
      <c r="N15"/>
      <c r="O15"/>
      <c r="P15"/>
      <c r="Q15"/>
      <c r="R15"/>
      <c r="S15"/>
      <c r="T15"/>
    </row>
    <row r="16" spans="1:20" ht="150" hidden="1" x14ac:dyDescent="0.25">
      <c r="B16" s="338">
        <v>44258</v>
      </c>
      <c r="C16" s="172" t="s">
        <v>688</v>
      </c>
      <c r="D16" s="172"/>
      <c r="E16" s="281" t="s">
        <v>689</v>
      </c>
      <c r="F16" s="281" t="s">
        <v>1007</v>
      </c>
      <c r="G16" s="172" t="s">
        <v>1008</v>
      </c>
      <c r="H16"/>
      <c r="I16"/>
      <c r="J16"/>
      <c r="K16"/>
      <c r="L16"/>
      <c r="M16"/>
      <c r="N16"/>
      <c r="O16"/>
      <c r="P16"/>
      <c r="Q16"/>
      <c r="R16"/>
      <c r="S16"/>
      <c r="T16"/>
    </row>
    <row r="17" spans="1:20" ht="30" hidden="1" x14ac:dyDescent="0.25">
      <c r="A17" s="510"/>
      <c r="B17" s="338">
        <v>44258</v>
      </c>
      <c r="C17" s="172" t="s">
        <v>690</v>
      </c>
      <c r="D17" s="514">
        <v>44443</v>
      </c>
      <c r="E17" s="281" t="s">
        <v>1061</v>
      </c>
      <c r="F17" s="281" t="s">
        <v>1115</v>
      </c>
      <c r="G17" s="172" t="s">
        <v>811</v>
      </c>
    </row>
    <row r="18" spans="1:20" hidden="1" x14ac:dyDescent="0.25">
      <c r="B18" s="338">
        <v>44258</v>
      </c>
      <c r="C18" s="172" t="s">
        <v>738</v>
      </c>
      <c r="D18" s="172"/>
      <c r="E18" s="281" t="s">
        <v>739</v>
      </c>
      <c r="F18" s="281" t="s">
        <v>787</v>
      </c>
      <c r="G18" s="172" t="s">
        <v>811</v>
      </c>
      <c r="H18"/>
      <c r="I18"/>
      <c r="J18"/>
      <c r="K18"/>
      <c r="L18"/>
      <c r="M18"/>
      <c r="N18"/>
      <c r="O18"/>
      <c r="P18"/>
      <c r="Q18"/>
      <c r="R18"/>
      <c r="S18"/>
      <c r="T18"/>
    </row>
    <row r="19" spans="1:20" ht="30" hidden="1" x14ac:dyDescent="0.25">
      <c r="B19" s="338">
        <v>44289</v>
      </c>
      <c r="C19" s="172" t="s">
        <v>777</v>
      </c>
      <c r="D19" s="172"/>
      <c r="E19" s="281" t="s">
        <v>775</v>
      </c>
      <c r="F19" s="281" t="s">
        <v>810</v>
      </c>
      <c r="G19" s="172" t="s">
        <v>811</v>
      </c>
      <c r="H19"/>
      <c r="I19"/>
      <c r="J19"/>
      <c r="K19"/>
      <c r="L19"/>
      <c r="M19"/>
      <c r="N19"/>
      <c r="O19"/>
      <c r="P19"/>
      <c r="Q19"/>
      <c r="R19"/>
      <c r="S19"/>
      <c r="T19"/>
    </row>
    <row r="20" spans="1:20" ht="30" hidden="1" x14ac:dyDescent="0.25">
      <c r="B20" s="338">
        <v>44289</v>
      </c>
      <c r="C20" s="172" t="s">
        <v>690</v>
      </c>
      <c r="D20" s="172"/>
      <c r="E20" s="281" t="s">
        <v>776</v>
      </c>
      <c r="F20" s="281" t="s">
        <v>810</v>
      </c>
      <c r="G20" s="172" t="s">
        <v>811</v>
      </c>
      <c r="H20"/>
      <c r="I20"/>
      <c r="J20"/>
      <c r="K20"/>
      <c r="L20"/>
      <c r="M20"/>
      <c r="N20"/>
      <c r="O20"/>
      <c r="P20"/>
      <c r="Q20"/>
      <c r="R20"/>
      <c r="S20"/>
      <c r="T20"/>
    </row>
    <row r="21" spans="1:20" ht="60" x14ac:dyDescent="0.25">
      <c r="A21" s="510"/>
      <c r="B21" s="338" t="s">
        <v>831</v>
      </c>
      <c r="C21" s="172" t="s">
        <v>832</v>
      </c>
      <c r="D21" s="514">
        <v>44443</v>
      </c>
      <c r="E21" s="281" t="s">
        <v>1116</v>
      </c>
      <c r="F21" s="281" t="s">
        <v>1122</v>
      </c>
      <c r="G21" s="172" t="s">
        <v>562</v>
      </c>
    </row>
    <row r="22" spans="1:20" ht="90" hidden="1" x14ac:dyDescent="0.25">
      <c r="A22" s="510"/>
      <c r="B22" s="172" t="s">
        <v>1010</v>
      </c>
      <c r="C22" s="172" t="s">
        <v>1044</v>
      </c>
      <c r="D22" s="477" t="s">
        <v>1032</v>
      </c>
      <c r="E22" s="281" t="s">
        <v>1021</v>
      </c>
      <c r="F22" s="281" t="s">
        <v>1331</v>
      </c>
      <c r="G22" s="172" t="s">
        <v>811</v>
      </c>
    </row>
    <row r="23" spans="1:20" ht="30" hidden="1" x14ac:dyDescent="0.25">
      <c r="B23" s="172" t="s">
        <v>1010</v>
      </c>
      <c r="C23" s="172" t="s">
        <v>1043</v>
      </c>
      <c r="D23" s="172" t="s">
        <v>1032</v>
      </c>
      <c r="E23" s="281" t="s">
        <v>1011</v>
      </c>
      <c r="F23" s="281" t="s">
        <v>1042</v>
      </c>
      <c r="G23" s="172" t="s">
        <v>811</v>
      </c>
      <c r="H23"/>
      <c r="I23"/>
      <c r="J23"/>
      <c r="K23"/>
      <c r="L23"/>
      <c r="M23"/>
      <c r="N23"/>
      <c r="O23"/>
      <c r="P23"/>
      <c r="Q23"/>
      <c r="R23"/>
      <c r="S23"/>
      <c r="T23"/>
    </row>
    <row r="24" spans="1:20" ht="150" hidden="1" x14ac:dyDescent="0.25">
      <c r="A24" s="510"/>
      <c r="B24" s="172" t="s">
        <v>1015</v>
      </c>
      <c r="C24" s="172" t="s">
        <v>1016</v>
      </c>
      <c r="D24" s="1048" t="s">
        <v>1032</v>
      </c>
      <c r="E24" s="281" t="s">
        <v>1062</v>
      </c>
      <c r="F24" s="281" t="s">
        <v>2115</v>
      </c>
      <c r="G24" s="172" t="s">
        <v>811</v>
      </c>
    </row>
    <row r="25" spans="1:20" ht="45" hidden="1" x14ac:dyDescent="0.25">
      <c r="A25" s="510"/>
      <c r="B25" s="338">
        <v>44293</v>
      </c>
      <c r="C25" s="172" t="s">
        <v>1139</v>
      </c>
      <c r="D25" s="172" t="s">
        <v>1032</v>
      </c>
      <c r="E25" s="281" t="s">
        <v>1138</v>
      </c>
      <c r="F25" s="281" t="s">
        <v>1187</v>
      </c>
      <c r="G25" s="172" t="s">
        <v>811</v>
      </c>
    </row>
    <row r="26" spans="1:20" hidden="1" x14ac:dyDescent="0.25">
      <c r="A26" s="510"/>
      <c r="B26" s="338">
        <v>44293</v>
      </c>
      <c r="C26" s="172" t="s">
        <v>1130</v>
      </c>
      <c r="D26" s="172" t="s">
        <v>1032</v>
      </c>
      <c r="E26" s="281" t="s">
        <v>1156</v>
      </c>
      <c r="F26" s="281" t="s">
        <v>1155</v>
      </c>
      <c r="G26" s="172" t="s">
        <v>811</v>
      </c>
    </row>
    <row r="27" spans="1:20" ht="30" hidden="1" x14ac:dyDescent="0.25">
      <c r="A27" s="510"/>
      <c r="B27" s="338">
        <v>44293</v>
      </c>
      <c r="C27" s="172" t="s">
        <v>690</v>
      </c>
      <c r="D27" s="514">
        <v>44443</v>
      </c>
      <c r="E27" s="281" t="s">
        <v>1128</v>
      </c>
      <c r="F27" s="281" t="s">
        <v>1152</v>
      </c>
      <c r="G27" s="172" t="s">
        <v>811</v>
      </c>
    </row>
    <row r="28" spans="1:20" ht="30" hidden="1" x14ac:dyDescent="0.25">
      <c r="A28" s="510"/>
      <c r="B28" s="338">
        <v>44293</v>
      </c>
      <c r="C28" s="172" t="s">
        <v>690</v>
      </c>
      <c r="D28" s="338">
        <v>44294</v>
      </c>
      <c r="E28" s="281" t="s">
        <v>1129</v>
      </c>
      <c r="F28" s="281" t="s">
        <v>1134</v>
      </c>
      <c r="G28" s="172" t="s">
        <v>811</v>
      </c>
    </row>
    <row r="29" spans="1:20" hidden="1" x14ac:dyDescent="0.25">
      <c r="A29" s="510"/>
      <c r="B29" s="338">
        <v>44293</v>
      </c>
      <c r="C29" s="172" t="s">
        <v>688</v>
      </c>
      <c r="D29" s="338">
        <v>44294</v>
      </c>
      <c r="E29" s="281" t="s">
        <v>1131</v>
      </c>
      <c r="F29" s="281" t="s">
        <v>1137</v>
      </c>
      <c r="G29" s="172" t="s">
        <v>811</v>
      </c>
    </row>
    <row r="30" spans="1:20" ht="45" hidden="1" x14ac:dyDescent="0.25">
      <c r="A30" s="510"/>
      <c r="B30" s="338">
        <v>44289</v>
      </c>
      <c r="C30" s="172" t="s">
        <v>1159</v>
      </c>
      <c r="D30" s="514" t="s">
        <v>1035</v>
      </c>
      <c r="E30" s="596" t="s">
        <v>1136</v>
      </c>
      <c r="F30" s="281" t="s">
        <v>1236</v>
      </c>
      <c r="G30" s="172" t="s">
        <v>811</v>
      </c>
    </row>
    <row r="31" spans="1:20" hidden="1" x14ac:dyDescent="0.25">
      <c r="A31" s="510"/>
      <c r="B31" s="338">
        <v>44382</v>
      </c>
      <c r="C31" s="172" t="s">
        <v>688</v>
      </c>
      <c r="D31" s="172" t="s">
        <v>1206</v>
      </c>
      <c r="E31" s="281" t="s">
        <v>1207</v>
      </c>
      <c r="F31" s="281" t="s">
        <v>1275</v>
      </c>
      <c r="G31" s="172" t="s">
        <v>811</v>
      </c>
    </row>
    <row r="32" spans="1:20" ht="30" hidden="1" x14ac:dyDescent="0.25">
      <c r="A32" s="510"/>
      <c r="B32" s="338">
        <v>44292</v>
      </c>
      <c r="C32" s="172" t="s">
        <v>1227</v>
      </c>
      <c r="D32" s="338" t="s">
        <v>1316</v>
      </c>
      <c r="E32" s="281" t="s">
        <v>1315</v>
      </c>
      <c r="F32" s="281" t="s">
        <v>1436</v>
      </c>
      <c r="G32" s="172" t="s">
        <v>811</v>
      </c>
    </row>
    <row r="33" spans="1:7" hidden="1" x14ac:dyDescent="0.25">
      <c r="A33" s="510"/>
      <c r="B33" s="338">
        <v>44414</v>
      </c>
      <c r="C33" s="172" t="s">
        <v>1117</v>
      </c>
      <c r="D33" s="172"/>
      <c r="E33" s="281" t="s">
        <v>1231</v>
      </c>
      <c r="F33" s="281" t="s">
        <v>1328</v>
      </c>
      <c r="G33" s="172" t="s">
        <v>811</v>
      </c>
    </row>
    <row r="34" spans="1:7" ht="30" hidden="1" x14ac:dyDescent="0.25">
      <c r="A34" s="510"/>
      <c r="B34" s="338">
        <v>44475</v>
      </c>
      <c r="C34" s="172" t="s">
        <v>688</v>
      </c>
      <c r="D34" s="172"/>
      <c r="E34" s="281" t="s">
        <v>1232</v>
      </c>
      <c r="F34" s="281" t="s">
        <v>1277</v>
      </c>
      <c r="G34" s="172" t="s">
        <v>811</v>
      </c>
    </row>
    <row r="35" spans="1:7" hidden="1" x14ac:dyDescent="0.25">
      <c r="A35" s="510"/>
      <c r="B35" s="172" t="s">
        <v>1234</v>
      </c>
      <c r="C35" s="172" t="s">
        <v>688</v>
      </c>
      <c r="D35" s="172"/>
      <c r="E35" s="281" t="s">
        <v>1235</v>
      </c>
      <c r="F35" s="281" t="s">
        <v>1311</v>
      </c>
      <c r="G35" s="172" t="s">
        <v>811</v>
      </c>
    </row>
    <row r="36" spans="1:7" hidden="1" x14ac:dyDescent="0.25">
      <c r="A36" s="510"/>
      <c r="B36" s="338">
        <v>44264</v>
      </c>
      <c r="C36" s="172" t="s">
        <v>1381</v>
      </c>
      <c r="D36" s="338">
        <v>44478</v>
      </c>
      <c r="E36" s="281" t="s">
        <v>1435</v>
      </c>
      <c r="F36" s="281" t="s">
        <v>1434</v>
      </c>
      <c r="G36" s="172" t="s">
        <v>811</v>
      </c>
    </row>
    <row r="37" spans="1:7" hidden="1" x14ac:dyDescent="0.25">
      <c r="A37" s="510"/>
      <c r="B37" s="172" t="s">
        <v>1468</v>
      </c>
      <c r="C37" s="172" t="s">
        <v>1469</v>
      </c>
      <c r="D37" s="338">
        <v>44480</v>
      </c>
      <c r="E37" s="281" t="s">
        <v>1470</v>
      </c>
      <c r="F37" s="449" t="s">
        <v>1495</v>
      </c>
      <c r="G37" s="172" t="s">
        <v>811</v>
      </c>
    </row>
    <row r="38" spans="1:7" hidden="1" x14ac:dyDescent="0.25">
      <c r="A38" s="510"/>
      <c r="B38" s="338">
        <v>44266</v>
      </c>
      <c r="C38" s="172" t="s">
        <v>1505</v>
      </c>
      <c r="D38" s="172"/>
      <c r="E38" s="281" t="s">
        <v>1504</v>
      </c>
      <c r="F38" s="281" t="s">
        <v>2090</v>
      </c>
      <c r="G38" s="172" t="s">
        <v>811</v>
      </c>
    </row>
    <row r="39" spans="1:7" x14ac:dyDescent="0.25">
      <c r="A39" s="510"/>
      <c r="B39" s="338">
        <v>44208</v>
      </c>
      <c r="C39" s="172" t="s">
        <v>2095</v>
      </c>
      <c r="D39" s="338">
        <v>44568</v>
      </c>
      <c r="E39" s="281" t="s">
        <v>1534</v>
      </c>
      <c r="F39" s="281" t="s">
        <v>2096</v>
      </c>
      <c r="G39" s="172" t="s">
        <v>562</v>
      </c>
    </row>
    <row r="40" spans="1:7" ht="30" hidden="1" x14ac:dyDescent="0.25">
      <c r="A40" s="510"/>
      <c r="B40" s="338">
        <v>44620</v>
      </c>
      <c r="C40" s="172" t="s">
        <v>1887</v>
      </c>
      <c r="D40" s="338">
        <v>44568</v>
      </c>
      <c r="E40" s="281" t="s">
        <v>1886</v>
      </c>
      <c r="F40" s="281" t="s">
        <v>2112</v>
      </c>
      <c r="G40" s="172" t="s">
        <v>811</v>
      </c>
    </row>
    <row r="41" spans="1:7" ht="87" hidden="1" customHeight="1" x14ac:dyDescent="0.25">
      <c r="A41" s="510"/>
      <c r="B41" s="338">
        <v>44650</v>
      </c>
      <c r="C41" s="172" t="s">
        <v>2002</v>
      </c>
      <c r="D41" s="338">
        <v>44568</v>
      </c>
      <c r="E41" s="1049" t="s">
        <v>2003</v>
      </c>
      <c r="F41" s="281" t="s">
        <v>2052</v>
      </c>
      <c r="G41" s="172" t="s">
        <v>811</v>
      </c>
    </row>
    <row r="42" spans="1:7" ht="45" hidden="1" x14ac:dyDescent="0.25">
      <c r="A42" s="510"/>
      <c r="B42" s="338">
        <v>44693</v>
      </c>
      <c r="C42" s="172" t="s">
        <v>2008</v>
      </c>
      <c r="D42" s="338">
        <v>44568</v>
      </c>
      <c r="E42" s="281" t="s">
        <v>2009</v>
      </c>
      <c r="F42" s="281" t="s">
        <v>2052</v>
      </c>
      <c r="G42" s="172" t="s">
        <v>811</v>
      </c>
    </row>
    <row r="43" spans="1:7" x14ac:dyDescent="0.25">
      <c r="B43" s="338">
        <v>44694</v>
      </c>
      <c r="C43" s="172" t="s">
        <v>2051</v>
      </c>
      <c r="D43" s="338">
        <v>44570</v>
      </c>
      <c r="E43" s="281" t="s">
        <v>2037</v>
      </c>
      <c r="F43" s="281" t="s">
        <v>2052</v>
      </c>
      <c r="G43" s="172" t="s">
        <v>2069</v>
      </c>
    </row>
    <row r="44" spans="1:7" hidden="1" x14ac:dyDescent="0.25">
      <c r="B44" s="338"/>
      <c r="C44" s="172"/>
      <c r="D44" s="338"/>
      <c r="E44" s="281" t="s">
        <v>2015</v>
      </c>
      <c r="F44" s="281" t="s">
        <v>2111</v>
      </c>
      <c r="G44" s="172" t="s">
        <v>811</v>
      </c>
    </row>
    <row r="45" spans="1:7" hidden="1" x14ac:dyDescent="0.25">
      <c r="B45" s="338">
        <v>44732</v>
      </c>
      <c r="C45" s="172" t="s">
        <v>2051</v>
      </c>
      <c r="D45" s="338">
        <v>44732</v>
      </c>
      <c r="E45" s="281" t="s">
        <v>2042</v>
      </c>
      <c r="F45" s="281" t="s">
        <v>2052</v>
      </c>
      <c r="G45" s="172" t="s">
        <v>811</v>
      </c>
    </row>
    <row r="46" spans="1:7" ht="30" x14ac:dyDescent="0.25">
      <c r="B46" s="338">
        <v>44733</v>
      </c>
      <c r="C46" s="172" t="s">
        <v>2008</v>
      </c>
      <c r="D46" s="338">
        <v>44763</v>
      </c>
      <c r="E46" s="281" t="s">
        <v>2087</v>
      </c>
      <c r="F46" s="281"/>
      <c r="G46" s="172" t="s">
        <v>562</v>
      </c>
    </row>
    <row r="47" spans="1:7" x14ac:dyDescent="0.25">
      <c r="B47" s="338"/>
      <c r="C47" s="172"/>
      <c r="D47" s="338"/>
      <c r="E47" s="281" t="s">
        <v>2123</v>
      </c>
      <c r="F47" s="281"/>
      <c r="G47" s="172"/>
    </row>
    <row r="48" spans="1:7" x14ac:dyDescent="0.25">
      <c r="B48" s="338"/>
      <c r="C48" s="172"/>
      <c r="D48" s="338"/>
      <c r="E48" s="281" t="s">
        <v>2124</v>
      </c>
      <c r="F48" s="281"/>
      <c r="G48" s="172"/>
    </row>
    <row r="49" spans="2:7" x14ac:dyDescent="0.25">
      <c r="B49" s="338"/>
      <c r="C49" s="172"/>
      <c r="D49" s="338"/>
      <c r="E49" s="281"/>
      <c r="F49" s="281"/>
      <c r="G49" s="172"/>
    </row>
    <row r="50" spans="2:7" x14ac:dyDescent="0.25">
      <c r="B50" s="338"/>
      <c r="C50" s="172"/>
      <c r="D50" s="338"/>
      <c r="E50" s="281"/>
      <c r="F50" s="281"/>
      <c r="G50" s="172"/>
    </row>
    <row r="51" spans="2:7" x14ac:dyDescent="0.25">
      <c r="B51" s="338"/>
      <c r="C51" s="172"/>
      <c r="D51" s="338"/>
      <c r="E51" s="281"/>
      <c r="F51" s="281"/>
      <c r="G51" s="172"/>
    </row>
    <row r="52" spans="2:7" x14ac:dyDescent="0.25">
      <c r="B52" s="338"/>
      <c r="C52" s="172"/>
      <c r="D52" s="338"/>
      <c r="E52" s="281"/>
      <c r="F52" s="281"/>
      <c r="G52" s="172"/>
    </row>
    <row r="53" spans="2:7" x14ac:dyDescent="0.25">
      <c r="B53" s="338"/>
      <c r="C53" s="172"/>
      <c r="D53" s="338"/>
      <c r="E53" s="281"/>
      <c r="F53" s="281"/>
      <c r="G53" s="172"/>
    </row>
    <row r="54" spans="2:7" x14ac:dyDescent="0.25">
      <c r="B54" s="338"/>
      <c r="C54" s="172"/>
      <c r="D54" s="338"/>
      <c r="E54" s="281"/>
      <c r="F54" s="281"/>
      <c r="G54" s="172"/>
    </row>
    <row r="55" spans="2:7" x14ac:dyDescent="0.25">
      <c r="B55" s="338"/>
      <c r="C55" s="172"/>
      <c r="D55" s="338"/>
      <c r="E55" s="281"/>
      <c r="F55" s="281"/>
      <c r="G55" s="172"/>
    </row>
  </sheetData>
  <autoFilter ref="B3:G46" xr:uid="{6153C741-3071-44D4-B3BC-A4778F06161C}">
    <filterColumn colId="5">
      <filters>
        <filter val="On going"/>
        <filter val="Open"/>
      </filters>
    </filterColumn>
  </autoFilter>
  <sortState xmlns:xlrd2="http://schemas.microsoft.com/office/spreadsheetml/2017/richdata2" ref="B11:G20">
    <sortCondition descending="1" ref="B11"/>
  </sortState>
  <mergeCells count="1">
    <mergeCell ref="A1:G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Packager Shell Object" dvAspect="DVASPECT_ICON" shapeId="104450" r:id="rId4">
          <objectPr defaultSize="0" r:id="rId5">
            <anchor moveWithCells="1">
              <from>
                <xdr:col>5</xdr:col>
                <xdr:colOff>19050</xdr:colOff>
                <xdr:row>45</xdr:row>
                <xdr:rowOff>247650</xdr:rowOff>
              </from>
              <to>
                <xdr:col>5</xdr:col>
                <xdr:colOff>885825</xdr:colOff>
                <xdr:row>48</xdr:row>
                <xdr:rowOff>0</xdr:rowOff>
              </to>
            </anchor>
          </objectPr>
        </oleObject>
      </mc:Choice>
      <mc:Fallback>
        <oleObject progId="Packager Shell Object" dvAspect="DVASPECT_ICON" shapeId="104450" r:id="rId4"/>
      </mc:Fallback>
    </mc:AlternateContent>
  </oleObjec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CA5B1-FFC8-49C0-A24B-94A4B18A7C6A}">
  <dimension ref="B1:K36"/>
  <sheetViews>
    <sheetView zoomScale="70" zoomScaleNormal="70"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21" customWidth="1"/>
    <col min="10" max="10" width="14.85546875" customWidth="1"/>
    <col min="11" max="11" width="31.7109375" customWidth="1"/>
  </cols>
  <sheetData>
    <row r="1" spans="2:11" x14ac:dyDescent="0.25">
      <c r="B1" s="16" t="s">
        <v>1055</v>
      </c>
    </row>
    <row r="2" spans="2:11" ht="15.75" thickBot="1" x14ac:dyDescent="0.3">
      <c r="E2" s="949"/>
      <c r="F2" s="949"/>
      <c r="G2" s="949"/>
    </row>
    <row r="3" spans="2:11" x14ac:dyDescent="0.25">
      <c r="B3" s="380" t="s">
        <v>0</v>
      </c>
      <c r="C3" s="20" t="s">
        <v>847</v>
      </c>
      <c r="D3" s="53"/>
      <c r="E3" s="949"/>
      <c r="F3" s="949"/>
      <c r="G3" s="949"/>
    </row>
    <row r="4" spans="2:11" ht="15.75" thickBot="1" x14ac:dyDescent="0.3">
      <c r="B4" s="381" t="s">
        <v>1</v>
      </c>
      <c r="C4" s="23" t="s">
        <v>866</v>
      </c>
      <c r="D4" s="53"/>
      <c r="E4" s="949"/>
      <c r="F4" s="949"/>
      <c r="G4" s="949"/>
    </row>
    <row r="5" spans="2:11" ht="15.75" thickBot="1" x14ac:dyDescent="0.3"/>
    <row r="6" spans="2:11" ht="45.75" thickBot="1" x14ac:dyDescent="0.3">
      <c r="D6" s="52" t="s">
        <v>666</v>
      </c>
      <c r="E6" s="1392" t="s">
        <v>46</v>
      </c>
      <c r="F6" s="1394"/>
      <c r="G6" s="1393"/>
      <c r="H6" s="52" t="s">
        <v>61</v>
      </c>
      <c r="I6" s="384" t="s">
        <v>94</v>
      </c>
      <c r="J6" s="385" t="s">
        <v>96</v>
      </c>
      <c r="K6" s="383" t="s">
        <v>95</v>
      </c>
    </row>
    <row r="7" spans="2:11" x14ac:dyDescent="0.25">
      <c r="B7" s="42" t="s">
        <v>59</v>
      </c>
      <c r="C7" s="45" t="s">
        <v>49</v>
      </c>
      <c r="D7" s="45" t="s">
        <v>49</v>
      </c>
      <c r="E7" s="48">
        <v>125</v>
      </c>
      <c r="F7" s="27">
        <v>25</v>
      </c>
      <c r="G7" s="37">
        <v>-40</v>
      </c>
      <c r="H7" s="33" t="s">
        <v>48</v>
      </c>
      <c r="I7" s="36" t="s">
        <v>49</v>
      </c>
      <c r="J7" s="84" t="s">
        <v>49</v>
      </c>
      <c r="K7" s="83" t="s">
        <v>49</v>
      </c>
    </row>
    <row r="8" spans="2:11" ht="45" x14ac:dyDescent="0.25">
      <c r="B8" s="1501" t="s">
        <v>63</v>
      </c>
      <c r="C8" s="382" t="s">
        <v>862</v>
      </c>
      <c r="D8" s="1040" t="str">
        <f>"no, value d58 by default if not trimmed"</f>
        <v>no, value d58 by default if not trimmed</v>
      </c>
      <c r="E8" s="412">
        <v>1.56</v>
      </c>
      <c r="F8" s="362">
        <v>1.56</v>
      </c>
      <c r="G8" s="921">
        <v>1.56</v>
      </c>
      <c r="H8" s="34" t="s">
        <v>90</v>
      </c>
      <c r="I8" s="400" t="s">
        <v>861</v>
      </c>
      <c r="J8" s="409" t="s">
        <v>859</v>
      </c>
      <c r="K8" s="79" t="s">
        <v>857</v>
      </c>
    </row>
    <row r="9" spans="2:11" ht="45" x14ac:dyDescent="0.25">
      <c r="B9" s="1501"/>
      <c r="C9" s="382" t="s">
        <v>863</v>
      </c>
      <c r="D9" s="1040" t="str">
        <f>"no, value d5 by default if not trimmed"</f>
        <v>no, value d5 by default if not trimmed</v>
      </c>
      <c r="E9" s="306">
        <v>0.45</v>
      </c>
      <c r="F9" s="407">
        <v>0.45</v>
      </c>
      <c r="G9" s="411">
        <v>0.45</v>
      </c>
      <c r="H9" s="34" t="s">
        <v>90</v>
      </c>
      <c r="I9" s="400" t="s">
        <v>861</v>
      </c>
      <c r="J9" s="409" t="s">
        <v>860</v>
      </c>
      <c r="K9" s="79" t="s">
        <v>858</v>
      </c>
    </row>
    <row r="10" spans="2:11" ht="15.75" thickBot="1" x14ac:dyDescent="0.3">
      <c r="B10" s="43" t="s">
        <v>60</v>
      </c>
      <c r="C10" s="47" t="s">
        <v>49</v>
      </c>
      <c r="D10" s="47" t="s">
        <v>49</v>
      </c>
      <c r="E10" s="51" t="s">
        <v>372</v>
      </c>
      <c r="F10" s="29"/>
      <c r="G10" s="41"/>
      <c r="H10" s="35" t="s">
        <v>49</v>
      </c>
      <c r="I10" s="40" t="s">
        <v>49</v>
      </c>
      <c r="J10" s="86" t="s">
        <v>49</v>
      </c>
      <c r="K10" s="81" t="s">
        <v>49</v>
      </c>
    </row>
    <row r="11" spans="2:11" x14ac:dyDescent="0.25">
      <c r="B11" t="s">
        <v>58</v>
      </c>
    </row>
    <row r="12" spans="2:11" x14ac:dyDescent="0.25">
      <c r="B12" t="s">
        <v>50</v>
      </c>
    </row>
    <row r="14" spans="2:11" x14ac:dyDescent="0.25">
      <c r="B14" s="17" t="s">
        <v>822</v>
      </c>
      <c r="C14" s="63" t="s">
        <v>856</v>
      </c>
    </row>
    <row r="15" spans="2:11" x14ac:dyDescent="0.25">
      <c r="B15" s="17"/>
      <c r="C15" t="s">
        <v>1582</v>
      </c>
    </row>
    <row r="16" spans="2:11" x14ac:dyDescent="0.25">
      <c r="B16" s="17"/>
      <c r="C16" s="63"/>
    </row>
    <row r="17" spans="2:7" x14ac:dyDescent="0.25">
      <c r="B17" s="17" t="s">
        <v>51</v>
      </c>
    </row>
    <row r="18" spans="2:7" x14ac:dyDescent="0.25">
      <c r="C18" s="1" t="s">
        <v>999</v>
      </c>
      <c r="D18" s="18"/>
    </row>
    <row r="20" spans="2:7" x14ac:dyDescent="0.25">
      <c r="B20" s="17" t="s">
        <v>53</v>
      </c>
    </row>
    <row r="21" spans="2:7" x14ac:dyDescent="0.25">
      <c r="C21" s="202" t="s">
        <v>88</v>
      </c>
      <c r="D21" s="18"/>
    </row>
    <row r="23" spans="2:7" x14ac:dyDescent="0.25">
      <c r="B23" s="17" t="s">
        <v>633</v>
      </c>
      <c r="C23" s="1"/>
    </row>
    <row r="24" spans="2:7" x14ac:dyDescent="0.25">
      <c r="C24" s="202" t="s">
        <v>88</v>
      </c>
      <c r="D24" s="202"/>
      <c r="E24" s="202"/>
      <c r="F24" s="202"/>
      <c r="G24" s="202"/>
    </row>
    <row r="26" spans="2:7" x14ac:dyDescent="0.25">
      <c r="B26" s="17" t="s">
        <v>55</v>
      </c>
    </row>
    <row r="27" spans="2:7" x14ac:dyDescent="0.25">
      <c r="C27" t="s">
        <v>864</v>
      </c>
    </row>
    <row r="28" spans="2:7" x14ac:dyDescent="0.25">
      <c r="C28" s="125" t="s">
        <v>865</v>
      </c>
    </row>
    <row r="29" spans="2:7" x14ac:dyDescent="0.25">
      <c r="C29" s="125" t="s">
        <v>867</v>
      </c>
    </row>
    <row r="31" spans="2:7" x14ac:dyDescent="0.25">
      <c r="B31" s="17" t="s">
        <v>1174</v>
      </c>
    </row>
    <row r="32" spans="2:7" x14ac:dyDescent="0.25">
      <c r="C32" s="63" t="s">
        <v>1335</v>
      </c>
    </row>
    <row r="33" spans="2:10" x14ac:dyDescent="0.25">
      <c r="C33" t="s">
        <v>2005</v>
      </c>
      <c r="D33" s="18"/>
    </row>
    <row r="34" spans="2:10" x14ac:dyDescent="0.25">
      <c r="D34" s="18"/>
    </row>
    <row r="35" spans="2:10" x14ac:dyDescent="0.25">
      <c r="B35" s="17" t="s">
        <v>56</v>
      </c>
    </row>
    <row r="36" spans="2:10" x14ac:dyDescent="0.25">
      <c r="C36" s="202" t="s">
        <v>88</v>
      </c>
      <c r="J36" t="s">
        <v>2004</v>
      </c>
    </row>
  </sheetData>
  <mergeCells count="2">
    <mergeCell ref="E6:G6"/>
    <mergeCell ref="B8:B9"/>
  </mergeCells>
  <hyperlinks>
    <hyperlink ref="B1" location="'RFE SOC FuseMap'!A1" display="RFE/SOC FuseMap" xr:uid="{1D1F372E-A5A6-4CE5-9C30-54B3847371B7}"/>
  </hyperlinks>
  <pageMargins left="0.7" right="0.7" top="0.75" bottom="0.75" header="0.3" footer="0.3"/>
  <pageSetup paperSize="9" orientation="portrait" verticalDpi="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B7DA7-1F24-4864-BA4D-FD3E4FDB6B5E}">
  <dimension ref="B1:K50"/>
  <sheetViews>
    <sheetView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23.140625" customWidth="1"/>
    <col min="8" max="8" width="26.42578125" bestFit="1" customWidth="1"/>
    <col min="9" max="9" width="39.42578125" bestFit="1" customWidth="1"/>
    <col min="10" max="10" width="18.140625" customWidth="1"/>
    <col min="11" max="11" width="24.28515625" customWidth="1"/>
  </cols>
  <sheetData>
    <row r="1" spans="2:11" x14ac:dyDescent="0.25">
      <c r="B1" s="16" t="s">
        <v>1055</v>
      </c>
    </row>
    <row r="2" spans="2:11" ht="15.75" thickBot="1" x14ac:dyDescent="0.3">
      <c r="E2" s="949"/>
      <c r="F2" s="949"/>
      <c r="G2" s="949"/>
    </row>
    <row r="3" spans="2:11" x14ac:dyDescent="0.25">
      <c r="B3" s="850" t="s">
        <v>0</v>
      </c>
      <c r="C3" s="20" t="s">
        <v>847</v>
      </c>
      <c r="D3" s="53"/>
      <c r="E3" s="949"/>
      <c r="F3" s="949"/>
      <c r="G3" s="949"/>
    </row>
    <row r="4" spans="2:11" ht="15.75" thickBot="1" x14ac:dyDescent="0.3">
      <c r="B4" s="851" t="s">
        <v>1</v>
      </c>
      <c r="C4" s="23" t="s">
        <v>1545</v>
      </c>
      <c r="D4" s="53"/>
      <c r="E4" s="949"/>
      <c r="F4" s="949"/>
      <c r="G4" s="949"/>
    </row>
    <row r="5" spans="2:11" ht="15.75" thickBot="1" x14ac:dyDescent="0.3"/>
    <row r="6" spans="2:11" ht="45.75" thickBot="1" x14ac:dyDescent="0.3">
      <c r="D6" s="52" t="s">
        <v>666</v>
      </c>
      <c r="E6" s="1365" t="s">
        <v>46</v>
      </c>
      <c r="F6" s="1366"/>
      <c r="G6" s="1367"/>
      <c r="H6" s="52" t="s">
        <v>61</v>
      </c>
      <c r="I6" s="863" t="s">
        <v>94</v>
      </c>
      <c r="J6" s="864" t="s">
        <v>96</v>
      </c>
      <c r="K6" s="865" t="s">
        <v>95</v>
      </c>
    </row>
    <row r="7" spans="2:11" x14ac:dyDescent="0.25">
      <c r="B7" s="42" t="s">
        <v>59</v>
      </c>
      <c r="C7" s="45" t="s">
        <v>49</v>
      </c>
      <c r="D7" s="45" t="s">
        <v>49</v>
      </c>
      <c r="E7" s="48">
        <v>125</v>
      </c>
      <c r="F7" s="27">
        <v>25</v>
      </c>
      <c r="G7" s="37">
        <v>-40</v>
      </c>
      <c r="H7" s="33" t="s">
        <v>48</v>
      </c>
      <c r="I7" s="36" t="s">
        <v>49</v>
      </c>
      <c r="J7" s="84" t="s">
        <v>49</v>
      </c>
      <c r="K7" s="83" t="s">
        <v>49</v>
      </c>
    </row>
    <row r="8" spans="2:11" ht="30" x14ac:dyDescent="0.25">
      <c r="B8" s="862" t="s">
        <v>63</v>
      </c>
      <c r="C8" s="46" t="s">
        <v>2056</v>
      </c>
      <c r="D8" s="54" t="s">
        <v>64</v>
      </c>
      <c r="E8" s="1377" t="s">
        <v>1818</v>
      </c>
      <c r="F8" s="1378"/>
      <c r="G8" s="1379"/>
      <c r="H8" s="231" t="s">
        <v>49</v>
      </c>
      <c r="I8" s="935" t="s">
        <v>2053</v>
      </c>
      <c r="J8" s="936" t="s">
        <v>2054</v>
      </c>
      <c r="K8" s="336" t="s">
        <v>2055</v>
      </c>
    </row>
    <row r="9" spans="2:11" s="949" customFormat="1" x14ac:dyDescent="0.25">
      <c r="B9" s="1073"/>
      <c r="C9" s="46" t="s">
        <v>2057</v>
      </c>
      <c r="D9" s="54" t="s">
        <v>64</v>
      </c>
      <c r="E9" s="1377" t="s">
        <v>1818</v>
      </c>
      <c r="F9" s="1378"/>
      <c r="G9" s="1379"/>
      <c r="H9" s="231" t="s">
        <v>49</v>
      </c>
      <c r="I9" s="935" t="s">
        <v>2053</v>
      </c>
      <c r="J9" s="936" t="s">
        <v>2065</v>
      </c>
      <c r="K9" s="1082" t="s">
        <v>2064</v>
      </c>
    </row>
    <row r="10" spans="2:11" ht="15.75" thickBot="1" x14ac:dyDescent="0.3">
      <c r="B10" s="43" t="s">
        <v>60</v>
      </c>
      <c r="C10" s="47" t="s">
        <v>49</v>
      </c>
      <c r="D10" s="47" t="s">
        <v>49</v>
      </c>
      <c r="E10" s="51" t="s">
        <v>372</v>
      </c>
      <c r="F10" s="29"/>
      <c r="G10" s="41"/>
      <c r="H10" s="35" t="s">
        <v>49</v>
      </c>
      <c r="I10" s="40" t="s">
        <v>49</v>
      </c>
      <c r="J10" s="86" t="s">
        <v>49</v>
      </c>
      <c r="K10" s="81" t="s">
        <v>49</v>
      </c>
    </row>
    <row r="11" spans="2:11" x14ac:dyDescent="0.25">
      <c r="B11" t="s">
        <v>58</v>
      </c>
    </row>
    <row r="12" spans="2:11" x14ac:dyDescent="0.25">
      <c r="B12" t="s">
        <v>50</v>
      </c>
    </row>
    <row r="13" spans="2:11" x14ac:dyDescent="0.25">
      <c r="J13" s="63"/>
    </row>
    <row r="14" spans="2:11" x14ac:dyDescent="0.25">
      <c r="B14" s="17" t="s">
        <v>822</v>
      </c>
      <c r="C14" t="s">
        <v>1582</v>
      </c>
    </row>
    <row r="15" spans="2:11" x14ac:dyDescent="0.25">
      <c r="B15" s="17"/>
      <c r="C15" s="63" t="s">
        <v>856</v>
      </c>
    </row>
    <row r="16" spans="2:11" x14ac:dyDescent="0.25">
      <c r="B16" s="17"/>
      <c r="C16" s="63"/>
    </row>
    <row r="17" spans="2:10" x14ac:dyDescent="0.25">
      <c r="B17" s="17" t="s">
        <v>51</v>
      </c>
      <c r="F17" s="60" t="s">
        <v>2089</v>
      </c>
      <c r="G17" s="60"/>
      <c r="H17" s="60"/>
    </row>
    <row r="18" spans="2:10" x14ac:dyDescent="0.25">
      <c r="C18" s="1" t="s">
        <v>999</v>
      </c>
      <c r="D18" s="18"/>
    </row>
    <row r="19" spans="2:10" x14ac:dyDescent="0.25">
      <c r="C19" s="1" t="s">
        <v>1000</v>
      </c>
    </row>
    <row r="20" spans="2:10" x14ac:dyDescent="0.25">
      <c r="C20" s="1"/>
    </row>
    <row r="21" spans="2:10" x14ac:dyDescent="0.25">
      <c r="B21" s="17" t="s">
        <v>1614</v>
      </c>
      <c r="C21" s="883"/>
      <c r="G21" s="892"/>
    </row>
    <row r="22" spans="2:10" x14ac:dyDescent="0.25">
      <c r="C22" s="892" t="s">
        <v>1615</v>
      </c>
      <c r="G22" s="892"/>
    </row>
    <row r="23" spans="2:10" s="949" customFormat="1" x14ac:dyDescent="0.25">
      <c r="C23" s="892" t="s">
        <v>2066</v>
      </c>
      <c r="G23" s="892"/>
    </row>
    <row r="24" spans="2:10" s="949" customFormat="1" x14ac:dyDescent="0.25">
      <c r="C24" s="892" t="s">
        <v>2067</v>
      </c>
      <c r="G24" s="892"/>
    </row>
    <row r="25" spans="2:10" x14ac:dyDescent="0.25">
      <c r="C25" s="892"/>
      <c r="G25" s="892"/>
    </row>
    <row r="26" spans="2:10" x14ac:dyDescent="0.25">
      <c r="B26" s="17" t="s">
        <v>53</v>
      </c>
    </row>
    <row r="27" spans="2:10" x14ac:dyDescent="0.25">
      <c r="C27" s="1" t="s">
        <v>88</v>
      </c>
      <c r="D27" s="18"/>
    </row>
    <row r="29" spans="2:10" x14ac:dyDescent="0.25">
      <c r="B29" s="17" t="s">
        <v>633</v>
      </c>
      <c r="C29" s="1"/>
    </row>
    <row r="30" spans="2:10" x14ac:dyDescent="0.25">
      <c r="C30" s="914" t="s">
        <v>88</v>
      </c>
      <c r="D30" s="888"/>
      <c r="E30" s="888"/>
      <c r="F30" s="888"/>
      <c r="G30" s="888"/>
    </row>
    <row r="31" spans="2:10" ht="15.75" thickBot="1" x14ac:dyDescent="0.3"/>
    <row r="32" spans="2:10" ht="30" x14ac:dyDescent="0.25">
      <c r="B32" s="17" t="s">
        <v>55</v>
      </c>
      <c r="E32" s="17"/>
      <c r="G32" s="578" t="s">
        <v>94</v>
      </c>
      <c r="H32" s="580" t="s">
        <v>96</v>
      </c>
      <c r="I32" s="94" t="s">
        <v>95</v>
      </c>
      <c r="J32" s="885" t="s">
        <v>1648</v>
      </c>
    </row>
    <row r="33" spans="2:10" x14ac:dyDescent="0.25">
      <c r="B33" s="17"/>
      <c r="C33" t="s">
        <v>1811</v>
      </c>
      <c r="G33" s="39" t="s">
        <v>1637</v>
      </c>
      <c r="H33" s="21" t="s">
        <v>1636</v>
      </c>
      <c r="I33" s="79" t="s">
        <v>1635</v>
      </c>
      <c r="J33" s="886">
        <v>127</v>
      </c>
    </row>
    <row r="34" spans="2:10" x14ac:dyDescent="0.25">
      <c r="B34" s="17"/>
      <c r="C34" t="s">
        <v>1812</v>
      </c>
      <c r="G34" s="39" t="s">
        <v>1637</v>
      </c>
      <c r="H34" s="21" t="s">
        <v>1813</v>
      </c>
      <c r="I34" s="79" t="str">
        <f>LOWER(G34)&amp;"_"&amp;LOWER(H34)</f>
        <v>ana_lpf_ctl5_lpf_biasmirror_en</v>
      </c>
      <c r="J34" s="886">
        <v>1</v>
      </c>
    </row>
    <row r="35" spans="2:10" x14ac:dyDescent="0.25">
      <c r="B35" s="17"/>
      <c r="C35" t="s">
        <v>1814</v>
      </c>
      <c r="G35" s="39" t="s">
        <v>1637</v>
      </c>
      <c r="H35" s="21" t="s">
        <v>1638</v>
      </c>
      <c r="I35" s="79" t="str">
        <f>LOWER(G35)&amp;"_"&amp;LOWER(H35)</f>
        <v>ana_lpf_ctl5_lpf_force_vtune_en</v>
      </c>
      <c r="J35" s="886">
        <v>1</v>
      </c>
    </row>
    <row r="36" spans="2:10" x14ac:dyDescent="0.25">
      <c r="B36" s="17"/>
      <c r="C36" t="s">
        <v>2058</v>
      </c>
    </row>
    <row r="37" spans="2:10" x14ac:dyDescent="0.25">
      <c r="B37" s="17"/>
      <c r="C37" t="s">
        <v>2060</v>
      </c>
      <c r="G37" s="39" t="s">
        <v>1637</v>
      </c>
      <c r="H37" s="21" t="s">
        <v>1636</v>
      </c>
      <c r="I37" s="79" t="s">
        <v>1635</v>
      </c>
      <c r="J37" s="886">
        <v>114</v>
      </c>
    </row>
    <row r="38" spans="2:10" s="949" customFormat="1" x14ac:dyDescent="0.25">
      <c r="B38" s="17"/>
      <c r="G38" s="953" t="s">
        <v>1637</v>
      </c>
      <c r="H38" s="951" t="s">
        <v>1636</v>
      </c>
      <c r="I38" s="956" t="s">
        <v>1635</v>
      </c>
      <c r="J38" s="983">
        <v>100</v>
      </c>
    </row>
    <row r="39" spans="2:10" s="949" customFormat="1" x14ac:dyDescent="0.25">
      <c r="B39" s="17"/>
      <c r="C39" s="949" t="s">
        <v>2061</v>
      </c>
    </row>
    <row r="40" spans="2:10" x14ac:dyDescent="0.25">
      <c r="B40" s="17"/>
      <c r="C40" s="949" t="s">
        <v>2059</v>
      </c>
      <c r="G40" s="39" t="s">
        <v>1637</v>
      </c>
      <c r="H40" s="21" t="s">
        <v>1636</v>
      </c>
      <c r="I40" s="79" t="s">
        <v>1635</v>
      </c>
      <c r="J40" s="886">
        <v>75</v>
      </c>
    </row>
    <row r="41" spans="2:10" x14ac:dyDescent="0.25">
      <c r="B41" s="17"/>
      <c r="G41" s="39" t="s">
        <v>1637</v>
      </c>
      <c r="H41" s="21" t="s">
        <v>1636</v>
      </c>
      <c r="I41" s="79" t="s">
        <v>1635</v>
      </c>
      <c r="J41" s="886">
        <v>50</v>
      </c>
    </row>
    <row r="42" spans="2:10" x14ac:dyDescent="0.25">
      <c r="B42" s="17"/>
      <c r="G42" s="39" t="s">
        <v>1637</v>
      </c>
      <c r="H42" s="21" t="s">
        <v>1636</v>
      </c>
      <c r="I42" s="79" t="s">
        <v>1635</v>
      </c>
      <c r="J42" s="886">
        <v>20</v>
      </c>
    </row>
    <row r="43" spans="2:10" x14ac:dyDescent="0.25">
      <c r="B43" s="17"/>
      <c r="C43" s="949" t="s">
        <v>2062</v>
      </c>
    </row>
    <row r="44" spans="2:10" x14ac:dyDescent="0.25">
      <c r="B44" s="17"/>
      <c r="C44" s="60" t="s">
        <v>2063</v>
      </c>
    </row>
    <row r="46" spans="2:10" x14ac:dyDescent="0.25">
      <c r="B46" s="17" t="s">
        <v>1174</v>
      </c>
    </row>
    <row r="47" spans="2:10" x14ac:dyDescent="0.25">
      <c r="C47" s="60" t="s">
        <v>1817</v>
      </c>
      <c r="D47" s="60"/>
      <c r="E47" s="60"/>
    </row>
    <row r="49" spans="2:4" x14ac:dyDescent="0.25">
      <c r="B49" s="17" t="s">
        <v>56</v>
      </c>
    </row>
    <row r="50" spans="2:4" x14ac:dyDescent="0.25">
      <c r="C50" s="1" t="s">
        <v>88</v>
      </c>
      <c r="D50" s="18"/>
    </row>
  </sheetData>
  <mergeCells count="3">
    <mergeCell ref="E6:G6"/>
    <mergeCell ref="E8:G8"/>
    <mergeCell ref="E9:G9"/>
  </mergeCells>
  <phoneticPr fontId="7" type="noConversion"/>
  <hyperlinks>
    <hyperlink ref="B1" location="'RFE SOC FuseMap'!A1" display="RFE/SOC FuseMap" xr:uid="{11EC07A7-F471-4A14-BE5A-E0AA21ADC3AD}"/>
    <hyperlink ref="C22" r:id="rId1" display="Cal DAC" xr:uid="{F890EB87-0A11-4B08-8CC9-2B1A476DE4FC}"/>
  </hyperlinks>
  <pageMargins left="0.7" right="0.7" top="0.75" bottom="0.75" header="0.3" footer="0.3"/>
  <pageSetup paperSize="9" orientation="portrait"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7030-44A0-4572-8927-7417E5FB4A84}">
  <dimension ref="B1:AA124"/>
  <sheetViews>
    <sheetView zoomScale="70" zoomScaleNormal="70" workbookViewId="0">
      <selection activeCell="E1" sqref="E1:G4"/>
    </sheetView>
  </sheetViews>
  <sheetFormatPr defaultRowHeight="15" x14ac:dyDescent="0.25"/>
  <cols>
    <col min="2" max="2" width="17.28515625" customWidth="1"/>
    <col min="3" max="3" width="24.7109375" customWidth="1"/>
    <col min="4" max="4" width="18.140625" customWidth="1"/>
    <col min="5" max="5" width="20.5703125" customWidth="1"/>
    <col min="6" max="6" width="18.85546875" customWidth="1"/>
    <col min="7" max="7" width="37.140625" bestFit="1" customWidth="1"/>
    <col min="9" max="9" width="21.5703125" bestFit="1" customWidth="1"/>
    <col min="10" max="10" width="32.5703125" bestFit="1" customWidth="1"/>
    <col min="11" max="11" width="37.42578125" bestFit="1" customWidth="1"/>
    <col min="15" max="15" width="9.140625" style="202"/>
    <col min="16" max="16" width="11" style="202" bestFit="1" customWidth="1"/>
    <col min="17" max="25" width="9.140625" style="202"/>
    <col min="26" max="27" width="9.140625" style="1"/>
  </cols>
  <sheetData>
    <row r="1" spans="2:11" x14ac:dyDescent="0.25">
      <c r="B1" s="16" t="s">
        <v>1055</v>
      </c>
    </row>
    <row r="2" spans="2:11" ht="15.75" thickBot="1" x14ac:dyDescent="0.3">
      <c r="E2" s="949"/>
      <c r="F2" s="949"/>
      <c r="G2" s="949"/>
    </row>
    <row r="3" spans="2:11" x14ac:dyDescent="0.25">
      <c r="B3" s="850" t="s">
        <v>0</v>
      </c>
      <c r="C3" s="20" t="s">
        <v>847</v>
      </c>
      <c r="D3" s="53"/>
      <c r="E3" s="949"/>
      <c r="F3" s="949"/>
      <c r="G3" s="949"/>
    </row>
    <row r="4" spans="2:11" ht="15.75" thickBot="1" x14ac:dyDescent="0.3">
      <c r="B4" s="851" t="s">
        <v>1</v>
      </c>
      <c r="C4" s="23" t="s">
        <v>1537</v>
      </c>
      <c r="D4" s="53"/>
      <c r="E4" s="949"/>
      <c r="F4" s="949"/>
      <c r="G4" s="949"/>
    </row>
    <row r="5" spans="2:11" ht="15.75" thickBot="1" x14ac:dyDescent="0.3"/>
    <row r="6" spans="2:11" ht="45.75" thickBot="1" x14ac:dyDescent="0.3">
      <c r="D6" s="52" t="s">
        <v>666</v>
      </c>
      <c r="E6" s="1365" t="s">
        <v>46</v>
      </c>
      <c r="F6" s="1366"/>
      <c r="G6" s="1367"/>
      <c r="H6" s="52" t="s">
        <v>61</v>
      </c>
      <c r="I6" s="863" t="s">
        <v>94</v>
      </c>
      <c r="J6" s="864" t="s">
        <v>96</v>
      </c>
      <c r="K6" s="865" t="s">
        <v>95</v>
      </c>
    </row>
    <row r="7" spans="2:11" x14ac:dyDescent="0.25">
      <c r="B7" s="42" t="s">
        <v>59</v>
      </c>
      <c r="C7" s="45" t="s">
        <v>49</v>
      </c>
      <c r="D7" s="45" t="s">
        <v>49</v>
      </c>
      <c r="E7" s="48">
        <v>125</v>
      </c>
      <c r="F7" s="27">
        <v>25</v>
      </c>
      <c r="G7" s="37">
        <v>-40</v>
      </c>
      <c r="H7" s="33" t="s">
        <v>48</v>
      </c>
      <c r="I7" s="36" t="s">
        <v>49</v>
      </c>
      <c r="J7" s="84" t="s">
        <v>49</v>
      </c>
      <c r="K7" s="83" t="s">
        <v>49</v>
      </c>
    </row>
    <row r="8" spans="2:11" ht="45" x14ac:dyDescent="0.25">
      <c r="B8" s="1374" t="s">
        <v>63</v>
      </c>
      <c r="C8" s="46" t="s">
        <v>1538</v>
      </c>
      <c r="D8" s="597" t="str">
        <f>"no, value 0x09C4 by default if not trimmed"</f>
        <v>no, value 0x09C4 by default if not trimmed</v>
      </c>
      <c r="E8" s="1491" t="s">
        <v>1633</v>
      </c>
      <c r="F8" s="1492"/>
      <c r="G8" s="1492"/>
      <c r="H8" s="1493"/>
      <c r="I8" s="831" t="s">
        <v>1542</v>
      </c>
      <c r="J8" s="841" t="s">
        <v>1543</v>
      </c>
      <c r="K8" s="207" t="s">
        <v>1593</v>
      </c>
    </row>
    <row r="9" spans="2:11" ht="45" x14ac:dyDescent="0.25">
      <c r="B9" s="1376"/>
      <c r="C9" s="889" t="s">
        <v>1539</v>
      </c>
      <c r="D9" s="597" t="str">
        <f>"no, value 0x1C20 by default if not trimmed"</f>
        <v>no, value 0x1C20 by default if not trimmed</v>
      </c>
      <c r="E9" s="1494"/>
      <c r="F9" s="1495"/>
      <c r="G9" s="1495"/>
      <c r="H9" s="1496"/>
      <c r="I9" s="831" t="s">
        <v>1542</v>
      </c>
      <c r="J9" s="841" t="s">
        <v>1544</v>
      </c>
      <c r="K9" s="207" t="s">
        <v>1594</v>
      </c>
    </row>
    <row r="10" spans="2:11" ht="15.75" thickBot="1" x14ac:dyDescent="0.3">
      <c r="B10" s="43" t="s">
        <v>60</v>
      </c>
      <c r="C10" s="47" t="s">
        <v>49</v>
      </c>
      <c r="D10" s="47" t="s">
        <v>49</v>
      </c>
      <c r="E10" s="51" t="s">
        <v>372</v>
      </c>
      <c r="F10" s="29"/>
      <c r="G10" s="41"/>
      <c r="H10" s="35" t="s">
        <v>49</v>
      </c>
      <c r="I10" s="40" t="s">
        <v>49</v>
      </c>
      <c r="J10" s="86" t="s">
        <v>49</v>
      </c>
      <c r="K10" s="81" t="s">
        <v>49</v>
      </c>
    </row>
    <row r="11" spans="2:11" x14ac:dyDescent="0.25">
      <c r="B11" t="s">
        <v>58</v>
      </c>
    </row>
    <row r="12" spans="2:11" x14ac:dyDescent="0.25">
      <c r="B12" t="s">
        <v>50</v>
      </c>
    </row>
    <row r="14" spans="2:11" x14ac:dyDescent="0.25">
      <c r="B14" s="17" t="s">
        <v>822</v>
      </c>
      <c r="C14" s="63" t="s">
        <v>1557</v>
      </c>
    </row>
    <row r="15" spans="2:11" x14ac:dyDescent="0.25">
      <c r="B15" s="17"/>
      <c r="C15" s="63" t="s">
        <v>856</v>
      </c>
    </row>
    <row r="16" spans="2:11" x14ac:dyDescent="0.25">
      <c r="B16" s="17"/>
      <c r="C16" s="63"/>
    </row>
    <row r="17" spans="2:7" x14ac:dyDescent="0.25">
      <c r="B17" s="17" t="s">
        <v>51</v>
      </c>
    </row>
    <row r="18" spans="2:7" x14ac:dyDescent="0.25">
      <c r="C18" s="883" t="s">
        <v>1595</v>
      </c>
      <c r="D18" s="18"/>
    </row>
    <row r="19" spans="2:7" x14ac:dyDescent="0.25">
      <c r="C19" s="883" t="s">
        <v>1596</v>
      </c>
    </row>
    <row r="20" spans="2:7" x14ac:dyDescent="0.25">
      <c r="C20" s="911" t="s">
        <v>1634</v>
      </c>
    </row>
    <row r="21" spans="2:7" x14ac:dyDescent="0.25">
      <c r="C21" s="883"/>
    </row>
    <row r="22" spans="2:7" x14ac:dyDescent="0.25">
      <c r="B22" s="17" t="s">
        <v>1614</v>
      </c>
      <c r="C22" s="883"/>
    </row>
    <row r="23" spans="2:7" x14ac:dyDescent="0.25">
      <c r="C23" s="892" t="s">
        <v>1615</v>
      </c>
    </row>
    <row r="24" spans="2:7" x14ac:dyDescent="0.25">
      <c r="C24" s="892" t="s">
        <v>1642</v>
      </c>
    </row>
    <row r="25" spans="2:7" ht="16.5" customHeight="1" x14ac:dyDescent="0.25">
      <c r="C25" s="910" t="s">
        <v>1632</v>
      </c>
    </row>
    <row r="26" spans="2:7" ht="16.5" customHeight="1" x14ac:dyDescent="0.25">
      <c r="C26" s="882"/>
    </row>
    <row r="27" spans="2:7" x14ac:dyDescent="0.25">
      <c r="B27" s="17" t="s">
        <v>53</v>
      </c>
    </row>
    <row r="28" spans="2:7" x14ac:dyDescent="0.25">
      <c r="C28" s="1" t="s">
        <v>88</v>
      </c>
      <c r="D28" s="18"/>
    </row>
    <row r="30" spans="2:7" x14ac:dyDescent="0.25">
      <c r="B30" s="17" t="s">
        <v>633</v>
      </c>
      <c r="C30" s="1"/>
    </row>
    <row r="31" spans="2:7" x14ac:dyDescent="0.25">
      <c r="C31" s="914" t="s">
        <v>88</v>
      </c>
      <c r="D31" s="888"/>
      <c r="E31" s="888"/>
      <c r="F31" s="888"/>
      <c r="G31" s="888"/>
    </row>
    <row r="33" spans="2:27" x14ac:dyDescent="0.25">
      <c r="B33" s="17" t="s">
        <v>55</v>
      </c>
    </row>
    <row r="34" spans="2:27" ht="15.75" thickBot="1" x14ac:dyDescent="0.3">
      <c r="B34" s="17"/>
      <c r="C34" s="437" t="s">
        <v>1782</v>
      </c>
      <c r="G34" s="17"/>
    </row>
    <row r="35" spans="2:27" ht="30" x14ac:dyDescent="0.25">
      <c r="B35" s="17"/>
      <c r="C35" s="883"/>
      <c r="G35" s="17" t="s">
        <v>1426</v>
      </c>
      <c r="I35" s="578" t="s">
        <v>94</v>
      </c>
      <c r="J35" s="580" t="s">
        <v>96</v>
      </c>
      <c r="K35" s="94" t="s">
        <v>95</v>
      </c>
      <c r="L35" s="885" t="s">
        <v>1648</v>
      </c>
    </row>
    <row r="36" spans="2:27" x14ac:dyDescent="0.25">
      <c r="B36" s="17"/>
      <c r="C36" s="1099" t="s">
        <v>2108</v>
      </c>
      <c r="I36" s="949"/>
      <c r="J36" s="949"/>
      <c r="K36" s="949"/>
      <c r="L36" s="949"/>
    </row>
    <row r="37" spans="2:27" x14ac:dyDescent="0.25">
      <c r="B37" s="17"/>
      <c r="C37" s="883" t="s">
        <v>2097</v>
      </c>
      <c r="I37" s="39" t="s">
        <v>1564</v>
      </c>
      <c r="J37" s="21" t="s">
        <v>1566</v>
      </c>
      <c r="K37" s="79" t="s">
        <v>1588</v>
      </c>
      <c r="L37" s="886">
        <v>1</v>
      </c>
    </row>
    <row r="38" spans="2:27" s="949" customFormat="1" x14ac:dyDescent="0.25">
      <c r="B38" s="17"/>
      <c r="C38" s="883"/>
      <c r="I38" s="953" t="s">
        <v>2106</v>
      </c>
      <c r="J38" s="951" t="s">
        <v>2107</v>
      </c>
      <c r="K38" s="956" t="s">
        <v>2105</v>
      </c>
      <c r="L38" s="983">
        <v>1</v>
      </c>
      <c r="O38" s="202"/>
      <c r="P38" s="202"/>
      <c r="Q38" s="202"/>
      <c r="R38" s="202"/>
      <c r="S38" s="202"/>
      <c r="T38" s="202"/>
      <c r="U38" s="202"/>
      <c r="V38" s="202"/>
      <c r="W38" s="202"/>
      <c r="X38" s="202"/>
      <c r="Y38" s="202"/>
      <c r="Z38" s="1"/>
      <c r="AA38" s="1"/>
    </row>
    <row r="39" spans="2:27" x14ac:dyDescent="0.25">
      <c r="B39" s="17"/>
      <c r="C39" s="883" t="s">
        <v>1599</v>
      </c>
      <c r="I39" s="39" t="s">
        <v>1567</v>
      </c>
      <c r="J39" s="21" t="s">
        <v>1568</v>
      </c>
      <c r="K39" s="79" t="s">
        <v>1589</v>
      </c>
      <c r="L39" s="886" t="s">
        <v>1443</v>
      </c>
    </row>
    <row r="40" spans="2:27" ht="48" customHeight="1" x14ac:dyDescent="0.25">
      <c r="B40" s="17"/>
      <c r="C40" s="883" t="s">
        <v>1788</v>
      </c>
      <c r="I40" s="39" t="s">
        <v>1637</v>
      </c>
      <c r="J40" s="21" t="s">
        <v>1636</v>
      </c>
      <c r="K40" s="79" t="s">
        <v>1635</v>
      </c>
      <c r="L40" s="886">
        <v>127</v>
      </c>
    </row>
    <row r="41" spans="2:27" x14ac:dyDescent="0.25">
      <c r="B41" s="17"/>
      <c r="C41" s="1504" t="s">
        <v>1641</v>
      </c>
      <c r="D41" s="1504"/>
      <c r="E41" s="1504"/>
      <c r="F41" s="1504"/>
      <c r="I41" s="39" t="s">
        <v>1637</v>
      </c>
      <c r="J41" s="21" t="s">
        <v>1636</v>
      </c>
      <c r="K41" s="79" t="s">
        <v>1635</v>
      </c>
      <c r="L41" s="886">
        <v>110</v>
      </c>
    </row>
    <row r="42" spans="2:27" x14ac:dyDescent="0.25">
      <c r="B42" s="17"/>
      <c r="I42" s="39" t="s">
        <v>1637</v>
      </c>
      <c r="J42" s="21" t="s">
        <v>1636</v>
      </c>
      <c r="K42" s="79" t="s">
        <v>1635</v>
      </c>
      <c r="L42" s="886">
        <v>90</v>
      </c>
    </row>
    <row r="43" spans="2:27" x14ac:dyDescent="0.25">
      <c r="B43" s="17"/>
      <c r="I43" s="39" t="s">
        <v>1637</v>
      </c>
      <c r="J43" s="21" t="s">
        <v>1636</v>
      </c>
      <c r="K43" s="79" t="s">
        <v>1635</v>
      </c>
      <c r="L43" s="886">
        <v>70</v>
      </c>
    </row>
    <row r="44" spans="2:27" x14ac:dyDescent="0.25">
      <c r="B44" s="17"/>
      <c r="I44" s="39" t="s">
        <v>1637</v>
      </c>
      <c r="J44" s="21" t="s">
        <v>1636</v>
      </c>
      <c r="K44" s="79" t="s">
        <v>1635</v>
      </c>
      <c r="L44" s="886">
        <v>50</v>
      </c>
    </row>
    <row r="45" spans="2:27" x14ac:dyDescent="0.25">
      <c r="B45" s="17"/>
      <c r="I45" s="39" t="s">
        <v>1637</v>
      </c>
      <c r="J45" s="21" t="s">
        <v>1636</v>
      </c>
      <c r="K45" s="79" t="s">
        <v>1635</v>
      </c>
      <c r="L45" s="1008">
        <v>30</v>
      </c>
    </row>
    <row r="46" spans="2:27" x14ac:dyDescent="0.25">
      <c r="B46" s="17"/>
      <c r="I46" s="39" t="s">
        <v>1637</v>
      </c>
      <c r="J46" s="21" t="s">
        <v>1636</v>
      </c>
      <c r="K46" s="79" t="s">
        <v>1635</v>
      </c>
      <c r="L46" s="1008">
        <v>20</v>
      </c>
    </row>
    <row r="47" spans="2:27" x14ac:dyDescent="0.25">
      <c r="B47" s="17"/>
      <c r="C47" s="883" t="s">
        <v>1601</v>
      </c>
      <c r="G47" t="s">
        <v>1789</v>
      </c>
      <c r="L47" s="57"/>
    </row>
    <row r="48" spans="2:27" s="949" customFormat="1" x14ac:dyDescent="0.25">
      <c r="B48" s="17"/>
      <c r="C48" s="883" t="s">
        <v>2098</v>
      </c>
      <c r="L48" s="57"/>
      <c r="O48" s="202"/>
      <c r="P48" s="202"/>
      <c r="Q48" s="202"/>
      <c r="R48" s="202"/>
      <c r="S48" s="202"/>
      <c r="T48" s="202"/>
      <c r="U48" s="202"/>
      <c r="V48" s="202"/>
      <c r="W48" s="202"/>
      <c r="X48" s="202"/>
      <c r="Y48" s="202"/>
      <c r="Z48" s="1"/>
      <c r="AA48" s="1"/>
    </row>
    <row r="49" spans="2:27" ht="16.5" x14ac:dyDescent="0.3">
      <c r="B49" s="17"/>
      <c r="C49" s="915" t="s">
        <v>1846</v>
      </c>
      <c r="D49" s="939"/>
      <c r="I49" s="39" t="s">
        <v>1656</v>
      </c>
      <c r="J49" s="21" t="s">
        <v>1831</v>
      </c>
      <c r="K49" s="79" t="s">
        <v>1832</v>
      </c>
      <c r="L49" s="1008">
        <v>0</v>
      </c>
    </row>
    <row r="50" spans="2:27" x14ac:dyDescent="0.25">
      <c r="B50" s="17"/>
      <c r="I50" s="39" t="s">
        <v>1785</v>
      </c>
      <c r="J50" s="21" t="s">
        <v>1786</v>
      </c>
      <c r="K50" s="79" t="s">
        <v>1787</v>
      </c>
      <c r="L50" s="1008" t="s">
        <v>1443</v>
      </c>
    </row>
    <row r="51" spans="2:27" s="949" customFormat="1" x14ac:dyDescent="0.25">
      <c r="B51" s="17"/>
      <c r="C51" s="883"/>
      <c r="I51" s="953" t="s">
        <v>2102</v>
      </c>
      <c r="J51" s="951" t="s">
        <v>2103</v>
      </c>
      <c r="K51" s="956" t="s">
        <v>2099</v>
      </c>
      <c r="L51" s="1008">
        <v>1</v>
      </c>
      <c r="O51" s="202"/>
      <c r="P51" s="202"/>
      <c r="Q51" s="202"/>
      <c r="R51" s="202"/>
      <c r="S51" s="202"/>
      <c r="T51" s="202"/>
      <c r="U51" s="202"/>
      <c r="V51" s="930"/>
      <c r="W51" s="930"/>
      <c r="X51" s="930"/>
      <c r="Y51" s="202"/>
      <c r="Z51" s="1"/>
      <c r="AA51" s="1"/>
    </row>
    <row r="52" spans="2:27" s="949" customFormat="1" x14ac:dyDescent="0.25">
      <c r="B52" s="17"/>
      <c r="C52" s="883"/>
      <c r="I52" s="953" t="s">
        <v>2102</v>
      </c>
      <c r="J52" s="951" t="s">
        <v>2104</v>
      </c>
      <c r="K52" s="956" t="s">
        <v>2100</v>
      </c>
      <c r="L52" s="1008">
        <v>0</v>
      </c>
      <c r="O52" s="202"/>
      <c r="P52" s="202"/>
      <c r="Q52" s="202"/>
      <c r="R52" s="202"/>
      <c r="S52" s="202"/>
      <c r="T52" s="202"/>
      <c r="U52" s="202"/>
      <c r="V52" s="930"/>
      <c r="W52" s="930"/>
      <c r="X52" s="930"/>
      <c r="Y52" s="202"/>
      <c r="Z52" s="1"/>
      <c r="AA52" s="1"/>
    </row>
    <row r="53" spans="2:27" s="949" customFormat="1" x14ac:dyDescent="0.25">
      <c r="B53" s="17"/>
      <c r="C53" s="883"/>
      <c r="I53" s="953" t="s">
        <v>1913</v>
      </c>
      <c r="J53" s="951" t="s">
        <v>1914</v>
      </c>
      <c r="K53" s="956" t="s">
        <v>1915</v>
      </c>
      <c r="L53" s="1008" t="s">
        <v>2101</v>
      </c>
      <c r="N53" s="942" t="s">
        <v>1643</v>
      </c>
      <c r="O53" s="202"/>
      <c r="P53" s="202"/>
      <c r="Q53" s="202"/>
      <c r="R53" s="202"/>
      <c r="S53" s="202"/>
      <c r="T53" s="202"/>
      <c r="U53" s="202"/>
      <c r="V53" s="930">
        <v>9800</v>
      </c>
      <c r="W53" s="930"/>
      <c r="X53" s="930"/>
      <c r="Y53" s="202"/>
      <c r="Z53" s="1"/>
      <c r="AA53" s="1"/>
    </row>
    <row r="54" spans="2:27" x14ac:dyDescent="0.25">
      <c r="B54" s="17"/>
      <c r="I54" s="953" t="s">
        <v>133</v>
      </c>
      <c r="J54" s="951" t="s">
        <v>1844</v>
      </c>
      <c r="K54" s="79" t="s">
        <v>1845</v>
      </c>
      <c r="L54" s="1008">
        <v>1</v>
      </c>
      <c r="N54" t="str">
        <f>"ref_count_value = 5120 =&gt; f_ref_afc = 40MHz / ref_count_value = "&amp;40/5120&amp;"MHz"</f>
        <v>ref_count_value = 5120 =&gt; f_ref_afc = 40MHz / ref_count_value = 0.0078125MHz</v>
      </c>
      <c r="V54" s="930"/>
      <c r="W54" s="930">
        <f>40/5120</f>
        <v>7.8125E-3</v>
      </c>
      <c r="X54" s="930"/>
    </row>
    <row r="55" spans="2:27" x14ac:dyDescent="0.25">
      <c r="B55" s="17"/>
      <c r="I55" s="953" t="s">
        <v>1656</v>
      </c>
      <c r="J55" s="951" t="s">
        <v>1657</v>
      </c>
      <c r="K55" s="79" t="s">
        <v>1655</v>
      </c>
      <c r="L55" s="1008" t="s">
        <v>1443</v>
      </c>
      <c r="V55" s="930"/>
      <c r="W55" s="930"/>
      <c r="X55" s="930"/>
    </row>
    <row r="56" spans="2:27" x14ac:dyDescent="0.25">
      <c r="B56" s="17"/>
      <c r="C56" s="915"/>
      <c r="I56" s="953" t="s">
        <v>1833</v>
      </c>
      <c r="J56" s="951" t="s">
        <v>1834</v>
      </c>
      <c r="K56" s="79" t="s">
        <v>1835</v>
      </c>
      <c r="L56" s="1008" t="s">
        <v>1836</v>
      </c>
      <c r="V56" s="930">
        <f>V53+250/2*0.8</f>
        <v>9900</v>
      </c>
      <c r="W56" s="930">
        <f>V56/16</f>
        <v>618.75</v>
      </c>
      <c r="X56" s="930"/>
    </row>
    <row r="57" spans="2:27" s="949" customFormat="1" x14ac:dyDescent="0.25">
      <c r="B57" s="17"/>
      <c r="C57" s="915"/>
      <c r="G57" t="str">
        <f>"read "&amp;W57</f>
        <v>read 79200</v>
      </c>
      <c r="I57" s="953" t="s">
        <v>1833</v>
      </c>
      <c r="J57" s="951" t="s">
        <v>1916</v>
      </c>
      <c r="K57" s="956" t="s">
        <v>1917</v>
      </c>
      <c r="L57" s="1008" t="s">
        <v>1647</v>
      </c>
      <c r="O57" s="202"/>
      <c r="P57" s="202"/>
      <c r="Q57" s="202"/>
      <c r="R57" s="202"/>
      <c r="S57" s="202"/>
      <c r="T57" s="202"/>
      <c r="U57" s="202"/>
      <c r="V57" s="930"/>
      <c r="W57" s="930">
        <f>INT(W56/W54)</f>
        <v>79200</v>
      </c>
      <c r="X57" s="930">
        <f>LOG(W57)/LOG(2)</f>
        <v>16.273212809854336</v>
      </c>
      <c r="Y57" s="202"/>
      <c r="Z57" s="1"/>
      <c r="AA57" s="1"/>
    </row>
    <row r="58" spans="2:27" s="949" customFormat="1" x14ac:dyDescent="0.25">
      <c r="B58" s="17"/>
      <c r="C58" s="915"/>
      <c r="G58" t="str">
        <f>"freq = "&amp;W57&amp;" * f_ref_afc *16= "&amp;W57*W54*16&amp;" MHz"</f>
        <v>freq = 79200 * f_ref_afc *16= 9900 MHz</v>
      </c>
      <c r="L58" s="57"/>
      <c r="O58" s="202"/>
      <c r="P58" s="202"/>
      <c r="Q58" s="202"/>
      <c r="R58" s="202"/>
      <c r="S58" s="202"/>
      <c r="T58" s="202"/>
      <c r="U58" s="202"/>
      <c r="V58" s="930"/>
      <c r="W58" s="930"/>
      <c r="X58" s="930"/>
      <c r="Y58" s="202"/>
      <c r="Z58" s="1"/>
      <c r="AA58" s="1"/>
    </row>
    <row r="59" spans="2:27" s="949" customFormat="1" ht="48" customHeight="1" x14ac:dyDescent="0.25">
      <c r="B59" s="17"/>
      <c r="C59" s="883" t="s">
        <v>1790</v>
      </c>
      <c r="I59" s="953" t="s">
        <v>1637</v>
      </c>
      <c r="J59" s="951" t="s">
        <v>1636</v>
      </c>
      <c r="K59" s="956" t="s">
        <v>1635</v>
      </c>
      <c r="L59" s="1008">
        <v>61</v>
      </c>
      <c r="O59" s="202"/>
      <c r="P59" s="202"/>
      <c r="Q59" s="202"/>
      <c r="R59" s="202"/>
      <c r="S59" s="202"/>
      <c r="T59" s="202"/>
      <c r="U59" s="202"/>
      <c r="V59" s="930"/>
      <c r="W59" s="930"/>
      <c r="X59" s="930"/>
      <c r="Y59" s="202"/>
      <c r="Z59" s="1"/>
      <c r="AA59" s="1"/>
    </row>
    <row r="60" spans="2:27" s="949" customFormat="1" x14ac:dyDescent="0.25">
      <c r="B60" s="17"/>
      <c r="C60" s="1504" t="s">
        <v>1641</v>
      </c>
      <c r="D60" s="1504"/>
      <c r="E60" s="1504"/>
      <c r="F60" s="1504"/>
      <c r="I60" s="953" t="s">
        <v>1637</v>
      </c>
      <c r="J60" s="951" t="s">
        <v>1636</v>
      </c>
      <c r="K60" s="956" t="s">
        <v>1635</v>
      </c>
      <c r="L60" s="1008">
        <v>100</v>
      </c>
      <c r="O60" s="202"/>
      <c r="P60" s="202"/>
      <c r="Q60" s="202"/>
      <c r="R60" s="202"/>
      <c r="S60" s="202"/>
      <c r="T60" s="202"/>
      <c r="U60" s="202"/>
      <c r="V60" s="930"/>
      <c r="W60" s="930"/>
      <c r="X60" s="930"/>
      <c r="Y60" s="202"/>
      <c r="Z60" s="1"/>
      <c r="AA60" s="1"/>
    </row>
    <row r="61" spans="2:27" x14ac:dyDescent="0.25">
      <c r="B61" s="17"/>
      <c r="C61" s="883" t="s">
        <v>1601</v>
      </c>
      <c r="G61" t="s">
        <v>1791</v>
      </c>
      <c r="L61" s="57"/>
      <c r="V61" s="930"/>
      <c r="W61" s="930"/>
      <c r="X61" s="930"/>
    </row>
    <row r="62" spans="2:27" s="949" customFormat="1" x14ac:dyDescent="0.25">
      <c r="B62" s="17"/>
      <c r="C62" s="883" t="s">
        <v>2098</v>
      </c>
      <c r="L62" s="57"/>
      <c r="V62" s="942"/>
      <c r="W62" s="942"/>
      <c r="X62" s="930"/>
      <c r="Y62" s="202"/>
      <c r="Z62" s="1"/>
      <c r="AA62" s="1"/>
    </row>
    <row r="63" spans="2:27" s="949" customFormat="1" ht="16.5" x14ac:dyDescent="0.3">
      <c r="B63" s="17"/>
      <c r="C63" s="915" t="s">
        <v>1846</v>
      </c>
      <c r="D63" s="939"/>
      <c r="I63" s="953" t="s">
        <v>1656</v>
      </c>
      <c r="J63" s="951" t="s">
        <v>1831</v>
      </c>
      <c r="K63" s="956" t="s">
        <v>1832</v>
      </c>
      <c r="L63" s="1008">
        <v>0</v>
      </c>
      <c r="O63" s="202"/>
      <c r="P63" s="202"/>
      <c r="Q63" s="202"/>
      <c r="R63" s="202"/>
      <c r="S63" s="202"/>
      <c r="T63" s="202"/>
      <c r="U63" s="202"/>
      <c r="V63" s="942"/>
      <c r="W63" s="930"/>
      <c r="X63" s="930"/>
      <c r="Y63" s="202"/>
      <c r="Z63" s="1"/>
      <c r="AA63" s="1"/>
    </row>
    <row r="64" spans="2:27" s="949" customFormat="1" x14ac:dyDescent="0.25">
      <c r="B64" s="17"/>
      <c r="I64" s="953" t="s">
        <v>1785</v>
      </c>
      <c r="J64" s="951" t="s">
        <v>1786</v>
      </c>
      <c r="K64" s="956" t="s">
        <v>1787</v>
      </c>
      <c r="L64" s="1008" t="s">
        <v>1443</v>
      </c>
      <c r="N64"/>
      <c r="O64" s="202"/>
      <c r="P64" s="202"/>
      <c r="Q64" s="202"/>
      <c r="R64" s="202"/>
      <c r="S64" s="202"/>
      <c r="T64" s="202"/>
      <c r="U64" s="202"/>
      <c r="V64" s="930"/>
      <c r="W64" s="930"/>
      <c r="X64" s="930"/>
      <c r="Y64" s="202"/>
      <c r="Z64" s="1"/>
      <c r="AA64" s="1"/>
    </row>
    <row r="65" spans="2:27" s="949" customFormat="1" x14ac:dyDescent="0.25">
      <c r="B65" s="17"/>
      <c r="C65" s="883"/>
      <c r="I65" s="953" t="s">
        <v>2102</v>
      </c>
      <c r="J65" s="951" t="s">
        <v>2103</v>
      </c>
      <c r="K65" s="956" t="s">
        <v>2099</v>
      </c>
      <c r="L65" s="1008">
        <v>1</v>
      </c>
      <c r="O65" s="202"/>
      <c r="P65" s="202"/>
      <c r="Q65" s="202"/>
      <c r="R65" s="202"/>
      <c r="S65" s="202"/>
      <c r="T65" s="202"/>
      <c r="U65" s="202"/>
      <c r="V65" s="930"/>
      <c r="W65" s="930"/>
      <c r="X65" s="930"/>
      <c r="Y65" s="202"/>
      <c r="Z65" s="1"/>
      <c r="AA65" s="1"/>
    </row>
    <row r="66" spans="2:27" s="949" customFormat="1" x14ac:dyDescent="0.25">
      <c r="B66" s="17"/>
      <c r="C66" s="883"/>
      <c r="I66" s="953" t="s">
        <v>2102</v>
      </c>
      <c r="J66" s="951" t="s">
        <v>2104</v>
      </c>
      <c r="K66" s="956" t="s">
        <v>2100</v>
      </c>
      <c r="L66" s="1008">
        <v>0</v>
      </c>
      <c r="O66" s="202"/>
      <c r="P66" s="202"/>
      <c r="Q66" s="202"/>
      <c r="R66" s="202"/>
      <c r="S66" s="202"/>
      <c r="T66" s="202"/>
      <c r="U66" s="202"/>
      <c r="V66" s="930"/>
      <c r="W66" s="930"/>
      <c r="X66" s="930"/>
      <c r="Y66" s="202"/>
      <c r="Z66" s="1"/>
      <c r="AA66" s="1"/>
    </row>
    <row r="67" spans="2:27" s="949" customFormat="1" x14ac:dyDescent="0.25">
      <c r="B67" s="17"/>
      <c r="C67" s="883"/>
      <c r="I67" s="953" t="s">
        <v>1913</v>
      </c>
      <c r="J67" s="951" t="s">
        <v>1914</v>
      </c>
      <c r="K67" s="956" t="s">
        <v>1915</v>
      </c>
      <c r="L67" s="1008" t="s">
        <v>2101</v>
      </c>
      <c r="O67" s="202"/>
      <c r="P67" s="202"/>
      <c r="Q67" s="202"/>
      <c r="R67" s="202"/>
      <c r="S67" s="202"/>
      <c r="T67" s="202"/>
      <c r="U67" s="202"/>
      <c r="V67" s="930"/>
      <c r="W67" s="930"/>
      <c r="X67" s="930"/>
      <c r="Y67" s="202"/>
      <c r="Z67" s="1"/>
      <c r="AA67" s="1"/>
    </row>
    <row r="68" spans="2:27" s="949" customFormat="1" x14ac:dyDescent="0.25">
      <c r="B68" s="17"/>
      <c r="I68" s="953" t="s">
        <v>133</v>
      </c>
      <c r="J68" s="951" t="s">
        <v>1844</v>
      </c>
      <c r="K68" s="956" t="s">
        <v>1845</v>
      </c>
      <c r="L68" s="1008">
        <v>1</v>
      </c>
      <c r="O68" s="202"/>
      <c r="P68" s="202"/>
      <c r="Q68" s="202"/>
      <c r="R68" s="202"/>
      <c r="S68" s="202"/>
      <c r="T68" s="202"/>
      <c r="U68" s="202"/>
      <c r="V68" s="930"/>
      <c r="W68" s="930"/>
      <c r="X68" s="930"/>
      <c r="Y68" s="202"/>
      <c r="Z68" s="1"/>
      <c r="AA68" s="1"/>
    </row>
    <row r="69" spans="2:27" s="949" customFormat="1" x14ac:dyDescent="0.25">
      <c r="B69" s="17"/>
      <c r="I69" s="953" t="s">
        <v>1656</v>
      </c>
      <c r="J69" s="951" t="s">
        <v>1657</v>
      </c>
      <c r="K69" s="956" t="s">
        <v>1655</v>
      </c>
      <c r="L69" s="1008" t="s">
        <v>1443</v>
      </c>
      <c r="O69" s="202"/>
      <c r="P69" s="202"/>
      <c r="Q69" s="202"/>
      <c r="R69" s="202"/>
      <c r="S69" s="202"/>
      <c r="T69" s="202"/>
      <c r="U69" s="202"/>
      <c r="V69" s="930"/>
      <c r="W69" s="930"/>
      <c r="X69" s="930"/>
      <c r="Y69" s="202"/>
      <c r="Z69" s="1"/>
      <c r="AA69" s="1"/>
    </row>
    <row r="70" spans="2:27" s="949" customFormat="1" x14ac:dyDescent="0.25">
      <c r="B70" s="17"/>
      <c r="C70" s="915"/>
      <c r="I70" s="953" t="s">
        <v>1833</v>
      </c>
      <c r="J70" s="951" t="s">
        <v>1834</v>
      </c>
      <c r="K70" s="956" t="s">
        <v>1835</v>
      </c>
      <c r="L70" s="1008" t="s">
        <v>1836</v>
      </c>
      <c r="O70" s="202"/>
      <c r="P70" s="202"/>
      <c r="Q70" s="202"/>
      <c r="R70" s="202"/>
      <c r="S70" s="202"/>
      <c r="T70" s="202"/>
      <c r="U70" s="202"/>
      <c r="V70" s="930"/>
      <c r="W70" s="930"/>
      <c r="X70" s="930"/>
      <c r="Y70" s="202"/>
      <c r="Z70" s="1"/>
      <c r="AA70" s="1"/>
    </row>
    <row r="71" spans="2:27" x14ac:dyDescent="0.25">
      <c r="B71" s="17"/>
      <c r="C71" s="915"/>
      <c r="G71" t="str">
        <f>"read "&amp;W72</f>
        <v>read 77600</v>
      </c>
      <c r="I71" s="953" t="s">
        <v>1833</v>
      </c>
      <c r="J71" s="951" t="s">
        <v>1916</v>
      </c>
      <c r="K71" s="956" t="s">
        <v>1917</v>
      </c>
      <c r="L71" s="1008" t="s">
        <v>1647</v>
      </c>
      <c r="V71" s="930">
        <f>V53-250/2*0.8</f>
        <v>9700</v>
      </c>
      <c r="W71" s="930">
        <f>V71/16</f>
        <v>606.25</v>
      </c>
      <c r="X71" s="930"/>
    </row>
    <row r="72" spans="2:27" x14ac:dyDescent="0.25">
      <c r="B72" s="17"/>
      <c r="C72" s="915"/>
      <c r="G72" t="str">
        <f>"freq = "&amp;W72&amp;" * f_ref_afc *16= "&amp;W72*W54*16&amp;" MHz"</f>
        <v>freq = 77600 * f_ref_afc *16= 9700 MHz</v>
      </c>
      <c r="V72" s="930"/>
      <c r="W72" s="930">
        <f>INT(W71/W54)</f>
        <v>77600</v>
      </c>
      <c r="X72" s="930">
        <f>LOG(W72)/LOG(2)</f>
        <v>16.24376903196185</v>
      </c>
    </row>
    <row r="73" spans="2:27" x14ac:dyDescent="0.25">
      <c r="B73" s="17"/>
      <c r="C73" s="880" t="s">
        <v>1640</v>
      </c>
      <c r="G73" t="str">
        <f>"= ("&amp;W57*W54*16&amp;"MHz - "&amp;W72*W54*16&amp;"MHz)/(1.38-0.59)"</f>
        <v>= (9900MHz - 9700MHz)/(1.38-0.59)</v>
      </c>
      <c r="V73" s="930"/>
      <c r="W73" s="930"/>
      <c r="X73" s="930"/>
    </row>
    <row r="74" spans="2:27" x14ac:dyDescent="0.25">
      <c r="B74" s="17"/>
      <c r="C74" s="880"/>
      <c r="G74" t="str">
        <f>"= "&amp;ROUND((W57*W54*16-W72*W54*16)/(1.38-0.59),1)&amp;" MHz/V"</f>
        <v>= 253.2 MHz/V</v>
      </c>
      <c r="V74" s="930"/>
      <c r="W74" s="930"/>
      <c r="X74" s="930"/>
    </row>
    <row r="75" spans="2:27" x14ac:dyDescent="0.25">
      <c r="B75" s="17"/>
      <c r="C75" s="912" t="s">
        <v>1639</v>
      </c>
      <c r="G75" t="str">
        <f>"= "&amp;ROUND((W57*W54*16-W72*W54*16)/(1.38-0.59),1)&amp;" /0.1 = "&amp;ROUND((W57*W54*16-W72*W54*16)/(1.38-0.59),1)/0.1</f>
        <v>= 253.2 /0.1 = 2532</v>
      </c>
      <c r="V75" s="930"/>
      <c r="W75" s="930"/>
      <c r="X75" s="930"/>
    </row>
    <row r="76" spans="2:27" x14ac:dyDescent="0.25">
      <c r="B76" s="17"/>
      <c r="V76" s="930"/>
      <c r="W76" s="930"/>
      <c r="X76" s="930"/>
    </row>
    <row r="77" spans="2:27" ht="15.75" thickBot="1" x14ac:dyDescent="0.3">
      <c r="B77" s="17"/>
      <c r="C77" s="437" t="s">
        <v>1783</v>
      </c>
      <c r="V77" s="930"/>
      <c r="W77" s="930"/>
      <c r="X77" s="930"/>
    </row>
    <row r="78" spans="2:27" s="949" customFormat="1" ht="30" x14ac:dyDescent="0.25">
      <c r="B78" s="17"/>
      <c r="C78" s="883"/>
      <c r="G78" s="17" t="s">
        <v>1426</v>
      </c>
      <c r="I78" s="578" t="s">
        <v>94</v>
      </c>
      <c r="J78" s="580" t="s">
        <v>96</v>
      </c>
      <c r="K78" s="94" t="s">
        <v>95</v>
      </c>
      <c r="L78" s="885" t="s">
        <v>1648</v>
      </c>
      <c r="O78" s="202"/>
      <c r="P78" s="202"/>
      <c r="Q78" s="202"/>
      <c r="R78" s="202"/>
      <c r="S78" s="202"/>
      <c r="T78" s="202"/>
      <c r="U78" s="202"/>
      <c r="V78" s="930"/>
      <c r="W78" s="930"/>
      <c r="X78" s="930"/>
      <c r="Y78" s="202"/>
      <c r="Z78" s="1"/>
      <c r="AA78" s="1"/>
    </row>
    <row r="79" spans="2:27" s="949" customFormat="1" x14ac:dyDescent="0.25">
      <c r="B79" s="17"/>
      <c r="C79" s="1099" t="s">
        <v>2109</v>
      </c>
      <c r="O79" s="202"/>
      <c r="P79" s="202"/>
      <c r="Q79" s="202"/>
      <c r="R79" s="202"/>
      <c r="S79" s="202"/>
      <c r="T79" s="202"/>
      <c r="U79" s="202"/>
      <c r="V79" s="930"/>
      <c r="W79" s="930"/>
      <c r="X79" s="930"/>
      <c r="Y79" s="202"/>
      <c r="Z79" s="1"/>
      <c r="AA79" s="1"/>
    </row>
    <row r="80" spans="2:27" s="949" customFormat="1" x14ac:dyDescent="0.25">
      <c r="B80" s="17"/>
      <c r="C80" s="883" t="s">
        <v>2097</v>
      </c>
      <c r="I80" s="953" t="s">
        <v>1564</v>
      </c>
      <c r="J80" s="951" t="s">
        <v>1566</v>
      </c>
      <c r="K80" s="956" t="s">
        <v>1588</v>
      </c>
      <c r="L80" s="983">
        <v>1</v>
      </c>
      <c r="O80" s="202"/>
      <c r="P80" s="202"/>
      <c r="Q80" s="202"/>
      <c r="R80" s="202"/>
      <c r="S80" s="202"/>
      <c r="T80" s="202"/>
      <c r="U80" s="202"/>
      <c r="V80" s="930"/>
      <c r="W80" s="930"/>
      <c r="X80" s="930"/>
      <c r="Y80" s="202"/>
      <c r="Z80" s="1"/>
      <c r="AA80" s="1"/>
    </row>
    <row r="81" spans="2:27" s="949" customFormat="1" x14ac:dyDescent="0.25">
      <c r="B81" s="17"/>
      <c r="C81" s="883"/>
      <c r="I81" s="953" t="s">
        <v>2106</v>
      </c>
      <c r="J81" s="951" t="s">
        <v>2107</v>
      </c>
      <c r="K81" s="956" t="s">
        <v>2105</v>
      </c>
      <c r="L81" s="983">
        <v>1</v>
      </c>
      <c r="O81" s="202"/>
      <c r="P81" s="202"/>
      <c r="Q81" s="202"/>
      <c r="R81" s="202"/>
      <c r="S81" s="202"/>
      <c r="T81" s="202"/>
      <c r="U81" s="202"/>
      <c r="V81" s="930"/>
      <c r="W81" s="930"/>
      <c r="X81" s="930"/>
      <c r="Y81" s="202"/>
      <c r="Z81" s="1"/>
      <c r="AA81" s="1"/>
    </row>
    <row r="82" spans="2:27" s="949" customFormat="1" x14ac:dyDescent="0.25">
      <c r="B82" s="17"/>
      <c r="C82" s="883" t="s">
        <v>1599</v>
      </c>
      <c r="I82" s="953" t="s">
        <v>1567</v>
      </c>
      <c r="J82" s="951" t="s">
        <v>1568</v>
      </c>
      <c r="K82" s="956" t="s">
        <v>1589</v>
      </c>
      <c r="L82" s="983" t="s">
        <v>1443</v>
      </c>
      <c r="O82" s="202"/>
      <c r="P82" s="202"/>
      <c r="Q82" s="202"/>
      <c r="R82" s="202"/>
      <c r="S82" s="202"/>
      <c r="T82" s="202"/>
      <c r="U82" s="202"/>
      <c r="V82" s="930"/>
      <c r="W82" s="930"/>
      <c r="X82" s="930"/>
      <c r="Y82" s="202"/>
      <c r="Z82" s="1"/>
      <c r="AA82" s="1"/>
    </row>
    <row r="83" spans="2:27" s="949" customFormat="1" ht="48" customHeight="1" x14ac:dyDescent="0.25">
      <c r="B83" s="17"/>
      <c r="C83" s="883" t="s">
        <v>1788</v>
      </c>
      <c r="I83" s="953" t="s">
        <v>1637</v>
      </c>
      <c r="J83" s="951" t="s">
        <v>1636</v>
      </c>
      <c r="K83" s="956" t="s">
        <v>1635</v>
      </c>
      <c r="L83" s="983">
        <v>127</v>
      </c>
      <c r="O83" s="202"/>
      <c r="P83" s="202"/>
      <c r="Q83" s="202"/>
      <c r="R83" s="202"/>
      <c r="S83" s="202"/>
      <c r="T83" s="202"/>
      <c r="U83" s="202"/>
      <c r="V83" s="930"/>
      <c r="W83" s="930"/>
      <c r="X83" s="930"/>
      <c r="Y83" s="202"/>
      <c r="Z83" s="1"/>
      <c r="AA83" s="1"/>
    </row>
    <row r="84" spans="2:27" s="949" customFormat="1" x14ac:dyDescent="0.25">
      <c r="B84" s="17"/>
      <c r="C84" s="1504" t="s">
        <v>1641</v>
      </c>
      <c r="D84" s="1504"/>
      <c r="E84" s="1504"/>
      <c r="F84" s="1504"/>
      <c r="I84" s="953" t="s">
        <v>1637</v>
      </c>
      <c r="J84" s="951" t="s">
        <v>1636</v>
      </c>
      <c r="K84" s="956" t="s">
        <v>1635</v>
      </c>
      <c r="L84" s="983">
        <v>110</v>
      </c>
      <c r="O84" s="202"/>
      <c r="P84" s="202"/>
      <c r="Q84" s="202"/>
      <c r="R84" s="202"/>
      <c r="S84" s="202"/>
      <c r="T84" s="202"/>
      <c r="U84" s="202"/>
      <c r="V84" s="930"/>
      <c r="W84" s="930"/>
      <c r="X84" s="930"/>
      <c r="Y84" s="202"/>
      <c r="Z84" s="1"/>
      <c r="AA84" s="1"/>
    </row>
    <row r="85" spans="2:27" s="949" customFormat="1" x14ac:dyDescent="0.25">
      <c r="B85" s="17"/>
      <c r="I85" s="953" t="s">
        <v>1637</v>
      </c>
      <c r="J85" s="951" t="s">
        <v>1636</v>
      </c>
      <c r="K85" s="956" t="s">
        <v>1635</v>
      </c>
      <c r="L85" s="1008">
        <v>90</v>
      </c>
      <c r="O85" s="202"/>
      <c r="P85" s="202"/>
      <c r="Q85" s="202"/>
      <c r="R85" s="202"/>
      <c r="S85" s="202"/>
      <c r="T85" s="202"/>
      <c r="U85" s="202"/>
      <c r="V85" s="930"/>
      <c r="W85" s="930"/>
      <c r="X85" s="930"/>
      <c r="Y85" s="202"/>
      <c r="Z85" s="1"/>
      <c r="AA85" s="1"/>
    </row>
    <row r="86" spans="2:27" s="949" customFormat="1" x14ac:dyDescent="0.25">
      <c r="B86" s="17"/>
      <c r="I86" s="953" t="s">
        <v>1637</v>
      </c>
      <c r="J86" s="951" t="s">
        <v>1636</v>
      </c>
      <c r="K86" s="956" t="s">
        <v>1635</v>
      </c>
      <c r="L86" s="1008">
        <v>70</v>
      </c>
      <c r="O86" s="202"/>
      <c r="P86" s="202"/>
      <c r="Q86" s="202"/>
      <c r="R86" s="202"/>
      <c r="S86" s="202"/>
      <c r="T86" s="202"/>
      <c r="U86" s="202"/>
      <c r="V86" s="930"/>
      <c r="W86" s="930"/>
      <c r="X86" s="930"/>
      <c r="Y86" s="202"/>
      <c r="Z86" s="1"/>
      <c r="AA86" s="1"/>
    </row>
    <row r="87" spans="2:27" s="949" customFormat="1" x14ac:dyDescent="0.25">
      <c r="B87" s="17"/>
      <c r="I87" s="953" t="s">
        <v>1637</v>
      </c>
      <c r="J87" s="951" t="s">
        <v>1636</v>
      </c>
      <c r="K87" s="956" t="s">
        <v>1635</v>
      </c>
      <c r="L87" s="1008">
        <v>50</v>
      </c>
      <c r="O87" s="202"/>
      <c r="P87" s="202"/>
      <c r="Q87" s="202"/>
      <c r="R87" s="202"/>
      <c r="S87" s="202"/>
      <c r="T87" s="202"/>
      <c r="U87" s="202"/>
      <c r="V87" s="930"/>
      <c r="W87" s="930"/>
      <c r="X87" s="930"/>
      <c r="Y87" s="202"/>
      <c r="Z87" s="1"/>
      <c r="AA87" s="1"/>
    </row>
    <row r="88" spans="2:27" s="949" customFormat="1" x14ac:dyDescent="0.25">
      <c r="B88" s="17"/>
      <c r="I88" s="953" t="s">
        <v>1637</v>
      </c>
      <c r="J88" s="951" t="s">
        <v>1636</v>
      </c>
      <c r="K88" s="956" t="s">
        <v>1635</v>
      </c>
      <c r="L88" s="1008">
        <v>30</v>
      </c>
      <c r="O88" s="202"/>
      <c r="P88" s="202"/>
      <c r="Q88" s="202"/>
      <c r="R88" s="202"/>
      <c r="S88" s="202"/>
      <c r="T88" s="202"/>
      <c r="U88" s="202"/>
      <c r="V88" s="930"/>
      <c r="W88" s="930"/>
      <c r="X88" s="930"/>
      <c r="Y88" s="202"/>
      <c r="Z88" s="1"/>
      <c r="AA88" s="1"/>
    </row>
    <row r="89" spans="2:27" s="949" customFormat="1" x14ac:dyDescent="0.25">
      <c r="B89" s="17"/>
      <c r="I89" s="953" t="s">
        <v>1637</v>
      </c>
      <c r="J89" s="951" t="s">
        <v>1636</v>
      </c>
      <c r="K89" s="956" t="s">
        <v>1635</v>
      </c>
      <c r="L89" s="1008">
        <v>20</v>
      </c>
      <c r="O89" s="202"/>
      <c r="P89" s="202"/>
      <c r="Q89" s="202"/>
      <c r="R89" s="202"/>
      <c r="S89" s="202"/>
      <c r="T89" s="202"/>
      <c r="U89" s="202"/>
      <c r="V89" s="930"/>
      <c r="W89" s="930"/>
      <c r="X89" s="930"/>
      <c r="Y89" s="202"/>
      <c r="Z89" s="1"/>
      <c r="AA89" s="1"/>
    </row>
    <row r="90" spans="2:27" s="949" customFormat="1" x14ac:dyDescent="0.25">
      <c r="B90" s="17"/>
      <c r="C90" s="883" t="s">
        <v>1601</v>
      </c>
      <c r="G90" s="949" t="s">
        <v>1789</v>
      </c>
      <c r="L90" s="57"/>
      <c r="O90" s="202"/>
      <c r="P90" s="202"/>
      <c r="Q90" s="202"/>
      <c r="R90" s="202"/>
      <c r="S90" s="202"/>
      <c r="T90" s="202"/>
      <c r="U90" s="202"/>
      <c r="V90" s="930"/>
      <c r="W90" s="930"/>
      <c r="X90" s="930"/>
      <c r="Y90" s="202"/>
      <c r="Z90" s="1"/>
      <c r="AA90" s="1"/>
    </row>
    <row r="91" spans="2:27" s="949" customFormat="1" x14ac:dyDescent="0.25">
      <c r="B91" s="17"/>
      <c r="C91" s="883" t="s">
        <v>2098</v>
      </c>
      <c r="L91" s="57"/>
      <c r="O91" s="202"/>
      <c r="P91" s="202"/>
      <c r="Q91" s="202"/>
      <c r="R91" s="202"/>
      <c r="S91" s="202"/>
      <c r="T91" s="202"/>
      <c r="U91" s="202"/>
      <c r="V91" s="930"/>
      <c r="W91" s="930"/>
      <c r="X91" s="930"/>
      <c r="Y91" s="202"/>
      <c r="Z91" s="1"/>
      <c r="AA91" s="1"/>
    </row>
    <row r="92" spans="2:27" s="949" customFormat="1" ht="16.5" x14ac:dyDescent="0.3">
      <c r="B92" s="17"/>
      <c r="C92" s="915" t="s">
        <v>1846</v>
      </c>
      <c r="D92" s="939"/>
      <c r="I92" s="953" t="s">
        <v>1656</v>
      </c>
      <c r="J92" s="951" t="s">
        <v>1831</v>
      </c>
      <c r="K92" s="956" t="s">
        <v>1832</v>
      </c>
      <c r="L92" s="1008">
        <v>0</v>
      </c>
      <c r="O92" s="202"/>
      <c r="P92" s="202"/>
      <c r="Q92" s="202"/>
      <c r="R92" s="202"/>
      <c r="S92" s="202"/>
      <c r="T92" s="202"/>
      <c r="U92" s="202"/>
      <c r="V92" s="930"/>
      <c r="W92" s="930"/>
      <c r="X92" s="930"/>
      <c r="Y92" s="202"/>
      <c r="Z92" s="1"/>
      <c r="AA92" s="1"/>
    </row>
    <row r="93" spans="2:27" s="949" customFormat="1" x14ac:dyDescent="0.25">
      <c r="B93" s="17"/>
      <c r="I93" s="953" t="s">
        <v>1785</v>
      </c>
      <c r="J93" s="951" t="s">
        <v>1786</v>
      </c>
      <c r="K93" s="956" t="s">
        <v>1787</v>
      </c>
      <c r="L93" s="1008" t="s">
        <v>1443</v>
      </c>
      <c r="O93" s="202"/>
      <c r="P93" s="202"/>
      <c r="Q93" s="202"/>
      <c r="R93" s="202"/>
      <c r="S93" s="202"/>
      <c r="T93" s="202"/>
      <c r="U93" s="202"/>
      <c r="V93" s="930"/>
      <c r="W93" s="930"/>
      <c r="X93" s="930"/>
      <c r="Y93" s="202"/>
      <c r="Z93" s="1"/>
      <c r="AA93" s="1"/>
    </row>
    <row r="94" spans="2:27" s="949" customFormat="1" x14ac:dyDescent="0.25">
      <c r="B94" s="17"/>
      <c r="C94" s="883"/>
      <c r="I94" s="953" t="s">
        <v>2102</v>
      </c>
      <c r="J94" s="951" t="s">
        <v>2103</v>
      </c>
      <c r="K94" s="956" t="s">
        <v>2099</v>
      </c>
      <c r="L94" s="1008">
        <v>1</v>
      </c>
      <c r="O94" s="202"/>
      <c r="P94" s="202"/>
      <c r="Q94" s="202"/>
      <c r="R94" s="202"/>
      <c r="S94" s="202"/>
      <c r="T94" s="202"/>
      <c r="U94" s="202"/>
      <c r="V94" s="930"/>
      <c r="W94" s="930"/>
      <c r="X94" s="930"/>
      <c r="Y94" s="202"/>
      <c r="Z94" s="1"/>
      <c r="AA94" s="1"/>
    </row>
    <row r="95" spans="2:27" s="949" customFormat="1" x14ac:dyDescent="0.25">
      <c r="B95" s="17"/>
      <c r="C95" s="883"/>
      <c r="I95" s="953" t="s">
        <v>2102</v>
      </c>
      <c r="J95" s="951" t="s">
        <v>2104</v>
      </c>
      <c r="K95" s="956" t="s">
        <v>2100</v>
      </c>
      <c r="L95" s="1008">
        <v>0</v>
      </c>
      <c r="O95" s="202"/>
      <c r="P95" s="202"/>
      <c r="Q95" s="202"/>
      <c r="R95" s="202"/>
      <c r="S95" s="202"/>
      <c r="T95" s="202"/>
      <c r="U95" s="202"/>
      <c r="V95" s="930"/>
      <c r="W95" s="930"/>
      <c r="X95" s="930"/>
      <c r="Y95" s="202"/>
      <c r="Z95" s="1"/>
      <c r="AA95" s="1"/>
    </row>
    <row r="96" spans="2:27" s="949" customFormat="1" x14ac:dyDescent="0.25">
      <c r="B96" s="17"/>
      <c r="C96" s="883"/>
      <c r="I96" s="953" t="s">
        <v>1913</v>
      </c>
      <c r="J96" s="951" t="s">
        <v>1914</v>
      </c>
      <c r="K96" s="956" t="s">
        <v>1915</v>
      </c>
      <c r="L96" s="1008" t="s">
        <v>2101</v>
      </c>
      <c r="N96" s="942" t="s">
        <v>1643</v>
      </c>
      <c r="O96" s="202"/>
      <c r="P96" s="202"/>
      <c r="Q96" s="202"/>
      <c r="R96" s="202"/>
      <c r="S96" s="202"/>
      <c r="T96" s="202"/>
      <c r="U96" s="202"/>
      <c r="V96" s="930">
        <v>10125</v>
      </c>
      <c r="W96" s="930"/>
      <c r="X96" s="930"/>
      <c r="Y96" s="202"/>
      <c r="Z96" s="1"/>
      <c r="AA96" s="1"/>
    </row>
    <row r="97" spans="2:27" s="949" customFormat="1" x14ac:dyDescent="0.25">
      <c r="B97" s="17"/>
      <c r="I97" s="953" t="s">
        <v>133</v>
      </c>
      <c r="J97" s="951" t="s">
        <v>1844</v>
      </c>
      <c r="K97" s="956" t="s">
        <v>1845</v>
      </c>
      <c r="L97" s="1008">
        <v>1</v>
      </c>
      <c r="N97" s="949" t="str">
        <f>"ref_count_value = 5120 =&gt; f_ref_afc = 40MHz / ref_count_value = "&amp;40/5120&amp;"MHz"</f>
        <v>ref_count_value = 5120 =&gt; f_ref_afc = 40MHz / ref_count_value = 0.0078125MHz</v>
      </c>
      <c r="O97" s="202"/>
      <c r="P97" s="202"/>
      <c r="Q97" s="202"/>
      <c r="R97" s="202"/>
      <c r="S97" s="202"/>
      <c r="T97" s="202"/>
      <c r="U97" s="202"/>
      <c r="V97" s="930"/>
      <c r="W97" s="930">
        <f>40/5120</f>
        <v>7.8125E-3</v>
      </c>
      <c r="X97" s="930"/>
      <c r="Y97" s="202"/>
      <c r="Z97" s="1"/>
      <c r="AA97" s="1"/>
    </row>
    <row r="98" spans="2:27" s="949" customFormat="1" x14ac:dyDescent="0.25">
      <c r="B98" s="17"/>
      <c r="I98" s="953" t="s">
        <v>1656</v>
      </c>
      <c r="J98" s="951" t="s">
        <v>1657</v>
      </c>
      <c r="K98" s="956" t="s">
        <v>1655</v>
      </c>
      <c r="L98" s="1008" t="s">
        <v>1443</v>
      </c>
      <c r="O98" s="202"/>
      <c r="P98" s="202"/>
      <c r="Q98" s="202"/>
      <c r="R98" s="202"/>
      <c r="S98" s="202"/>
      <c r="T98" s="202"/>
      <c r="U98" s="202"/>
      <c r="V98" s="930"/>
      <c r="W98" s="930"/>
      <c r="X98" s="930"/>
      <c r="Y98" s="202"/>
      <c r="Z98" s="1"/>
      <c r="AA98" s="1"/>
    </row>
    <row r="99" spans="2:27" s="949" customFormat="1" x14ac:dyDescent="0.25">
      <c r="B99" s="17"/>
      <c r="C99" s="915"/>
      <c r="I99" s="953" t="s">
        <v>1833</v>
      </c>
      <c r="J99" s="951" t="s">
        <v>1834</v>
      </c>
      <c r="K99" s="956" t="s">
        <v>1835</v>
      </c>
      <c r="L99" s="1008" t="s">
        <v>1836</v>
      </c>
      <c r="O99" s="202"/>
      <c r="P99" s="202"/>
      <c r="Q99" s="202"/>
      <c r="R99" s="202"/>
      <c r="S99" s="202"/>
      <c r="T99" s="202"/>
      <c r="U99" s="202"/>
      <c r="V99" s="930">
        <f>V96+720/2*0.8</f>
        <v>10413</v>
      </c>
      <c r="W99" s="930">
        <f>V99/16</f>
        <v>650.8125</v>
      </c>
      <c r="X99" s="930"/>
      <c r="Y99" s="202"/>
      <c r="Z99" s="1"/>
      <c r="AA99" s="1"/>
    </row>
    <row r="100" spans="2:27" s="949" customFormat="1" x14ac:dyDescent="0.25">
      <c r="B100" s="17"/>
      <c r="C100" s="915"/>
      <c r="G100" s="949" t="str">
        <f>"read "&amp;W100</f>
        <v>read 83304</v>
      </c>
      <c r="I100" s="953" t="s">
        <v>1833</v>
      </c>
      <c r="J100" s="951" t="s">
        <v>1916</v>
      </c>
      <c r="K100" s="956" t="s">
        <v>1917</v>
      </c>
      <c r="L100" s="1008" t="s">
        <v>1647</v>
      </c>
      <c r="O100" s="202"/>
      <c r="P100" s="202"/>
      <c r="Q100" s="202"/>
      <c r="R100" s="202"/>
      <c r="S100" s="202"/>
      <c r="T100" s="202"/>
      <c r="U100" s="202"/>
      <c r="V100" s="930"/>
      <c r="W100" s="930">
        <f>INT(W99/W97)</f>
        <v>83304</v>
      </c>
      <c r="X100" s="930">
        <f>LOG(W100)/LOG(2)</f>
        <v>16.346098150549803</v>
      </c>
      <c r="Y100" s="202"/>
      <c r="Z100" s="1"/>
      <c r="AA100" s="1"/>
    </row>
    <row r="101" spans="2:27" s="949" customFormat="1" x14ac:dyDescent="0.25">
      <c r="B101" s="17"/>
      <c r="C101" s="915"/>
      <c r="G101" s="949" t="str">
        <f>"freq = "&amp;W100&amp;" * f_ref_afc *16= "&amp;W100*W97*16&amp;" MHz"</f>
        <v>freq = 83304 * f_ref_afc *16= 10413 MHz</v>
      </c>
      <c r="L101" s="57"/>
      <c r="O101" s="202"/>
      <c r="P101" s="202"/>
      <c r="Q101" s="202"/>
      <c r="R101" s="202"/>
      <c r="S101" s="202"/>
      <c r="T101" s="202"/>
      <c r="U101" s="202"/>
      <c r="V101" s="930"/>
      <c r="W101" s="930"/>
      <c r="X101" s="930"/>
      <c r="Y101" s="202"/>
      <c r="Z101" s="1"/>
      <c r="AA101" s="1"/>
    </row>
    <row r="102" spans="2:27" s="949" customFormat="1" ht="48" customHeight="1" x14ac:dyDescent="0.25">
      <c r="B102" s="17"/>
      <c r="C102" s="883" t="s">
        <v>1790</v>
      </c>
      <c r="I102" s="953" t="s">
        <v>1637</v>
      </c>
      <c r="J102" s="951" t="s">
        <v>1636</v>
      </c>
      <c r="K102" s="956" t="s">
        <v>1635</v>
      </c>
      <c r="L102" s="1008">
        <v>61</v>
      </c>
      <c r="O102" s="202"/>
      <c r="P102" s="202"/>
      <c r="Q102" s="202"/>
      <c r="R102" s="202"/>
      <c r="S102" s="202"/>
      <c r="T102" s="202"/>
      <c r="U102" s="202"/>
      <c r="V102" s="930"/>
      <c r="W102" s="930"/>
      <c r="X102" s="930"/>
      <c r="Y102" s="202"/>
      <c r="Z102" s="1"/>
      <c r="AA102" s="1"/>
    </row>
    <row r="103" spans="2:27" s="949" customFormat="1" x14ac:dyDescent="0.25">
      <c r="B103" s="17"/>
      <c r="C103" s="1504"/>
      <c r="D103" s="1504"/>
      <c r="E103" s="1504"/>
      <c r="F103" s="1504"/>
      <c r="I103" s="953" t="s">
        <v>1637</v>
      </c>
      <c r="J103" s="951" t="s">
        <v>1636</v>
      </c>
      <c r="K103" s="956" t="s">
        <v>1635</v>
      </c>
      <c r="L103" s="1008">
        <v>100</v>
      </c>
      <c r="O103" s="202"/>
      <c r="P103" s="202"/>
      <c r="Q103" s="202"/>
      <c r="R103" s="202"/>
      <c r="S103" s="202"/>
      <c r="T103" s="202"/>
      <c r="U103" s="202"/>
      <c r="V103" s="930"/>
      <c r="W103" s="930"/>
      <c r="X103" s="930"/>
      <c r="Y103" s="202"/>
      <c r="Z103" s="1"/>
      <c r="AA103" s="1"/>
    </row>
    <row r="104" spans="2:27" s="949" customFormat="1" x14ac:dyDescent="0.25">
      <c r="B104" s="17"/>
      <c r="C104" s="883" t="s">
        <v>1601</v>
      </c>
      <c r="G104" s="949" t="s">
        <v>1791</v>
      </c>
      <c r="L104" s="57"/>
      <c r="O104" s="202"/>
      <c r="P104" s="202"/>
      <c r="Q104" s="202"/>
      <c r="R104" s="202"/>
      <c r="S104" s="202"/>
      <c r="T104" s="202"/>
      <c r="U104" s="202"/>
      <c r="V104" s="930"/>
      <c r="W104" s="930"/>
      <c r="X104" s="930"/>
      <c r="Y104" s="202"/>
      <c r="Z104" s="1"/>
      <c r="AA104" s="1"/>
    </row>
    <row r="105" spans="2:27" s="949" customFormat="1" x14ac:dyDescent="0.25">
      <c r="B105" s="17"/>
      <c r="C105" s="883" t="s">
        <v>2098</v>
      </c>
      <c r="L105" s="57"/>
      <c r="V105" s="942"/>
      <c r="W105" s="942"/>
      <c r="X105" s="930"/>
      <c r="Y105" s="202"/>
      <c r="Z105" s="1"/>
      <c r="AA105" s="1"/>
    </row>
    <row r="106" spans="2:27" s="949" customFormat="1" ht="16.5" x14ac:dyDescent="0.3">
      <c r="B106" s="17"/>
      <c r="C106" s="915" t="s">
        <v>1846</v>
      </c>
      <c r="D106" s="939"/>
      <c r="I106" s="953" t="s">
        <v>1656</v>
      </c>
      <c r="J106" s="951" t="s">
        <v>1831</v>
      </c>
      <c r="K106" s="956" t="s">
        <v>1832</v>
      </c>
      <c r="L106" s="1008">
        <v>0</v>
      </c>
      <c r="O106" s="202"/>
      <c r="P106" s="202"/>
      <c r="Q106" s="202"/>
      <c r="R106" s="202"/>
      <c r="S106" s="202"/>
      <c r="T106" s="202"/>
      <c r="U106" s="202"/>
      <c r="V106" s="942"/>
      <c r="W106" s="930"/>
      <c r="X106" s="930"/>
      <c r="Y106" s="202"/>
      <c r="Z106" s="1"/>
      <c r="AA106" s="1"/>
    </row>
    <row r="107" spans="2:27" s="949" customFormat="1" x14ac:dyDescent="0.25">
      <c r="B107" s="17"/>
      <c r="C107" s="883"/>
      <c r="I107" s="953" t="s">
        <v>1785</v>
      </c>
      <c r="J107" s="951" t="s">
        <v>1786</v>
      </c>
      <c r="K107" s="956" t="s">
        <v>1787</v>
      </c>
      <c r="L107" s="1008" t="s">
        <v>1443</v>
      </c>
      <c r="O107" s="202"/>
      <c r="P107" s="202"/>
      <c r="Q107" s="202"/>
      <c r="R107" s="202"/>
      <c r="S107" s="202"/>
      <c r="T107" s="202"/>
      <c r="U107" s="202"/>
      <c r="V107" s="930"/>
      <c r="W107" s="930"/>
      <c r="X107" s="930"/>
      <c r="Y107" s="202"/>
      <c r="Z107" s="1"/>
      <c r="AA107" s="1"/>
    </row>
    <row r="108" spans="2:27" s="949" customFormat="1" x14ac:dyDescent="0.25">
      <c r="B108" s="17"/>
      <c r="C108" s="883"/>
      <c r="I108" s="953" t="s">
        <v>2102</v>
      </c>
      <c r="J108" s="951" t="s">
        <v>2103</v>
      </c>
      <c r="K108" s="956" t="s">
        <v>2099</v>
      </c>
      <c r="L108" s="1008">
        <v>1</v>
      </c>
      <c r="O108" s="202"/>
      <c r="P108" s="202"/>
      <c r="Q108" s="202"/>
      <c r="R108" s="202"/>
      <c r="S108" s="202"/>
      <c r="T108" s="202"/>
      <c r="U108" s="202"/>
      <c r="V108" s="930"/>
      <c r="W108" s="930"/>
      <c r="X108" s="930"/>
      <c r="Y108" s="202"/>
      <c r="Z108" s="1"/>
      <c r="AA108" s="1"/>
    </row>
    <row r="109" spans="2:27" s="949" customFormat="1" x14ac:dyDescent="0.25">
      <c r="B109" s="17"/>
      <c r="C109" s="883"/>
      <c r="I109" s="953" t="s">
        <v>2102</v>
      </c>
      <c r="J109" s="951" t="s">
        <v>2104</v>
      </c>
      <c r="K109" s="956" t="s">
        <v>2100</v>
      </c>
      <c r="L109" s="1008">
        <v>0</v>
      </c>
      <c r="O109" s="202"/>
      <c r="P109" s="202"/>
      <c r="Q109" s="202"/>
      <c r="R109" s="202"/>
      <c r="S109" s="202"/>
      <c r="T109" s="202"/>
      <c r="U109" s="202"/>
      <c r="V109" s="930"/>
      <c r="W109" s="930"/>
      <c r="X109" s="930"/>
      <c r="Y109" s="202"/>
      <c r="Z109" s="1"/>
      <c r="AA109" s="1"/>
    </row>
    <row r="110" spans="2:27" s="949" customFormat="1" x14ac:dyDescent="0.25">
      <c r="B110" s="17"/>
      <c r="C110" s="883"/>
      <c r="I110" s="953" t="s">
        <v>1913</v>
      </c>
      <c r="J110" s="951" t="s">
        <v>1914</v>
      </c>
      <c r="K110" s="956" t="s">
        <v>1915</v>
      </c>
      <c r="L110" s="1008" t="s">
        <v>2101</v>
      </c>
      <c r="O110" s="202"/>
      <c r="P110" s="202"/>
      <c r="Q110" s="202"/>
      <c r="R110" s="202"/>
      <c r="S110" s="202"/>
      <c r="T110" s="202"/>
      <c r="U110" s="202"/>
      <c r="V110" s="930"/>
      <c r="W110" s="930"/>
      <c r="X110" s="930"/>
      <c r="Y110" s="202"/>
      <c r="Z110" s="1"/>
      <c r="AA110" s="1"/>
    </row>
    <row r="111" spans="2:27" s="949" customFormat="1" x14ac:dyDescent="0.25">
      <c r="B111" s="17"/>
      <c r="I111" s="953" t="s">
        <v>133</v>
      </c>
      <c r="J111" s="951" t="s">
        <v>1844</v>
      </c>
      <c r="K111" s="956" t="s">
        <v>1845</v>
      </c>
      <c r="L111" s="1008">
        <v>1</v>
      </c>
      <c r="O111" s="202"/>
      <c r="P111" s="202"/>
      <c r="Q111" s="202"/>
      <c r="R111" s="202"/>
      <c r="S111" s="202"/>
      <c r="T111" s="202"/>
      <c r="U111" s="202"/>
      <c r="V111" s="930"/>
      <c r="W111" s="930"/>
      <c r="X111" s="930"/>
      <c r="Y111" s="202"/>
      <c r="Z111" s="1"/>
      <c r="AA111" s="1"/>
    </row>
    <row r="112" spans="2:27" s="949" customFormat="1" x14ac:dyDescent="0.25">
      <c r="B112" s="17"/>
      <c r="I112" s="953" t="s">
        <v>1656</v>
      </c>
      <c r="J112" s="951" t="s">
        <v>1657</v>
      </c>
      <c r="K112" s="956" t="s">
        <v>1655</v>
      </c>
      <c r="L112" s="1008" t="s">
        <v>1443</v>
      </c>
      <c r="O112" s="202"/>
      <c r="P112" s="202"/>
      <c r="Q112" s="202"/>
      <c r="R112" s="202"/>
      <c r="S112" s="202"/>
      <c r="T112" s="202"/>
      <c r="U112" s="202"/>
      <c r="V112" s="930"/>
      <c r="W112" s="930"/>
      <c r="X112" s="930"/>
      <c r="Y112" s="202"/>
      <c r="Z112" s="1"/>
      <c r="AA112" s="1"/>
    </row>
    <row r="113" spans="2:27" s="949" customFormat="1" x14ac:dyDescent="0.25">
      <c r="B113" s="17"/>
      <c r="C113" s="915"/>
      <c r="I113" s="953" t="s">
        <v>1833</v>
      </c>
      <c r="J113" s="951" t="s">
        <v>1834</v>
      </c>
      <c r="K113" s="956" t="s">
        <v>1835</v>
      </c>
      <c r="L113" s="1008" t="s">
        <v>1836</v>
      </c>
      <c r="O113" s="202"/>
      <c r="P113" s="202"/>
      <c r="Q113" s="202"/>
      <c r="R113" s="202"/>
      <c r="S113" s="202"/>
      <c r="T113" s="202"/>
      <c r="U113" s="202"/>
      <c r="V113" s="930"/>
      <c r="W113" s="930"/>
      <c r="X113" s="930"/>
      <c r="Y113" s="202"/>
      <c r="Z113" s="1"/>
      <c r="AA113" s="1"/>
    </row>
    <row r="114" spans="2:27" s="949" customFormat="1" x14ac:dyDescent="0.25">
      <c r="B114" s="17"/>
      <c r="C114" s="915"/>
      <c r="G114" s="949" t="str">
        <f>"read "&amp;W115</f>
        <v>read 78696</v>
      </c>
      <c r="I114" s="953" t="s">
        <v>1833</v>
      </c>
      <c r="J114" s="951" t="s">
        <v>1916</v>
      </c>
      <c r="K114" s="956" t="s">
        <v>1917</v>
      </c>
      <c r="L114" s="1008" t="s">
        <v>1647</v>
      </c>
      <c r="O114" s="202"/>
      <c r="P114" s="202"/>
      <c r="Q114" s="202"/>
      <c r="R114" s="202"/>
      <c r="S114" s="202"/>
      <c r="T114" s="202"/>
      <c r="U114" s="202"/>
      <c r="V114" s="930">
        <f>V96-720/2*0.8</f>
        <v>9837</v>
      </c>
      <c r="W114" s="930">
        <f>V114/16</f>
        <v>614.8125</v>
      </c>
      <c r="X114" s="930"/>
      <c r="Y114" s="202"/>
      <c r="Z114" s="1"/>
      <c r="AA114" s="1"/>
    </row>
    <row r="115" spans="2:27" s="949" customFormat="1" x14ac:dyDescent="0.25">
      <c r="B115" s="17"/>
      <c r="C115" s="915"/>
      <c r="G115" s="949" t="str">
        <f>"freq = "&amp;W115&amp;" * f_ref_afc *16= "&amp;W115*W97*16&amp;" MHz"</f>
        <v>freq = 78696 * f_ref_afc *16= 9837 MHz</v>
      </c>
      <c r="O115" s="202"/>
      <c r="P115" s="202"/>
      <c r="Q115" s="202"/>
      <c r="R115" s="202"/>
      <c r="S115" s="202"/>
      <c r="T115" s="202"/>
      <c r="U115" s="202"/>
      <c r="V115" s="930"/>
      <c r="W115" s="930">
        <f>INT(W114/W97)</f>
        <v>78696</v>
      </c>
      <c r="X115" s="930">
        <f>LOG(W115)/LOG(2)</f>
        <v>16.264002687114218</v>
      </c>
      <c r="Y115" s="202"/>
      <c r="Z115" s="1"/>
      <c r="AA115" s="1"/>
    </row>
    <row r="116" spans="2:27" s="949" customFormat="1" x14ac:dyDescent="0.25">
      <c r="B116" s="17"/>
      <c r="C116" s="880" t="s">
        <v>2110</v>
      </c>
      <c r="G116" s="949" t="str">
        <f>"= ("&amp;W100*W97*16&amp;"MHz - "&amp;W115*W97*16&amp;"MHz)/(1.38-0.59)"</f>
        <v>= (10413MHz - 9837MHz)/(1.38-0.59)</v>
      </c>
      <c r="O116" s="202"/>
      <c r="P116" s="202"/>
      <c r="Q116" s="202"/>
      <c r="R116" s="202"/>
      <c r="S116" s="202"/>
      <c r="T116" s="202"/>
      <c r="U116" s="202"/>
      <c r="V116" s="930"/>
      <c r="W116" s="930"/>
      <c r="X116" s="930"/>
      <c r="Y116" s="202"/>
      <c r="Z116" s="1"/>
      <c r="AA116" s="1"/>
    </row>
    <row r="117" spans="2:27" s="949" customFormat="1" x14ac:dyDescent="0.25">
      <c r="B117" s="17"/>
      <c r="C117" s="880"/>
      <c r="G117" s="949" t="str">
        <f>"= "&amp;ROUND((W100*W97*16-W115*W97*16)/(1.38-0.59),1)&amp;" MHz/V"</f>
        <v>= 729.1 MHz/V</v>
      </c>
      <c r="O117" s="202"/>
      <c r="P117" s="202"/>
      <c r="Q117" s="202"/>
      <c r="R117" s="202"/>
      <c r="S117" s="202"/>
      <c r="T117" s="202"/>
      <c r="U117" s="202"/>
      <c r="V117" s="930"/>
      <c r="W117" s="930"/>
      <c r="X117" s="930"/>
      <c r="Y117" s="202"/>
      <c r="Z117" s="1"/>
      <c r="AA117" s="1"/>
    </row>
    <row r="118" spans="2:27" s="949" customFormat="1" x14ac:dyDescent="0.25">
      <c r="B118" s="17"/>
      <c r="C118" s="912" t="s">
        <v>1639</v>
      </c>
      <c r="G118" s="949" t="str">
        <f>"= "&amp;ROUND((W100*W97*16-W115*W97*16)/(1.38-0.59),1)&amp;" /0.1 = "&amp;ROUND((W100*W97*16-W115*W97*16)/(1.38-0.59),1)/0.1</f>
        <v>= 729.1 /0.1 = 7291</v>
      </c>
      <c r="O118" s="202"/>
      <c r="P118" s="202"/>
      <c r="Q118" s="202"/>
      <c r="R118" s="202"/>
      <c r="S118" s="202"/>
      <c r="T118" s="202"/>
      <c r="U118" s="202"/>
      <c r="V118" s="202"/>
      <c r="W118" s="202"/>
      <c r="X118" s="202"/>
      <c r="Y118" s="202"/>
      <c r="Z118" s="1"/>
      <c r="AA118" s="1"/>
    </row>
    <row r="119" spans="2:27" x14ac:dyDescent="0.25">
      <c r="C119" s="912"/>
    </row>
    <row r="120" spans="2:27" x14ac:dyDescent="0.25">
      <c r="B120" s="17" t="s">
        <v>1174</v>
      </c>
    </row>
    <row r="123" spans="2:27" x14ac:dyDescent="0.25">
      <c r="B123" s="17" t="s">
        <v>56</v>
      </c>
    </row>
    <row r="124" spans="2:27" x14ac:dyDescent="0.25">
      <c r="C124" s="1" t="s">
        <v>88</v>
      </c>
    </row>
  </sheetData>
  <mergeCells count="7">
    <mergeCell ref="C84:F84"/>
    <mergeCell ref="C103:F103"/>
    <mergeCell ref="C41:F41"/>
    <mergeCell ref="E6:G6"/>
    <mergeCell ref="B8:B9"/>
    <mergeCell ref="E8:H9"/>
    <mergeCell ref="C60:F60"/>
  </mergeCells>
  <hyperlinks>
    <hyperlink ref="B1" location="'RFE SOC FuseMap'!A1" display="RFE/SOC FuseMap" xr:uid="{39B98851-A893-4028-B535-9506B9E4ADEC}"/>
    <hyperlink ref="C23" r:id="rId1" display="Cal DAC" xr:uid="{B8E30E9C-8C27-4747-98A4-9483F06F6E69}"/>
    <hyperlink ref="C24" r:id="rId2" display="AAFC" xr:uid="{2308ECC2-B9B0-41CE-8C6C-64F16D15E347}"/>
    <hyperlink ref="C25" r:id="rId3" location="AAFC%20Programming%20guide&amp;section-id=%7BF1AE298C-77EE-424D-BBD1-96B7BBBF16E1%7D&amp;page-id=%7BA978F87E-79BA-4D24-A886-17FC32ACD4C6%7D&amp;end" xr:uid="{6CA1FBF9-D89C-4CD9-B87A-5CC7AB86238B}"/>
  </hyperlinks>
  <pageMargins left="0.7" right="0.7" top="0.75" bottom="0.75" header="0.3" footer="0.3"/>
  <pageSetup paperSize="9" orientation="portrait"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04D90-97C6-43CD-ACFB-E8AD0D0042F1}">
  <dimension ref="B1:X70"/>
  <sheetViews>
    <sheetView zoomScale="70" zoomScaleNormal="70"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32.7109375" customWidth="1"/>
    <col min="7" max="7" width="26.85546875" customWidth="1"/>
    <col min="9" max="9" width="21.5703125" bestFit="1" customWidth="1"/>
    <col min="10" max="10" width="42.140625" customWidth="1"/>
    <col min="11" max="11" width="59.140625" bestFit="1" customWidth="1"/>
    <col min="12" max="12" width="18.7109375" bestFit="1" customWidth="1"/>
    <col min="13" max="19" width="9.140625" style="1"/>
    <col min="20" max="20" width="17.85546875" style="1" customWidth="1"/>
    <col min="21" max="21" width="9.140625" style="1"/>
    <col min="22" max="22" width="15.85546875" style="1" bestFit="1" customWidth="1"/>
    <col min="23" max="24" width="9.140625" style="1"/>
  </cols>
  <sheetData>
    <row r="1" spans="2:11" x14ac:dyDescent="0.25">
      <c r="B1" s="16" t="s">
        <v>1055</v>
      </c>
    </row>
    <row r="2" spans="2:11" ht="15.75" thickBot="1" x14ac:dyDescent="0.3">
      <c r="E2" s="949"/>
      <c r="F2" s="949"/>
      <c r="G2" s="949"/>
    </row>
    <row r="3" spans="2:11" x14ac:dyDescent="0.25">
      <c r="B3" s="850" t="s">
        <v>0</v>
      </c>
      <c r="C3" s="20" t="s">
        <v>847</v>
      </c>
      <c r="D3" s="53"/>
      <c r="E3" s="949"/>
      <c r="F3" s="949"/>
      <c r="G3" s="949"/>
    </row>
    <row r="4" spans="2:11" ht="15.75" thickBot="1" x14ac:dyDescent="0.3">
      <c r="B4" s="851" t="s">
        <v>1</v>
      </c>
      <c r="C4" s="23" t="s">
        <v>1580</v>
      </c>
      <c r="D4" s="53"/>
      <c r="E4" s="949"/>
      <c r="F4" s="949"/>
      <c r="G4" s="949"/>
    </row>
    <row r="5" spans="2:11" ht="15.75" thickBot="1" x14ac:dyDescent="0.3"/>
    <row r="6" spans="2:11" ht="85.5" customHeight="1" thickBot="1" x14ac:dyDescent="0.3">
      <c r="D6" s="52" t="s">
        <v>666</v>
      </c>
      <c r="E6" s="1365" t="s">
        <v>46</v>
      </c>
      <c r="F6" s="1366"/>
      <c r="G6" s="1367"/>
      <c r="H6" s="52" t="s">
        <v>61</v>
      </c>
      <c r="I6" s="863" t="s">
        <v>94</v>
      </c>
      <c r="J6" s="864" t="s">
        <v>96</v>
      </c>
      <c r="K6" s="865" t="s">
        <v>95</v>
      </c>
    </row>
    <row r="7" spans="2:11" x14ac:dyDescent="0.25">
      <c r="B7" s="42" t="s">
        <v>59</v>
      </c>
      <c r="C7" s="45" t="s">
        <v>49</v>
      </c>
      <c r="D7" s="45" t="s">
        <v>49</v>
      </c>
      <c r="E7" s="48">
        <v>125</v>
      </c>
      <c r="F7" s="27">
        <v>25</v>
      </c>
      <c r="G7" s="37">
        <v>-40</v>
      </c>
      <c r="H7" s="33" t="s">
        <v>48</v>
      </c>
      <c r="I7" s="36" t="s">
        <v>49</v>
      </c>
      <c r="J7" s="84" t="s">
        <v>49</v>
      </c>
      <c r="K7" s="83" t="s">
        <v>49</v>
      </c>
    </row>
    <row r="8" spans="2:11" ht="45" x14ac:dyDescent="0.25">
      <c r="B8" s="862" t="s">
        <v>63</v>
      </c>
      <c r="C8" s="46" t="s">
        <v>1548</v>
      </c>
      <c r="D8" s="597" t="str">
        <f>"no, value d8000 by default if not trimmed"</f>
        <v>no, value d8000 by default if not trimmed</v>
      </c>
      <c r="E8" s="1533" t="s">
        <v>1633</v>
      </c>
      <c r="F8" s="1369"/>
      <c r="G8" s="1369"/>
      <c r="H8" s="1370"/>
      <c r="I8" s="831" t="s">
        <v>1357</v>
      </c>
      <c r="J8" s="841" t="s">
        <v>1547</v>
      </c>
      <c r="K8" s="207" t="s">
        <v>1583</v>
      </c>
    </row>
    <row r="9" spans="2:11" ht="15.75" thickBot="1" x14ac:dyDescent="0.3">
      <c r="B9" s="43" t="s">
        <v>60</v>
      </c>
      <c r="C9" s="47" t="s">
        <v>49</v>
      </c>
      <c r="D9" s="47" t="s">
        <v>49</v>
      </c>
      <c r="E9" s="51" t="s">
        <v>372</v>
      </c>
      <c r="F9" s="29"/>
      <c r="G9" s="41"/>
      <c r="H9" s="35" t="s">
        <v>49</v>
      </c>
      <c r="I9" s="40" t="s">
        <v>49</v>
      </c>
      <c r="J9" s="86" t="s">
        <v>49</v>
      </c>
      <c r="K9" s="81" t="s">
        <v>49</v>
      </c>
    </row>
    <row r="10" spans="2:11" x14ac:dyDescent="0.25">
      <c r="B10" t="s">
        <v>58</v>
      </c>
    </row>
    <row r="11" spans="2:11" x14ac:dyDescent="0.25">
      <c r="B11" t="s">
        <v>50</v>
      </c>
    </row>
    <row r="13" spans="2:11" x14ac:dyDescent="0.25">
      <c r="B13" s="17" t="s">
        <v>822</v>
      </c>
      <c r="C13" t="s">
        <v>1581</v>
      </c>
    </row>
    <row r="14" spans="2:11" x14ac:dyDescent="0.25">
      <c r="B14" s="17"/>
      <c r="C14" s="63" t="s">
        <v>856</v>
      </c>
    </row>
    <row r="15" spans="2:11" x14ac:dyDescent="0.25">
      <c r="B15" s="17"/>
      <c r="C15" s="63"/>
    </row>
    <row r="16" spans="2:11" x14ac:dyDescent="0.25">
      <c r="B16" s="17" t="s">
        <v>51</v>
      </c>
    </row>
    <row r="17" spans="2:24" x14ac:dyDescent="0.25">
      <c r="C17" s="1" t="s">
        <v>1355</v>
      </c>
      <c r="D17" s="18"/>
    </row>
    <row r="18" spans="2:24" x14ac:dyDescent="0.25">
      <c r="J18" s="938"/>
    </row>
    <row r="19" spans="2:24" x14ac:dyDescent="0.25">
      <c r="B19" s="17" t="s">
        <v>53</v>
      </c>
    </row>
    <row r="20" spans="2:24" x14ac:dyDescent="0.25">
      <c r="C20" s="1" t="s">
        <v>88</v>
      </c>
      <c r="D20" s="18"/>
    </row>
    <row r="21" spans="2:24" x14ac:dyDescent="0.25">
      <c r="J21" s="937"/>
      <c r="L21" s="938"/>
    </row>
    <row r="22" spans="2:24" x14ac:dyDescent="0.25">
      <c r="B22" s="17" t="s">
        <v>633</v>
      </c>
      <c r="C22" s="1"/>
      <c r="J22" s="89"/>
      <c r="L22" s="938"/>
    </row>
    <row r="23" spans="2:24" x14ac:dyDescent="0.25">
      <c r="C23" s="914" t="s">
        <v>88</v>
      </c>
      <c r="D23" s="914"/>
      <c r="E23" s="914"/>
      <c r="F23" s="914"/>
      <c r="G23" s="914"/>
    </row>
    <row r="25" spans="2:24" ht="15.75" thickBot="1" x14ac:dyDescent="0.3">
      <c r="B25" s="17" t="s">
        <v>55</v>
      </c>
    </row>
    <row r="26" spans="2:24" ht="30" x14ac:dyDescent="0.25">
      <c r="B26" s="17"/>
      <c r="C26" s="883"/>
      <c r="G26" s="17" t="s">
        <v>1426</v>
      </c>
      <c r="I26" s="578" t="s">
        <v>94</v>
      </c>
      <c r="J26" s="580" t="s">
        <v>96</v>
      </c>
      <c r="K26" s="94" t="s">
        <v>95</v>
      </c>
      <c r="L26" s="885" t="s">
        <v>1648</v>
      </c>
      <c r="N26" s="202"/>
      <c r="O26" s="202"/>
      <c r="P26" s="202"/>
      <c r="Q26" s="202"/>
      <c r="R26" s="202"/>
      <c r="S26" s="202"/>
      <c r="T26" s="202"/>
      <c r="U26" s="202"/>
      <c r="V26" s="202"/>
      <c r="W26" s="202"/>
      <c r="X26" s="202"/>
    </row>
    <row r="27" spans="2:24" s="949" customFormat="1" x14ac:dyDescent="0.25">
      <c r="B27" s="17"/>
      <c r="C27" s="883" t="s">
        <v>1906</v>
      </c>
      <c r="G27" s="17"/>
      <c r="I27" s="1002"/>
      <c r="J27" s="1003"/>
      <c r="K27" s="1004"/>
      <c r="L27" s="1005"/>
      <c r="N27" s="1"/>
      <c r="O27" s="1"/>
      <c r="P27" s="1"/>
      <c r="Q27" s="1"/>
      <c r="R27" s="1"/>
      <c r="S27" s="1"/>
      <c r="T27" s="1"/>
      <c r="U27" s="1"/>
      <c r="V27" s="942"/>
      <c r="W27" s="1"/>
      <c r="X27" s="1"/>
    </row>
    <row r="28" spans="2:24" s="949" customFormat="1" ht="30" x14ac:dyDescent="0.25">
      <c r="B28" s="17"/>
      <c r="C28" s="883" t="s">
        <v>1920</v>
      </c>
      <c r="G28" s="17"/>
      <c r="I28" s="1002" t="s">
        <v>1907</v>
      </c>
      <c r="J28" s="1003" t="s">
        <v>1908</v>
      </c>
      <c r="K28" s="1006" t="s">
        <v>1922</v>
      </c>
      <c r="L28" s="1005">
        <v>1</v>
      </c>
      <c r="N28" s="1"/>
      <c r="O28" s="1"/>
      <c r="P28" s="1"/>
      <c r="Q28" s="1"/>
      <c r="R28" s="1"/>
      <c r="S28" s="1"/>
      <c r="T28" s="1"/>
      <c r="U28" s="1"/>
      <c r="V28" s="942"/>
      <c r="W28" s="1"/>
      <c r="X28" s="1"/>
    </row>
    <row r="29" spans="2:24" s="949" customFormat="1" ht="30" x14ac:dyDescent="0.25">
      <c r="B29" s="17"/>
      <c r="G29" s="17"/>
      <c r="I29" s="1002" t="s">
        <v>1907</v>
      </c>
      <c r="J29" s="1003" t="s">
        <v>1909</v>
      </c>
      <c r="K29" s="1006" t="s">
        <v>1921</v>
      </c>
      <c r="L29" s="1005">
        <v>1</v>
      </c>
      <c r="N29" s="1"/>
      <c r="O29" s="1"/>
      <c r="P29" s="1"/>
      <c r="Q29" s="1"/>
      <c r="R29" s="1"/>
      <c r="S29" s="1"/>
      <c r="T29" s="1"/>
      <c r="U29" s="1"/>
      <c r="V29" s="942"/>
      <c r="W29" s="1"/>
      <c r="X29" s="1"/>
    </row>
    <row r="30" spans="2:24" x14ac:dyDescent="0.25">
      <c r="B30" s="17"/>
      <c r="C30" s="883" t="s">
        <v>1910</v>
      </c>
      <c r="I30" s="1002" t="s">
        <v>133</v>
      </c>
      <c r="J30" s="1003" t="s">
        <v>1911</v>
      </c>
      <c r="K30" s="1006" t="s">
        <v>1912</v>
      </c>
      <c r="L30" s="1005">
        <v>1</v>
      </c>
      <c r="N30" s="202"/>
      <c r="O30" s="202"/>
      <c r="P30" s="202"/>
      <c r="Q30" s="202"/>
      <c r="R30" s="202"/>
      <c r="S30" s="202"/>
      <c r="T30" s="202"/>
      <c r="U30" s="202"/>
      <c r="V30" s="202"/>
      <c r="W30" s="202"/>
      <c r="X30" s="202"/>
    </row>
    <row r="31" spans="2:24" s="949" customFormat="1" x14ac:dyDescent="0.25">
      <c r="B31" s="17"/>
      <c r="C31" t="s">
        <v>1919</v>
      </c>
      <c r="I31" s="986" t="s">
        <v>133</v>
      </c>
      <c r="J31" s="1007" t="s">
        <v>1838</v>
      </c>
      <c r="K31" s="369" t="s">
        <v>1837</v>
      </c>
      <c r="L31" s="1008">
        <v>1</v>
      </c>
      <c r="M31" s="1"/>
      <c r="N31" s="202"/>
      <c r="O31" s="202"/>
      <c r="P31" s="202"/>
      <c r="Q31" s="202"/>
      <c r="R31" s="202"/>
      <c r="S31" s="202"/>
      <c r="T31" s="202"/>
      <c r="U31" s="202"/>
      <c r="V31" s="202"/>
      <c r="W31" s="202"/>
      <c r="X31" s="202"/>
    </row>
    <row r="32" spans="2:24" ht="16.5" x14ac:dyDescent="0.3">
      <c r="B32" s="17"/>
      <c r="C32" s="883"/>
      <c r="D32" s="939"/>
      <c r="I32" s="986" t="s">
        <v>1656</v>
      </c>
      <c r="J32" s="1007" t="s">
        <v>1831</v>
      </c>
      <c r="K32" s="369" t="s">
        <v>1832</v>
      </c>
      <c r="L32" s="1008">
        <v>0</v>
      </c>
      <c r="N32" s="202"/>
      <c r="O32" s="202"/>
      <c r="P32" s="202"/>
      <c r="Q32" s="202"/>
      <c r="R32" s="202"/>
      <c r="S32" s="202"/>
      <c r="T32" s="202"/>
      <c r="U32" s="202"/>
      <c r="V32" s="202"/>
      <c r="W32" s="202"/>
      <c r="X32" s="202"/>
    </row>
    <row r="33" spans="2:24" x14ac:dyDescent="0.25">
      <c r="B33" s="17"/>
      <c r="C33" s="883"/>
      <c r="I33" s="986" t="s">
        <v>1644</v>
      </c>
      <c r="J33" s="1007" t="s">
        <v>1645</v>
      </c>
      <c r="K33" s="369" t="s">
        <v>1653</v>
      </c>
      <c r="L33" s="1008">
        <v>0</v>
      </c>
      <c r="N33" s="202"/>
      <c r="O33" s="202"/>
      <c r="P33" s="202"/>
      <c r="Q33" s="202"/>
      <c r="R33" s="202"/>
      <c r="S33" s="202"/>
      <c r="T33" s="202"/>
      <c r="U33" s="202"/>
      <c r="V33" s="202"/>
      <c r="W33" s="202"/>
      <c r="X33" s="202"/>
    </row>
    <row r="34" spans="2:24" x14ac:dyDescent="0.25">
      <c r="B34" s="17"/>
      <c r="C34" s="883"/>
      <c r="I34" s="986" t="s">
        <v>1644</v>
      </c>
      <c r="J34" s="1007" t="s">
        <v>1646</v>
      </c>
      <c r="K34" s="369" t="s">
        <v>1654</v>
      </c>
      <c r="L34" s="1008">
        <v>0</v>
      </c>
      <c r="N34" s="202"/>
      <c r="O34" s="202"/>
      <c r="P34" s="202"/>
      <c r="Q34" s="202"/>
      <c r="R34" s="202"/>
      <c r="S34" s="202"/>
      <c r="T34" s="202"/>
      <c r="U34" s="202"/>
      <c r="V34" s="202"/>
      <c r="W34" s="202"/>
      <c r="X34" s="202"/>
    </row>
    <row r="35" spans="2:24" s="949" customFormat="1" x14ac:dyDescent="0.25">
      <c r="B35" s="17"/>
      <c r="C35" s="883"/>
      <c r="I35" s="1009" t="s">
        <v>1913</v>
      </c>
      <c r="J35" s="1010" t="s">
        <v>1914</v>
      </c>
      <c r="K35" s="122" t="s">
        <v>1915</v>
      </c>
      <c r="L35" s="1011">
        <v>8000</v>
      </c>
      <c r="M35" s="1"/>
      <c r="N35" s="202"/>
      <c r="O35" s="202"/>
      <c r="P35" s="202"/>
      <c r="Q35" s="202"/>
      <c r="R35" s="202"/>
      <c r="S35" s="202"/>
      <c r="T35" s="202"/>
      <c r="U35" s="202"/>
      <c r="V35" s="202"/>
      <c r="W35" s="202"/>
      <c r="X35" s="202"/>
    </row>
    <row r="36" spans="2:24" x14ac:dyDescent="0.25">
      <c r="B36" s="17"/>
      <c r="C36" s="915" t="s">
        <v>1839</v>
      </c>
      <c r="I36" s="1012" t="s">
        <v>133</v>
      </c>
      <c r="J36" s="1013" t="s">
        <v>1844</v>
      </c>
      <c r="K36" s="1014" t="s">
        <v>1845</v>
      </c>
      <c r="L36" s="1015">
        <v>0</v>
      </c>
      <c r="N36" s="202"/>
      <c r="O36" s="202"/>
      <c r="P36" s="202"/>
      <c r="Q36" s="202"/>
      <c r="R36" s="202"/>
      <c r="S36" s="202"/>
      <c r="T36" s="202"/>
      <c r="U36" s="202"/>
      <c r="V36" s="202"/>
      <c r="W36" s="202"/>
      <c r="X36" s="202"/>
    </row>
    <row r="37" spans="2:24" x14ac:dyDescent="0.25">
      <c r="B37" s="17"/>
      <c r="C37" s="915"/>
      <c r="I37" s="1012" t="s">
        <v>133</v>
      </c>
      <c r="J37" s="1013" t="s">
        <v>1847</v>
      </c>
      <c r="K37" s="1014" t="s">
        <v>1848</v>
      </c>
      <c r="L37" s="1016" t="s">
        <v>614</v>
      </c>
      <c r="N37" s="202"/>
      <c r="O37" s="202"/>
      <c r="P37" s="202"/>
      <c r="Q37" s="202"/>
      <c r="R37" s="202"/>
      <c r="S37" s="202"/>
      <c r="T37" s="202"/>
      <c r="U37" s="202"/>
      <c r="V37" s="202"/>
      <c r="W37" s="202"/>
      <c r="X37" s="202"/>
    </row>
    <row r="38" spans="2:24" x14ac:dyDescent="0.25">
      <c r="B38" s="17"/>
      <c r="I38" s="986" t="s">
        <v>1656</v>
      </c>
      <c r="J38" s="1007" t="s">
        <v>1657</v>
      </c>
      <c r="K38" s="369" t="s">
        <v>1655</v>
      </c>
      <c r="L38" s="1008" t="s">
        <v>1443</v>
      </c>
      <c r="N38" s="202"/>
      <c r="O38" s="202"/>
      <c r="P38" s="202"/>
      <c r="Q38" s="202"/>
      <c r="R38" s="202"/>
      <c r="S38" s="202"/>
      <c r="T38" s="202"/>
      <c r="U38" s="202"/>
      <c r="V38" s="202"/>
      <c r="W38" s="202"/>
      <c r="X38" s="202"/>
    </row>
    <row r="39" spans="2:24" s="949" customFormat="1" x14ac:dyDescent="0.25">
      <c r="B39" s="17"/>
      <c r="C39" s="915" t="s">
        <v>1918</v>
      </c>
      <c r="I39" s="986"/>
      <c r="J39" s="310"/>
      <c r="K39" s="369"/>
      <c r="L39" s="1008"/>
      <c r="M39" s="1"/>
      <c r="N39" s="202"/>
      <c r="O39" s="202"/>
      <c r="P39" s="202"/>
      <c r="Q39" s="202"/>
      <c r="R39" s="202"/>
      <c r="S39" s="202"/>
      <c r="T39" s="202"/>
      <c r="U39" s="202"/>
      <c r="V39" s="202"/>
      <c r="W39" s="202"/>
      <c r="X39" s="202"/>
    </row>
    <row r="40" spans="2:24" x14ac:dyDescent="0.25">
      <c r="B40" s="17"/>
      <c r="C40" s="915"/>
      <c r="G40" t="s">
        <v>1857</v>
      </c>
      <c r="I40" s="986" t="s">
        <v>1833</v>
      </c>
      <c r="J40" s="202" t="s">
        <v>1834</v>
      </c>
      <c r="K40" s="369" t="s">
        <v>1835</v>
      </c>
      <c r="L40" s="1008" t="s">
        <v>1836</v>
      </c>
      <c r="N40" s="202"/>
      <c r="O40" s="202"/>
      <c r="P40" s="202"/>
      <c r="Q40" s="202"/>
      <c r="R40" s="202"/>
      <c r="S40" s="202"/>
      <c r="T40" s="202"/>
      <c r="U40" s="202"/>
      <c r="V40" s="202">
        <v>13782</v>
      </c>
      <c r="W40" s="202">
        <f>LOG(V40)/LOG(2)</f>
        <v>13.750497642099081</v>
      </c>
      <c r="X40" s="202"/>
    </row>
    <row r="41" spans="2:24" x14ac:dyDescent="0.25">
      <c r="B41" s="17"/>
      <c r="C41" s="63"/>
      <c r="G41" t="str">
        <f>"read "&amp;V40</f>
        <v>read 13782</v>
      </c>
      <c r="I41" s="1009" t="s">
        <v>1833</v>
      </c>
      <c r="J41" s="1010" t="s">
        <v>1916</v>
      </c>
      <c r="K41" s="122" t="s">
        <v>1917</v>
      </c>
      <c r="L41" s="1008" t="s">
        <v>1647</v>
      </c>
      <c r="N41" s="202"/>
      <c r="O41" s="202"/>
      <c r="P41" s="202"/>
      <c r="Q41" s="202"/>
      <c r="R41" s="202"/>
      <c r="S41" s="202"/>
      <c r="T41" s="202"/>
      <c r="U41" s="202"/>
      <c r="V41" s="202"/>
      <c r="W41" s="202"/>
      <c r="X41" s="202"/>
    </row>
    <row r="42" spans="2:24" x14ac:dyDescent="0.25">
      <c r="B42" s="17"/>
      <c r="C42" s="915"/>
      <c r="G42" t="str">
        <f>"F_20M = "&amp;V40&amp;" * 10MHz / 8000 = "&amp;V40*10/8000&amp;" MHz"</f>
        <v>F_20M = 13782 * 10MHz / 8000 = 17.2275 MHz</v>
      </c>
      <c r="I42" s="57"/>
      <c r="J42" s="57"/>
      <c r="K42" s="57"/>
      <c r="L42" s="57"/>
      <c r="N42" s="202"/>
      <c r="O42" s="202"/>
      <c r="P42" s="202"/>
      <c r="Q42" s="202"/>
      <c r="R42" s="202"/>
      <c r="S42" s="202"/>
      <c r="T42" s="202"/>
      <c r="U42" s="202"/>
      <c r="V42" s="202"/>
      <c r="W42" s="202"/>
      <c r="X42" s="202"/>
    </row>
    <row r="43" spans="2:24" x14ac:dyDescent="0.25">
      <c r="B43" s="17"/>
      <c r="C43" s="915" t="s">
        <v>1843</v>
      </c>
      <c r="I43" s="1012" t="s">
        <v>133</v>
      </c>
      <c r="J43" s="1013" t="s">
        <v>1847</v>
      </c>
      <c r="K43" s="1014" t="s">
        <v>1848</v>
      </c>
      <c r="L43" s="1016" t="s">
        <v>622</v>
      </c>
      <c r="N43" s="202"/>
      <c r="O43" s="202"/>
      <c r="P43" s="202"/>
      <c r="Q43" s="202"/>
      <c r="R43" s="202"/>
      <c r="S43" s="202"/>
      <c r="T43" s="202"/>
      <c r="U43" s="202"/>
      <c r="V43" s="202"/>
      <c r="W43" s="202"/>
      <c r="X43" s="202"/>
    </row>
    <row r="44" spans="2:24" x14ac:dyDescent="0.25">
      <c r="B44" s="17"/>
      <c r="C44" s="915"/>
      <c r="I44" s="986" t="s">
        <v>1656</v>
      </c>
      <c r="J44" s="1007" t="s">
        <v>1657</v>
      </c>
      <c r="K44" s="369" t="s">
        <v>1655</v>
      </c>
      <c r="L44" s="1008" t="s">
        <v>1443</v>
      </c>
      <c r="N44" s="202"/>
      <c r="O44" s="202"/>
      <c r="P44" s="202"/>
      <c r="Q44" s="202"/>
      <c r="R44" s="202"/>
      <c r="S44" s="202"/>
      <c r="T44" s="202"/>
      <c r="U44" s="202"/>
      <c r="V44" s="202"/>
      <c r="W44" s="202"/>
      <c r="X44" s="202"/>
    </row>
    <row r="45" spans="2:24" s="949" customFormat="1" x14ac:dyDescent="0.25">
      <c r="B45" s="17"/>
      <c r="C45" s="915" t="s">
        <v>1918</v>
      </c>
      <c r="I45" s="986"/>
      <c r="J45" s="310"/>
      <c r="K45" s="369"/>
      <c r="L45" s="1008"/>
      <c r="M45" s="1"/>
      <c r="N45" s="202"/>
      <c r="O45" s="202"/>
      <c r="P45" s="202"/>
      <c r="Q45" s="202"/>
      <c r="R45" s="202"/>
      <c r="S45" s="202"/>
      <c r="T45" s="202"/>
      <c r="U45" s="202"/>
      <c r="V45" s="202"/>
      <c r="W45" s="202"/>
      <c r="X45" s="202"/>
    </row>
    <row r="46" spans="2:24" x14ac:dyDescent="0.25">
      <c r="B46" s="17"/>
      <c r="C46" s="915"/>
      <c r="G46" t="s">
        <v>1857</v>
      </c>
      <c r="I46" s="986" t="s">
        <v>1833</v>
      </c>
      <c r="J46" s="202" t="s">
        <v>1834</v>
      </c>
      <c r="K46" s="369" t="s">
        <v>1835</v>
      </c>
      <c r="L46" s="1008" t="s">
        <v>1836</v>
      </c>
      <c r="N46" s="202"/>
      <c r="O46" s="202"/>
      <c r="P46" s="202"/>
      <c r="Q46" s="202"/>
      <c r="R46" s="202"/>
      <c r="S46" s="202"/>
      <c r="T46" s="202"/>
      <c r="U46" s="202"/>
      <c r="V46" s="202">
        <v>65913</v>
      </c>
      <c r="W46" s="202">
        <f>LOG(V46)/LOG(2)</f>
        <v>16.008275415130047</v>
      </c>
      <c r="X46" s="202"/>
    </row>
    <row r="47" spans="2:24" x14ac:dyDescent="0.25">
      <c r="B47" s="17"/>
      <c r="C47" s="63"/>
      <c r="G47" t="str">
        <f>"read "&amp;V46</f>
        <v>read 65913</v>
      </c>
      <c r="I47" s="1009" t="s">
        <v>1833</v>
      </c>
      <c r="J47" s="1010" t="s">
        <v>1916</v>
      </c>
      <c r="K47" s="122" t="s">
        <v>1917</v>
      </c>
      <c r="L47" s="1008" t="s">
        <v>1647</v>
      </c>
      <c r="N47" s="202"/>
      <c r="O47" s="202"/>
      <c r="P47" s="202"/>
      <c r="Q47" s="202"/>
      <c r="R47" s="202"/>
      <c r="S47" s="202"/>
      <c r="T47" s="202"/>
      <c r="U47" s="202"/>
      <c r="V47" s="202"/>
      <c r="W47" s="202"/>
      <c r="X47" s="202"/>
    </row>
    <row r="48" spans="2:24" x14ac:dyDescent="0.25">
      <c r="B48" s="17"/>
      <c r="C48" s="915"/>
      <c r="G48" t="str">
        <f>"F_100M = "&amp;V46&amp;" * 10MHz / 8000 = "&amp;V46*10/8000&amp;" MHz"</f>
        <v>F_100M = 65913 * 10MHz / 8000 = 82.39125 MHz</v>
      </c>
      <c r="N48" s="202"/>
      <c r="O48" s="202"/>
      <c r="P48" s="202"/>
      <c r="Q48" s="202"/>
      <c r="R48" s="202"/>
      <c r="S48" s="202"/>
      <c r="T48" s="202"/>
      <c r="U48" s="202"/>
      <c r="V48" s="202"/>
      <c r="W48" s="202"/>
      <c r="X48" s="202"/>
    </row>
    <row r="49" spans="2:22" x14ac:dyDescent="0.25">
      <c r="B49" s="17"/>
      <c r="C49" t="s">
        <v>1849</v>
      </c>
    </row>
    <row r="50" spans="2:22" x14ac:dyDescent="0.25">
      <c r="B50" s="17"/>
      <c r="D50" t="s">
        <v>1854</v>
      </c>
    </row>
    <row r="51" spans="2:22" x14ac:dyDescent="0.25">
      <c r="B51" s="17"/>
      <c r="D51" t="s">
        <v>1850</v>
      </c>
    </row>
    <row r="52" spans="2:22" x14ac:dyDescent="0.25">
      <c r="B52" s="17"/>
      <c r="D52" t="s">
        <v>1852</v>
      </c>
    </row>
    <row r="53" spans="2:22" x14ac:dyDescent="0.25">
      <c r="B53" s="17"/>
      <c r="D53" t="s">
        <v>1840</v>
      </c>
    </row>
    <row r="54" spans="2:22" x14ac:dyDescent="0.25">
      <c r="B54" s="17"/>
      <c r="D54" t="s">
        <v>1851</v>
      </c>
    </row>
    <row r="55" spans="2:22" x14ac:dyDescent="0.25">
      <c r="B55" s="17"/>
      <c r="G55" t="str">
        <f>"Cringo ="&amp;V55&amp;" F"</f>
        <v>Cringo =1.15328891121302E-12 F</v>
      </c>
      <c r="V55" s="1000">
        <f>((1/(6*V40*10*1000000/8000))-(1/(6*V46*10*1000000/8000)))/(0.784*'ChirpGen RES_OHM'!J42/12/0.146748-0.631*'ChirpGen RES_OHM'!J42/12/0.62493452)</f>
        <v>1.1532889112130172E-12</v>
      </c>
    </row>
    <row r="56" spans="2:22" x14ac:dyDescent="0.25">
      <c r="B56" s="17"/>
      <c r="C56" t="s">
        <v>1853</v>
      </c>
      <c r="G56" t="str">
        <f>"RC freq = "&amp;V56&amp;" Hz"</f>
        <v>RC freq = 7510254.73095868 Hz</v>
      </c>
      <c r="V56" s="1001">
        <f>1/V55/'ChirpGen RES_OHM'!J42/2/PI()</f>
        <v>7510254.7309586797</v>
      </c>
    </row>
    <row r="57" spans="2:22" x14ac:dyDescent="0.25">
      <c r="B57" s="17"/>
      <c r="C57" t="s">
        <v>1841</v>
      </c>
      <c r="G57" t="str">
        <f>"Register = "&amp;ROUND(V56/1000,0)</f>
        <v>Register = 7510</v>
      </c>
    </row>
    <row r="59" spans="2:22" x14ac:dyDescent="0.25">
      <c r="B59" s="17" t="s">
        <v>1174</v>
      </c>
    </row>
    <row r="60" spans="2:22" x14ac:dyDescent="0.25">
      <c r="C60" t="s">
        <v>1842</v>
      </c>
    </row>
    <row r="61" spans="2:22" x14ac:dyDescent="0.25">
      <c r="C61" s="63" t="s">
        <v>1856</v>
      </c>
      <c r="D61" s="63"/>
    </row>
    <row r="63" spans="2:22" x14ac:dyDescent="0.25">
      <c r="B63" s="17" t="s">
        <v>56</v>
      </c>
    </row>
    <row r="64" spans="2:22" ht="16.5" x14ac:dyDescent="0.3">
      <c r="C64" s="1" t="s">
        <v>88</v>
      </c>
      <c r="D64" s="18"/>
      <c r="J64" s="939"/>
      <c r="K64" s="17"/>
      <c r="L64" s="17"/>
      <c r="M64" s="2"/>
    </row>
    <row r="65" spans="11:11" ht="16.5" x14ac:dyDescent="0.25">
      <c r="K65" s="401"/>
    </row>
    <row r="66" spans="11:11" ht="16.5" x14ac:dyDescent="0.25">
      <c r="K66" s="401"/>
    </row>
    <row r="70" spans="11:11" ht="16.5" x14ac:dyDescent="0.25">
      <c r="K70" s="401"/>
    </row>
  </sheetData>
  <mergeCells count="2">
    <mergeCell ref="E6:G6"/>
    <mergeCell ref="E8:H8"/>
  </mergeCells>
  <hyperlinks>
    <hyperlink ref="B1" location="'RFE SOC FuseMap'!A1" display="RFE/SOC FuseMap" xr:uid="{EEB0B1E0-B9DB-40D1-B7CF-B7471E0FD0F4}"/>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2FA97-7ADF-4C40-A856-3EC1DAF9BDD9}">
  <dimension ref="B1:L58"/>
  <sheetViews>
    <sheetView zoomScaleNormal="100"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8.28515625" bestFit="1" customWidth="1"/>
    <col min="10" max="10" width="18.5703125" bestFit="1" customWidth="1"/>
    <col min="11" max="11" width="27.28515625" bestFit="1" customWidth="1"/>
  </cols>
  <sheetData>
    <row r="1" spans="2:11" x14ac:dyDescent="0.25">
      <c r="B1" s="16" t="s">
        <v>1055</v>
      </c>
    </row>
    <row r="2" spans="2:11" ht="15.75" thickBot="1" x14ac:dyDescent="0.3">
      <c r="E2" s="949"/>
      <c r="F2" s="949"/>
      <c r="G2" s="949"/>
    </row>
    <row r="3" spans="2:11" x14ac:dyDescent="0.25">
      <c r="B3" s="850" t="s">
        <v>0</v>
      </c>
      <c r="C3" s="20" t="s">
        <v>847</v>
      </c>
      <c r="D3" s="53"/>
      <c r="E3" s="949"/>
      <c r="F3" s="949"/>
      <c r="G3" s="949"/>
    </row>
    <row r="4" spans="2:11" ht="15.75" thickBot="1" x14ac:dyDescent="0.3">
      <c r="B4" s="851" t="s">
        <v>1</v>
      </c>
      <c r="C4" s="23" t="s">
        <v>1559</v>
      </c>
      <c r="D4" s="53"/>
      <c r="E4" s="949"/>
      <c r="F4" s="949"/>
      <c r="G4" s="949"/>
    </row>
    <row r="5" spans="2:11" ht="15.75" thickBot="1" x14ac:dyDescent="0.3"/>
    <row r="6" spans="2:11" ht="45.75" thickBot="1" x14ac:dyDescent="0.3">
      <c r="D6" s="52" t="s">
        <v>666</v>
      </c>
      <c r="E6" s="1365" t="s">
        <v>46</v>
      </c>
      <c r="F6" s="1366"/>
      <c r="G6" s="1367"/>
      <c r="H6" s="52" t="s">
        <v>61</v>
      </c>
      <c r="I6" s="863" t="s">
        <v>94</v>
      </c>
      <c r="J6" s="864" t="s">
        <v>96</v>
      </c>
      <c r="K6" s="865" t="s">
        <v>95</v>
      </c>
    </row>
    <row r="7" spans="2:11" x14ac:dyDescent="0.25">
      <c r="B7" s="42" t="s">
        <v>59</v>
      </c>
      <c r="C7" s="45" t="s">
        <v>49</v>
      </c>
      <c r="D7" s="45" t="s">
        <v>49</v>
      </c>
      <c r="E7" s="48">
        <v>125</v>
      </c>
      <c r="F7" s="27">
        <v>25</v>
      </c>
      <c r="G7" s="37">
        <v>-40</v>
      </c>
      <c r="H7" s="33" t="s">
        <v>48</v>
      </c>
      <c r="I7" s="36" t="s">
        <v>49</v>
      </c>
      <c r="J7" s="84" t="s">
        <v>49</v>
      </c>
      <c r="K7" s="83" t="s">
        <v>49</v>
      </c>
    </row>
    <row r="8" spans="2:11" ht="45" x14ac:dyDescent="0.25">
      <c r="B8" s="862" t="s">
        <v>63</v>
      </c>
      <c r="C8" s="46" t="s">
        <v>1546</v>
      </c>
      <c r="D8" s="597" t="str">
        <f>"no, value 0x10 by default if not trimmed"</f>
        <v>no, value 0x10 by default if not trimmed</v>
      </c>
      <c r="E8" s="49">
        <v>20</v>
      </c>
      <c r="F8" s="30">
        <v>20</v>
      </c>
      <c r="G8" s="38">
        <v>20</v>
      </c>
      <c r="H8" s="34" t="s">
        <v>393</v>
      </c>
      <c r="I8" s="39" t="s">
        <v>1553</v>
      </c>
      <c r="J8" s="85" t="s">
        <v>1554</v>
      </c>
      <c r="K8" s="79" t="s">
        <v>1552</v>
      </c>
    </row>
    <row r="9" spans="2:11" ht="15.75" thickBot="1" x14ac:dyDescent="0.3">
      <c r="B9" s="43" t="s">
        <v>60</v>
      </c>
      <c r="C9" s="47" t="s">
        <v>49</v>
      </c>
      <c r="D9" s="47" t="s">
        <v>49</v>
      </c>
      <c r="E9" s="51" t="s">
        <v>372</v>
      </c>
      <c r="F9" s="29"/>
      <c r="G9" s="41"/>
      <c r="H9" s="35" t="s">
        <v>49</v>
      </c>
      <c r="I9" s="40" t="s">
        <v>49</v>
      </c>
      <c r="J9" s="86" t="s">
        <v>49</v>
      </c>
      <c r="K9" s="81" t="s">
        <v>49</v>
      </c>
    </row>
    <row r="10" spans="2:11" x14ac:dyDescent="0.25">
      <c r="B10" t="s">
        <v>58</v>
      </c>
    </row>
    <row r="11" spans="2:11" x14ac:dyDescent="0.25">
      <c r="B11" t="s">
        <v>50</v>
      </c>
    </row>
    <row r="13" spans="2:11" x14ac:dyDescent="0.25">
      <c r="B13" s="17" t="s">
        <v>822</v>
      </c>
    </row>
    <row r="14" spans="2:11" x14ac:dyDescent="0.25">
      <c r="B14" s="17"/>
      <c r="C14" s="63" t="s">
        <v>1557</v>
      </c>
    </row>
    <row r="15" spans="2:11" x14ac:dyDescent="0.25">
      <c r="B15" s="17"/>
      <c r="C15" s="63" t="s">
        <v>1558</v>
      </c>
    </row>
    <row r="16" spans="2:11" x14ac:dyDescent="0.25">
      <c r="B16" s="17"/>
      <c r="C16" s="63" t="s">
        <v>856</v>
      </c>
    </row>
    <row r="17" spans="2:12" ht="23.25" x14ac:dyDescent="0.25">
      <c r="B17" s="17"/>
      <c r="C17" s="881"/>
    </row>
    <row r="18" spans="2:12" x14ac:dyDescent="0.25">
      <c r="B18" s="17" t="s">
        <v>51</v>
      </c>
    </row>
    <row r="19" spans="2:12" x14ac:dyDescent="0.25">
      <c r="C19" s="1" t="s">
        <v>1577</v>
      </c>
      <c r="D19" s="18"/>
    </row>
    <row r="21" spans="2:12" x14ac:dyDescent="0.25">
      <c r="B21" s="17" t="s">
        <v>53</v>
      </c>
    </row>
    <row r="22" spans="2:12" x14ac:dyDescent="0.25">
      <c r="C22" s="1" t="s">
        <v>88</v>
      </c>
      <c r="D22" s="18"/>
    </row>
    <row r="24" spans="2:12" x14ac:dyDescent="0.25">
      <c r="B24" s="17" t="s">
        <v>633</v>
      </c>
      <c r="C24" s="1"/>
    </row>
    <row r="25" spans="2:12" ht="14.25" customHeight="1" x14ac:dyDescent="0.25">
      <c r="C25" s="1" t="s">
        <v>88</v>
      </c>
      <c r="D25" s="888"/>
      <c r="E25" s="888"/>
      <c r="F25" s="888"/>
      <c r="G25" s="888"/>
    </row>
    <row r="27" spans="2:12" ht="15.75" thickBot="1" x14ac:dyDescent="0.3">
      <c r="B27" s="17" t="s">
        <v>55</v>
      </c>
    </row>
    <row r="28" spans="2:12" x14ac:dyDescent="0.25">
      <c r="C28" s="883" t="s">
        <v>1597</v>
      </c>
      <c r="I28" s="578" t="s">
        <v>94</v>
      </c>
      <c r="J28" s="580" t="s">
        <v>96</v>
      </c>
      <c r="K28" s="94" t="s">
        <v>95</v>
      </c>
      <c r="L28" s="885" t="s">
        <v>1401</v>
      </c>
    </row>
    <row r="29" spans="2:12" x14ac:dyDescent="0.25">
      <c r="C29" s="913" t="s">
        <v>1651</v>
      </c>
      <c r="I29" s="986" t="s">
        <v>1560</v>
      </c>
      <c r="J29" s="21" t="s">
        <v>1561</v>
      </c>
      <c r="K29" s="79" t="s">
        <v>1584</v>
      </c>
      <c r="L29" s="886">
        <v>1</v>
      </c>
    </row>
    <row r="30" spans="2:12" x14ac:dyDescent="0.25">
      <c r="C30" s="913" t="s">
        <v>1555</v>
      </c>
      <c r="I30" s="986" t="s">
        <v>1560</v>
      </c>
      <c r="J30" s="21" t="s">
        <v>1562</v>
      </c>
      <c r="K30" s="79" t="s">
        <v>1585</v>
      </c>
      <c r="L30" s="886">
        <v>0</v>
      </c>
    </row>
    <row r="31" spans="2:12" x14ac:dyDescent="0.25">
      <c r="C31" s="913" t="s">
        <v>1556</v>
      </c>
      <c r="I31" s="986" t="s">
        <v>1560</v>
      </c>
      <c r="J31" s="21" t="s">
        <v>1563</v>
      </c>
      <c r="K31" s="79" t="s">
        <v>1586</v>
      </c>
      <c r="L31" s="886">
        <v>127</v>
      </c>
    </row>
    <row r="32" spans="2:12" x14ac:dyDescent="0.25">
      <c r="C32" s="883" t="s">
        <v>1598</v>
      </c>
      <c r="I32" s="39" t="s">
        <v>1564</v>
      </c>
      <c r="J32" s="21" t="s">
        <v>1565</v>
      </c>
      <c r="K32" s="79" t="s">
        <v>1587</v>
      </c>
      <c r="L32" s="886">
        <v>0</v>
      </c>
    </row>
    <row r="33" spans="3:12" x14ac:dyDescent="0.25">
      <c r="C33" s="883" t="s">
        <v>1608</v>
      </c>
      <c r="I33" s="986" t="s">
        <v>1564</v>
      </c>
      <c r="J33" s="21" t="s">
        <v>1566</v>
      </c>
      <c r="K33" s="79" t="s">
        <v>1588</v>
      </c>
      <c r="L33" s="886">
        <v>1</v>
      </c>
    </row>
    <row r="34" spans="3:12" x14ac:dyDescent="0.25">
      <c r="C34" s="883" t="s">
        <v>1599</v>
      </c>
      <c r="I34" s="986" t="s">
        <v>1567</v>
      </c>
      <c r="J34" s="21" t="s">
        <v>1568</v>
      </c>
      <c r="K34" s="79" t="s">
        <v>1589</v>
      </c>
      <c r="L34" s="886">
        <v>1</v>
      </c>
    </row>
    <row r="35" spans="3:12" x14ac:dyDescent="0.25">
      <c r="C35" s="883" t="s">
        <v>1600</v>
      </c>
      <c r="I35" s="39" t="s">
        <v>1553</v>
      </c>
      <c r="J35" s="21" t="s">
        <v>1569</v>
      </c>
      <c r="K35" s="79" t="s">
        <v>1590</v>
      </c>
      <c r="L35" s="886">
        <v>1</v>
      </c>
    </row>
    <row r="36" spans="3:12" s="949" customFormat="1" x14ac:dyDescent="0.25">
      <c r="C36" s="883" t="s">
        <v>1895</v>
      </c>
      <c r="I36" s="986" t="s">
        <v>1564</v>
      </c>
      <c r="J36" s="951" t="s">
        <v>1893</v>
      </c>
      <c r="K36" s="956" t="s">
        <v>1894</v>
      </c>
      <c r="L36" s="983" t="s">
        <v>1443</v>
      </c>
    </row>
    <row r="37" spans="3:12" x14ac:dyDescent="0.25">
      <c r="C37" s="883" t="s">
        <v>1609</v>
      </c>
      <c r="I37" s="39" t="s">
        <v>18</v>
      </c>
      <c r="J37" s="21" t="s">
        <v>1570</v>
      </c>
      <c r="K37" s="79" t="s">
        <v>1591</v>
      </c>
      <c r="L37" s="886">
        <v>1</v>
      </c>
    </row>
    <row r="38" spans="3:12" x14ac:dyDescent="0.25">
      <c r="C38" s="883" t="s">
        <v>1610</v>
      </c>
      <c r="I38" s="39" t="s">
        <v>18</v>
      </c>
      <c r="J38" s="21" t="s">
        <v>1571</v>
      </c>
      <c r="K38" s="79" t="s">
        <v>1592</v>
      </c>
      <c r="L38" s="886">
        <v>46</v>
      </c>
    </row>
    <row r="39" spans="3:12" ht="15.75" thickBot="1" x14ac:dyDescent="0.3">
      <c r="C39" s="880" t="s">
        <v>1572</v>
      </c>
      <c r="I39" s="102" t="s">
        <v>1553</v>
      </c>
      <c r="J39" s="23" t="s">
        <v>1554</v>
      </c>
      <c r="K39" s="133" t="s">
        <v>1552</v>
      </c>
      <c r="L39" s="887" t="s">
        <v>1574</v>
      </c>
    </row>
    <row r="40" spans="3:12" x14ac:dyDescent="0.25">
      <c r="C40" s="884" t="s">
        <v>1573</v>
      </c>
    </row>
    <row r="41" spans="3:12" ht="15.75" thickBot="1" x14ac:dyDescent="0.3">
      <c r="C41" s="884"/>
    </row>
    <row r="42" spans="3:12" x14ac:dyDescent="0.25">
      <c r="C42" s="883" t="s">
        <v>1597</v>
      </c>
      <c r="I42" s="578" t="s">
        <v>94</v>
      </c>
      <c r="J42" s="580" t="s">
        <v>96</v>
      </c>
      <c r="K42" s="94" t="s">
        <v>95</v>
      </c>
      <c r="L42" s="885" t="s">
        <v>1401</v>
      </c>
    </row>
    <row r="43" spans="3:12" x14ac:dyDescent="0.25">
      <c r="C43" s="913" t="s">
        <v>1652</v>
      </c>
      <c r="I43" s="39" t="s">
        <v>1560</v>
      </c>
      <c r="J43" s="21" t="s">
        <v>1561</v>
      </c>
      <c r="K43" s="79" t="s">
        <v>1584</v>
      </c>
      <c r="L43" s="886">
        <v>0</v>
      </c>
    </row>
    <row r="44" spans="3:12" s="949" customFormat="1" x14ac:dyDescent="0.25">
      <c r="C44" s="883" t="s">
        <v>1895</v>
      </c>
      <c r="I44" s="986" t="s">
        <v>1564</v>
      </c>
      <c r="J44" s="951" t="s">
        <v>1893</v>
      </c>
      <c r="K44" s="956" t="s">
        <v>1894</v>
      </c>
      <c r="L44" s="983" t="s">
        <v>1443</v>
      </c>
    </row>
    <row r="45" spans="3:12" x14ac:dyDescent="0.25">
      <c r="C45" s="883" t="s">
        <v>1611</v>
      </c>
      <c r="I45" s="39" t="s">
        <v>18</v>
      </c>
      <c r="J45" s="21" t="s">
        <v>1571</v>
      </c>
      <c r="K45" s="79" t="s">
        <v>1592</v>
      </c>
      <c r="L45" s="886">
        <v>47</v>
      </c>
    </row>
    <row r="46" spans="3:12" ht="15.75" thickBot="1" x14ac:dyDescent="0.3">
      <c r="C46" s="880" t="s">
        <v>1572</v>
      </c>
      <c r="I46" s="102" t="s">
        <v>1553</v>
      </c>
      <c r="J46" s="23" t="s">
        <v>1554</v>
      </c>
      <c r="K46" s="133" t="s">
        <v>1552</v>
      </c>
      <c r="L46" s="887" t="s">
        <v>1574</v>
      </c>
    </row>
    <row r="47" spans="3:12" x14ac:dyDescent="0.25">
      <c r="C47" s="884" t="s">
        <v>1573</v>
      </c>
    </row>
    <row r="48" spans="3:12" x14ac:dyDescent="0.25">
      <c r="C48" s="884"/>
    </row>
    <row r="49" spans="2:12" x14ac:dyDescent="0.25">
      <c r="C49" s="891" t="s">
        <v>1612</v>
      </c>
    </row>
    <row r="50" spans="2:12" ht="15.75" thickBot="1" x14ac:dyDescent="0.3">
      <c r="C50" s="880" t="s">
        <v>1613</v>
      </c>
      <c r="I50" s="102" t="s">
        <v>1553</v>
      </c>
      <c r="J50" s="23" t="s">
        <v>1554</v>
      </c>
      <c r="K50" s="133" t="s">
        <v>1552</v>
      </c>
    </row>
    <row r="52" spans="2:12" x14ac:dyDescent="0.25">
      <c r="B52" s="17" t="s">
        <v>1174</v>
      </c>
    </row>
    <row r="53" spans="2:12" x14ac:dyDescent="0.25">
      <c r="B53" s="17"/>
      <c r="C53" t="s">
        <v>1576</v>
      </c>
      <c r="I53" s="39" t="s">
        <v>1560</v>
      </c>
      <c r="J53" s="21" t="s">
        <v>1561</v>
      </c>
      <c r="K53" s="79" t="s">
        <v>1584</v>
      </c>
      <c r="L53" s="886">
        <v>0</v>
      </c>
    </row>
    <row r="54" spans="2:12" x14ac:dyDescent="0.25">
      <c r="I54" s="39" t="s">
        <v>18</v>
      </c>
      <c r="J54" s="21" t="s">
        <v>1571</v>
      </c>
      <c r="K54" s="79" t="s">
        <v>1592</v>
      </c>
      <c r="L54" s="886">
        <v>47</v>
      </c>
    </row>
    <row r="55" spans="2:12" x14ac:dyDescent="0.25">
      <c r="C55" t="s">
        <v>1575</v>
      </c>
    </row>
    <row r="57" spans="2:12" x14ac:dyDescent="0.25">
      <c r="B57" s="17" t="s">
        <v>56</v>
      </c>
    </row>
    <row r="58" spans="2:12" x14ac:dyDescent="0.25">
      <c r="C58" s="1" t="s">
        <v>88</v>
      </c>
    </row>
  </sheetData>
  <mergeCells count="1">
    <mergeCell ref="E6:G6"/>
  </mergeCells>
  <hyperlinks>
    <hyperlink ref="B1" location="'RFE SOC FuseMap'!A1" display="RFE/SOC FuseMap" xr:uid="{B1E6AC81-3359-4459-A0E1-61A5F1BBC237}"/>
  </hyperlinks>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76BD6-D2CD-47C0-A975-B27AE285A98B}">
  <dimension ref="B1:W62"/>
  <sheetViews>
    <sheetView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 min="11" max="11" width="19" bestFit="1" customWidth="1"/>
  </cols>
  <sheetData>
    <row r="1" spans="2:23" x14ac:dyDescent="0.25">
      <c r="B1" s="16" t="s">
        <v>1055</v>
      </c>
    </row>
    <row r="2" spans="2:23" ht="15.75" thickBot="1" x14ac:dyDescent="0.3">
      <c r="E2" s="949"/>
      <c r="F2" s="949"/>
      <c r="G2" s="949"/>
    </row>
    <row r="3" spans="2:23" x14ac:dyDescent="0.25">
      <c r="B3" s="850" t="s">
        <v>0</v>
      </c>
      <c r="C3" s="20" t="s">
        <v>847</v>
      </c>
      <c r="D3" s="53"/>
      <c r="E3" s="949"/>
      <c r="F3" s="949"/>
      <c r="G3" s="949"/>
    </row>
    <row r="4" spans="2:23" ht="15.75" thickBot="1" x14ac:dyDescent="0.3">
      <c r="B4" s="851" t="s">
        <v>1</v>
      </c>
      <c r="C4" s="23" t="s">
        <v>1535</v>
      </c>
      <c r="D4" s="53"/>
      <c r="E4" s="949"/>
      <c r="F4" s="949"/>
      <c r="G4" s="949"/>
    </row>
    <row r="5" spans="2:23" ht="15.75" thickBot="1" x14ac:dyDescent="0.3"/>
    <row r="6" spans="2:23" ht="45.75" thickBot="1" x14ac:dyDescent="0.3">
      <c r="D6" s="52" t="s">
        <v>666</v>
      </c>
      <c r="E6" s="1365" t="s">
        <v>46</v>
      </c>
      <c r="F6" s="1366"/>
      <c r="G6" s="1367"/>
      <c r="H6" s="52" t="s">
        <v>61</v>
      </c>
      <c r="I6" s="863" t="s">
        <v>94</v>
      </c>
      <c r="J6" s="864" t="s">
        <v>96</v>
      </c>
      <c r="K6" s="865" t="s">
        <v>95</v>
      </c>
    </row>
    <row r="7" spans="2:23" x14ac:dyDescent="0.25">
      <c r="B7" s="42" t="s">
        <v>59</v>
      </c>
      <c r="C7" s="45" t="s">
        <v>49</v>
      </c>
      <c r="D7" s="45" t="s">
        <v>49</v>
      </c>
      <c r="E7" s="48">
        <v>125</v>
      </c>
      <c r="F7" s="27">
        <v>25</v>
      </c>
      <c r="G7" s="37">
        <v>-40</v>
      </c>
      <c r="H7" s="33" t="s">
        <v>48</v>
      </c>
      <c r="I7" s="36" t="s">
        <v>49</v>
      </c>
      <c r="J7" s="84" t="s">
        <v>49</v>
      </c>
      <c r="K7" s="83" t="s">
        <v>49</v>
      </c>
    </row>
    <row r="8" spans="2:23" ht="45" x14ac:dyDescent="0.25">
      <c r="B8" s="862" t="s">
        <v>63</v>
      </c>
      <c r="C8" s="46" t="s">
        <v>1536</v>
      </c>
      <c r="D8" s="76" t="str">
        <f>"no, value 0x2710 by default if not trimmed"</f>
        <v>no, value 0x2710 by default if not trimmed</v>
      </c>
      <c r="E8" s="1377" t="s">
        <v>1361</v>
      </c>
      <c r="F8" s="1378"/>
      <c r="G8" s="1379"/>
      <c r="H8" s="231" t="s">
        <v>49</v>
      </c>
      <c r="I8" s="831" t="s">
        <v>1540</v>
      </c>
      <c r="J8" s="841" t="s">
        <v>1541</v>
      </c>
      <c r="K8" s="207" t="s">
        <v>1620</v>
      </c>
    </row>
    <row r="9" spans="2:23" ht="15.75" thickBot="1" x14ac:dyDescent="0.3">
      <c r="B9" s="43" t="s">
        <v>60</v>
      </c>
      <c r="C9" s="47" t="s">
        <v>49</v>
      </c>
      <c r="D9" s="47" t="s">
        <v>49</v>
      </c>
      <c r="E9" s="51" t="s">
        <v>372</v>
      </c>
      <c r="F9" s="29"/>
      <c r="G9" s="41"/>
      <c r="H9" s="35" t="s">
        <v>49</v>
      </c>
      <c r="I9" s="40" t="s">
        <v>49</v>
      </c>
      <c r="J9" s="86" t="s">
        <v>49</v>
      </c>
      <c r="K9" s="81" t="s">
        <v>49</v>
      </c>
    </row>
    <row r="10" spans="2:23" x14ac:dyDescent="0.25">
      <c r="B10" t="s">
        <v>58</v>
      </c>
    </row>
    <row r="11" spans="2:23" x14ac:dyDescent="0.25">
      <c r="B11" t="s">
        <v>50</v>
      </c>
    </row>
    <row r="12" spans="2:23" x14ac:dyDescent="0.25">
      <c r="L12" s="437" t="s">
        <v>1694</v>
      </c>
    </row>
    <row r="13" spans="2:23" ht="32.25" customHeight="1" x14ac:dyDescent="0.25">
      <c r="B13" s="17" t="s">
        <v>822</v>
      </c>
      <c r="C13" t="s">
        <v>1621</v>
      </c>
      <c r="L13" s="1537" t="s">
        <v>1684</v>
      </c>
      <c r="M13" s="1537"/>
      <c r="N13" s="1537"/>
      <c r="O13" s="1537"/>
      <c r="P13" s="1537"/>
      <c r="Q13" s="1537"/>
      <c r="R13" s="1537"/>
      <c r="S13" s="1537"/>
      <c r="T13" s="1537"/>
      <c r="U13" s="1537"/>
      <c r="V13" s="1537"/>
      <c r="W13" s="1537"/>
    </row>
    <row r="14" spans="2:23" ht="33" customHeight="1" x14ac:dyDescent="0.25">
      <c r="B14" s="17"/>
      <c r="C14" s="63" t="s">
        <v>856</v>
      </c>
      <c r="L14" s="1537" t="s">
        <v>1685</v>
      </c>
      <c r="M14" s="1537"/>
      <c r="N14" s="1537"/>
      <c r="O14" s="1537"/>
      <c r="P14" s="1537"/>
      <c r="Q14" s="1537"/>
      <c r="R14" s="1537"/>
      <c r="S14" s="1537"/>
      <c r="T14" s="1537"/>
      <c r="U14" s="1537"/>
      <c r="V14" s="1537"/>
      <c r="W14" s="1537"/>
    </row>
    <row r="15" spans="2:23" x14ac:dyDescent="0.25">
      <c r="B15" s="17"/>
      <c r="C15" s="63"/>
    </row>
    <row r="16" spans="2:23" x14ac:dyDescent="0.25">
      <c r="B16" s="17" t="s">
        <v>51</v>
      </c>
    </row>
    <row r="17" spans="2:7" x14ac:dyDescent="0.25">
      <c r="C17" s="1" t="s">
        <v>999</v>
      </c>
    </row>
    <row r="18" spans="2:7" x14ac:dyDescent="0.25">
      <c r="C18" s="1" t="s">
        <v>1000</v>
      </c>
    </row>
    <row r="19" spans="2:7" x14ac:dyDescent="0.25">
      <c r="C19" s="18"/>
    </row>
    <row r="20" spans="2:7" x14ac:dyDescent="0.25">
      <c r="B20" s="17" t="s">
        <v>1683</v>
      </c>
    </row>
    <row r="21" spans="2:7" x14ac:dyDescent="0.25">
      <c r="C21" s="16" t="s">
        <v>1618</v>
      </c>
    </row>
    <row r="23" spans="2:7" x14ac:dyDescent="0.25">
      <c r="B23" s="17" t="s">
        <v>53</v>
      </c>
    </row>
    <row r="24" spans="2:7" x14ac:dyDescent="0.25">
      <c r="C24" s="18" t="s">
        <v>88</v>
      </c>
      <c r="D24" s="18"/>
    </row>
    <row r="26" spans="2:7" ht="30" customHeight="1" x14ac:dyDescent="0.25">
      <c r="B26" s="17" t="s">
        <v>633</v>
      </c>
      <c r="C26" s="1"/>
    </row>
    <row r="27" spans="2:7" x14ac:dyDescent="0.25">
      <c r="C27" s="1536" t="s">
        <v>88</v>
      </c>
      <c r="D27" s="1536"/>
      <c r="E27" s="1536"/>
      <c r="F27" s="1536"/>
      <c r="G27" s="1536"/>
    </row>
    <row r="29" spans="2:7" x14ac:dyDescent="0.25">
      <c r="B29" s="17" t="s">
        <v>55</v>
      </c>
    </row>
    <row r="30" spans="2:7" x14ac:dyDescent="0.25">
      <c r="C30" s="1534" t="s">
        <v>1695</v>
      </c>
      <c r="D30" s="1534"/>
      <c r="E30" s="1534"/>
      <c r="F30" s="1534"/>
    </row>
    <row r="31" spans="2:7" ht="31.5" customHeight="1" x14ac:dyDescent="0.25">
      <c r="C31" s="1534" t="s">
        <v>1696</v>
      </c>
      <c r="D31" s="1534"/>
      <c r="E31" s="1534"/>
      <c r="F31" s="1534"/>
    </row>
    <row r="32" spans="2:7" ht="26.25" customHeight="1" x14ac:dyDescent="0.25">
      <c r="C32" s="1534" t="s">
        <v>1697</v>
      </c>
      <c r="D32" s="1534"/>
      <c r="E32" s="1534"/>
      <c r="F32" s="1534"/>
    </row>
    <row r="33" spans="3:23" ht="32.25" customHeight="1" x14ac:dyDescent="0.25">
      <c r="C33" s="1534" t="s">
        <v>1698</v>
      </c>
      <c r="D33" s="1534"/>
      <c r="E33" s="1534"/>
      <c r="F33" s="1534"/>
      <c r="L33" s="1537" t="s">
        <v>1686</v>
      </c>
      <c r="M33" s="1537"/>
      <c r="N33" s="1537"/>
      <c r="O33" s="1537"/>
      <c r="P33" s="1537"/>
      <c r="Q33" s="1537"/>
      <c r="R33" s="1537"/>
      <c r="S33" s="1537"/>
      <c r="T33" s="1537"/>
      <c r="U33" s="1537"/>
      <c r="V33" s="1537"/>
      <c r="W33" s="1537"/>
    </row>
    <row r="34" spans="3:23" ht="33" customHeight="1" x14ac:dyDescent="0.25">
      <c r="C34" s="1534" t="s">
        <v>1699</v>
      </c>
      <c r="D34" s="1534"/>
      <c r="E34" s="1534"/>
      <c r="F34" s="1534"/>
      <c r="L34" s="1535" t="s">
        <v>1687</v>
      </c>
      <c r="M34" s="1535"/>
      <c r="N34" s="1535"/>
      <c r="O34" s="1535"/>
      <c r="P34" s="1535"/>
      <c r="Q34" s="1535"/>
      <c r="R34" s="1535"/>
      <c r="S34" s="1535"/>
      <c r="T34" s="1535"/>
      <c r="U34" s="1535"/>
      <c r="V34" s="1535"/>
      <c r="W34" s="1535"/>
    </row>
    <row r="35" spans="3:23" x14ac:dyDescent="0.25">
      <c r="C35" s="1534" t="s">
        <v>1700</v>
      </c>
      <c r="D35" s="1534"/>
      <c r="E35" s="1534"/>
      <c r="F35" s="1534"/>
    </row>
    <row r="36" spans="3:23" x14ac:dyDescent="0.25">
      <c r="C36" s="927"/>
      <c r="D36" s="925"/>
      <c r="E36" s="926"/>
      <c r="F36" s="926"/>
    </row>
    <row r="37" spans="3:23" x14ac:dyDescent="0.25">
      <c r="C37" s="1534" t="s">
        <v>1701</v>
      </c>
      <c r="D37" s="1534"/>
      <c r="E37" s="1534"/>
      <c r="F37" s="1534"/>
    </row>
    <row r="38" spans="3:23" ht="30" customHeight="1" x14ac:dyDescent="0.25">
      <c r="C38" s="1534" t="s">
        <v>1702</v>
      </c>
      <c r="D38" s="1534"/>
      <c r="E38" s="1534"/>
      <c r="F38" s="1534"/>
    </row>
    <row r="39" spans="3:23" x14ac:dyDescent="0.25">
      <c r="C39" s="1534" t="s">
        <v>1703</v>
      </c>
      <c r="D39" s="1534"/>
      <c r="E39" s="1534"/>
      <c r="F39" s="1534"/>
    </row>
    <row r="40" spans="3:23" x14ac:dyDescent="0.25">
      <c r="C40" s="1534" t="s">
        <v>1704</v>
      </c>
      <c r="D40" s="1534"/>
      <c r="E40" s="1534"/>
      <c r="F40" s="1534"/>
    </row>
    <row r="41" spans="3:23" x14ac:dyDescent="0.25">
      <c r="C41" s="927"/>
      <c r="D41" s="926"/>
      <c r="E41" s="926"/>
      <c r="F41" s="926"/>
    </row>
    <row r="42" spans="3:23" x14ac:dyDescent="0.25">
      <c r="C42" s="1534" t="s">
        <v>1705</v>
      </c>
      <c r="D42" s="1534"/>
      <c r="E42" s="1534"/>
      <c r="F42" s="1534"/>
    </row>
    <row r="43" spans="3:23" ht="30" customHeight="1" x14ac:dyDescent="0.25">
      <c r="C43" s="1534" t="s">
        <v>1707</v>
      </c>
      <c r="D43" s="1534"/>
      <c r="E43" s="1534"/>
      <c r="F43" s="1534"/>
    </row>
    <row r="44" spans="3:23" ht="31.5" customHeight="1" x14ac:dyDescent="0.25">
      <c r="C44" s="1534" t="s">
        <v>1708</v>
      </c>
      <c r="D44" s="1534"/>
      <c r="E44" s="1534"/>
      <c r="F44" s="1534"/>
    </row>
    <row r="45" spans="3:23" x14ac:dyDescent="0.25">
      <c r="C45" s="1534" t="s">
        <v>1709</v>
      </c>
      <c r="D45" s="1534"/>
      <c r="E45" s="1534"/>
      <c r="F45" s="1534"/>
    </row>
    <row r="46" spans="3:23" ht="30.75" customHeight="1" x14ac:dyDescent="0.25">
      <c r="C46" s="1534" t="s">
        <v>1710</v>
      </c>
      <c r="D46" s="1534"/>
      <c r="E46" s="1534"/>
      <c r="F46" s="1534"/>
    </row>
    <row r="47" spans="3:23" x14ac:dyDescent="0.25">
      <c r="C47" s="1534" t="s">
        <v>1711</v>
      </c>
      <c r="D47" s="1534"/>
      <c r="E47" s="1534"/>
      <c r="F47" s="1534"/>
    </row>
    <row r="48" spans="3:23" x14ac:dyDescent="0.25">
      <c r="C48" s="927"/>
      <c r="D48" s="926"/>
      <c r="E48" s="926"/>
      <c r="F48" s="926"/>
    </row>
    <row r="49" spans="2:6" x14ac:dyDescent="0.25">
      <c r="C49" s="1534" t="s">
        <v>1706</v>
      </c>
      <c r="D49" s="1534"/>
      <c r="E49" s="1534"/>
      <c r="F49" s="1534"/>
    </row>
    <row r="50" spans="2:6" ht="30.75" customHeight="1" x14ac:dyDescent="0.25">
      <c r="C50" s="1534" t="s">
        <v>1712</v>
      </c>
      <c r="D50" s="1534"/>
      <c r="E50" s="1534"/>
      <c r="F50" s="1534"/>
    </row>
    <row r="51" spans="2:6" x14ac:dyDescent="0.25">
      <c r="C51" s="1534" t="s">
        <v>1713</v>
      </c>
      <c r="D51" s="1534"/>
      <c r="E51" s="1534"/>
      <c r="F51" s="1534"/>
    </row>
    <row r="52" spans="2:6" x14ac:dyDescent="0.25">
      <c r="C52" s="1534" t="s">
        <v>1714</v>
      </c>
      <c r="D52" s="1534"/>
      <c r="E52" s="1534"/>
      <c r="F52" s="1534"/>
    </row>
    <row r="54" spans="2:6" x14ac:dyDescent="0.25">
      <c r="C54" t="s">
        <v>1688</v>
      </c>
    </row>
    <row r="55" spans="2:6" x14ac:dyDescent="0.25">
      <c r="C55" s="125" t="s">
        <v>1689</v>
      </c>
    </row>
    <row r="57" spans="2:6" x14ac:dyDescent="0.25">
      <c r="B57" s="17" t="s">
        <v>1174</v>
      </c>
    </row>
    <row r="58" spans="2:6" x14ac:dyDescent="0.25">
      <c r="C58" t="s">
        <v>1690</v>
      </c>
    </row>
    <row r="59" spans="2:6" x14ac:dyDescent="0.25">
      <c r="C59" t="s">
        <v>1691</v>
      </c>
    </row>
    <row r="61" spans="2:6" x14ac:dyDescent="0.25">
      <c r="B61" s="17" t="s">
        <v>56</v>
      </c>
    </row>
    <row r="62" spans="2:6" x14ac:dyDescent="0.25">
      <c r="C62" s="18" t="s">
        <v>88</v>
      </c>
    </row>
  </sheetData>
  <mergeCells count="27">
    <mergeCell ref="E6:G6"/>
    <mergeCell ref="C27:G27"/>
    <mergeCell ref="L13:W13"/>
    <mergeCell ref="L14:W14"/>
    <mergeCell ref="L33:W33"/>
    <mergeCell ref="L34:W34"/>
    <mergeCell ref="C30:F30"/>
    <mergeCell ref="C31:F31"/>
    <mergeCell ref="C32:F32"/>
    <mergeCell ref="C33:F33"/>
    <mergeCell ref="C34:F34"/>
    <mergeCell ref="C49:F49"/>
    <mergeCell ref="C50:F50"/>
    <mergeCell ref="C51:F51"/>
    <mergeCell ref="C52:F52"/>
    <mergeCell ref="E8:G8"/>
    <mergeCell ref="C43:F43"/>
    <mergeCell ref="C44:F44"/>
    <mergeCell ref="C45:F45"/>
    <mergeCell ref="C46:F46"/>
    <mergeCell ref="C47:F47"/>
    <mergeCell ref="C37:F37"/>
    <mergeCell ref="C38:F38"/>
    <mergeCell ref="C39:F39"/>
    <mergeCell ref="C40:F40"/>
    <mergeCell ref="C42:F42"/>
    <mergeCell ref="C35:F35"/>
  </mergeCells>
  <hyperlinks>
    <hyperlink ref="B1" location="'RFE SOC FuseMap'!A1" display="RFE/SOC FuseMap" xr:uid="{287987E6-F58B-4503-8DD6-CCE5A474685D}"/>
    <hyperlink ref="C21" r:id="rId1" xr:uid="{3FE7EB57-4D8B-4AC2-A7FB-F2EA657BA64A}"/>
  </hyperlinks>
  <pageMargins left="0.7" right="0.7" top="0.75" bottom="0.75" header="0.3" footer="0.3"/>
  <pageSetup paperSize="9" orientation="portrait" r:id="rId2"/>
  <drawing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3E95-9E9A-48BB-9C5E-9E8B60CD6F15}">
  <dimension ref="B1:O84"/>
  <sheetViews>
    <sheetView zoomScale="85" zoomScaleNormal="85" workbookViewId="0">
      <selection activeCell="A2" sqref="A2:XFD4"/>
    </sheetView>
  </sheetViews>
  <sheetFormatPr defaultRowHeight="15" x14ac:dyDescent="0.25"/>
  <cols>
    <col min="2" max="2" width="13.85546875" customWidth="1"/>
    <col min="3" max="3" width="6.28515625" customWidth="1"/>
    <col min="4" max="4" width="31.7109375" bestFit="1" customWidth="1"/>
    <col min="5" max="5" width="23.5703125" bestFit="1" customWidth="1"/>
    <col min="6" max="6" width="31.7109375" bestFit="1" customWidth="1"/>
    <col min="7" max="7" width="16.5703125" customWidth="1"/>
    <col min="8" max="8" width="13.7109375" customWidth="1"/>
    <col min="9" max="9" width="19" bestFit="1" customWidth="1"/>
    <col min="10" max="11" width="24.85546875" bestFit="1" customWidth="1"/>
    <col min="12" max="12" width="19.28515625" bestFit="1" customWidth="1"/>
    <col min="13" max="13" width="24.85546875" bestFit="1" customWidth="1"/>
    <col min="14" max="14" width="19.28515625" bestFit="1" customWidth="1"/>
    <col min="15" max="15" width="26.42578125" bestFit="1" customWidth="1"/>
  </cols>
  <sheetData>
    <row r="1" spans="2:15" x14ac:dyDescent="0.25">
      <c r="B1" s="16" t="s">
        <v>1055</v>
      </c>
    </row>
    <row r="2" spans="2:15" ht="15.75" thickBot="1" x14ac:dyDescent="0.3"/>
    <row r="3" spans="2:15" ht="60.75" thickBot="1" x14ac:dyDescent="0.3">
      <c r="C3" s="1392" t="s">
        <v>0</v>
      </c>
      <c r="D3" s="1393"/>
      <c r="E3" s="52" t="s">
        <v>1</v>
      </c>
      <c r="F3" s="65" t="s">
        <v>63</v>
      </c>
      <c r="G3" s="98" t="s">
        <v>666</v>
      </c>
      <c r="H3" s="1365" t="s">
        <v>46</v>
      </c>
      <c r="I3" s="1366"/>
      <c r="J3" s="1367"/>
      <c r="K3" s="52" t="s">
        <v>61</v>
      </c>
      <c r="L3" s="77" t="s">
        <v>94</v>
      </c>
      <c r="M3" s="78" t="s">
        <v>96</v>
      </c>
      <c r="N3" s="59" t="s">
        <v>95</v>
      </c>
    </row>
    <row r="4" spans="2:15" ht="15.75" thickBot="1" x14ac:dyDescent="0.3">
      <c r="B4" s="31" t="s">
        <v>59</v>
      </c>
      <c r="C4" s="1540" t="s">
        <v>49</v>
      </c>
      <c r="D4" s="1541"/>
      <c r="E4" s="55" t="s">
        <v>49</v>
      </c>
      <c r="F4" s="55" t="s">
        <v>49</v>
      </c>
      <c r="G4" s="55" t="s">
        <v>49</v>
      </c>
      <c r="H4" s="48">
        <v>125</v>
      </c>
      <c r="I4" s="27">
        <v>25</v>
      </c>
      <c r="J4" s="37">
        <v>-40</v>
      </c>
      <c r="K4" s="33" t="s">
        <v>48</v>
      </c>
      <c r="L4" s="36" t="s">
        <v>49</v>
      </c>
      <c r="M4" s="84" t="s">
        <v>49</v>
      </c>
      <c r="N4" s="83" t="s">
        <v>49</v>
      </c>
    </row>
    <row r="5" spans="2:15" x14ac:dyDescent="0.25">
      <c r="B5" s="1374"/>
      <c r="C5" s="1580" t="s">
        <v>368</v>
      </c>
      <c r="D5" s="1464" t="s">
        <v>24</v>
      </c>
      <c r="E5" s="1539" t="s">
        <v>25</v>
      </c>
      <c r="F5" s="122" t="s">
        <v>245</v>
      </c>
      <c r="G5" s="919" t="s">
        <v>71</v>
      </c>
      <c r="H5" s="412" t="s">
        <v>1680</v>
      </c>
      <c r="I5" s="362" t="s">
        <v>1680</v>
      </c>
      <c r="J5" s="921" t="s">
        <v>1680</v>
      </c>
      <c r="K5" s="108" t="s">
        <v>141</v>
      </c>
      <c r="L5" s="109" t="s">
        <v>716</v>
      </c>
      <c r="M5" s="110" t="s">
        <v>717</v>
      </c>
      <c r="N5" s="111" t="s">
        <v>722</v>
      </c>
      <c r="O5" s="1544" t="s">
        <v>1212</v>
      </c>
    </row>
    <row r="6" spans="2:15" x14ac:dyDescent="0.25">
      <c r="B6" s="1375"/>
      <c r="C6" s="1580"/>
      <c r="D6" s="1464"/>
      <c r="E6" s="1539"/>
      <c r="F6" s="252" t="s">
        <v>246</v>
      </c>
      <c r="G6" s="919" t="s">
        <v>71</v>
      </c>
      <c r="H6" s="412" t="s">
        <v>1681</v>
      </c>
      <c r="I6" s="362" t="s">
        <v>1681</v>
      </c>
      <c r="J6" s="921" t="s">
        <v>1681</v>
      </c>
      <c r="K6" s="108" t="s">
        <v>141</v>
      </c>
      <c r="L6" s="109" t="s">
        <v>716</v>
      </c>
      <c r="M6" s="110" t="s">
        <v>718</v>
      </c>
      <c r="N6" s="111" t="s">
        <v>723</v>
      </c>
      <c r="O6" s="1545"/>
    </row>
    <row r="7" spans="2:15" ht="15.75" thickBot="1" x14ac:dyDescent="0.3">
      <c r="B7" s="1375"/>
      <c r="C7" s="1580"/>
      <c r="D7" s="1464"/>
      <c r="E7" s="1539"/>
      <c r="F7" s="252" t="s">
        <v>247</v>
      </c>
      <c r="G7" s="919" t="s">
        <v>71</v>
      </c>
      <c r="H7" s="412" t="s">
        <v>1682</v>
      </c>
      <c r="I7" s="362" t="s">
        <v>1682</v>
      </c>
      <c r="J7" s="921" t="s">
        <v>1682</v>
      </c>
      <c r="K7" s="108" t="s">
        <v>141</v>
      </c>
      <c r="L7" s="109" t="s">
        <v>719</v>
      </c>
      <c r="M7" s="110" t="s">
        <v>720</v>
      </c>
      <c r="N7" s="111" t="s">
        <v>724</v>
      </c>
      <c r="O7" s="1546"/>
    </row>
    <row r="8" spans="2:15" ht="45" customHeight="1" x14ac:dyDescent="0.25">
      <c r="B8" s="1375"/>
      <c r="C8" s="1580"/>
      <c r="D8" s="1464"/>
      <c r="E8" s="366" t="s">
        <v>410</v>
      </c>
      <c r="F8" s="368" t="s">
        <v>257</v>
      </c>
      <c r="G8" s="1422" t="s">
        <v>263</v>
      </c>
      <c r="H8" s="1556" t="s">
        <v>779</v>
      </c>
      <c r="I8" s="1557"/>
      <c r="J8" s="1558"/>
      <c r="K8" s="108" t="s">
        <v>141</v>
      </c>
      <c r="L8" s="1547" t="s">
        <v>719</v>
      </c>
      <c r="M8" s="1550" t="s">
        <v>721</v>
      </c>
      <c r="N8" s="1553" t="s">
        <v>725</v>
      </c>
      <c r="O8" s="132" t="s">
        <v>734</v>
      </c>
    </row>
    <row r="9" spans="2:15" ht="15" customHeight="1" x14ac:dyDescent="0.25">
      <c r="B9" s="1375"/>
      <c r="C9" s="1580"/>
      <c r="D9" s="1464"/>
      <c r="E9" s="366" t="s">
        <v>411</v>
      </c>
      <c r="F9" s="368" t="s">
        <v>258</v>
      </c>
      <c r="G9" s="1542"/>
      <c r="H9" s="1559"/>
      <c r="I9" s="1560"/>
      <c r="J9" s="1561"/>
      <c r="K9" s="108" t="s">
        <v>141</v>
      </c>
      <c r="L9" s="1548"/>
      <c r="M9" s="1551"/>
      <c r="N9" s="1554"/>
      <c r="O9" s="79" t="s">
        <v>735</v>
      </c>
    </row>
    <row r="10" spans="2:15" x14ac:dyDescent="0.25">
      <c r="B10" s="1375"/>
      <c r="C10" s="1580"/>
      <c r="D10" s="1464"/>
      <c r="E10" s="366" t="s">
        <v>412</v>
      </c>
      <c r="F10" s="368" t="s">
        <v>259</v>
      </c>
      <c r="G10" s="1542"/>
      <c r="H10" s="1559"/>
      <c r="I10" s="1560"/>
      <c r="J10" s="1561"/>
      <c r="K10" s="108" t="s">
        <v>141</v>
      </c>
      <c r="L10" s="1548"/>
      <c r="M10" s="1551"/>
      <c r="N10" s="1554"/>
      <c r="O10" s="79" t="s">
        <v>736</v>
      </c>
    </row>
    <row r="11" spans="2:15" ht="15.75" thickBot="1" x14ac:dyDescent="0.3">
      <c r="B11" s="1375"/>
      <c r="C11" s="1581"/>
      <c r="D11" s="1584"/>
      <c r="E11" s="452" t="s">
        <v>413</v>
      </c>
      <c r="F11" s="453" t="s">
        <v>260</v>
      </c>
      <c r="G11" s="1543"/>
      <c r="H11" s="1562"/>
      <c r="I11" s="1563"/>
      <c r="J11" s="1564"/>
      <c r="K11" s="454" t="s">
        <v>141</v>
      </c>
      <c r="L11" s="1549"/>
      <c r="M11" s="1552"/>
      <c r="N11" s="1555"/>
      <c r="O11" s="133" t="s">
        <v>737</v>
      </c>
    </row>
    <row r="12" spans="2:15" x14ac:dyDescent="0.25">
      <c r="B12" s="1375"/>
      <c r="C12" s="1582" t="s">
        <v>369</v>
      </c>
      <c r="D12" s="1487" t="s">
        <v>337</v>
      </c>
      <c r="E12" s="1578" t="s">
        <v>338</v>
      </c>
      <c r="F12" s="450" t="s">
        <v>661</v>
      </c>
      <c r="G12" s="55" t="s">
        <v>71</v>
      </c>
      <c r="H12" s="922" t="s">
        <v>1680</v>
      </c>
      <c r="I12" s="923" t="s">
        <v>1680</v>
      </c>
      <c r="J12" s="924" t="s">
        <v>1680</v>
      </c>
      <c r="K12" s="108" t="s">
        <v>141</v>
      </c>
      <c r="L12" s="1570" t="s">
        <v>370</v>
      </c>
      <c r="M12" s="1571"/>
      <c r="N12" s="451" t="s">
        <v>722</v>
      </c>
      <c r="O12" s="53"/>
    </row>
    <row r="13" spans="2:15" x14ac:dyDescent="0.25">
      <c r="B13" s="1375"/>
      <c r="C13" s="1583"/>
      <c r="D13" s="1577"/>
      <c r="E13" s="1579"/>
      <c r="F13" s="252" t="s">
        <v>662</v>
      </c>
      <c r="G13" s="919" t="s">
        <v>71</v>
      </c>
      <c r="H13" s="412" t="s">
        <v>1681</v>
      </c>
      <c r="I13" s="362" t="s">
        <v>1681</v>
      </c>
      <c r="J13" s="921" t="s">
        <v>1681</v>
      </c>
      <c r="K13" s="108" t="s">
        <v>141</v>
      </c>
      <c r="L13" s="1570"/>
      <c r="M13" s="1571"/>
      <c r="N13" s="426" t="s">
        <v>723</v>
      </c>
      <c r="O13" s="53"/>
    </row>
    <row r="14" spans="2:15" x14ac:dyDescent="0.25">
      <c r="B14" s="1375"/>
      <c r="C14" s="1583"/>
      <c r="D14" s="1577"/>
      <c r="E14" s="1579"/>
      <c r="F14" s="252" t="s">
        <v>663</v>
      </c>
      <c r="G14" s="919" t="s">
        <v>71</v>
      </c>
      <c r="H14" s="412" t="s">
        <v>1682</v>
      </c>
      <c r="I14" s="362" t="s">
        <v>1682</v>
      </c>
      <c r="J14" s="921" t="s">
        <v>1682</v>
      </c>
      <c r="K14" s="108" t="s">
        <v>141</v>
      </c>
      <c r="L14" s="1570"/>
      <c r="M14" s="1571"/>
      <c r="N14" s="426" t="s">
        <v>724</v>
      </c>
      <c r="O14" s="53"/>
    </row>
    <row r="15" spans="2:15" ht="45" x14ac:dyDescent="0.25">
      <c r="B15" s="1376"/>
      <c r="C15" s="1583"/>
      <c r="D15" s="1577"/>
      <c r="E15" s="367" t="s">
        <v>339</v>
      </c>
      <c r="F15" s="369" t="s">
        <v>664</v>
      </c>
      <c r="G15" s="920" t="s">
        <v>1478</v>
      </c>
      <c r="H15" s="1567" t="s">
        <v>779</v>
      </c>
      <c r="I15" s="1568"/>
      <c r="J15" s="1569"/>
      <c r="K15" s="108" t="s">
        <v>141</v>
      </c>
      <c r="L15" s="1572"/>
      <c r="M15" s="1573"/>
      <c r="N15" s="426" t="s">
        <v>725</v>
      </c>
      <c r="O15" s="53"/>
    </row>
    <row r="16" spans="2:15" ht="15.75" thickBot="1" x14ac:dyDescent="0.3">
      <c r="B16" s="32" t="s">
        <v>60</v>
      </c>
      <c r="C16" s="1565" t="s">
        <v>49</v>
      </c>
      <c r="D16" s="1566"/>
      <c r="E16" s="56" t="s">
        <v>49</v>
      </c>
      <c r="F16" s="370" t="s">
        <v>49</v>
      </c>
      <c r="G16" s="56" t="s">
        <v>49</v>
      </c>
      <c r="H16" s="51" t="s">
        <v>372</v>
      </c>
      <c r="I16" s="29"/>
      <c r="J16" s="41"/>
      <c r="K16" s="35" t="s">
        <v>49</v>
      </c>
      <c r="L16" s="40" t="s">
        <v>49</v>
      </c>
      <c r="M16" s="86" t="s">
        <v>49</v>
      </c>
      <c r="N16" s="81" t="s">
        <v>49</v>
      </c>
    </row>
    <row r="17" spans="2:12" x14ac:dyDescent="0.25">
      <c r="B17" t="s">
        <v>58</v>
      </c>
    </row>
    <row r="18" spans="2:12" x14ac:dyDescent="0.25">
      <c r="B18" t="s">
        <v>50</v>
      </c>
    </row>
    <row r="20" spans="2:12" x14ac:dyDescent="0.25">
      <c r="B20" s="17" t="s">
        <v>822</v>
      </c>
      <c r="C20" s="63" t="s">
        <v>2122</v>
      </c>
    </row>
    <row r="21" spans="2:12" x14ac:dyDescent="0.25">
      <c r="B21" s="17"/>
    </row>
    <row r="22" spans="2:12" x14ac:dyDescent="0.25">
      <c r="B22" s="17" t="s">
        <v>51</v>
      </c>
    </row>
    <row r="23" spans="2:12" x14ac:dyDescent="0.25">
      <c r="C23" s="202" t="s">
        <v>1102</v>
      </c>
      <c r="D23" s="18"/>
    </row>
    <row r="25" spans="2:12" x14ac:dyDescent="0.25">
      <c r="B25" s="17" t="s">
        <v>53</v>
      </c>
    </row>
    <row r="26" spans="2:12" x14ac:dyDescent="0.25">
      <c r="C26" s="202" t="s">
        <v>88</v>
      </c>
      <c r="D26" s="18"/>
    </row>
    <row r="28" spans="2:12" x14ac:dyDescent="0.25">
      <c r="B28" s="17" t="s">
        <v>55</v>
      </c>
    </row>
    <row r="29" spans="2:12" ht="15.75" thickBot="1" x14ac:dyDescent="0.3">
      <c r="B29" s="17"/>
      <c r="C29" t="s">
        <v>706</v>
      </c>
    </row>
    <row r="30" spans="2:12" ht="15.75" thickBot="1" x14ac:dyDescent="0.3">
      <c r="B30" s="17"/>
      <c r="C30" t="s">
        <v>714</v>
      </c>
      <c r="H30" s="1574" t="s">
        <v>368</v>
      </c>
      <c r="I30" s="1575"/>
      <c r="J30" s="1576"/>
      <c r="K30" s="371" t="s">
        <v>369</v>
      </c>
    </row>
    <row r="31" spans="2:12" ht="74.25" customHeight="1" thickBot="1" x14ac:dyDescent="0.3">
      <c r="B31" s="17"/>
      <c r="C31" s="1538" t="s">
        <v>786</v>
      </c>
      <c r="D31" s="1538"/>
      <c r="E31" s="1538"/>
      <c r="H31" s="126" t="s">
        <v>94</v>
      </c>
      <c r="I31" s="127" t="s">
        <v>96</v>
      </c>
      <c r="J31" s="121" t="s">
        <v>95</v>
      </c>
      <c r="K31" s="121" t="s">
        <v>95</v>
      </c>
    </row>
    <row r="32" spans="2:12" x14ac:dyDescent="0.25">
      <c r="B32" s="17"/>
      <c r="C32" t="s">
        <v>788</v>
      </c>
      <c r="H32" s="101" t="s">
        <v>711</v>
      </c>
      <c r="I32" s="267" t="s">
        <v>712</v>
      </c>
      <c r="J32" s="132" t="s">
        <v>713</v>
      </c>
      <c r="K32" s="132" t="s">
        <v>713</v>
      </c>
      <c r="L32" t="s">
        <v>715</v>
      </c>
    </row>
    <row r="33" spans="2:11" x14ac:dyDescent="0.25">
      <c r="B33" s="17"/>
      <c r="C33" t="s">
        <v>778</v>
      </c>
      <c r="H33" s="39" t="s">
        <v>719</v>
      </c>
      <c r="I33" s="85" t="s">
        <v>721</v>
      </c>
      <c r="J33" s="79" t="s">
        <v>725</v>
      </c>
      <c r="K33" s="79" t="s">
        <v>725</v>
      </c>
    </row>
    <row r="34" spans="2:11" x14ac:dyDescent="0.25">
      <c r="B34" s="17"/>
      <c r="C34" t="str">
        <f>"Set val_a&lt;15:0&gt; to "&amp;H5</f>
        <v>Set val_a&lt;15:0&gt; to 0xA4B3</v>
      </c>
      <c r="H34" s="39" t="s">
        <v>716</v>
      </c>
      <c r="I34" s="85" t="s">
        <v>717</v>
      </c>
      <c r="J34" s="79" t="s">
        <v>722</v>
      </c>
      <c r="K34" s="79" t="s">
        <v>722</v>
      </c>
    </row>
    <row r="35" spans="2:11" ht="15" customHeight="1" x14ac:dyDescent="0.25">
      <c r="B35" s="17"/>
      <c r="C35" t="str">
        <f>"Set val_b&lt;15:0&gt; to "&amp;H6</f>
        <v>Set val_b&lt;15:0&gt; to 0xB80B</v>
      </c>
      <c r="H35" s="39" t="s">
        <v>716</v>
      </c>
      <c r="I35" s="85" t="s">
        <v>718</v>
      </c>
      <c r="J35" s="79" t="s">
        <v>723</v>
      </c>
      <c r="K35" s="79" t="s">
        <v>723</v>
      </c>
    </row>
    <row r="36" spans="2:11" x14ac:dyDescent="0.25">
      <c r="B36" s="17"/>
      <c r="C36" t="str">
        <f>"Set val_alpha&lt;15:0&gt; to "&amp;H7</f>
        <v>Set val_alpha&lt;15:0&gt; to 0x7574</v>
      </c>
      <c r="H36" s="39" t="s">
        <v>719</v>
      </c>
      <c r="I36" s="85" t="s">
        <v>720</v>
      </c>
      <c r="J36" s="79" t="s">
        <v>724</v>
      </c>
      <c r="K36" s="79" t="s">
        <v>724</v>
      </c>
    </row>
    <row r="37" spans="2:11" x14ac:dyDescent="0.25">
      <c r="B37" s="17"/>
      <c r="C37" t="s">
        <v>781</v>
      </c>
      <c r="H37" s="39" t="s">
        <v>711</v>
      </c>
      <c r="I37" s="85" t="s">
        <v>780</v>
      </c>
      <c r="J37" s="79" t="s">
        <v>782</v>
      </c>
      <c r="K37" s="79" t="s">
        <v>782</v>
      </c>
    </row>
    <row r="38" spans="2:11" x14ac:dyDescent="0.25">
      <c r="B38" s="17"/>
      <c r="C38" t="s">
        <v>1103</v>
      </c>
      <c r="H38" s="91" t="s">
        <v>711</v>
      </c>
      <c r="I38" s="92" t="s">
        <v>797</v>
      </c>
      <c r="J38" s="93" t="s">
        <v>800</v>
      </c>
    </row>
    <row r="39" spans="2:11" ht="31.5" customHeight="1" x14ac:dyDescent="0.25">
      <c r="B39" s="17"/>
      <c r="C39" s="1411" t="s">
        <v>1793</v>
      </c>
      <c r="D39" s="1411"/>
      <c r="E39" s="1411"/>
      <c r="F39" s="1411"/>
      <c r="H39" s="39" t="s">
        <v>711</v>
      </c>
      <c r="I39" s="85" t="s">
        <v>798</v>
      </c>
      <c r="J39" s="79" t="s">
        <v>799</v>
      </c>
      <c r="K39" s="79" t="s">
        <v>799</v>
      </c>
    </row>
    <row r="40" spans="2:11" x14ac:dyDescent="0.25">
      <c r="B40" s="17"/>
      <c r="C40" t="s">
        <v>1792</v>
      </c>
    </row>
    <row r="41" spans="2:11" x14ac:dyDescent="0.25">
      <c r="B41" s="17"/>
      <c r="C41" t="s">
        <v>726</v>
      </c>
      <c r="H41" s="39" t="s">
        <v>727</v>
      </c>
      <c r="I41" s="85" t="s">
        <v>1801</v>
      </c>
      <c r="J41" s="79" t="str">
        <f>LOWER(H41&amp;"_"&amp;I41)</f>
        <v>tdc_out1_dbg_adcout_vcal</v>
      </c>
      <c r="K41" s="79" t="str">
        <f>LOWER(H41&amp;"_"&amp;I41)</f>
        <v>tdc_out1_dbg_adcout_vcal</v>
      </c>
    </row>
    <row r="42" spans="2:11" x14ac:dyDescent="0.25">
      <c r="B42" s="17"/>
      <c r="C42" t="s">
        <v>783</v>
      </c>
      <c r="H42" s="39" t="s">
        <v>711</v>
      </c>
      <c r="I42" s="85" t="s">
        <v>780</v>
      </c>
      <c r="J42" s="79" t="s">
        <v>782</v>
      </c>
      <c r="K42" s="79" t="s">
        <v>782</v>
      </c>
    </row>
    <row r="43" spans="2:11" ht="31.5" customHeight="1" x14ac:dyDescent="0.25">
      <c r="B43" s="17"/>
      <c r="C43" s="1411" t="s">
        <v>1793</v>
      </c>
      <c r="D43" s="1411"/>
      <c r="E43" s="1411"/>
      <c r="F43" s="1411"/>
      <c r="H43" s="39" t="s">
        <v>711</v>
      </c>
      <c r="I43" s="85" t="s">
        <v>798</v>
      </c>
      <c r="J43" s="79" t="s">
        <v>799</v>
      </c>
      <c r="K43" s="79" t="s">
        <v>799</v>
      </c>
    </row>
    <row r="44" spans="2:11" x14ac:dyDescent="0.25">
      <c r="B44" s="17"/>
      <c r="C44" t="s">
        <v>1792</v>
      </c>
    </row>
    <row r="45" spans="2:11" x14ac:dyDescent="0.25">
      <c r="B45" s="17"/>
      <c r="C45" t="s">
        <v>728</v>
      </c>
      <c r="H45" s="39" t="s">
        <v>730</v>
      </c>
      <c r="I45" s="85" t="s">
        <v>731</v>
      </c>
      <c r="J45" s="79" t="s">
        <v>729</v>
      </c>
      <c r="K45" s="79" t="s">
        <v>729</v>
      </c>
    </row>
    <row r="46" spans="2:11" x14ac:dyDescent="0.25">
      <c r="B46" s="17"/>
      <c r="C46" t="s">
        <v>1800</v>
      </c>
    </row>
    <row r="47" spans="2:11" x14ac:dyDescent="0.25">
      <c r="B47" s="17"/>
      <c r="C47" s="339" t="s">
        <v>1803</v>
      </c>
    </row>
    <row r="48" spans="2:11" x14ac:dyDescent="0.25">
      <c r="B48" s="17"/>
      <c r="C48" t="s">
        <v>784</v>
      </c>
    </row>
    <row r="49" spans="2:11" x14ac:dyDescent="0.25">
      <c r="B49" s="17"/>
      <c r="C49" s="339" t="s">
        <v>1794</v>
      </c>
    </row>
    <row r="50" spans="2:11" x14ac:dyDescent="0.25">
      <c r="B50" s="17"/>
      <c r="C50" s="339" t="s">
        <v>1795</v>
      </c>
    </row>
    <row r="51" spans="2:11" x14ac:dyDescent="0.25">
      <c r="B51" s="17"/>
      <c r="C51" s="339"/>
      <c r="D51" s="932" t="s">
        <v>1796</v>
      </c>
      <c r="E51" s="933">
        <v>-96754.928629999995</v>
      </c>
    </row>
    <row r="52" spans="2:11" x14ac:dyDescent="0.25">
      <c r="B52" s="17"/>
      <c r="C52" s="339"/>
      <c r="D52" s="932" t="s">
        <v>1797</v>
      </c>
      <c r="E52" s="933">
        <v>10020.449140000001</v>
      </c>
    </row>
    <row r="53" spans="2:11" x14ac:dyDescent="0.25">
      <c r="B53" s="17"/>
      <c r="C53" s="339"/>
      <c r="D53" s="932" t="s">
        <v>1798</v>
      </c>
      <c r="E53" s="933">
        <v>6779.4436269999997</v>
      </c>
    </row>
    <row r="54" spans="2:11" x14ac:dyDescent="0.25">
      <c r="B54" s="17"/>
      <c r="C54" s="339"/>
      <c r="D54" s="932" t="s">
        <v>1799</v>
      </c>
      <c r="E54" s="933">
        <v>-268.42464589999997</v>
      </c>
    </row>
    <row r="55" spans="2:11" x14ac:dyDescent="0.25">
      <c r="B55" s="17"/>
      <c r="C55" t="s">
        <v>707</v>
      </c>
    </row>
    <row r="56" spans="2:11" x14ac:dyDescent="0.25">
      <c r="B56" s="17"/>
      <c r="D56" t="s">
        <v>1776</v>
      </c>
    </row>
    <row r="57" spans="2:11" x14ac:dyDescent="0.25">
      <c r="B57" s="17"/>
      <c r="C57" t="s">
        <v>708</v>
      </c>
    </row>
    <row r="58" spans="2:11" x14ac:dyDescent="0.25">
      <c r="B58" s="17"/>
      <c r="C58" t="s">
        <v>709</v>
      </c>
      <c r="H58" s="39" t="s">
        <v>719</v>
      </c>
      <c r="I58" s="85" t="s">
        <v>721</v>
      </c>
      <c r="J58" s="79" t="s">
        <v>725</v>
      </c>
      <c r="K58" s="79" t="s">
        <v>725</v>
      </c>
    </row>
    <row r="59" spans="2:11" x14ac:dyDescent="0.25">
      <c r="B59" s="17"/>
    </row>
    <row r="60" spans="2:11" x14ac:dyDescent="0.25">
      <c r="B60" s="17" t="s">
        <v>1174</v>
      </c>
    </row>
    <row r="61" spans="2:11" ht="15.75" thickBot="1" x14ac:dyDescent="0.3">
      <c r="C61" t="s">
        <v>801</v>
      </c>
    </row>
    <row r="62" spans="2:11" x14ac:dyDescent="0.25">
      <c r="C62" s="125" t="s">
        <v>783</v>
      </c>
      <c r="D62" s="125"/>
      <c r="E62" s="125"/>
      <c r="F62" s="125"/>
      <c r="H62" s="101" t="s">
        <v>711</v>
      </c>
      <c r="I62" s="267" t="s">
        <v>780</v>
      </c>
      <c r="J62" s="132" t="s">
        <v>782</v>
      </c>
      <c r="K62" s="132" t="s">
        <v>782</v>
      </c>
    </row>
    <row r="63" spans="2:11" x14ac:dyDescent="0.25">
      <c r="C63" s="125" t="s">
        <v>1103</v>
      </c>
      <c r="D63" s="125"/>
      <c r="E63" s="125"/>
      <c r="F63" s="125"/>
      <c r="H63" s="91" t="s">
        <v>711</v>
      </c>
      <c r="I63" s="92" t="s">
        <v>797</v>
      </c>
      <c r="J63" s="93" t="s">
        <v>800</v>
      </c>
    </row>
    <row r="64" spans="2:11" ht="31.5" customHeight="1" thickBot="1" x14ac:dyDescent="0.3">
      <c r="C64" s="1538" t="s">
        <v>1793</v>
      </c>
      <c r="D64" s="1538"/>
      <c r="E64" s="1538"/>
      <c r="F64" s="1538"/>
      <c r="H64" s="102" t="s">
        <v>711</v>
      </c>
      <c r="I64" s="268" t="s">
        <v>798</v>
      </c>
      <c r="J64" s="133" t="s">
        <v>799</v>
      </c>
      <c r="K64" s="133" t="s">
        <v>799</v>
      </c>
    </row>
    <row r="65" spans="2:11" ht="15.75" thickBot="1" x14ac:dyDescent="0.3">
      <c r="C65" t="s">
        <v>1792</v>
      </c>
    </row>
    <row r="66" spans="2:11" ht="15.75" thickBot="1" x14ac:dyDescent="0.3">
      <c r="B66" s="17"/>
      <c r="C66" t="s">
        <v>710</v>
      </c>
      <c r="H66" s="340" t="s">
        <v>730</v>
      </c>
      <c r="I66" s="345" t="s">
        <v>732</v>
      </c>
      <c r="J66" s="346" t="s">
        <v>733</v>
      </c>
      <c r="K66" s="346" t="s">
        <v>733</v>
      </c>
    </row>
    <row r="67" spans="2:11" x14ac:dyDescent="0.25">
      <c r="B67" s="17"/>
      <c r="C67" t="s">
        <v>705</v>
      </c>
    </row>
    <row r="68" spans="2:11" x14ac:dyDescent="0.25">
      <c r="B68" s="17"/>
      <c r="C68" t="s">
        <v>1473</v>
      </c>
    </row>
    <row r="69" spans="2:11" x14ac:dyDescent="0.25">
      <c r="B69" s="17"/>
      <c r="C69" t="s">
        <v>785</v>
      </c>
    </row>
    <row r="70" spans="2:11" x14ac:dyDescent="0.25">
      <c r="B70" s="17"/>
    </row>
    <row r="71" spans="2:11" x14ac:dyDescent="0.25">
      <c r="B71" s="17" t="s">
        <v>56</v>
      </c>
    </row>
    <row r="72" spans="2:11" x14ac:dyDescent="0.25">
      <c r="C72" s="202" t="s">
        <v>802</v>
      </c>
    </row>
    <row r="75" spans="2:11" x14ac:dyDescent="0.25">
      <c r="B75" s="17"/>
    </row>
    <row r="76" spans="2:11" x14ac:dyDescent="0.25">
      <c r="B76" s="17"/>
    </row>
    <row r="77" spans="2:11" x14ac:dyDescent="0.25">
      <c r="B77" s="17"/>
    </row>
    <row r="84" spans="4:4" x14ac:dyDescent="0.25">
      <c r="D84" s="18"/>
    </row>
  </sheetData>
  <mergeCells count="24">
    <mergeCell ref="O5:O7"/>
    <mergeCell ref="L8:L11"/>
    <mergeCell ref="M8:M11"/>
    <mergeCell ref="N8:N11"/>
    <mergeCell ref="C31:E31"/>
    <mergeCell ref="H8:J11"/>
    <mergeCell ref="C16:D16"/>
    <mergeCell ref="H15:J15"/>
    <mergeCell ref="L12:M15"/>
    <mergeCell ref="H30:J30"/>
    <mergeCell ref="D12:D15"/>
    <mergeCell ref="E12:E14"/>
    <mergeCell ref="C5:C11"/>
    <mergeCell ref="C12:C15"/>
    <mergeCell ref="D5:D11"/>
    <mergeCell ref="C64:F64"/>
    <mergeCell ref="H3:J3"/>
    <mergeCell ref="E5:E7"/>
    <mergeCell ref="C39:F39"/>
    <mergeCell ref="B5:B15"/>
    <mergeCell ref="C3:D3"/>
    <mergeCell ref="C4:D4"/>
    <mergeCell ref="G8:G11"/>
    <mergeCell ref="C43:F43"/>
  </mergeCells>
  <hyperlinks>
    <hyperlink ref="B1" location="'RFE SOC FuseMap'!A1" display="RFE/SOC FuseMap" xr:uid="{30FED1E3-4A16-4545-80F9-FE21ACEFD504}"/>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B793E-900F-4F86-9259-515225B02EDF}">
  <dimension ref="B1:K28"/>
  <sheetViews>
    <sheetView workbookViewId="0">
      <selection activeCell="G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 min="10" max="10" width="27.7109375" customWidth="1"/>
    <col min="11" max="11" width="39" bestFit="1" customWidth="1"/>
  </cols>
  <sheetData>
    <row r="1" spans="2:11" x14ac:dyDescent="0.25">
      <c r="B1" s="16" t="s">
        <v>1055</v>
      </c>
    </row>
    <row r="2" spans="2:11" ht="15.75" thickBot="1" x14ac:dyDescent="0.3">
      <c r="E2" s="949"/>
      <c r="F2" s="949"/>
      <c r="G2" s="949"/>
    </row>
    <row r="3" spans="2:11" x14ac:dyDescent="0.25">
      <c r="B3" s="781" t="s">
        <v>0</v>
      </c>
      <c r="C3" s="20" t="s">
        <v>33</v>
      </c>
      <c r="D3" s="53"/>
      <c r="E3" s="949"/>
      <c r="F3" s="949"/>
      <c r="G3" s="949"/>
    </row>
    <row r="4" spans="2:11" ht="15.75" thickBot="1" x14ac:dyDescent="0.3">
      <c r="B4" s="782" t="s">
        <v>1</v>
      </c>
      <c r="C4" s="23" t="s">
        <v>1456</v>
      </c>
      <c r="D4" s="53"/>
      <c r="E4" s="949"/>
      <c r="F4" s="949"/>
      <c r="G4" s="949"/>
    </row>
    <row r="5" spans="2:11" ht="15.75" thickBot="1" x14ac:dyDescent="0.3"/>
    <row r="6" spans="2:11" ht="45.75" thickBot="1" x14ac:dyDescent="0.3">
      <c r="D6" s="52" t="s">
        <v>666</v>
      </c>
      <c r="E6" s="1365" t="s">
        <v>46</v>
      </c>
      <c r="F6" s="1366"/>
      <c r="G6" s="1367"/>
      <c r="H6" s="52" t="s">
        <v>61</v>
      </c>
      <c r="I6" s="788" t="s">
        <v>94</v>
      </c>
      <c r="J6" s="786" t="s">
        <v>96</v>
      </c>
      <c r="K6" s="787" t="s">
        <v>95</v>
      </c>
    </row>
    <row r="7" spans="2:11" x14ac:dyDescent="0.25">
      <c r="B7" s="42" t="s">
        <v>59</v>
      </c>
      <c r="C7" s="45" t="s">
        <v>49</v>
      </c>
      <c r="D7" s="45" t="s">
        <v>49</v>
      </c>
      <c r="E7" s="48">
        <v>125</v>
      </c>
      <c r="F7" s="27">
        <v>25</v>
      </c>
      <c r="G7" s="37">
        <v>-40</v>
      </c>
      <c r="H7" s="33" t="s">
        <v>48</v>
      </c>
      <c r="I7" s="36" t="s">
        <v>49</v>
      </c>
      <c r="J7" s="84" t="s">
        <v>49</v>
      </c>
      <c r="K7" s="83" t="s">
        <v>49</v>
      </c>
    </row>
    <row r="8" spans="2:11" ht="30" customHeight="1" x14ac:dyDescent="0.25">
      <c r="B8" s="784" t="s">
        <v>63</v>
      </c>
      <c r="C8" s="4" t="s">
        <v>1457</v>
      </c>
      <c r="D8" s="434" t="s">
        <v>65</v>
      </c>
      <c r="E8" s="785" t="s">
        <v>635</v>
      </c>
      <c r="F8" s="780" t="str">
        <f>E8</f>
        <v>0x2</v>
      </c>
      <c r="G8" s="436" t="str">
        <f>E8</f>
        <v>0x2</v>
      </c>
      <c r="H8" s="783" t="s">
        <v>141</v>
      </c>
      <c r="I8" s="790" t="s">
        <v>1460</v>
      </c>
      <c r="J8" s="791" t="s">
        <v>1461</v>
      </c>
      <c r="K8" s="207" t="s">
        <v>1459</v>
      </c>
    </row>
    <row r="9" spans="2:11" ht="15.75" thickBot="1" x14ac:dyDescent="0.3">
      <c r="B9" s="43" t="s">
        <v>60</v>
      </c>
      <c r="C9" s="47" t="s">
        <v>49</v>
      </c>
      <c r="D9" s="47" t="s">
        <v>49</v>
      </c>
      <c r="E9" s="51" t="s">
        <v>372</v>
      </c>
      <c r="F9" s="29"/>
      <c r="G9" s="41"/>
      <c r="H9" s="35" t="s">
        <v>49</v>
      </c>
      <c r="I9" s="40" t="s">
        <v>49</v>
      </c>
      <c r="J9" s="86" t="s">
        <v>49</v>
      </c>
      <c r="K9" s="81" t="s">
        <v>49</v>
      </c>
    </row>
    <row r="10" spans="2:11" x14ac:dyDescent="0.25">
      <c r="B10" t="s">
        <v>58</v>
      </c>
    </row>
    <row r="11" spans="2:11" x14ac:dyDescent="0.25">
      <c r="B11" t="s">
        <v>50</v>
      </c>
    </row>
    <row r="13" spans="2:11" x14ac:dyDescent="0.25">
      <c r="B13" s="17" t="s">
        <v>822</v>
      </c>
      <c r="C13" s="63" t="s">
        <v>1458</v>
      </c>
    </row>
    <row r="14" spans="2:11" x14ac:dyDescent="0.25">
      <c r="B14" s="17"/>
      <c r="J14" s="17"/>
    </row>
    <row r="15" spans="2:11" x14ac:dyDescent="0.25">
      <c r="B15" s="17" t="s">
        <v>51</v>
      </c>
      <c r="J15" s="17"/>
    </row>
    <row r="16" spans="2:11" x14ac:dyDescent="0.25">
      <c r="C16" s="1" t="s">
        <v>88</v>
      </c>
      <c r="D16" s="18"/>
    </row>
    <row r="17" spans="2:11" x14ac:dyDescent="0.25">
      <c r="J17" s="437"/>
    </row>
    <row r="18" spans="2:11" x14ac:dyDescent="0.25">
      <c r="B18" s="17" t="s">
        <v>53</v>
      </c>
      <c r="J18" s="376"/>
    </row>
    <row r="19" spans="2:11" x14ac:dyDescent="0.25">
      <c r="C19" s="1" t="s">
        <v>88</v>
      </c>
      <c r="D19" s="18"/>
      <c r="J19" s="376"/>
    </row>
    <row r="20" spans="2:11" x14ac:dyDescent="0.25">
      <c r="J20" s="376"/>
    </row>
    <row r="21" spans="2:11" x14ac:dyDescent="0.25">
      <c r="B21" s="17" t="s">
        <v>55</v>
      </c>
      <c r="J21" s="376"/>
    </row>
    <row r="22" spans="2:11" x14ac:dyDescent="0.25">
      <c r="C22" t="s">
        <v>904</v>
      </c>
      <c r="I22" s="53"/>
      <c r="J22" s="53"/>
      <c r="K22" s="53"/>
    </row>
    <row r="23" spans="2:11" s="410" customFormat="1" x14ac:dyDescent="0.25"/>
    <row r="24" spans="2:11" x14ac:dyDescent="0.25">
      <c r="B24" s="17" t="s">
        <v>1174</v>
      </c>
    </row>
    <row r="25" spans="2:11" x14ac:dyDescent="0.25">
      <c r="C25" t="s">
        <v>905</v>
      </c>
    </row>
    <row r="27" spans="2:11" x14ac:dyDescent="0.25">
      <c r="B27" s="17" t="s">
        <v>56</v>
      </c>
    </row>
    <row r="28" spans="2:11" x14ac:dyDescent="0.25">
      <c r="C28" s="1" t="s">
        <v>88</v>
      </c>
    </row>
  </sheetData>
  <mergeCells count="1">
    <mergeCell ref="E6:G6"/>
  </mergeCells>
  <hyperlinks>
    <hyperlink ref="B1" location="'RFE SOC FuseMap'!A1" display="RFE/SOC FuseMap" xr:uid="{F986741D-B7D0-4995-96D4-04CAFFD373B6}"/>
  </hyperlinks>
  <pageMargins left="0.7" right="0.7" top="0.75" bottom="0.75" header="0.3" footer="0.3"/>
  <pageSetup paperSize="9" orientation="portrait"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BD62D-9179-403A-92E3-CC178123EC9A}">
  <dimension ref="B1:K62"/>
  <sheetViews>
    <sheetView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8" max="8" width="12.5703125" bestFit="1" customWidth="1"/>
    <col min="9" max="9" width="16.85546875" bestFit="1" customWidth="1"/>
    <col min="10" max="10" width="25.7109375" bestFit="1" customWidth="1"/>
    <col min="11" max="11" width="17" bestFit="1" customWidth="1"/>
    <col min="12" max="12" width="11" bestFit="1" customWidth="1"/>
    <col min="13" max="13" width="12" bestFit="1" customWidth="1"/>
  </cols>
  <sheetData>
    <row r="1" spans="2:11" x14ac:dyDescent="0.25">
      <c r="B1" s="16" t="s">
        <v>1055</v>
      </c>
    </row>
    <row r="2" spans="2:11" ht="15.75" thickBot="1" x14ac:dyDescent="0.3">
      <c r="E2" s="949"/>
      <c r="F2" s="949"/>
      <c r="G2" s="949"/>
    </row>
    <row r="3" spans="2:11" x14ac:dyDescent="0.25">
      <c r="B3" s="749" t="s">
        <v>0</v>
      </c>
      <c r="C3" s="20" t="s">
        <v>28</v>
      </c>
      <c r="D3" s="53"/>
      <c r="E3" s="949"/>
      <c r="F3" s="949"/>
      <c r="G3" s="949"/>
    </row>
    <row r="4" spans="2:11" ht="15.75" thickBot="1" x14ac:dyDescent="0.3">
      <c r="B4" s="750" t="s">
        <v>1</v>
      </c>
      <c r="C4" s="23" t="s">
        <v>1385</v>
      </c>
      <c r="D4" s="53"/>
      <c r="E4" s="949"/>
      <c r="F4" s="949"/>
      <c r="G4" s="949"/>
    </row>
    <row r="5" spans="2:11" ht="15.75" thickBot="1" x14ac:dyDescent="0.3"/>
    <row r="6" spans="2:11" ht="45.75" thickBot="1" x14ac:dyDescent="0.3">
      <c r="D6" s="52" t="s">
        <v>666</v>
      </c>
      <c r="E6" s="1365" t="s">
        <v>46</v>
      </c>
      <c r="F6" s="1366"/>
      <c r="G6" s="1367"/>
      <c r="H6" s="52" t="s">
        <v>61</v>
      </c>
      <c r="I6" s="752" t="s">
        <v>94</v>
      </c>
      <c r="J6" s="753" t="s">
        <v>96</v>
      </c>
      <c r="K6" s="754" t="s">
        <v>95</v>
      </c>
    </row>
    <row r="7" spans="2:11" x14ac:dyDescent="0.25">
      <c r="B7" s="42" t="s">
        <v>59</v>
      </c>
      <c r="C7" s="45" t="s">
        <v>49</v>
      </c>
      <c r="D7" s="45" t="s">
        <v>49</v>
      </c>
      <c r="E7" s="48">
        <v>125</v>
      </c>
      <c r="F7" s="27">
        <v>25</v>
      </c>
      <c r="G7" s="37">
        <v>-40</v>
      </c>
      <c r="H7" s="33" t="s">
        <v>48</v>
      </c>
      <c r="I7" s="36" t="s">
        <v>49</v>
      </c>
      <c r="J7" s="84" t="s">
        <v>49</v>
      </c>
      <c r="K7" s="83" t="s">
        <v>49</v>
      </c>
    </row>
    <row r="8" spans="2:11" ht="45" x14ac:dyDescent="0.25">
      <c r="B8" s="751" t="s">
        <v>63</v>
      </c>
      <c r="C8" s="575" t="s">
        <v>1409</v>
      </c>
      <c r="D8" s="597" t="s">
        <v>1160</v>
      </c>
      <c r="E8" s="1533" t="s">
        <v>1361</v>
      </c>
      <c r="F8" s="1369"/>
      <c r="G8" s="1370"/>
      <c r="H8" s="756" t="s">
        <v>49</v>
      </c>
      <c r="I8" s="1384" t="s">
        <v>1408</v>
      </c>
      <c r="J8" s="1586"/>
      <c r="K8" s="1385"/>
    </row>
    <row r="9" spans="2:11" ht="15.75" thickBot="1" x14ac:dyDescent="0.3">
      <c r="B9" s="43" t="s">
        <v>60</v>
      </c>
      <c r="C9" s="47" t="s">
        <v>49</v>
      </c>
      <c r="D9" s="47" t="s">
        <v>49</v>
      </c>
      <c r="E9" s="51" t="s">
        <v>372</v>
      </c>
      <c r="F9" s="29"/>
      <c r="G9" s="41"/>
      <c r="H9" s="35" t="s">
        <v>49</v>
      </c>
      <c r="I9" s="40" t="s">
        <v>49</v>
      </c>
      <c r="J9" s="86" t="s">
        <v>49</v>
      </c>
      <c r="K9" s="81" t="s">
        <v>49</v>
      </c>
    </row>
    <row r="10" spans="2:11" x14ac:dyDescent="0.25">
      <c r="B10" t="s">
        <v>58</v>
      </c>
    </row>
    <row r="11" spans="2:11" x14ac:dyDescent="0.25">
      <c r="B11" t="s">
        <v>50</v>
      </c>
    </row>
    <row r="13" spans="2:11" x14ac:dyDescent="0.25">
      <c r="B13" s="17" t="s">
        <v>822</v>
      </c>
    </row>
    <row r="14" spans="2:11" x14ac:dyDescent="0.25">
      <c r="B14" s="17"/>
      <c r="C14" t="s">
        <v>1387</v>
      </c>
    </row>
    <row r="15" spans="2:11" x14ac:dyDescent="0.25">
      <c r="B15" s="17"/>
      <c r="C15" t="s">
        <v>1388</v>
      </c>
    </row>
    <row r="16" spans="2:11" x14ac:dyDescent="0.25">
      <c r="B16" s="17"/>
    </row>
    <row r="17" spans="2:11" x14ac:dyDescent="0.25">
      <c r="B17" s="17" t="s">
        <v>51</v>
      </c>
    </row>
    <row r="18" spans="2:11" x14ac:dyDescent="0.25">
      <c r="C18" s="1" t="s">
        <v>88</v>
      </c>
      <c r="D18" s="1"/>
      <c r="E18" s="1"/>
      <c r="F18" s="1"/>
      <c r="G18" s="1"/>
    </row>
    <row r="19" spans="2:11" x14ac:dyDescent="0.25">
      <c r="C19" s="1"/>
      <c r="D19" s="1"/>
      <c r="E19" s="1"/>
      <c r="F19" s="1"/>
      <c r="G19" s="1"/>
    </row>
    <row r="20" spans="2:11" x14ac:dyDescent="0.25">
      <c r="B20" s="17" t="s">
        <v>53</v>
      </c>
      <c r="C20" s="1"/>
      <c r="D20" s="1"/>
      <c r="E20" s="1"/>
      <c r="F20" s="1"/>
      <c r="G20" s="1"/>
    </row>
    <row r="21" spans="2:11" x14ac:dyDescent="0.25">
      <c r="C21" s="1" t="s">
        <v>88</v>
      </c>
      <c r="D21" s="1"/>
      <c r="E21" s="1"/>
      <c r="F21" s="1"/>
      <c r="G21" s="1"/>
    </row>
    <row r="22" spans="2:11" x14ac:dyDescent="0.25">
      <c r="C22" s="1"/>
      <c r="D22" s="1"/>
      <c r="E22" s="1"/>
      <c r="F22" s="1"/>
      <c r="G22" s="1"/>
    </row>
    <row r="23" spans="2:11" x14ac:dyDescent="0.25">
      <c r="B23" s="17" t="s">
        <v>633</v>
      </c>
      <c r="C23" s="1"/>
      <c r="D23" s="1"/>
      <c r="E23" s="1"/>
      <c r="F23" s="1"/>
      <c r="G23" s="1"/>
    </row>
    <row r="24" spans="2:11" x14ac:dyDescent="0.25">
      <c r="C24" s="1500" t="s">
        <v>1411</v>
      </c>
      <c r="D24" s="1500"/>
      <c r="E24" s="1500"/>
      <c r="F24" s="1500"/>
      <c r="G24" s="1500"/>
    </row>
    <row r="26" spans="2:11" ht="15.75" thickBot="1" x14ac:dyDescent="0.3">
      <c r="B26" s="17" t="s">
        <v>55</v>
      </c>
    </row>
    <row r="27" spans="2:11" ht="47.25" customHeight="1" thickBot="1" x14ac:dyDescent="0.3">
      <c r="B27" s="17"/>
      <c r="C27" s="1587" t="s">
        <v>1413</v>
      </c>
      <c r="D27" s="1587"/>
      <c r="E27" s="1587"/>
      <c r="F27" s="1587"/>
      <c r="H27" s="126" t="s">
        <v>94</v>
      </c>
      <c r="I27" s="771" t="s">
        <v>96</v>
      </c>
      <c r="J27" s="121" t="s">
        <v>95</v>
      </c>
      <c r="K27" s="761" t="s">
        <v>1401</v>
      </c>
    </row>
    <row r="28" spans="2:11" x14ac:dyDescent="0.25">
      <c r="B28" s="17"/>
      <c r="C28" t="s">
        <v>1429</v>
      </c>
      <c r="H28" s="101" t="s">
        <v>1389</v>
      </c>
      <c r="I28" s="267" t="s">
        <v>1390</v>
      </c>
      <c r="J28" s="132" t="str">
        <f>LOWER(H28&amp;"_"&amp;I28)</f>
        <v>pon_ctl_pon_ls</v>
      </c>
      <c r="K28" s="772">
        <v>1</v>
      </c>
    </row>
    <row r="29" spans="2:11" ht="15.75" thickBot="1" x14ac:dyDescent="0.3">
      <c r="B29" s="17"/>
      <c r="C29" t="s">
        <v>1430</v>
      </c>
      <c r="H29" s="102" t="s">
        <v>1391</v>
      </c>
      <c r="I29" s="268" t="s">
        <v>1392</v>
      </c>
      <c r="J29" s="133" t="str">
        <f>LOWER(H29&amp;"_"&amp;I29)</f>
        <v>cal_ctl_en_rccal</v>
      </c>
      <c r="K29" s="758">
        <v>1</v>
      </c>
    </row>
    <row r="30" spans="2:11" ht="15.75" thickBot="1" x14ac:dyDescent="0.3">
      <c r="B30" s="17"/>
      <c r="C30" t="s">
        <v>1453</v>
      </c>
      <c r="G30" s="53"/>
      <c r="H30" s="53"/>
      <c r="I30" s="53"/>
      <c r="J30" s="53"/>
      <c r="K30" s="777"/>
    </row>
    <row r="31" spans="2:11" x14ac:dyDescent="0.25">
      <c r="B31" s="17"/>
      <c r="C31" t="s">
        <v>1438</v>
      </c>
      <c r="H31" s="101" t="s">
        <v>1393</v>
      </c>
      <c r="I31" s="267" t="s">
        <v>1394</v>
      </c>
      <c r="J31" s="132" t="str">
        <f>LOWER(H31&amp;"_"&amp;I31)</f>
        <v>cal_result1_count_value_n</v>
      </c>
      <c r="K31" s="772" t="s">
        <v>1397</v>
      </c>
    </row>
    <row r="32" spans="2:11" x14ac:dyDescent="0.25">
      <c r="B32" s="17"/>
      <c r="C32" t="s">
        <v>1439</v>
      </c>
      <c r="H32" s="39" t="s">
        <v>1395</v>
      </c>
      <c r="I32" s="85" t="s">
        <v>1396</v>
      </c>
      <c r="J32" s="79" t="str">
        <f>LOWER(H32&amp;"_"&amp;I32)</f>
        <v>cal_result2_count_value_m</v>
      </c>
      <c r="K32" s="757" t="s">
        <v>1398</v>
      </c>
    </row>
    <row r="33" spans="3:11" x14ac:dyDescent="0.25">
      <c r="C33" t="s">
        <v>1431</v>
      </c>
      <c r="H33" s="39" t="s">
        <v>1391</v>
      </c>
      <c r="I33" s="85" t="s">
        <v>1392</v>
      </c>
      <c r="J33" s="79" t="str">
        <f>LOWER(H33&amp;"_"&amp;I33)</f>
        <v>cal_ctl_en_rccal</v>
      </c>
      <c r="K33" s="757">
        <v>0</v>
      </c>
    </row>
    <row r="34" spans="3:11" ht="15.75" thickBot="1" x14ac:dyDescent="0.3">
      <c r="H34" s="102" t="s">
        <v>1389</v>
      </c>
      <c r="I34" s="268" t="s">
        <v>1390</v>
      </c>
      <c r="J34" s="133" t="str">
        <f>LOWER(H34&amp;"_"&amp;I34)</f>
        <v>pon_ctl_pon_ls</v>
      </c>
      <c r="K34" s="758">
        <v>0</v>
      </c>
    </row>
    <row r="35" spans="3:11" x14ac:dyDescent="0.25">
      <c r="C35" t="s">
        <v>1399</v>
      </c>
      <c r="D35" s="18"/>
    </row>
    <row r="36" spans="3:11" ht="90" customHeight="1" x14ac:dyDescent="0.25">
      <c r="C36" s="377" t="s">
        <v>1400</v>
      </c>
      <c r="D36" s="1502" t="s">
        <v>1472</v>
      </c>
      <c r="E36" s="1502"/>
      <c r="F36" s="1502"/>
    </row>
    <row r="37" spans="3:11" ht="31.5" customHeight="1" x14ac:dyDescent="0.25">
      <c r="C37" s="1585" t="s">
        <v>1440</v>
      </c>
      <c r="D37" s="1417"/>
      <c r="E37" s="1417"/>
      <c r="F37" s="1417"/>
    </row>
    <row r="38" spans="3:11" ht="15.75" thickBot="1" x14ac:dyDescent="0.3">
      <c r="C38" s="377" t="s">
        <v>1407</v>
      </c>
      <c r="D38" s="63"/>
    </row>
    <row r="39" spans="3:11" ht="15.75" thickBot="1" x14ac:dyDescent="0.3">
      <c r="D39" s="755" t="s">
        <v>1402</v>
      </c>
      <c r="E39" s="755" t="s">
        <v>1382</v>
      </c>
      <c r="H39" s="760"/>
      <c r="I39" s="760"/>
    </row>
    <row r="40" spans="3:11" ht="15.75" thickBot="1" x14ac:dyDescent="0.3">
      <c r="D40" s="755" t="s">
        <v>1479</v>
      </c>
      <c r="E40" s="755">
        <v>0</v>
      </c>
    </row>
    <row r="41" spans="3:11" ht="15.75" thickBot="1" x14ac:dyDescent="0.3">
      <c r="D41" s="755" t="s">
        <v>1480</v>
      </c>
      <c r="E41" s="755">
        <f>E40+1</f>
        <v>1</v>
      </c>
    </row>
    <row r="42" spans="3:11" ht="15.75" thickBot="1" x14ac:dyDescent="0.3">
      <c r="D42" s="755" t="s">
        <v>1481</v>
      </c>
      <c r="E42" s="755">
        <f t="shared" ref="E42:E54" si="0">E41+1</f>
        <v>2</v>
      </c>
    </row>
    <row r="43" spans="3:11" ht="15.75" thickBot="1" x14ac:dyDescent="0.3">
      <c r="D43" s="755" t="s">
        <v>1482</v>
      </c>
      <c r="E43" s="755">
        <f t="shared" si="0"/>
        <v>3</v>
      </c>
    </row>
    <row r="44" spans="3:11" ht="15.75" thickBot="1" x14ac:dyDescent="0.3">
      <c r="D44" s="755" t="s">
        <v>1483</v>
      </c>
      <c r="E44" s="755">
        <f t="shared" si="0"/>
        <v>4</v>
      </c>
    </row>
    <row r="45" spans="3:11" ht="15.75" thickBot="1" x14ac:dyDescent="0.3">
      <c r="D45" s="755" t="s">
        <v>1484</v>
      </c>
      <c r="E45" s="755">
        <f t="shared" si="0"/>
        <v>5</v>
      </c>
    </row>
    <row r="46" spans="3:11" ht="15.75" thickBot="1" x14ac:dyDescent="0.3">
      <c r="D46" s="755" t="s">
        <v>1485</v>
      </c>
      <c r="E46" s="755">
        <f t="shared" si="0"/>
        <v>6</v>
      </c>
    </row>
    <row r="47" spans="3:11" ht="15.75" thickBot="1" x14ac:dyDescent="0.3">
      <c r="D47" s="755" t="s">
        <v>1486</v>
      </c>
      <c r="E47" s="755">
        <f t="shared" si="0"/>
        <v>7</v>
      </c>
    </row>
    <row r="48" spans="3:11" ht="15.75" thickBot="1" x14ac:dyDescent="0.3">
      <c r="D48" s="755" t="s">
        <v>1487</v>
      </c>
      <c r="E48" s="755">
        <f t="shared" si="0"/>
        <v>8</v>
      </c>
    </row>
    <row r="49" spans="2:9" ht="15.75" thickBot="1" x14ac:dyDescent="0.3">
      <c r="D49" s="755" t="s">
        <v>1488</v>
      </c>
      <c r="E49" s="755">
        <f t="shared" si="0"/>
        <v>9</v>
      </c>
    </row>
    <row r="50" spans="2:9" ht="15.75" thickBot="1" x14ac:dyDescent="0.3">
      <c r="D50" s="755" t="s">
        <v>1489</v>
      </c>
      <c r="E50" s="755">
        <f t="shared" si="0"/>
        <v>10</v>
      </c>
    </row>
    <row r="51" spans="2:9" ht="15.75" thickBot="1" x14ac:dyDescent="0.3">
      <c r="D51" s="755" t="s">
        <v>1490</v>
      </c>
      <c r="E51" s="755">
        <f t="shared" si="0"/>
        <v>11</v>
      </c>
    </row>
    <row r="52" spans="2:9" ht="15.75" thickBot="1" x14ac:dyDescent="0.3">
      <c r="D52" s="755" t="s">
        <v>1491</v>
      </c>
      <c r="E52" s="755">
        <f t="shared" si="0"/>
        <v>12</v>
      </c>
    </row>
    <row r="53" spans="2:9" ht="15.75" thickBot="1" x14ac:dyDescent="0.3">
      <c r="D53" s="755" t="s">
        <v>1492</v>
      </c>
      <c r="E53" s="755">
        <f t="shared" si="0"/>
        <v>13</v>
      </c>
    </row>
    <row r="54" spans="2:9" ht="15.75" thickBot="1" x14ac:dyDescent="0.3">
      <c r="D54" s="755" t="s">
        <v>1493</v>
      </c>
      <c r="E54" s="755">
        <f t="shared" si="0"/>
        <v>14</v>
      </c>
    </row>
    <row r="55" spans="2:9" ht="15.75" thickBot="1" x14ac:dyDescent="0.3">
      <c r="D55" s="755" t="s">
        <v>1494</v>
      </c>
      <c r="E55" s="755">
        <f>E54+1</f>
        <v>15</v>
      </c>
      <c r="I55" s="112"/>
    </row>
    <row r="57" spans="2:9" x14ac:dyDescent="0.25">
      <c r="B57" s="17" t="s">
        <v>1174</v>
      </c>
    </row>
    <row r="58" spans="2:9" x14ac:dyDescent="0.25">
      <c r="C58" t="s">
        <v>1451</v>
      </c>
    </row>
    <row r="60" spans="2:9" x14ac:dyDescent="0.25">
      <c r="B60" s="17" t="s">
        <v>56</v>
      </c>
    </row>
    <row r="61" spans="2:9" x14ac:dyDescent="0.25">
      <c r="C61" s="1" t="s">
        <v>1450</v>
      </c>
    </row>
    <row r="62" spans="2:9" x14ac:dyDescent="0.25">
      <c r="C62" t="s">
        <v>1452</v>
      </c>
    </row>
  </sheetData>
  <mergeCells count="7">
    <mergeCell ref="C37:F37"/>
    <mergeCell ref="E6:G6"/>
    <mergeCell ref="C24:G24"/>
    <mergeCell ref="I8:K8"/>
    <mergeCell ref="E8:G8"/>
    <mergeCell ref="C27:F27"/>
    <mergeCell ref="D36:F36"/>
  </mergeCells>
  <dataValidations count="2">
    <dataValidation type="textLength" allowBlank="1" showInputMessage="1" showErrorMessage="1" sqref="H28:H34" xr:uid="{32BA7BE4-D435-465C-95AB-4A2CB5E8D73C}">
      <formula1>3</formula1>
      <formula2>16</formula2>
    </dataValidation>
    <dataValidation type="textLength" allowBlank="1" showInputMessage="1" showErrorMessage="1" sqref="I28:I34" xr:uid="{49B08814-DCCE-4B16-B389-540CC73AFBBD}">
      <formula1>2</formula1>
      <formula2>16</formula2>
    </dataValidation>
  </dataValidations>
  <hyperlinks>
    <hyperlink ref="B1" location="'RFE SOC FuseMap'!A1" display="RFE/SOC FuseMap" xr:uid="{9B5DF42F-742A-49A3-99B1-592453B2C6B0}"/>
  </hyperlinks>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148EC-BC86-4145-86C1-68F81FEF2B60}">
  <dimension ref="A1:N56"/>
  <sheetViews>
    <sheetView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8" max="8" width="9" customWidth="1"/>
    <col min="9" max="9" width="16.5703125" bestFit="1" customWidth="1"/>
    <col min="10" max="10" width="38.28515625" customWidth="1"/>
    <col min="13" max="13" width="11" bestFit="1" customWidth="1"/>
  </cols>
  <sheetData>
    <row r="1" spans="1:11" x14ac:dyDescent="0.25">
      <c r="A1" t="s">
        <v>1514</v>
      </c>
      <c r="B1" s="16" t="s">
        <v>1055</v>
      </c>
    </row>
    <row r="2" spans="1:11" ht="15.75" thickBot="1" x14ac:dyDescent="0.3">
      <c r="E2" s="949"/>
      <c r="F2" s="949"/>
      <c r="G2" s="949"/>
    </row>
    <row r="3" spans="1:11" x14ac:dyDescent="0.25">
      <c r="B3" s="749" t="s">
        <v>0</v>
      </c>
      <c r="C3" s="20" t="s">
        <v>28</v>
      </c>
      <c r="D3" s="53"/>
      <c r="E3" s="949"/>
      <c r="F3" s="949"/>
      <c r="G3" s="949"/>
    </row>
    <row r="4" spans="1:11" ht="15.75" thickBot="1" x14ac:dyDescent="0.3">
      <c r="B4" s="750" t="s">
        <v>1</v>
      </c>
      <c r="C4" s="23" t="s">
        <v>1385</v>
      </c>
      <c r="D4" s="53"/>
      <c r="E4" s="949"/>
      <c r="F4" s="949"/>
      <c r="G4" s="949"/>
    </row>
    <row r="5" spans="1:11" ht="15.75" thickBot="1" x14ac:dyDescent="0.3"/>
    <row r="6" spans="1:11" ht="45.75" thickBot="1" x14ac:dyDescent="0.3">
      <c r="D6" s="52" t="s">
        <v>666</v>
      </c>
      <c r="E6" s="1365" t="s">
        <v>46</v>
      </c>
      <c r="F6" s="1366"/>
      <c r="G6" s="1367"/>
      <c r="H6" s="52" t="s">
        <v>61</v>
      </c>
      <c r="I6" s="752" t="s">
        <v>94</v>
      </c>
      <c r="J6" s="753" t="s">
        <v>96</v>
      </c>
      <c r="K6" s="754" t="s">
        <v>95</v>
      </c>
    </row>
    <row r="7" spans="1:11" x14ac:dyDescent="0.25">
      <c r="B7" s="42" t="s">
        <v>59</v>
      </c>
      <c r="C7" s="45" t="s">
        <v>49</v>
      </c>
      <c r="D7" s="45" t="s">
        <v>49</v>
      </c>
      <c r="E7" s="48">
        <v>125</v>
      </c>
      <c r="F7" s="27">
        <v>25</v>
      </c>
      <c r="G7" s="37">
        <v>-40</v>
      </c>
      <c r="H7" s="33" t="s">
        <v>48</v>
      </c>
      <c r="I7" s="36" t="s">
        <v>49</v>
      </c>
      <c r="J7" s="84" t="s">
        <v>49</v>
      </c>
      <c r="K7" s="83" t="s">
        <v>49</v>
      </c>
    </row>
    <row r="8" spans="1:11" ht="45" x14ac:dyDescent="0.25">
      <c r="B8" s="751" t="s">
        <v>63</v>
      </c>
      <c r="C8" s="575" t="s">
        <v>1410</v>
      </c>
      <c r="D8" s="597" t="s">
        <v>1386</v>
      </c>
      <c r="E8" s="1533" t="s">
        <v>1361</v>
      </c>
      <c r="F8" s="1369"/>
      <c r="G8" s="1370"/>
      <c r="H8" s="756" t="s">
        <v>49</v>
      </c>
      <c r="I8" s="1384" t="s">
        <v>1408</v>
      </c>
      <c r="J8" s="1586"/>
      <c r="K8" s="1385"/>
    </row>
    <row r="9" spans="1:11" ht="15.75" thickBot="1" x14ac:dyDescent="0.3">
      <c r="B9" s="43" t="s">
        <v>60</v>
      </c>
      <c r="C9" s="47" t="s">
        <v>49</v>
      </c>
      <c r="D9" s="47" t="s">
        <v>49</v>
      </c>
      <c r="E9" s="51" t="s">
        <v>372</v>
      </c>
      <c r="F9" s="29"/>
      <c r="G9" s="41"/>
      <c r="H9" s="35" t="s">
        <v>49</v>
      </c>
      <c r="I9" s="40" t="s">
        <v>49</v>
      </c>
      <c r="J9" s="86" t="s">
        <v>49</v>
      </c>
      <c r="K9" s="81" t="s">
        <v>49</v>
      </c>
    </row>
    <row r="10" spans="1:11" x14ac:dyDescent="0.25">
      <c r="B10" t="s">
        <v>58</v>
      </c>
    </row>
    <row r="11" spans="1:11" x14ac:dyDescent="0.25">
      <c r="B11" t="s">
        <v>50</v>
      </c>
    </row>
    <row r="13" spans="1:11" x14ac:dyDescent="0.25">
      <c r="B13" s="17" t="s">
        <v>822</v>
      </c>
    </row>
    <row r="14" spans="1:11" x14ac:dyDescent="0.25">
      <c r="B14" s="17"/>
      <c r="C14" t="s">
        <v>1387</v>
      </c>
    </row>
    <row r="15" spans="1:11" x14ac:dyDescent="0.25">
      <c r="B15" s="17"/>
      <c r="C15" t="s">
        <v>1437</v>
      </c>
    </row>
    <row r="16" spans="1:11" x14ac:dyDescent="0.25">
      <c r="B16" s="17"/>
      <c r="C16" t="s">
        <v>1454</v>
      </c>
    </row>
    <row r="17" spans="2:14" x14ac:dyDescent="0.25">
      <c r="B17" s="17"/>
    </row>
    <row r="18" spans="2:14" x14ac:dyDescent="0.25">
      <c r="B18" s="17" t="s">
        <v>51</v>
      </c>
    </row>
    <row r="19" spans="2:14" x14ac:dyDescent="0.25">
      <c r="C19" s="1" t="s">
        <v>88</v>
      </c>
      <c r="D19" s="18"/>
    </row>
    <row r="21" spans="2:14" x14ac:dyDescent="0.25">
      <c r="B21" s="17" t="s">
        <v>53</v>
      </c>
    </row>
    <row r="22" spans="2:14" x14ac:dyDescent="0.25">
      <c r="C22" s="1" t="s">
        <v>88</v>
      </c>
      <c r="D22" s="18"/>
    </row>
    <row r="24" spans="2:14" s="949" customFormat="1" x14ac:dyDescent="0.25">
      <c r="B24" s="17" t="s">
        <v>1931</v>
      </c>
    </row>
    <row r="25" spans="2:14" s="949" customFormat="1" x14ac:dyDescent="0.25">
      <c r="C25" s="1018" t="s">
        <v>1930</v>
      </c>
    </row>
    <row r="26" spans="2:14" s="949" customFormat="1" x14ac:dyDescent="0.25"/>
    <row r="27" spans="2:14" x14ac:dyDescent="0.25">
      <c r="B27" s="17" t="s">
        <v>633</v>
      </c>
      <c r="C27" s="1"/>
    </row>
    <row r="28" spans="2:14" x14ac:dyDescent="0.25">
      <c r="C28" s="1500" t="s">
        <v>1411</v>
      </c>
      <c r="D28" s="1500"/>
      <c r="E28" s="1500"/>
      <c r="F28" s="1500"/>
      <c r="G28" s="1500"/>
      <c r="N28" s="58"/>
    </row>
    <row r="29" spans="2:14" x14ac:dyDescent="0.25">
      <c r="N29" s="58"/>
    </row>
    <row r="30" spans="2:14" x14ac:dyDescent="0.25">
      <c r="B30" s="17" t="s">
        <v>55</v>
      </c>
    </row>
    <row r="31" spans="2:14" ht="45.75" customHeight="1" x14ac:dyDescent="0.25">
      <c r="B31" s="17"/>
      <c r="C31" s="1587" t="s">
        <v>1412</v>
      </c>
      <c r="D31" s="1587"/>
      <c r="E31" s="1587"/>
      <c r="F31" s="1587"/>
      <c r="I31" t="s">
        <v>1426</v>
      </c>
    </row>
    <row r="32" spans="2:14" ht="15.75" thickBot="1" x14ac:dyDescent="0.3">
      <c r="B32" s="17"/>
      <c r="C32" s="320" t="s">
        <v>1422</v>
      </c>
      <c r="D32" s="768"/>
      <c r="E32" s="768"/>
      <c r="F32" s="768"/>
    </row>
    <row r="33" spans="2:11" x14ac:dyDescent="0.25">
      <c r="B33" s="17"/>
      <c r="C33" s="769" t="str">
        <f>"Counting periods inside a timeframe of time_window="&amp;K39&amp;"*1/40MHz=6.4us"</f>
        <v>Counting periods inside a timeframe of time_window=0x100*1/40MHz=6.4us</v>
      </c>
      <c r="J33" s="578" t="s">
        <v>95</v>
      </c>
      <c r="K33" s="580" t="s">
        <v>1401</v>
      </c>
    </row>
    <row r="34" spans="2:11" x14ac:dyDescent="0.25">
      <c r="B34" s="17"/>
      <c r="C34" s="319" t="s">
        <v>1898</v>
      </c>
      <c r="I34" s="63"/>
      <c r="J34" s="987" t="s">
        <v>1923</v>
      </c>
      <c r="K34" s="773">
        <v>0</v>
      </c>
    </row>
    <row r="35" spans="2:11" x14ac:dyDescent="0.25">
      <c r="B35" s="17"/>
      <c r="C35" s="319" t="s">
        <v>1897</v>
      </c>
      <c r="I35" s="63"/>
      <c r="J35" s="987" t="s">
        <v>1924</v>
      </c>
      <c r="K35" s="773">
        <v>0</v>
      </c>
    </row>
    <row r="36" spans="2:11" s="949" customFormat="1" x14ac:dyDescent="0.25">
      <c r="B36" s="17"/>
      <c r="C36" s="319" t="s">
        <v>1899</v>
      </c>
      <c r="I36" s="63"/>
      <c r="J36" s="987" t="s">
        <v>1925</v>
      </c>
      <c r="K36" s="773">
        <v>0</v>
      </c>
    </row>
    <row r="37" spans="2:11" s="949" customFormat="1" x14ac:dyDescent="0.25">
      <c r="B37" s="17"/>
      <c r="C37" s="319" t="s">
        <v>1900</v>
      </c>
      <c r="I37" s="63"/>
      <c r="J37" s="987" t="s">
        <v>1926</v>
      </c>
      <c r="K37" s="1017" t="s">
        <v>1928</v>
      </c>
    </row>
    <row r="38" spans="2:11" s="949" customFormat="1" x14ac:dyDescent="0.25">
      <c r="B38" s="17"/>
      <c r="C38" s="319"/>
      <c r="I38" s="63"/>
      <c r="J38" s="987" t="s">
        <v>1927</v>
      </c>
      <c r="K38" s="1017" t="s">
        <v>1928</v>
      </c>
    </row>
    <row r="39" spans="2:11" x14ac:dyDescent="0.25">
      <c r="B39" s="17"/>
      <c r="C39" s="319" t="s">
        <v>1901</v>
      </c>
      <c r="I39" s="63"/>
      <c r="J39" s="987" t="s">
        <v>1896</v>
      </c>
      <c r="K39" s="773" t="s">
        <v>1447</v>
      </c>
    </row>
    <row r="40" spans="2:11" ht="15.75" thickBot="1" x14ac:dyDescent="0.3">
      <c r="B40" s="17"/>
      <c r="C40" s="319" t="s">
        <v>1441</v>
      </c>
      <c r="I40" s="63"/>
      <c r="J40" s="988" t="s">
        <v>1902</v>
      </c>
      <c r="K40" s="775" t="s">
        <v>1443</v>
      </c>
    </row>
    <row r="41" spans="2:11" ht="15.75" thickBot="1" x14ac:dyDescent="0.3">
      <c r="B41" s="17"/>
      <c r="C41" s="319" t="s">
        <v>1444</v>
      </c>
      <c r="I41" s="63"/>
      <c r="J41" s="313"/>
      <c r="K41" s="313"/>
    </row>
    <row r="42" spans="2:11" x14ac:dyDescent="0.25">
      <c r="B42" s="17"/>
      <c r="C42" s="319" t="s">
        <v>1442</v>
      </c>
      <c r="I42" s="63">
        <v>0</v>
      </c>
      <c r="J42" s="776" t="s">
        <v>1903</v>
      </c>
      <c r="K42" s="105"/>
    </row>
    <row r="43" spans="2:11" ht="15.75" thickBot="1" x14ac:dyDescent="0.3">
      <c r="B43" s="17"/>
      <c r="C43" s="989" t="s">
        <v>1414</v>
      </c>
      <c r="I43" s="63">
        <v>4903</v>
      </c>
      <c r="J43" s="774" t="s">
        <v>1904</v>
      </c>
      <c r="K43" s="775" t="s">
        <v>1427</v>
      </c>
    </row>
    <row r="44" spans="2:11" x14ac:dyDescent="0.25">
      <c r="B44" s="17"/>
      <c r="C44" s="770" t="s">
        <v>1428</v>
      </c>
      <c r="I44" s="112" t="s">
        <v>1448</v>
      </c>
    </row>
    <row r="45" spans="2:11" x14ac:dyDescent="0.25">
      <c r="B45" s="17"/>
      <c r="C45" s="759" t="s">
        <v>1423</v>
      </c>
    </row>
    <row r="46" spans="2:11" ht="28.5" customHeight="1" x14ac:dyDescent="0.25">
      <c r="B46" s="17"/>
      <c r="D46" s="1411" t="s">
        <v>1416</v>
      </c>
      <c r="E46" s="1411"/>
      <c r="F46" s="1411"/>
      <c r="G46" s="1411"/>
      <c r="I46" t="s">
        <v>1415</v>
      </c>
    </row>
    <row r="47" spans="2:11" ht="15.75" thickBot="1" x14ac:dyDescent="0.3">
      <c r="B47" s="17"/>
      <c r="C47" s="759" t="s">
        <v>1424</v>
      </c>
    </row>
    <row r="48" spans="2:11" ht="30.75" thickBot="1" x14ac:dyDescent="0.3">
      <c r="B48" s="17"/>
      <c r="C48" s="1588" t="s">
        <v>1421</v>
      </c>
      <c r="D48" s="1589"/>
      <c r="E48" s="121" t="s">
        <v>1888</v>
      </c>
      <c r="F48" s="761" t="s">
        <v>1403</v>
      </c>
      <c r="G48" s="760" t="s">
        <v>1420</v>
      </c>
    </row>
    <row r="49" spans="2:9" x14ac:dyDescent="0.25">
      <c r="C49" s="1594" t="s">
        <v>1418</v>
      </c>
      <c r="D49" s="1595"/>
      <c r="E49" s="765">
        <v>3</v>
      </c>
      <c r="F49" s="762" t="s">
        <v>1406</v>
      </c>
      <c r="I49" t="s">
        <v>1425</v>
      </c>
    </row>
    <row r="50" spans="2:9" x14ac:dyDescent="0.25">
      <c r="C50" s="1592" t="s">
        <v>1417</v>
      </c>
      <c r="D50" s="1593"/>
      <c r="E50" s="766">
        <v>1</v>
      </c>
      <c r="F50" s="763" t="s">
        <v>1405</v>
      </c>
    </row>
    <row r="51" spans="2:9" ht="15.75" thickBot="1" x14ac:dyDescent="0.3">
      <c r="C51" s="1590" t="s">
        <v>1419</v>
      </c>
      <c r="D51" s="1591"/>
      <c r="E51" s="767">
        <v>2</v>
      </c>
      <c r="F51" s="764" t="s">
        <v>1404</v>
      </c>
    </row>
    <row r="53" spans="2:9" x14ac:dyDescent="0.25">
      <c r="B53" s="17" t="s">
        <v>1174</v>
      </c>
    </row>
    <row r="54" spans="2:9" x14ac:dyDescent="0.25">
      <c r="D54" s="18"/>
    </row>
    <row r="55" spans="2:9" x14ac:dyDescent="0.25">
      <c r="B55" s="17" t="s">
        <v>56</v>
      </c>
    </row>
    <row r="56" spans="2:9" x14ac:dyDescent="0.25">
      <c r="C56" s="18" t="s">
        <v>57</v>
      </c>
    </row>
  </sheetData>
  <mergeCells count="10">
    <mergeCell ref="C51:D51"/>
    <mergeCell ref="C50:D50"/>
    <mergeCell ref="C49:D49"/>
    <mergeCell ref="E6:G6"/>
    <mergeCell ref="C28:G28"/>
    <mergeCell ref="I8:K8"/>
    <mergeCell ref="C31:F31"/>
    <mergeCell ref="E8:G8"/>
    <mergeCell ref="D46:G46"/>
    <mergeCell ref="C48:D48"/>
  </mergeCells>
  <hyperlinks>
    <hyperlink ref="B1" location="'RFE SOC FuseMap'!A1" display="RFE/SOC FuseMap" xr:uid="{4F5718B1-6F5F-4195-B5FC-8A805E3E7900}"/>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ADA3F-BC20-4199-8C77-C04FFF80F2A3}">
  <sheetPr>
    <tabColor theme="6" tint="0.39997558519241921"/>
  </sheetPr>
  <dimension ref="A1:AG254"/>
  <sheetViews>
    <sheetView zoomScale="70" zoomScaleNormal="70" workbookViewId="0">
      <pane xSplit="4" ySplit="3" topLeftCell="E4" activePane="bottomRight" state="frozen"/>
      <selection pane="topRight" activeCell="E1" sqref="E1"/>
      <selection pane="bottomLeft" activeCell="A4" sqref="A4"/>
      <selection pane="bottomRight"/>
    </sheetView>
  </sheetViews>
  <sheetFormatPr defaultRowHeight="15" x14ac:dyDescent="0.25"/>
  <cols>
    <col min="1" max="1" width="4.7109375" style="560" customWidth="1"/>
    <col min="2" max="2" width="10.28515625" style="1" customWidth="1"/>
    <col min="3" max="3" width="20.7109375" style="1" customWidth="1"/>
    <col min="4" max="4" width="24.42578125" style="1" customWidth="1"/>
    <col min="5" max="5" width="39" style="1" customWidth="1"/>
    <col min="6" max="6" width="35.85546875" style="519" customWidth="1"/>
    <col min="7" max="7" width="24.28515625" style="519" hidden="1" customWidth="1"/>
    <col min="8" max="8" width="30.5703125" style="1" customWidth="1"/>
    <col min="9" max="11" width="13.28515625" style="1" customWidth="1"/>
    <col min="12" max="12" width="15.7109375" style="1" bestFit="1" customWidth="1"/>
    <col min="13" max="14" width="15.7109375" style="1" customWidth="1"/>
    <col min="15" max="15" width="23.5703125" style="838" customWidth="1"/>
    <col min="16" max="16" width="22.140625" style="838" bestFit="1" customWidth="1"/>
    <col min="17" max="17" width="13.28515625" style="11" customWidth="1"/>
    <col min="18" max="19" width="28.7109375" style="1" customWidth="1"/>
    <col min="20" max="20" width="41.28515625" style="1" hidden="1" customWidth="1"/>
    <col min="21" max="21" width="35.5703125" style="2" hidden="1" customWidth="1"/>
    <col min="22" max="22" width="9.140625" style="1" hidden="1" customWidth="1"/>
    <col min="23" max="31" width="10.28515625" style="53" customWidth="1"/>
  </cols>
  <sheetData>
    <row r="1" spans="1:33" s="510" customFormat="1" ht="15.75" thickBot="1" x14ac:dyDescent="0.3">
      <c r="A1" s="560"/>
      <c r="B1" s="560"/>
      <c r="C1" s="560"/>
      <c r="D1" s="560"/>
      <c r="E1" s="560"/>
      <c r="F1" s="561"/>
      <c r="G1" s="561"/>
      <c r="H1" s="560"/>
      <c r="I1" s="560"/>
      <c r="J1" s="560"/>
      <c r="K1" s="560"/>
      <c r="L1" s="560"/>
      <c r="M1" s="560"/>
      <c r="N1" s="560"/>
      <c r="O1" s="825"/>
      <c r="P1" s="825"/>
      <c r="Q1" s="843"/>
      <c r="R1" s="560"/>
      <c r="S1" s="560"/>
      <c r="T1" s="1084" t="s">
        <v>2068</v>
      </c>
      <c r="U1" s="1084" t="s">
        <v>2068</v>
      </c>
      <c r="V1" s="1084" t="s">
        <v>2068</v>
      </c>
      <c r="W1" s="644" t="s">
        <v>1225</v>
      </c>
      <c r="X1" s="508"/>
      <c r="Y1" s="508"/>
      <c r="Z1" s="644" t="s">
        <v>1226</v>
      </c>
      <c r="AA1" s="508"/>
      <c r="AB1" s="508"/>
      <c r="AC1" s="644" t="s">
        <v>1224</v>
      </c>
      <c r="AD1" s="508"/>
      <c r="AE1" s="508"/>
    </row>
    <row r="2" spans="1:33" ht="15" customHeight="1" x14ac:dyDescent="0.25">
      <c r="B2" s="1290" t="s">
        <v>820</v>
      </c>
      <c r="C2" s="1290" t="s">
        <v>0</v>
      </c>
      <c r="D2" s="1325" t="s">
        <v>1</v>
      </c>
      <c r="E2" s="1226" t="s">
        <v>2</v>
      </c>
      <c r="F2" s="1322" t="s">
        <v>1053</v>
      </c>
      <c r="G2" s="662"/>
      <c r="H2" s="1226" t="s">
        <v>362</v>
      </c>
      <c r="I2" s="1324" t="s">
        <v>789</v>
      </c>
      <c r="J2" s="1324"/>
      <c r="K2" s="1324"/>
      <c r="L2" s="1292" t="s">
        <v>1531</v>
      </c>
      <c r="M2" s="1293"/>
      <c r="N2" s="1293"/>
      <c r="O2" s="1293"/>
      <c r="P2" s="1293"/>
      <c r="Q2" s="1294"/>
      <c r="R2" s="1258" t="s">
        <v>3</v>
      </c>
      <c r="S2" s="1258" t="s">
        <v>4</v>
      </c>
      <c r="T2" s="1258" t="s">
        <v>5</v>
      </c>
      <c r="U2" s="1258" t="s">
        <v>6</v>
      </c>
      <c r="V2" s="1285" t="s">
        <v>7</v>
      </c>
      <c r="W2" s="1257" t="s">
        <v>1028</v>
      </c>
      <c r="X2" s="1258"/>
      <c r="Y2" s="1259"/>
      <c r="Z2" s="1257" t="s">
        <v>1028</v>
      </c>
      <c r="AA2" s="1258"/>
      <c r="AB2" s="1259"/>
      <c r="AC2" s="1257" t="s">
        <v>1028</v>
      </c>
      <c r="AD2" s="1258"/>
      <c r="AE2" s="1259"/>
    </row>
    <row r="3" spans="1:33" ht="45.75" customHeight="1" thickBot="1" x14ac:dyDescent="0.3">
      <c r="B3" s="1291"/>
      <c r="C3" s="1291"/>
      <c r="D3" s="1326"/>
      <c r="E3" s="1227"/>
      <c r="F3" s="1323"/>
      <c r="G3" s="663" t="s">
        <v>1221</v>
      </c>
      <c r="H3" s="1227"/>
      <c r="I3" s="470" t="s">
        <v>790</v>
      </c>
      <c r="J3" s="470" t="s">
        <v>791</v>
      </c>
      <c r="K3" s="470" t="s">
        <v>792</v>
      </c>
      <c r="L3" s="852" t="s">
        <v>1512</v>
      </c>
      <c r="M3" s="917" t="s">
        <v>1671</v>
      </c>
      <c r="N3" s="917" t="s">
        <v>1670</v>
      </c>
      <c r="O3" s="852" t="s">
        <v>1510</v>
      </c>
      <c r="P3" s="852" t="s">
        <v>1511</v>
      </c>
      <c r="Q3" s="909" t="s">
        <v>1629</v>
      </c>
      <c r="R3" s="1284"/>
      <c r="S3" s="1284"/>
      <c r="T3" s="1284"/>
      <c r="U3" s="1284"/>
      <c r="V3" s="1286"/>
      <c r="W3" s="610" t="s">
        <v>1153</v>
      </c>
      <c r="X3" s="603" t="s">
        <v>1030</v>
      </c>
      <c r="Y3" s="611" t="s">
        <v>1029</v>
      </c>
      <c r="Z3" s="610" t="s">
        <v>1153</v>
      </c>
      <c r="AA3" s="603" t="s">
        <v>1030</v>
      </c>
      <c r="AB3" s="611" t="s">
        <v>1029</v>
      </c>
      <c r="AC3" s="610" t="s">
        <v>1153</v>
      </c>
      <c r="AD3" s="603" t="s">
        <v>1030</v>
      </c>
      <c r="AE3" s="611" t="s">
        <v>1029</v>
      </c>
    </row>
    <row r="4" spans="1:33" x14ac:dyDescent="0.25">
      <c r="B4" s="1314" t="s">
        <v>368</v>
      </c>
      <c r="C4" s="1281" t="s">
        <v>8</v>
      </c>
      <c r="D4" s="465" t="s">
        <v>355</v>
      </c>
      <c r="E4" s="526" t="s">
        <v>332</v>
      </c>
      <c r="F4" s="1102" t="s">
        <v>906</v>
      </c>
      <c r="G4" s="664" t="s">
        <v>1213</v>
      </c>
      <c r="H4" s="174" t="s">
        <v>363</v>
      </c>
      <c r="I4" s="174" t="s">
        <v>766</v>
      </c>
      <c r="J4" s="174">
        <v>31</v>
      </c>
      <c r="K4" s="802">
        <v>28</v>
      </c>
      <c r="L4" s="96" t="s">
        <v>1513</v>
      </c>
      <c r="M4" s="96" t="s">
        <v>1672</v>
      </c>
      <c r="N4" s="96" t="s">
        <v>1513</v>
      </c>
      <c r="O4" s="826" t="s">
        <v>105</v>
      </c>
      <c r="P4" s="826" t="s">
        <v>102</v>
      </c>
      <c r="Q4" s="8" t="s">
        <v>1518</v>
      </c>
      <c r="R4" s="809">
        <v>4</v>
      </c>
      <c r="S4" s="1147">
        <f>SUM(R4:R11)</f>
        <v>32</v>
      </c>
      <c r="T4" s="1147"/>
      <c r="U4" s="1186">
        <f>FLOOR((S4-0.1)/32,1)+1</f>
        <v>1</v>
      </c>
      <c r="V4" s="1228">
        <f>U4*32-S4</f>
        <v>0</v>
      </c>
      <c r="W4" s="612"/>
      <c r="X4" s="53">
        <v>1</v>
      </c>
      <c r="Y4" s="613"/>
      <c r="Z4" s="612"/>
      <c r="AA4" s="53">
        <v>1</v>
      </c>
      <c r="AB4" s="613"/>
      <c r="AC4" s="612"/>
      <c r="AE4" s="613"/>
    </row>
    <row r="5" spans="1:33" x14ac:dyDescent="0.25">
      <c r="B5" s="1315"/>
      <c r="C5" s="1282"/>
      <c r="D5" s="1215" t="s">
        <v>404</v>
      </c>
      <c r="E5" s="526" t="s">
        <v>356</v>
      </c>
      <c r="F5" s="1210" t="s">
        <v>907</v>
      </c>
      <c r="G5" s="1142" t="s">
        <v>1215</v>
      </c>
      <c r="H5" s="174" t="s">
        <v>363</v>
      </c>
      <c r="I5" s="174" t="s">
        <v>766</v>
      </c>
      <c r="J5" s="174">
        <v>27</v>
      </c>
      <c r="K5" s="802">
        <v>24</v>
      </c>
      <c r="L5" s="96" t="s">
        <v>1513</v>
      </c>
      <c r="M5" s="96" t="s">
        <v>1672</v>
      </c>
      <c r="N5" s="96" t="s">
        <v>1513</v>
      </c>
      <c r="O5" s="826" t="s">
        <v>116</v>
      </c>
      <c r="P5" s="826" t="s">
        <v>114</v>
      </c>
      <c r="Q5" s="96" t="s">
        <v>1516</v>
      </c>
      <c r="R5" s="810">
        <v>4</v>
      </c>
      <c r="S5" s="1184"/>
      <c r="T5" s="1184"/>
      <c r="U5" s="1215">
        <f>FLOOR((S5-0.1)/32,1)+1</f>
        <v>0</v>
      </c>
      <c r="V5" s="1229"/>
      <c r="W5" s="612"/>
      <c r="X5" s="53">
        <v>1</v>
      </c>
      <c r="Y5" s="613"/>
      <c r="Z5" s="612"/>
      <c r="AB5" s="613"/>
      <c r="AC5" s="612"/>
      <c r="AE5" s="613"/>
    </row>
    <row r="6" spans="1:33" x14ac:dyDescent="0.25">
      <c r="B6" s="1315"/>
      <c r="C6" s="1282"/>
      <c r="D6" s="1215"/>
      <c r="E6" s="526" t="s">
        <v>357</v>
      </c>
      <c r="F6" s="1211"/>
      <c r="G6" s="1144"/>
      <c r="H6" s="174" t="s">
        <v>363</v>
      </c>
      <c r="I6" s="174" t="s">
        <v>766</v>
      </c>
      <c r="J6" s="174">
        <v>23</v>
      </c>
      <c r="K6" s="802">
        <v>20</v>
      </c>
      <c r="L6" s="96" t="s">
        <v>1513</v>
      </c>
      <c r="M6" s="96" t="s">
        <v>1672</v>
      </c>
      <c r="N6" s="96" t="s">
        <v>1513</v>
      </c>
      <c r="O6" s="826" t="s">
        <v>116</v>
      </c>
      <c r="P6" s="826" t="s">
        <v>115</v>
      </c>
      <c r="Q6" s="96" t="s">
        <v>2039</v>
      </c>
      <c r="R6" s="810">
        <v>4</v>
      </c>
      <c r="S6" s="1184"/>
      <c r="T6" s="1184"/>
      <c r="U6" s="1215"/>
      <c r="V6" s="1229"/>
      <c r="W6" s="612"/>
      <c r="X6" s="53">
        <v>1</v>
      </c>
      <c r="Y6" s="613"/>
      <c r="Z6" s="612"/>
      <c r="AB6" s="613"/>
      <c r="AC6" s="612"/>
      <c r="AE6" s="613"/>
      <c r="AG6" s="1046" t="s">
        <v>1988</v>
      </c>
    </row>
    <row r="7" spans="1:33" x14ac:dyDescent="0.25">
      <c r="B7" s="1315"/>
      <c r="C7" s="1282"/>
      <c r="D7" s="684" t="s">
        <v>405</v>
      </c>
      <c r="E7" s="526" t="s">
        <v>1329</v>
      </c>
      <c r="F7" s="1103" t="s">
        <v>908</v>
      </c>
      <c r="G7" s="680" t="s">
        <v>1215</v>
      </c>
      <c r="H7" s="174" t="s">
        <v>363</v>
      </c>
      <c r="I7" s="174" t="s">
        <v>766</v>
      </c>
      <c r="J7" s="174">
        <v>15</v>
      </c>
      <c r="K7" s="802">
        <v>12</v>
      </c>
      <c r="L7" s="96" t="s">
        <v>1513</v>
      </c>
      <c r="M7" s="96" t="s">
        <v>1672</v>
      </c>
      <c r="N7" s="96" t="s">
        <v>1513</v>
      </c>
      <c r="O7" s="826" t="s">
        <v>118</v>
      </c>
      <c r="P7" s="826" t="s">
        <v>117</v>
      </c>
      <c r="Q7" s="96" t="s">
        <v>1516</v>
      </c>
      <c r="R7" s="810">
        <v>4</v>
      </c>
      <c r="S7" s="1184"/>
      <c r="T7" s="1184"/>
      <c r="U7" s="1215"/>
      <c r="V7" s="1229"/>
      <c r="W7" s="612"/>
      <c r="X7" s="53">
        <v>1</v>
      </c>
      <c r="Y7" s="613"/>
      <c r="Z7" s="612"/>
      <c r="AB7" s="613"/>
      <c r="AC7" s="612"/>
      <c r="AE7" s="613"/>
      <c r="AG7" s="494" t="s">
        <v>369</v>
      </c>
    </row>
    <row r="8" spans="1:33" x14ac:dyDescent="0.25">
      <c r="B8" s="1315"/>
      <c r="C8" s="1282"/>
      <c r="D8" s="466" t="s">
        <v>11</v>
      </c>
      <c r="E8" s="526" t="s">
        <v>12</v>
      </c>
      <c r="F8" s="515" t="s">
        <v>909</v>
      </c>
      <c r="G8" s="664" t="s">
        <v>1214</v>
      </c>
      <c r="H8" s="174" t="s">
        <v>363</v>
      </c>
      <c r="I8" s="174" t="s">
        <v>766</v>
      </c>
      <c r="J8" s="174">
        <v>7</v>
      </c>
      <c r="K8" s="802">
        <v>4</v>
      </c>
      <c r="L8" s="96" t="s">
        <v>1513</v>
      </c>
      <c r="M8" s="96" t="s">
        <v>1672</v>
      </c>
      <c r="N8" s="96" t="s">
        <v>1513</v>
      </c>
      <c r="O8" s="826" t="s">
        <v>105</v>
      </c>
      <c r="P8" s="826" t="s">
        <v>103</v>
      </c>
      <c r="Q8" s="8" t="s">
        <v>1518</v>
      </c>
      <c r="R8" s="810">
        <v>4</v>
      </c>
      <c r="S8" s="1184"/>
      <c r="T8" s="1184"/>
      <c r="U8" s="1215"/>
      <c r="V8" s="1229"/>
      <c r="W8" s="612"/>
      <c r="X8" s="53">
        <v>1</v>
      </c>
      <c r="Y8" s="613"/>
      <c r="Z8" s="612"/>
      <c r="AA8" s="53">
        <v>1</v>
      </c>
      <c r="AB8" s="613"/>
      <c r="AC8" s="612"/>
      <c r="AE8" s="613"/>
      <c r="AG8" s="1050" t="s">
        <v>368</v>
      </c>
    </row>
    <row r="9" spans="1:33" x14ac:dyDescent="0.25">
      <c r="B9" s="1315"/>
      <c r="C9" s="1282"/>
      <c r="D9" s="1215" t="s">
        <v>13</v>
      </c>
      <c r="E9" s="526" t="s">
        <v>14</v>
      </c>
      <c r="F9" s="1210" t="s">
        <v>910</v>
      </c>
      <c r="G9" s="1142" t="s">
        <v>1214</v>
      </c>
      <c r="H9" s="174" t="s">
        <v>363</v>
      </c>
      <c r="I9" s="174" t="s">
        <v>766</v>
      </c>
      <c r="J9" s="174">
        <v>3</v>
      </c>
      <c r="K9" s="802">
        <v>0</v>
      </c>
      <c r="L9" s="96" t="s">
        <v>1513</v>
      </c>
      <c r="M9" s="96" t="s">
        <v>1672</v>
      </c>
      <c r="N9" s="96" t="s">
        <v>1513</v>
      </c>
      <c r="O9" s="826" t="s">
        <v>121</v>
      </c>
      <c r="P9" s="826" t="s">
        <v>119</v>
      </c>
      <c r="Q9" s="96" t="s">
        <v>1516</v>
      </c>
      <c r="R9" s="810">
        <v>4</v>
      </c>
      <c r="S9" s="1184"/>
      <c r="T9" s="1184"/>
      <c r="U9" s="1215"/>
      <c r="V9" s="1229"/>
      <c r="W9" s="612"/>
      <c r="X9" s="53">
        <v>1</v>
      </c>
      <c r="Y9" s="613"/>
      <c r="Z9" s="612"/>
      <c r="AB9" s="613"/>
      <c r="AC9" s="612"/>
      <c r="AE9" s="613"/>
    </row>
    <row r="10" spans="1:33" x14ac:dyDescent="0.25">
      <c r="B10" s="1315"/>
      <c r="C10" s="1282"/>
      <c r="D10" s="1215"/>
      <c r="E10" s="526" t="s">
        <v>15</v>
      </c>
      <c r="F10" s="1211"/>
      <c r="G10" s="1144"/>
      <c r="H10" s="174" t="s">
        <v>363</v>
      </c>
      <c r="I10" s="174" t="s">
        <v>767</v>
      </c>
      <c r="J10" s="174">
        <v>16</v>
      </c>
      <c r="K10" s="802">
        <v>13</v>
      </c>
      <c r="L10" s="96" t="s">
        <v>1513</v>
      </c>
      <c r="M10" s="96" t="s">
        <v>1672</v>
      </c>
      <c r="N10" s="96" t="s">
        <v>1513</v>
      </c>
      <c r="O10" s="826" t="s">
        <v>121</v>
      </c>
      <c r="P10" s="826" t="s">
        <v>120</v>
      </c>
      <c r="Q10" s="96" t="s">
        <v>2039</v>
      </c>
      <c r="R10" s="810">
        <v>4</v>
      </c>
      <c r="S10" s="1184"/>
      <c r="T10" s="1184"/>
      <c r="U10" s="1215"/>
      <c r="V10" s="1229"/>
      <c r="W10" s="612"/>
      <c r="X10" s="53">
        <v>1</v>
      </c>
      <c r="Y10" s="613"/>
      <c r="Z10" s="612"/>
      <c r="AB10" s="613"/>
      <c r="AC10" s="612"/>
      <c r="AE10" s="613"/>
    </row>
    <row r="11" spans="1:33" x14ac:dyDescent="0.25">
      <c r="B11" s="1315"/>
      <c r="C11" s="1282"/>
      <c r="D11" s="466" t="s">
        <v>16</v>
      </c>
      <c r="E11" s="526" t="s">
        <v>1348</v>
      </c>
      <c r="F11" s="515" t="s">
        <v>911</v>
      </c>
      <c r="G11" s="664" t="s">
        <v>1214</v>
      </c>
      <c r="H11" s="174" t="s">
        <v>363</v>
      </c>
      <c r="I11" s="174" t="s">
        <v>767</v>
      </c>
      <c r="J11" s="174">
        <v>12</v>
      </c>
      <c r="K11" s="802">
        <v>9</v>
      </c>
      <c r="L11" s="96" t="s">
        <v>1513</v>
      </c>
      <c r="M11" s="96" t="s">
        <v>1672</v>
      </c>
      <c r="N11" s="96" t="s">
        <v>1513</v>
      </c>
      <c r="O11" s="826" t="s">
        <v>105</v>
      </c>
      <c r="P11" s="826" t="s">
        <v>104</v>
      </c>
      <c r="Q11" s="96" t="s">
        <v>1517</v>
      </c>
      <c r="R11" s="810">
        <v>4</v>
      </c>
      <c r="S11" s="1184"/>
      <c r="T11" s="1184"/>
      <c r="U11" s="1215"/>
      <c r="V11" s="1229"/>
      <c r="W11" s="612"/>
      <c r="X11" s="53">
        <v>1</v>
      </c>
      <c r="Y11" s="613"/>
      <c r="Z11" s="612"/>
      <c r="AB11" s="613"/>
      <c r="AC11" s="612"/>
      <c r="AE11" s="613"/>
    </row>
    <row r="12" spans="1:33" x14ac:dyDescent="0.25">
      <c r="B12" s="343"/>
      <c r="C12" s="343"/>
      <c r="D12" s="601"/>
      <c r="E12" s="528"/>
      <c r="F12" s="516"/>
      <c r="G12" s="665"/>
      <c r="H12" s="141"/>
      <c r="I12" s="141"/>
      <c r="J12" s="141"/>
      <c r="K12" s="141"/>
      <c r="L12" s="601"/>
      <c r="M12" s="601"/>
      <c r="N12" s="601"/>
      <c r="O12" s="828"/>
      <c r="P12" s="828"/>
      <c r="Q12" s="844"/>
      <c r="R12" s="141"/>
      <c r="S12" s="141"/>
      <c r="T12" s="141"/>
      <c r="U12" s="142"/>
      <c r="V12" s="141"/>
      <c r="W12" s="3"/>
      <c r="X12" s="12"/>
      <c r="Y12" s="614"/>
      <c r="Z12" s="3"/>
      <c r="AA12" s="12"/>
      <c r="AB12" s="614"/>
      <c r="AC12" s="3"/>
      <c r="AD12" s="12"/>
      <c r="AE12" s="614"/>
    </row>
    <row r="13" spans="1:33" x14ac:dyDescent="0.25">
      <c r="B13" s="363" t="s">
        <v>368</v>
      </c>
      <c r="C13" s="138" t="s">
        <v>17</v>
      </c>
      <c r="D13" s="599"/>
      <c r="E13" s="600" t="s">
        <v>74</v>
      </c>
      <c r="F13" s="517"/>
      <c r="G13" s="679" t="s">
        <v>49</v>
      </c>
      <c r="H13" s="174" t="s">
        <v>874</v>
      </c>
      <c r="I13" s="174"/>
      <c r="J13" s="174"/>
      <c r="K13" s="802"/>
      <c r="L13" s="96"/>
      <c r="M13" s="96"/>
      <c r="N13" s="96"/>
      <c r="O13" s="827" t="s">
        <v>72</v>
      </c>
      <c r="P13" s="827"/>
      <c r="Q13" s="96"/>
      <c r="R13" s="811">
        <v>0</v>
      </c>
      <c r="S13" s="140">
        <f>SUM(R13:R13)</f>
        <v>0</v>
      </c>
      <c r="T13" s="140" t="s">
        <v>287</v>
      </c>
      <c r="U13" s="139">
        <f>FLOOR((S13-0.1)/32,1)+1</f>
        <v>0</v>
      </c>
      <c r="V13" s="607">
        <f>U13*32-S13</f>
        <v>0</v>
      </c>
      <c r="W13" s="615"/>
      <c r="X13" s="481"/>
      <c r="Y13" s="616"/>
      <c r="Z13" s="615"/>
      <c r="AA13" s="481"/>
      <c r="AB13" s="616"/>
      <c r="AC13" s="615"/>
      <c r="AD13" s="481"/>
      <c r="AE13" s="616"/>
    </row>
    <row r="14" spans="1:33" x14ac:dyDescent="0.25">
      <c r="B14" s="3"/>
      <c r="C14" s="3"/>
      <c r="D14" s="12"/>
      <c r="E14" s="528"/>
      <c r="F14" s="547"/>
      <c r="G14" s="666"/>
      <c r="H14" s="12"/>
      <c r="I14" s="12"/>
      <c r="J14" s="12"/>
      <c r="K14" s="12"/>
      <c r="L14" s="601"/>
      <c r="M14" s="601"/>
      <c r="N14" s="601"/>
      <c r="O14" s="828"/>
      <c r="P14" s="828"/>
      <c r="Q14" s="844"/>
      <c r="R14" s="12"/>
      <c r="S14" s="12"/>
      <c r="T14" s="12"/>
      <c r="U14" s="548"/>
      <c r="V14" s="12"/>
      <c r="W14" s="3"/>
      <c r="X14" s="12"/>
      <c r="Y14" s="614"/>
      <c r="Z14" s="3"/>
      <c r="AA14" s="12"/>
      <c r="AB14" s="614"/>
      <c r="AC14" s="3"/>
      <c r="AD14" s="12"/>
      <c r="AE14" s="614"/>
    </row>
    <row r="15" spans="1:33" x14ac:dyDescent="0.25">
      <c r="B15" s="1178" t="s">
        <v>368</v>
      </c>
      <c r="C15" s="1181" t="s">
        <v>18</v>
      </c>
      <c r="D15" s="464" t="s">
        <v>19</v>
      </c>
      <c r="E15" s="527" t="s">
        <v>182</v>
      </c>
      <c r="F15" s="518" t="s">
        <v>912</v>
      </c>
      <c r="G15" s="4" t="s">
        <v>1214</v>
      </c>
      <c r="H15" s="96" t="s">
        <v>363</v>
      </c>
      <c r="I15" s="96" t="s">
        <v>750</v>
      </c>
      <c r="J15" s="96">
        <v>23</v>
      </c>
      <c r="K15" s="803">
        <v>20</v>
      </c>
      <c r="L15" s="96" t="s">
        <v>18</v>
      </c>
      <c r="M15" s="96" t="s">
        <v>1672</v>
      </c>
      <c r="N15" s="96" t="s">
        <v>18</v>
      </c>
      <c r="O15" s="826" t="s">
        <v>131</v>
      </c>
      <c r="P15" s="826" t="s">
        <v>99</v>
      </c>
      <c r="Q15" s="96" t="s">
        <v>1517</v>
      </c>
      <c r="R15" s="1019">
        <v>4</v>
      </c>
      <c r="S15" s="1184">
        <f>SUM(R15:R39)</f>
        <v>108</v>
      </c>
      <c r="T15" s="991"/>
      <c r="U15" s="1212">
        <f>FLOOR((S15-0.1)/32,1)+1</f>
        <v>4</v>
      </c>
      <c r="V15" s="1246">
        <f>U15*32-S15</f>
        <v>20</v>
      </c>
      <c r="W15" s="612"/>
      <c r="X15" s="53">
        <v>1</v>
      </c>
      <c r="Y15" s="613"/>
      <c r="Z15" s="612"/>
      <c r="AB15" s="613"/>
      <c r="AC15" s="612"/>
      <c r="AE15" s="613"/>
    </row>
    <row r="16" spans="1:33" x14ac:dyDescent="0.25">
      <c r="B16" s="1179"/>
      <c r="C16" s="1182"/>
      <c r="D16" s="1215" t="s">
        <v>20</v>
      </c>
      <c r="E16" s="527" t="s">
        <v>200</v>
      </c>
      <c r="F16" s="1164" t="s">
        <v>913</v>
      </c>
      <c r="G16" s="1287" t="s">
        <v>1217</v>
      </c>
      <c r="H16" s="174" t="s">
        <v>363</v>
      </c>
      <c r="I16" s="174" t="s">
        <v>750</v>
      </c>
      <c r="J16" s="174">
        <v>19</v>
      </c>
      <c r="K16" s="802">
        <v>15</v>
      </c>
      <c r="L16" s="96" t="s">
        <v>18</v>
      </c>
      <c r="M16" s="96" t="s">
        <v>1672</v>
      </c>
      <c r="N16" s="96" t="s">
        <v>18</v>
      </c>
      <c r="O16" s="826" t="s">
        <v>126</v>
      </c>
      <c r="P16" s="826" t="s">
        <v>127</v>
      </c>
      <c r="Q16" s="96" t="s">
        <v>1515</v>
      </c>
      <c r="R16" s="1019">
        <v>5</v>
      </c>
      <c r="S16" s="1184"/>
      <c r="T16" s="1283"/>
      <c r="U16" s="1212"/>
      <c r="V16" s="1248"/>
      <c r="W16" s="612"/>
      <c r="X16" s="53">
        <v>1</v>
      </c>
      <c r="Y16" s="613"/>
      <c r="Z16" s="612"/>
      <c r="AB16" s="613"/>
      <c r="AC16" s="612"/>
      <c r="AE16" s="613"/>
    </row>
    <row r="17" spans="1:31" x14ac:dyDescent="0.25">
      <c r="B17" s="1179"/>
      <c r="C17" s="1182"/>
      <c r="D17" s="1215"/>
      <c r="E17" s="527" t="s">
        <v>201</v>
      </c>
      <c r="F17" s="1236"/>
      <c r="G17" s="1288"/>
      <c r="H17" s="174" t="s">
        <v>363</v>
      </c>
      <c r="I17" s="174" t="s">
        <v>750</v>
      </c>
      <c r="J17" s="174">
        <v>14</v>
      </c>
      <c r="K17" s="802">
        <v>10</v>
      </c>
      <c r="L17" s="96" t="s">
        <v>18</v>
      </c>
      <c r="M17" s="96" t="s">
        <v>1672</v>
      </c>
      <c r="N17" s="96" t="s">
        <v>18</v>
      </c>
      <c r="O17" s="826" t="s">
        <v>126</v>
      </c>
      <c r="P17" s="826" t="s">
        <v>128</v>
      </c>
      <c r="Q17" s="96" t="s">
        <v>1515</v>
      </c>
      <c r="R17" s="1019">
        <v>5</v>
      </c>
      <c r="S17" s="1184"/>
      <c r="T17" s="1283"/>
      <c r="U17" s="1212"/>
      <c r="V17" s="1248"/>
      <c r="W17" s="612"/>
      <c r="X17" s="53">
        <v>1</v>
      </c>
      <c r="Y17" s="613"/>
      <c r="Z17" s="612"/>
      <c r="AB17" s="613"/>
      <c r="AC17" s="612"/>
      <c r="AE17" s="613"/>
    </row>
    <row r="18" spans="1:31" x14ac:dyDescent="0.25">
      <c r="B18" s="1179"/>
      <c r="C18" s="1182"/>
      <c r="D18" s="1215"/>
      <c r="E18" s="527" t="s">
        <v>202</v>
      </c>
      <c r="F18" s="1236"/>
      <c r="G18" s="1288"/>
      <c r="H18" s="174" t="s">
        <v>363</v>
      </c>
      <c r="I18" s="174" t="s">
        <v>750</v>
      </c>
      <c r="J18" s="174">
        <v>9</v>
      </c>
      <c r="K18" s="802">
        <v>5</v>
      </c>
      <c r="L18" s="96" t="s">
        <v>18</v>
      </c>
      <c r="M18" s="96" t="s">
        <v>1672</v>
      </c>
      <c r="N18" s="96" t="s">
        <v>18</v>
      </c>
      <c r="O18" s="826" t="s">
        <v>126</v>
      </c>
      <c r="P18" s="826" t="s">
        <v>129</v>
      </c>
      <c r="Q18" s="96" t="s">
        <v>1515</v>
      </c>
      <c r="R18" s="1019">
        <v>5</v>
      </c>
      <c r="S18" s="1184"/>
      <c r="T18" s="1283"/>
      <c r="U18" s="1212"/>
      <c r="V18" s="1248"/>
      <c r="W18" s="612"/>
      <c r="X18" s="53">
        <v>1</v>
      </c>
      <c r="Y18" s="613"/>
      <c r="Z18" s="612"/>
      <c r="AB18" s="613"/>
      <c r="AC18" s="612"/>
      <c r="AE18" s="613"/>
    </row>
    <row r="19" spans="1:31" x14ac:dyDescent="0.25">
      <c r="B19" s="1179"/>
      <c r="C19" s="1182"/>
      <c r="D19" s="1215"/>
      <c r="E19" s="527" t="s">
        <v>203</v>
      </c>
      <c r="F19" s="1165"/>
      <c r="G19" s="1289"/>
      <c r="H19" s="174" t="s">
        <v>363</v>
      </c>
      <c r="I19" s="174" t="s">
        <v>750</v>
      </c>
      <c r="J19" s="174">
        <v>4</v>
      </c>
      <c r="K19" s="802">
        <v>0</v>
      </c>
      <c r="L19" s="96" t="s">
        <v>18</v>
      </c>
      <c r="M19" s="96" t="s">
        <v>1672</v>
      </c>
      <c r="N19" s="96" t="s">
        <v>18</v>
      </c>
      <c r="O19" s="826" t="s">
        <v>126</v>
      </c>
      <c r="P19" s="826" t="s">
        <v>130</v>
      </c>
      <c r="Q19" s="96" t="s">
        <v>1515</v>
      </c>
      <c r="R19" s="1019">
        <v>5</v>
      </c>
      <c r="S19" s="1184"/>
      <c r="T19" s="1283"/>
      <c r="U19" s="1212"/>
      <c r="V19" s="1248"/>
      <c r="W19" s="612"/>
      <c r="X19" s="53">
        <v>1</v>
      </c>
      <c r="Y19" s="613"/>
      <c r="Z19" s="612"/>
      <c r="AB19" s="613"/>
      <c r="AC19" s="612"/>
      <c r="AE19" s="613"/>
    </row>
    <row r="20" spans="1:31" x14ac:dyDescent="0.25">
      <c r="B20" s="1179"/>
      <c r="C20" s="1182"/>
      <c r="D20" s="1185" t="s">
        <v>21</v>
      </c>
      <c r="E20" s="968" t="s">
        <v>971</v>
      </c>
      <c r="F20" s="1164" t="s">
        <v>914</v>
      </c>
      <c r="G20" s="1287" t="s">
        <v>1218</v>
      </c>
      <c r="H20" s="174" t="s">
        <v>363</v>
      </c>
      <c r="I20" s="174" t="s">
        <v>751</v>
      </c>
      <c r="J20" s="174">
        <v>31</v>
      </c>
      <c r="K20" s="802">
        <v>24</v>
      </c>
      <c r="L20" s="96" t="s">
        <v>18</v>
      </c>
      <c r="M20" s="96" t="s">
        <v>1672</v>
      </c>
      <c r="N20" s="96" t="s">
        <v>18</v>
      </c>
      <c r="O20" s="827" t="s">
        <v>72</v>
      </c>
      <c r="P20" s="827"/>
      <c r="Q20" s="96" t="s">
        <v>1516</v>
      </c>
      <c r="R20" s="1019">
        <v>8</v>
      </c>
      <c r="S20" s="1184"/>
      <c r="T20" s="1269"/>
      <c r="U20" s="1212"/>
      <c r="V20" s="1248"/>
      <c r="W20" s="612"/>
      <c r="Y20" s="617">
        <v>1</v>
      </c>
      <c r="Z20" s="612"/>
      <c r="AB20" s="617"/>
      <c r="AC20" s="612"/>
      <c r="AE20" s="617"/>
    </row>
    <row r="21" spans="1:31" s="949" customFormat="1" x14ac:dyDescent="0.25">
      <c r="A21" s="971"/>
      <c r="B21" s="1179"/>
      <c r="C21" s="1182"/>
      <c r="D21" s="1235"/>
      <c r="E21" s="968" t="s">
        <v>1871</v>
      </c>
      <c r="F21" s="1236"/>
      <c r="G21" s="1288"/>
      <c r="H21" s="961" t="s">
        <v>363</v>
      </c>
      <c r="I21" s="957" t="s">
        <v>750</v>
      </c>
      <c r="J21" s="961">
        <v>25</v>
      </c>
      <c r="K21" s="977">
        <v>24</v>
      </c>
      <c r="L21" s="957" t="s">
        <v>18</v>
      </c>
      <c r="M21" s="957" t="s">
        <v>1672</v>
      </c>
      <c r="N21" s="957" t="s">
        <v>18</v>
      </c>
      <c r="O21" s="981" t="s">
        <v>72</v>
      </c>
      <c r="P21" s="981"/>
      <c r="Q21" s="957" t="s">
        <v>1516</v>
      </c>
      <c r="R21" s="1019">
        <v>2</v>
      </c>
      <c r="S21" s="1184"/>
      <c r="T21" s="1269"/>
      <c r="U21" s="1212"/>
      <c r="V21" s="1248"/>
      <c r="W21" s="973"/>
      <c r="X21" s="53"/>
      <c r="Y21" s="1245">
        <v>1</v>
      </c>
      <c r="Z21" s="973"/>
      <c r="AA21" s="53"/>
      <c r="AB21" s="617"/>
      <c r="AC21" s="973"/>
      <c r="AD21" s="53"/>
      <c r="AE21" s="617"/>
    </row>
    <row r="22" spans="1:31" x14ac:dyDescent="0.25">
      <c r="B22" s="1179"/>
      <c r="C22" s="1182"/>
      <c r="D22" s="1235"/>
      <c r="E22" s="968" t="s">
        <v>970</v>
      </c>
      <c r="F22" s="1236"/>
      <c r="G22" s="1288"/>
      <c r="H22" s="174" t="s">
        <v>363</v>
      </c>
      <c r="I22" s="174" t="s">
        <v>751</v>
      </c>
      <c r="J22" s="174">
        <v>23</v>
      </c>
      <c r="K22" s="802">
        <v>19</v>
      </c>
      <c r="L22" s="96" t="s">
        <v>18</v>
      </c>
      <c r="M22" s="96" t="s">
        <v>1672</v>
      </c>
      <c r="N22" s="96" t="s">
        <v>18</v>
      </c>
      <c r="O22" s="827" t="s">
        <v>72</v>
      </c>
      <c r="P22" s="827"/>
      <c r="Q22" s="96" t="s">
        <v>1516</v>
      </c>
      <c r="R22" s="1019">
        <v>5</v>
      </c>
      <c r="S22" s="1184"/>
      <c r="T22" s="1269"/>
      <c r="U22" s="1212"/>
      <c r="V22" s="1248"/>
      <c r="W22" s="612"/>
      <c r="Y22" s="1245"/>
      <c r="Z22" s="612"/>
      <c r="AB22" s="617"/>
      <c r="AC22" s="612"/>
      <c r="AE22" s="617"/>
    </row>
    <row r="23" spans="1:31" s="949" customFormat="1" x14ac:dyDescent="0.25">
      <c r="A23" s="971"/>
      <c r="B23" s="1179"/>
      <c r="C23" s="1182"/>
      <c r="D23" s="1235"/>
      <c r="E23" s="968" t="s">
        <v>2045</v>
      </c>
      <c r="F23" s="1236"/>
      <c r="G23" s="1288"/>
      <c r="H23" s="1069" t="s">
        <v>363</v>
      </c>
      <c r="I23" s="1069">
        <v>304</v>
      </c>
      <c r="J23" s="1069">
        <v>0</v>
      </c>
      <c r="K23" s="977">
        <v>0</v>
      </c>
      <c r="L23" s="957" t="s">
        <v>18</v>
      </c>
      <c r="M23" s="957" t="s">
        <v>1672</v>
      </c>
      <c r="N23" s="957" t="s">
        <v>18</v>
      </c>
      <c r="O23" s="981" t="s">
        <v>72</v>
      </c>
      <c r="P23" s="981"/>
      <c r="Q23" s="957" t="s">
        <v>1516</v>
      </c>
      <c r="R23" s="1019">
        <v>1</v>
      </c>
      <c r="S23" s="1184"/>
      <c r="T23" s="1269"/>
      <c r="U23" s="1212"/>
      <c r="V23" s="1248"/>
      <c r="W23" s="973"/>
      <c r="X23" s="53"/>
      <c r="Y23" s="1245">
        <v>1</v>
      </c>
      <c r="Z23" s="973"/>
      <c r="AA23" s="53"/>
      <c r="AB23" s="617"/>
      <c r="AC23" s="973"/>
      <c r="AD23" s="53"/>
      <c r="AE23" s="617"/>
    </row>
    <row r="24" spans="1:31" x14ac:dyDescent="0.25">
      <c r="B24" s="1179"/>
      <c r="C24" s="1182"/>
      <c r="D24" s="1235"/>
      <c r="E24" s="968" t="s">
        <v>972</v>
      </c>
      <c r="F24" s="1236"/>
      <c r="G24" s="1288"/>
      <c r="H24" s="174" t="s">
        <v>363</v>
      </c>
      <c r="I24" s="174" t="s">
        <v>751</v>
      </c>
      <c r="J24" s="174">
        <v>18</v>
      </c>
      <c r="K24" s="802">
        <v>11</v>
      </c>
      <c r="L24" s="96" t="s">
        <v>18</v>
      </c>
      <c r="M24" s="96" t="s">
        <v>1672</v>
      </c>
      <c r="N24" s="96" t="s">
        <v>18</v>
      </c>
      <c r="O24" s="827" t="s">
        <v>72</v>
      </c>
      <c r="P24" s="827"/>
      <c r="Q24" s="96" t="s">
        <v>1516</v>
      </c>
      <c r="R24" s="1019">
        <v>8</v>
      </c>
      <c r="S24" s="1184"/>
      <c r="T24" s="1269"/>
      <c r="U24" s="1212"/>
      <c r="V24" s="1248"/>
      <c r="W24" s="612"/>
      <c r="Y24" s="1245"/>
      <c r="Z24" s="612"/>
      <c r="AB24" s="617"/>
      <c r="AC24" s="612"/>
      <c r="AE24" s="617"/>
    </row>
    <row r="25" spans="1:31" s="949" customFormat="1" x14ac:dyDescent="0.25">
      <c r="A25" s="971"/>
      <c r="B25" s="1179"/>
      <c r="C25" s="1182"/>
      <c r="D25" s="1235"/>
      <c r="E25" s="968" t="s">
        <v>1872</v>
      </c>
      <c r="F25" s="1236"/>
      <c r="G25" s="1288"/>
      <c r="H25" s="961" t="s">
        <v>363</v>
      </c>
      <c r="I25" s="957" t="s">
        <v>750</v>
      </c>
      <c r="J25" s="961">
        <v>27</v>
      </c>
      <c r="K25" s="977">
        <v>26</v>
      </c>
      <c r="L25" s="957" t="s">
        <v>18</v>
      </c>
      <c r="M25" s="957" t="s">
        <v>1672</v>
      </c>
      <c r="N25" s="957" t="s">
        <v>18</v>
      </c>
      <c r="O25" s="981" t="s">
        <v>72</v>
      </c>
      <c r="P25" s="981"/>
      <c r="Q25" s="957" t="s">
        <v>1516</v>
      </c>
      <c r="R25" s="1019">
        <v>2</v>
      </c>
      <c r="S25" s="1184"/>
      <c r="T25" s="1269"/>
      <c r="U25" s="1212"/>
      <c r="V25" s="1248"/>
      <c r="W25" s="973"/>
      <c r="X25" s="53"/>
      <c r="Y25" s="1245">
        <v>1</v>
      </c>
      <c r="Z25" s="973"/>
      <c r="AA25" s="53"/>
      <c r="AB25" s="617"/>
      <c r="AC25" s="973"/>
      <c r="AD25" s="53"/>
      <c r="AE25" s="617"/>
    </row>
    <row r="26" spans="1:31" x14ac:dyDescent="0.25">
      <c r="B26" s="1179"/>
      <c r="C26" s="1182"/>
      <c r="D26" s="1235"/>
      <c r="E26" s="968" t="s">
        <v>975</v>
      </c>
      <c r="F26" s="1165"/>
      <c r="G26" s="1289"/>
      <c r="H26" s="174" t="s">
        <v>363</v>
      </c>
      <c r="I26" s="174" t="s">
        <v>751</v>
      </c>
      <c r="J26" s="174">
        <v>10</v>
      </c>
      <c r="K26" s="802">
        <v>6</v>
      </c>
      <c r="L26" s="96" t="s">
        <v>18</v>
      </c>
      <c r="M26" s="96" t="s">
        <v>1672</v>
      </c>
      <c r="N26" s="96" t="s">
        <v>18</v>
      </c>
      <c r="O26" s="827" t="s">
        <v>72</v>
      </c>
      <c r="P26" s="827"/>
      <c r="Q26" s="96" t="s">
        <v>1516</v>
      </c>
      <c r="R26" s="1019">
        <v>5</v>
      </c>
      <c r="S26" s="1184"/>
      <c r="T26" s="1269"/>
      <c r="U26" s="1212"/>
      <c r="V26" s="1248"/>
      <c r="W26" s="612"/>
      <c r="Y26" s="1245"/>
      <c r="Z26" s="612"/>
      <c r="AB26" s="617"/>
      <c r="AC26" s="612"/>
      <c r="AE26" s="617"/>
    </row>
    <row r="27" spans="1:31" x14ac:dyDescent="0.25">
      <c r="B27" s="1179"/>
      <c r="C27" s="1182"/>
      <c r="D27" s="1235"/>
      <c r="E27" s="968" t="s">
        <v>183</v>
      </c>
      <c r="F27" s="1164" t="s">
        <v>928</v>
      </c>
      <c r="G27" s="1252" t="s">
        <v>49</v>
      </c>
      <c r="H27" s="174" t="s">
        <v>363</v>
      </c>
      <c r="I27" s="174" t="s">
        <v>751</v>
      </c>
      <c r="J27" s="174">
        <v>5</v>
      </c>
      <c r="K27" s="802">
        <v>3</v>
      </c>
      <c r="L27" s="96" t="s">
        <v>18</v>
      </c>
      <c r="M27" s="96" t="s">
        <v>1672</v>
      </c>
      <c r="N27" s="96" t="s">
        <v>18</v>
      </c>
      <c r="O27" s="826" t="s">
        <v>154</v>
      </c>
      <c r="P27" s="826" t="s">
        <v>152</v>
      </c>
      <c r="Q27" s="200" t="s">
        <v>1528</v>
      </c>
      <c r="R27" s="1019">
        <v>3</v>
      </c>
      <c r="S27" s="1184"/>
      <c r="T27" s="1269"/>
      <c r="U27" s="1212"/>
      <c r="V27" s="1248"/>
      <c r="W27" s="612">
        <v>1</v>
      </c>
      <c r="Y27" s="617"/>
      <c r="Z27" s="612">
        <v>1</v>
      </c>
      <c r="AB27" s="617"/>
      <c r="AC27" s="612"/>
      <c r="AE27" s="617"/>
    </row>
    <row r="28" spans="1:31" x14ac:dyDescent="0.25">
      <c r="B28" s="1179"/>
      <c r="C28" s="1182"/>
      <c r="D28" s="1235"/>
      <c r="E28" s="968" t="s">
        <v>184</v>
      </c>
      <c r="F28" s="1236"/>
      <c r="G28" s="1253"/>
      <c r="H28" s="174" t="s">
        <v>363</v>
      </c>
      <c r="I28" s="174" t="s">
        <v>751</v>
      </c>
      <c r="J28" s="174">
        <v>2</v>
      </c>
      <c r="K28" s="802">
        <v>0</v>
      </c>
      <c r="L28" s="96" t="s">
        <v>18</v>
      </c>
      <c r="M28" s="96" t="s">
        <v>1672</v>
      </c>
      <c r="N28" s="96" t="s">
        <v>18</v>
      </c>
      <c r="O28" s="826" t="s">
        <v>154</v>
      </c>
      <c r="P28" s="826" t="s">
        <v>153</v>
      </c>
      <c r="Q28" s="200" t="s">
        <v>1527</v>
      </c>
      <c r="R28" s="1019">
        <v>3</v>
      </c>
      <c r="S28" s="1184"/>
      <c r="T28" s="1269"/>
      <c r="U28" s="1212"/>
      <c r="V28" s="1248"/>
      <c r="W28" s="612">
        <v>1</v>
      </c>
      <c r="Y28" s="617"/>
      <c r="Z28" s="612">
        <v>1</v>
      </c>
      <c r="AB28" s="617"/>
      <c r="AC28" s="612"/>
      <c r="AE28" s="617"/>
    </row>
    <row r="29" spans="1:31" s="949" customFormat="1" x14ac:dyDescent="0.25">
      <c r="A29" s="971"/>
      <c r="B29" s="1179"/>
      <c r="C29" s="1182"/>
      <c r="D29" s="1235"/>
      <c r="E29" s="968" t="s">
        <v>1994</v>
      </c>
      <c r="F29" s="1165"/>
      <c r="G29" s="994"/>
      <c r="H29" s="995" t="s">
        <v>363</v>
      </c>
      <c r="I29" s="995">
        <v>338</v>
      </c>
      <c r="J29" s="1023">
        <v>23</v>
      </c>
      <c r="K29" s="1024">
        <v>19</v>
      </c>
      <c r="L29" s="957" t="s">
        <v>18</v>
      </c>
      <c r="M29" s="957" t="s">
        <v>1672</v>
      </c>
      <c r="N29" s="957" t="s">
        <v>18</v>
      </c>
      <c r="O29" s="826" t="s">
        <v>1933</v>
      </c>
      <c r="P29" s="826" t="s">
        <v>1934</v>
      </c>
      <c r="Q29" s="203" t="s">
        <v>1528</v>
      </c>
      <c r="R29" s="1019">
        <v>5</v>
      </c>
      <c r="S29" s="1184"/>
      <c r="T29" s="991" t="s">
        <v>1936</v>
      </c>
      <c r="U29" s="1212"/>
      <c r="V29" s="1248"/>
      <c r="W29" s="973">
        <v>1</v>
      </c>
      <c r="X29" s="53"/>
      <c r="Y29" s="617"/>
      <c r="Z29" s="973">
        <v>1</v>
      </c>
      <c r="AA29" s="53"/>
      <c r="AB29" s="617"/>
      <c r="AC29" s="973"/>
      <c r="AD29" s="53"/>
      <c r="AE29" s="617"/>
    </row>
    <row r="30" spans="1:31" x14ac:dyDescent="0.25">
      <c r="B30" s="1179"/>
      <c r="C30" s="1182"/>
      <c r="D30" s="1235"/>
      <c r="E30" s="968" t="s">
        <v>973</v>
      </c>
      <c r="F30" s="1164" t="s">
        <v>914</v>
      </c>
      <c r="G30" s="1287" t="s">
        <v>1218</v>
      </c>
      <c r="H30" s="174" t="s">
        <v>363</v>
      </c>
      <c r="I30" s="174" t="s">
        <v>752</v>
      </c>
      <c r="J30" s="174">
        <v>31</v>
      </c>
      <c r="K30" s="802">
        <v>24</v>
      </c>
      <c r="L30" s="96" t="s">
        <v>18</v>
      </c>
      <c r="M30" s="96" t="s">
        <v>1672</v>
      </c>
      <c r="N30" s="96" t="s">
        <v>18</v>
      </c>
      <c r="O30" s="827" t="s">
        <v>72</v>
      </c>
      <c r="P30" s="827"/>
      <c r="Q30" s="96" t="s">
        <v>1516</v>
      </c>
      <c r="R30" s="1019">
        <v>8</v>
      </c>
      <c r="S30" s="1184"/>
      <c r="T30" s="1269"/>
      <c r="U30" s="1212"/>
      <c r="V30" s="1248"/>
      <c r="W30" s="612"/>
      <c r="Y30" s="617">
        <v>1</v>
      </c>
      <c r="Z30" s="612"/>
      <c r="AB30" s="617"/>
      <c r="AC30" s="612"/>
      <c r="AE30" s="617"/>
    </row>
    <row r="31" spans="1:31" s="949" customFormat="1" x14ac:dyDescent="0.25">
      <c r="A31" s="971"/>
      <c r="B31" s="1179"/>
      <c r="C31" s="1182"/>
      <c r="D31" s="1235"/>
      <c r="E31" s="968" t="s">
        <v>1873</v>
      </c>
      <c r="F31" s="1236"/>
      <c r="G31" s="1288"/>
      <c r="H31" s="961" t="s">
        <v>363</v>
      </c>
      <c r="I31" s="957" t="s">
        <v>750</v>
      </c>
      <c r="J31" s="961">
        <v>29</v>
      </c>
      <c r="K31" s="977">
        <v>28</v>
      </c>
      <c r="L31" s="957" t="s">
        <v>18</v>
      </c>
      <c r="M31" s="957" t="s">
        <v>1672</v>
      </c>
      <c r="N31" s="957" t="s">
        <v>18</v>
      </c>
      <c r="O31" s="981" t="s">
        <v>72</v>
      </c>
      <c r="P31" s="981"/>
      <c r="Q31" s="957" t="s">
        <v>1516</v>
      </c>
      <c r="R31" s="1019">
        <v>2</v>
      </c>
      <c r="S31" s="1184"/>
      <c r="T31" s="1269"/>
      <c r="U31" s="1212"/>
      <c r="V31" s="1248"/>
      <c r="W31" s="973"/>
      <c r="X31" s="53"/>
      <c r="Y31" s="1245">
        <v>1</v>
      </c>
      <c r="Z31" s="973"/>
      <c r="AA31" s="53"/>
      <c r="AB31" s="617"/>
      <c r="AC31" s="973"/>
      <c r="AD31" s="53"/>
      <c r="AE31" s="617"/>
    </row>
    <row r="32" spans="1:31" x14ac:dyDescent="0.25">
      <c r="B32" s="1179"/>
      <c r="C32" s="1182"/>
      <c r="D32" s="1235"/>
      <c r="E32" s="968" t="s">
        <v>976</v>
      </c>
      <c r="F32" s="1236"/>
      <c r="G32" s="1288"/>
      <c r="H32" s="961" t="s">
        <v>363</v>
      </c>
      <c r="I32" s="174" t="s">
        <v>752</v>
      </c>
      <c r="J32" s="174">
        <v>23</v>
      </c>
      <c r="K32" s="802">
        <v>19</v>
      </c>
      <c r="L32" s="96" t="s">
        <v>18</v>
      </c>
      <c r="M32" s="96" t="s">
        <v>1672</v>
      </c>
      <c r="N32" s="96" t="s">
        <v>18</v>
      </c>
      <c r="O32" s="827" t="s">
        <v>72</v>
      </c>
      <c r="P32" s="827"/>
      <c r="Q32" s="96" t="s">
        <v>1516</v>
      </c>
      <c r="R32" s="1019">
        <v>5</v>
      </c>
      <c r="S32" s="1184"/>
      <c r="T32" s="1269"/>
      <c r="U32" s="1212"/>
      <c r="V32" s="1248"/>
      <c r="W32" s="612"/>
      <c r="Y32" s="1245"/>
      <c r="Z32" s="612"/>
      <c r="AB32" s="617"/>
      <c r="AC32" s="612"/>
      <c r="AE32" s="617"/>
    </row>
    <row r="33" spans="1:31" s="949" customFormat="1" x14ac:dyDescent="0.25">
      <c r="A33" s="971"/>
      <c r="B33" s="1179"/>
      <c r="C33" s="1182"/>
      <c r="D33" s="1235"/>
      <c r="E33" s="968" t="s">
        <v>2044</v>
      </c>
      <c r="F33" s="1236"/>
      <c r="G33" s="1288"/>
      <c r="H33" s="1069" t="s">
        <v>363</v>
      </c>
      <c r="I33" s="1069">
        <v>304</v>
      </c>
      <c r="J33" s="1069">
        <v>1</v>
      </c>
      <c r="K33" s="977">
        <v>1</v>
      </c>
      <c r="L33" s="957" t="s">
        <v>18</v>
      </c>
      <c r="M33" s="957" t="s">
        <v>1672</v>
      </c>
      <c r="N33" s="957" t="s">
        <v>18</v>
      </c>
      <c r="O33" s="981" t="s">
        <v>72</v>
      </c>
      <c r="P33" s="981"/>
      <c r="Q33" s="957" t="s">
        <v>1516</v>
      </c>
      <c r="R33" s="1019">
        <v>1</v>
      </c>
      <c r="S33" s="1184"/>
      <c r="T33" s="1269"/>
      <c r="U33" s="1212"/>
      <c r="V33" s="1248"/>
      <c r="W33" s="973"/>
      <c r="X33" s="53"/>
      <c r="Y33" s="1245">
        <v>1</v>
      </c>
      <c r="Z33" s="973"/>
      <c r="AA33" s="53"/>
      <c r="AB33" s="617"/>
      <c r="AC33" s="973"/>
      <c r="AD33" s="53"/>
      <c r="AE33" s="617"/>
    </row>
    <row r="34" spans="1:31" x14ac:dyDescent="0.25">
      <c r="B34" s="1179"/>
      <c r="C34" s="1182"/>
      <c r="D34" s="1235"/>
      <c r="E34" s="968" t="s">
        <v>974</v>
      </c>
      <c r="F34" s="1236"/>
      <c r="G34" s="1288"/>
      <c r="H34" s="961" t="s">
        <v>363</v>
      </c>
      <c r="I34" s="174" t="s">
        <v>752</v>
      </c>
      <c r="J34" s="174">
        <v>18</v>
      </c>
      <c r="K34" s="802">
        <v>11</v>
      </c>
      <c r="L34" s="96" t="s">
        <v>18</v>
      </c>
      <c r="M34" s="96" t="s">
        <v>1672</v>
      </c>
      <c r="N34" s="96" t="s">
        <v>18</v>
      </c>
      <c r="O34" s="827" t="s">
        <v>72</v>
      </c>
      <c r="P34" s="827"/>
      <c r="Q34" s="96" t="s">
        <v>1516</v>
      </c>
      <c r="R34" s="1019">
        <v>8</v>
      </c>
      <c r="S34" s="1184"/>
      <c r="T34" s="1269"/>
      <c r="U34" s="1212"/>
      <c r="V34" s="1248"/>
      <c r="W34" s="612"/>
      <c r="Y34" s="1245"/>
      <c r="Z34" s="612"/>
      <c r="AB34" s="617"/>
      <c r="AC34" s="612"/>
      <c r="AE34" s="617"/>
    </row>
    <row r="35" spans="1:31" s="949" customFormat="1" x14ac:dyDescent="0.25">
      <c r="A35" s="971"/>
      <c r="B35" s="1179"/>
      <c r="C35" s="1182"/>
      <c r="D35" s="1235"/>
      <c r="E35" s="968" t="s">
        <v>1874</v>
      </c>
      <c r="F35" s="1236"/>
      <c r="G35" s="1288"/>
      <c r="H35" s="961" t="s">
        <v>363</v>
      </c>
      <c r="I35" s="957" t="s">
        <v>750</v>
      </c>
      <c r="J35" s="961">
        <v>31</v>
      </c>
      <c r="K35" s="977">
        <v>30</v>
      </c>
      <c r="L35" s="957" t="s">
        <v>18</v>
      </c>
      <c r="M35" s="957" t="s">
        <v>1672</v>
      </c>
      <c r="N35" s="957" t="s">
        <v>18</v>
      </c>
      <c r="O35" s="981" t="s">
        <v>72</v>
      </c>
      <c r="P35" s="981"/>
      <c r="Q35" s="957" t="s">
        <v>1516</v>
      </c>
      <c r="R35" s="1019">
        <v>2</v>
      </c>
      <c r="S35" s="1184"/>
      <c r="T35" s="1269"/>
      <c r="U35" s="1212"/>
      <c r="V35" s="1248"/>
      <c r="W35" s="973"/>
      <c r="X35" s="53"/>
      <c r="Y35" s="1245">
        <v>1</v>
      </c>
      <c r="Z35" s="973"/>
      <c r="AA35" s="53"/>
      <c r="AB35" s="617"/>
      <c r="AC35" s="973"/>
      <c r="AD35" s="53"/>
      <c r="AE35" s="617"/>
    </row>
    <row r="36" spans="1:31" x14ac:dyDescent="0.25">
      <c r="B36" s="1179"/>
      <c r="C36" s="1182"/>
      <c r="D36" s="1235"/>
      <c r="E36" s="968" t="s">
        <v>977</v>
      </c>
      <c r="F36" s="1165"/>
      <c r="G36" s="1289"/>
      <c r="H36" s="174" t="s">
        <v>363</v>
      </c>
      <c r="I36" s="174" t="s">
        <v>752</v>
      </c>
      <c r="J36" s="174">
        <v>10</v>
      </c>
      <c r="K36" s="802">
        <v>6</v>
      </c>
      <c r="L36" s="96" t="s">
        <v>18</v>
      </c>
      <c r="M36" s="96" t="s">
        <v>1672</v>
      </c>
      <c r="N36" s="96" t="s">
        <v>18</v>
      </c>
      <c r="O36" s="827" t="s">
        <v>72</v>
      </c>
      <c r="P36" s="827"/>
      <c r="Q36" s="96" t="s">
        <v>1516</v>
      </c>
      <c r="R36" s="1019">
        <v>5</v>
      </c>
      <c r="S36" s="1184"/>
      <c r="T36" s="1269"/>
      <c r="U36" s="1212"/>
      <c r="V36" s="1248"/>
      <c r="W36" s="612"/>
      <c r="Y36" s="1245"/>
      <c r="Z36" s="612"/>
      <c r="AB36" s="617"/>
      <c r="AC36" s="612"/>
      <c r="AE36" s="617"/>
    </row>
    <row r="37" spans="1:31" x14ac:dyDescent="0.25">
      <c r="B37" s="1179"/>
      <c r="C37" s="1182"/>
      <c r="D37" s="1235"/>
      <c r="E37" s="968" t="s">
        <v>185</v>
      </c>
      <c r="F37" s="1164" t="s">
        <v>928</v>
      </c>
      <c r="G37" s="1252" t="s">
        <v>49</v>
      </c>
      <c r="H37" s="174" t="s">
        <v>363</v>
      </c>
      <c r="I37" s="174" t="s">
        <v>752</v>
      </c>
      <c r="J37" s="174">
        <v>5</v>
      </c>
      <c r="K37" s="802">
        <v>3</v>
      </c>
      <c r="L37" s="96" t="s">
        <v>18</v>
      </c>
      <c r="M37" s="96" t="s">
        <v>1672</v>
      </c>
      <c r="N37" s="96" t="s">
        <v>18</v>
      </c>
      <c r="O37" s="826" t="s">
        <v>155</v>
      </c>
      <c r="P37" s="826" t="s">
        <v>152</v>
      </c>
      <c r="Q37" s="200" t="s">
        <v>1528</v>
      </c>
      <c r="R37" s="1019">
        <v>3</v>
      </c>
      <c r="S37" s="1184"/>
      <c r="T37" s="1269"/>
      <c r="U37" s="1212"/>
      <c r="V37" s="1248"/>
      <c r="W37" s="612">
        <v>1</v>
      </c>
      <c r="Y37" s="613"/>
      <c r="Z37" s="612">
        <v>1</v>
      </c>
      <c r="AB37" s="613"/>
      <c r="AC37" s="612"/>
      <c r="AE37" s="613"/>
    </row>
    <row r="38" spans="1:31" x14ac:dyDescent="0.25">
      <c r="B38" s="1179"/>
      <c r="C38" s="1182"/>
      <c r="D38" s="1235"/>
      <c r="E38" s="968" t="s">
        <v>186</v>
      </c>
      <c r="F38" s="1236"/>
      <c r="G38" s="1253"/>
      <c r="H38" s="174" t="s">
        <v>363</v>
      </c>
      <c r="I38" s="174" t="s">
        <v>752</v>
      </c>
      <c r="J38" s="174">
        <v>2</v>
      </c>
      <c r="K38" s="802">
        <v>0</v>
      </c>
      <c r="L38" s="96" t="s">
        <v>18</v>
      </c>
      <c r="M38" s="96" t="s">
        <v>1672</v>
      </c>
      <c r="N38" s="96" t="s">
        <v>18</v>
      </c>
      <c r="O38" s="826" t="s">
        <v>155</v>
      </c>
      <c r="P38" s="826" t="s">
        <v>153</v>
      </c>
      <c r="Q38" s="200" t="s">
        <v>1527</v>
      </c>
      <c r="R38" s="1019">
        <v>3</v>
      </c>
      <c r="S38" s="1184"/>
      <c r="T38" s="1269"/>
      <c r="U38" s="1212"/>
      <c r="V38" s="1248"/>
      <c r="W38" s="612">
        <v>1</v>
      </c>
      <c r="Y38" s="613"/>
      <c r="Z38" s="612">
        <v>1</v>
      </c>
      <c r="AB38" s="613"/>
      <c r="AC38" s="612"/>
      <c r="AE38" s="613"/>
    </row>
    <row r="39" spans="1:31" s="949" customFormat="1" x14ac:dyDescent="0.25">
      <c r="A39" s="971"/>
      <c r="B39" s="1180"/>
      <c r="C39" s="1183"/>
      <c r="D39" s="1186"/>
      <c r="E39" s="968" t="s">
        <v>1994</v>
      </c>
      <c r="F39" s="1165"/>
      <c r="G39" s="994"/>
      <c r="H39" s="995" t="s">
        <v>363</v>
      </c>
      <c r="I39" s="995">
        <v>338</v>
      </c>
      <c r="J39" s="1023">
        <v>23</v>
      </c>
      <c r="K39" s="1024">
        <v>19</v>
      </c>
      <c r="L39" s="957" t="s">
        <v>18</v>
      </c>
      <c r="M39" s="957" t="s">
        <v>1672</v>
      </c>
      <c r="N39" s="957" t="s">
        <v>18</v>
      </c>
      <c r="O39" s="826" t="s">
        <v>1935</v>
      </c>
      <c r="P39" s="826" t="s">
        <v>1934</v>
      </c>
      <c r="Q39" s="203" t="s">
        <v>1528</v>
      </c>
      <c r="R39" s="1019">
        <v>5</v>
      </c>
      <c r="S39" s="1184"/>
      <c r="T39" s="991" t="s">
        <v>1936</v>
      </c>
      <c r="U39" s="1212"/>
      <c r="V39" s="1247"/>
      <c r="W39" s="973">
        <v>1</v>
      </c>
      <c r="X39" s="53"/>
      <c r="Y39" s="974"/>
      <c r="Z39" s="973">
        <v>1</v>
      </c>
      <c r="AA39" s="53"/>
      <c r="AB39" s="974"/>
      <c r="AC39" s="973"/>
      <c r="AD39" s="53"/>
      <c r="AE39" s="974"/>
    </row>
    <row r="40" spans="1:31" x14ac:dyDescent="0.25">
      <c r="B40" s="3"/>
      <c r="C40" s="3"/>
      <c r="D40" s="12"/>
      <c r="E40" s="528"/>
      <c r="F40" s="547"/>
      <c r="G40" s="666"/>
      <c r="H40" s="12"/>
      <c r="I40" s="12"/>
      <c r="J40" s="12"/>
      <c r="K40" s="12"/>
      <c r="L40" s="601"/>
      <c r="M40" s="601"/>
      <c r="N40" s="601"/>
      <c r="O40" s="828"/>
      <c r="P40" s="828"/>
      <c r="Q40" s="844"/>
      <c r="R40" s="12"/>
      <c r="S40" s="13"/>
      <c r="T40" s="12"/>
      <c r="U40" s="549"/>
      <c r="V40" s="13"/>
      <c r="W40" s="3"/>
      <c r="X40" s="12"/>
      <c r="Y40" s="614"/>
      <c r="Z40" s="3"/>
      <c r="AA40" s="12"/>
      <c r="AB40" s="614"/>
      <c r="AC40" s="3"/>
      <c r="AD40" s="12"/>
      <c r="AE40" s="614"/>
    </row>
    <row r="41" spans="1:31" x14ac:dyDescent="0.25">
      <c r="B41" s="1316" t="s">
        <v>368</v>
      </c>
      <c r="C41" s="1319" t="s">
        <v>22</v>
      </c>
      <c r="D41" s="587" t="s">
        <v>264</v>
      </c>
      <c r="E41" s="529" t="s">
        <v>204</v>
      </c>
      <c r="F41" s="257" t="s">
        <v>915</v>
      </c>
      <c r="G41" s="1142" t="s">
        <v>1219</v>
      </c>
      <c r="H41" s="96" t="s">
        <v>363</v>
      </c>
      <c r="I41" s="96" t="s">
        <v>753</v>
      </c>
      <c r="J41" s="96">
        <v>27</v>
      </c>
      <c r="K41" s="803">
        <v>25</v>
      </c>
      <c r="L41" s="96" t="s">
        <v>1658</v>
      </c>
      <c r="M41" s="96" t="s">
        <v>1672</v>
      </c>
      <c r="N41" s="96" t="s">
        <v>1674</v>
      </c>
      <c r="O41" s="821" t="s">
        <v>440</v>
      </c>
      <c r="P41" s="826" t="s">
        <v>441</v>
      </c>
      <c r="Q41" s="30" t="s">
        <v>1527</v>
      </c>
      <c r="R41" s="812">
        <v>3</v>
      </c>
      <c r="S41" s="1145">
        <f>SUM(R41:R95)</f>
        <v>230</v>
      </c>
      <c r="T41" s="262"/>
      <c r="U41" s="1185">
        <v>8</v>
      </c>
      <c r="V41" s="1230">
        <f>U41*32-SUM(R41:R95)</f>
        <v>26</v>
      </c>
      <c r="W41" s="612"/>
      <c r="X41" s="53">
        <v>1</v>
      </c>
      <c r="Y41" s="613"/>
      <c r="Z41" s="612"/>
      <c r="AA41" s="53">
        <v>1</v>
      </c>
      <c r="AB41" s="613"/>
      <c r="AC41" s="612"/>
      <c r="AE41" s="613"/>
    </row>
    <row r="42" spans="1:31" x14ac:dyDescent="0.25">
      <c r="B42" s="1317"/>
      <c r="C42" s="1320"/>
      <c r="D42" s="1237" t="s">
        <v>265</v>
      </c>
      <c r="E42" s="529" t="s">
        <v>206</v>
      </c>
      <c r="F42" s="257" t="s">
        <v>918</v>
      </c>
      <c r="G42" s="1143"/>
      <c r="H42" s="174" t="s">
        <v>363</v>
      </c>
      <c r="I42" s="174" t="s">
        <v>753</v>
      </c>
      <c r="J42" s="174">
        <v>24</v>
      </c>
      <c r="K42" s="802">
        <v>20</v>
      </c>
      <c r="L42" s="96" t="s">
        <v>1658</v>
      </c>
      <c r="M42" s="96" t="s">
        <v>1672</v>
      </c>
      <c r="N42" s="96" t="s">
        <v>1674</v>
      </c>
      <c r="O42" s="821" t="s">
        <v>442</v>
      </c>
      <c r="P42" s="826" t="s">
        <v>443</v>
      </c>
      <c r="Q42" s="30" t="s">
        <v>1526</v>
      </c>
      <c r="R42" s="812">
        <v>5</v>
      </c>
      <c r="S42" s="1146"/>
      <c r="T42" s="1232"/>
      <c r="U42" s="1235"/>
      <c r="V42" s="1231"/>
      <c r="W42" s="612"/>
      <c r="X42" s="53">
        <v>1</v>
      </c>
      <c r="Y42" s="613"/>
      <c r="Z42" s="612"/>
      <c r="AA42" s="53">
        <v>1</v>
      </c>
      <c r="AB42" s="613"/>
      <c r="AC42" s="612"/>
      <c r="AE42" s="613"/>
    </row>
    <row r="43" spans="1:31" x14ac:dyDescent="0.25">
      <c r="B43" s="1317"/>
      <c r="C43" s="1320"/>
      <c r="D43" s="1237"/>
      <c r="E43" s="529" t="s">
        <v>208</v>
      </c>
      <c r="F43" s="257" t="s">
        <v>918</v>
      </c>
      <c r="G43" s="1143"/>
      <c r="H43" s="174" t="s">
        <v>363</v>
      </c>
      <c r="I43" s="174" t="s">
        <v>753</v>
      </c>
      <c r="J43" s="174">
        <v>19</v>
      </c>
      <c r="K43" s="802">
        <v>15</v>
      </c>
      <c r="L43" s="96" t="s">
        <v>1658</v>
      </c>
      <c r="M43" s="96" t="s">
        <v>1672</v>
      </c>
      <c r="N43" s="96" t="s">
        <v>1674</v>
      </c>
      <c r="O43" s="841" t="s">
        <v>442</v>
      </c>
      <c r="P43" s="826" t="s">
        <v>444</v>
      </c>
      <c r="Q43" s="30" t="s">
        <v>1526</v>
      </c>
      <c r="R43" s="812">
        <v>5</v>
      </c>
      <c r="S43" s="1146"/>
      <c r="T43" s="1233"/>
      <c r="U43" s="1235"/>
      <c r="V43" s="1231"/>
      <c r="W43" s="612">
        <v>1</v>
      </c>
      <c r="Y43" s="613"/>
      <c r="Z43" s="612">
        <v>1</v>
      </c>
      <c r="AB43" s="613"/>
      <c r="AC43" s="612"/>
      <c r="AE43" s="613"/>
    </row>
    <row r="44" spans="1:31" x14ac:dyDescent="0.25">
      <c r="B44" s="1317"/>
      <c r="C44" s="1320"/>
      <c r="D44" s="1237"/>
      <c r="E44" s="529" t="s">
        <v>212</v>
      </c>
      <c r="F44" s="257" t="s">
        <v>918</v>
      </c>
      <c r="G44" s="1143"/>
      <c r="H44" s="174" t="s">
        <v>363</v>
      </c>
      <c r="I44" s="174" t="s">
        <v>753</v>
      </c>
      <c r="J44" s="174">
        <v>14</v>
      </c>
      <c r="K44" s="802">
        <v>10</v>
      </c>
      <c r="L44" s="96" t="s">
        <v>1658</v>
      </c>
      <c r="M44" s="96" t="s">
        <v>1672</v>
      </c>
      <c r="N44" s="96" t="s">
        <v>1674</v>
      </c>
      <c r="O44" s="841" t="s">
        <v>442</v>
      </c>
      <c r="P44" s="826" t="s">
        <v>445</v>
      </c>
      <c r="Q44" s="30" t="s">
        <v>1526</v>
      </c>
      <c r="R44" s="812">
        <v>5</v>
      </c>
      <c r="S44" s="1146"/>
      <c r="T44" s="1233"/>
      <c r="U44" s="1235"/>
      <c r="V44" s="1231"/>
      <c r="W44" s="612">
        <v>1</v>
      </c>
      <c r="Y44" s="613"/>
      <c r="Z44" s="612">
        <v>1</v>
      </c>
      <c r="AB44" s="613"/>
      <c r="AC44" s="612"/>
      <c r="AE44" s="613"/>
    </row>
    <row r="45" spans="1:31" x14ac:dyDescent="0.25">
      <c r="B45" s="1317"/>
      <c r="C45" s="1320"/>
      <c r="D45" s="1237"/>
      <c r="E45" s="529" t="s">
        <v>205</v>
      </c>
      <c r="F45" s="520" t="s">
        <v>1254</v>
      </c>
      <c r="G45" s="1143"/>
      <c r="H45" s="174" t="s">
        <v>363</v>
      </c>
      <c r="I45" s="174" t="s">
        <v>753</v>
      </c>
      <c r="J45" s="174">
        <v>9</v>
      </c>
      <c r="K45" s="802">
        <v>5</v>
      </c>
      <c r="L45" s="96" t="s">
        <v>1658</v>
      </c>
      <c r="M45" s="96" t="s">
        <v>1672</v>
      </c>
      <c r="N45" s="96" t="s">
        <v>1674</v>
      </c>
      <c r="O45" s="821" t="s">
        <v>446</v>
      </c>
      <c r="P45" s="826" t="s">
        <v>447</v>
      </c>
      <c r="Q45" s="30" t="s">
        <v>1526</v>
      </c>
      <c r="R45" s="812">
        <v>5</v>
      </c>
      <c r="S45" s="1146"/>
      <c r="T45" s="1233"/>
      <c r="U45" s="1235"/>
      <c r="V45" s="1231"/>
      <c r="W45" s="612">
        <v>1</v>
      </c>
      <c r="Y45" s="613"/>
      <c r="Z45" s="612">
        <v>1</v>
      </c>
      <c r="AB45" s="613"/>
      <c r="AC45" s="612"/>
      <c r="AE45" s="613"/>
    </row>
    <row r="46" spans="1:31" x14ac:dyDescent="0.25">
      <c r="B46" s="1317"/>
      <c r="C46" s="1320"/>
      <c r="D46" s="1237"/>
      <c r="E46" s="529" t="s">
        <v>207</v>
      </c>
      <c r="F46" s="520" t="s">
        <v>1254</v>
      </c>
      <c r="G46" s="1143"/>
      <c r="H46" s="174" t="s">
        <v>363</v>
      </c>
      <c r="I46" s="174" t="s">
        <v>753</v>
      </c>
      <c r="J46" s="174">
        <v>4</v>
      </c>
      <c r="K46" s="802">
        <v>0</v>
      </c>
      <c r="L46" s="96" t="s">
        <v>1658</v>
      </c>
      <c r="M46" s="96" t="s">
        <v>1672</v>
      </c>
      <c r="N46" s="96" t="s">
        <v>1674</v>
      </c>
      <c r="O46" s="841" t="s">
        <v>446</v>
      </c>
      <c r="P46" s="826" t="s">
        <v>448</v>
      </c>
      <c r="Q46" s="30" t="s">
        <v>1526</v>
      </c>
      <c r="R46" s="812">
        <v>5</v>
      </c>
      <c r="S46" s="1146"/>
      <c r="T46" s="1233"/>
      <c r="U46" s="1235"/>
      <c r="V46" s="1231"/>
      <c r="W46" s="612">
        <v>1</v>
      </c>
      <c r="Y46" s="613"/>
      <c r="Z46" s="612">
        <v>1</v>
      </c>
      <c r="AB46" s="613"/>
      <c r="AC46" s="612"/>
      <c r="AE46" s="613"/>
    </row>
    <row r="47" spans="1:31" x14ac:dyDescent="0.25">
      <c r="B47" s="1317"/>
      <c r="C47" s="1320"/>
      <c r="D47" s="1237"/>
      <c r="E47" s="529" t="s">
        <v>211</v>
      </c>
      <c r="F47" s="520" t="s">
        <v>1254</v>
      </c>
      <c r="G47" s="1143"/>
      <c r="H47" s="174" t="s">
        <v>363</v>
      </c>
      <c r="I47" s="174" t="s">
        <v>754</v>
      </c>
      <c r="J47" s="174">
        <v>29</v>
      </c>
      <c r="K47" s="802">
        <v>25</v>
      </c>
      <c r="L47" s="96" t="s">
        <v>1658</v>
      </c>
      <c r="M47" s="96" t="s">
        <v>1672</v>
      </c>
      <c r="N47" s="96" t="s">
        <v>1674</v>
      </c>
      <c r="O47" s="841" t="s">
        <v>446</v>
      </c>
      <c r="P47" s="826" t="s">
        <v>449</v>
      </c>
      <c r="Q47" s="30" t="s">
        <v>1526</v>
      </c>
      <c r="R47" s="812">
        <v>5</v>
      </c>
      <c r="S47" s="1146"/>
      <c r="T47" s="1233"/>
      <c r="U47" s="1235"/>
      <c r="V47" s="1231"/>
      <c r="W47" s="612">
        <v>1</v>
      </c>
      <c r="Y47" s="613"/>
      <c r="Z47" s="612">
        <v>1</v>
      </c>
      <c r="AB47" s="613"/>
      <c r="AC47" s="612"/>
      <c r="AE47" s="613"/>
    </row>
    <row r="48" spans="1:31" x14ac:dyDescent="0.25">
      <c r="B48" s="1317"/>
      <c r="C48" s="1320"/>
      <c r="D48" s="1237"/>
      <c r="E48" s="529" t="s">
        <v>496</v>
      </c>
      <c r="F48" s="520" t="s">
        <v>1254</v>
      </c>
      <c r="G48" s="1143"/>
      <c r="H48" s="174" t="s">
        <v>363</v>
      </c>
      <c r="I48" s="174" t="s">
        <v>754</v>
      </c>
      <c r="J48" s="174">
        <v>24</v>
      </c>
      <c r="K48" s="802">
        <v>20</v>
      </c>
      <c r="L48" s="96" t="s">
        <v>1658</v>
      </c>
      <c r="M48" s="96" t="s">
        <v>1672</v>
      </c>
      <c r="N48" s="96" t="s">
        <v>1674</v>
      </c>
      <c r="O48" s="841" t="s">
        <v>446</v>
      </c>
      <c r="P48" s="826" t="s">
        <v>450</v>
      </c>
      <c r="Q48" s="30" t="s">
        <v>1526</v>
      </c>
      <c r="R48" s="812">
        <v>5</v>
      </c>
      <c r="S48" s="1146"/>
      <c r="T48" s="1233"/>
      <c r="U48" s="1235"/>
      <c r="V48" s="1231"/>
      <c r="W48" s="612">
        <v>1</v>
      </c>
      <c r="Y48" s="613"/>
      <c r="Z48" s="612">
        <v>1</v>
      </c>
      <c r="AB48" s="613"/>
      <c r="AC48" s="612"/>
      <c r="AE48" s="613"/>
    </row>
    <row r="49" spans="2:31" x14ac:dyDescent="0.25">
      <c r="B49" s="1317"/>
      <c r="C49" s="1320"/>
      <c r="D49" s="1237"/>
      <c r="E49" s="529" t="s">
        <v>209</v>
      </c>
      <c r="F49" s="257" t="s">
        <v>916</v>
      </c>
      <c r="G49" s="1143"/>
      <c r="H49" s="174" t="s">
        <v>363</v>
      </c>
      <c r="I49" s="174" t="s">
        <v>754</v>
      </c>
      <c r="J49" s="174">
        <v>19</v>
      </c>
      <c r="K49" s="802">
        <v>15</v>
      </c>
      <c r="L49" s="96" t="s">
        <v>1658</v>
      </c>
      <c r="M49" s="96" t="s">
        <v>1672</v>
      </c>
      <c r="N49" s="96" t="s">
        <v>1674</v>
      </c>
      <c r="O49" s="821" t="s">
        <v>451</v>
      </c>
      <c r="P49" s="826" t="s">
        <v>452</v>
      </c>
      <c r="Q49" s="30" t="s">
        <v>1526</v>
      </c>
      <c r="R49" s="812">
        <v>5</v>
      </c>
      <c r="S49" s="1146"/>
      <c r="T49" s="1233"/>
      <c r="U49" s="1235"/>
      <c r="V49" s="1231"/>
      <c r="W49" s="612"/>
      <c r="X49" s="53">
        <v>1</v>
      </c>
      <c r="Y49" s="613"/>
      <c r="Z49" s="612"/>
      <c r="AA49" s="53">
        <v>1</v>
      </c>
      <c r="AB49" s="613"/>
      <c r="AC49" s="612"/>
      <c r="AE49" s="613"/>
    </row>
    <row r="50" spans="2:31" x14ac:dyDescent="0.25">
      <c r="B50" s="1317"/>
      <c r="C50" s="1320"/>
      <c r="D50" s="1237"/>
      <c r="E50" s="529" t="s">
        <v>210</v>
      </c>
      <c r="F50" s="257" t="s">
        <v>916</v>
      </c>
      <c r="G50" s="1143"/>
      <c r="H50" s="174" t="s">
        <v>363</v>
      </c>
      <c r="I50" s="174" t="s">
        <v>754</v>
      </c>
      <c r="J50" s="174">
        <v>14</v>
      </c>
      <c r="K50" s="802">
        <v>10</v>
      </c>
      <c r="L50" s="96" t="s">
        <v>1658</v>
      </c>
      <c r="M50" s="96" t="s">
        <v>1672</v>
      </c>
      <c r="N50" s="96" t="s">
        <v>1674</v>
      </c>
      <c r="O50" s="841" t="s">
        <v>451</v>
      </c>
      <c r="P50" s="826" t="s">
        <v>453</v>
      </c>
      <c r="Q50" s="30" t="s">
        <v>1526</v>
      </c>
      <c r="R50" s="812">
        <v>5</v>
      </c>
      <c r="S50" s="1146"/>
      <c r="T50" s="1233"/>
      <c r="U50" s="1235"/>
      <c r="V50" s="1231"/>
      <c r="W50" s="612">
        <v>1</v>
      </c>
      <c r="Y50" s="613"/>
      <c r="Z50" s="612">
        <v>1</v>
      </c>
      <c r="AB50" s="613"/>
      <c r="AC50" s="612"/>
      <c r="AE50" s="613"/>
    </row>
    <row r="51" spans="2:31" x14ac:dyDescent="0.25">
      <c r="B51" s="1317"/>
      <c r="C51" s="1320"/>
      <c r="D51" s="1237"/>
      <c r="E51" s="529" t="s">
        <v>497</v>
      </c>
      <c r="F51" s="257" t="s">
        <v>916</v>
      </c>
      <c r="G51" s="1143"/>
      <c r="H51" s="174" t="s">
        <v>363</v>
      </c>
      <c r="I51" s="174" t="s">
        <v>754</v>
      </c>
      <c r="J51" s="174">
        <v>9</v>
      </c>
      <c r="K51" s="802">
        <v>5</v>
      </c>
      <c r="L51" s="96" t="s">
        <v>1658</v>
      </c>
      <c r="M51" s="96" t="s">
        <v>1672</v>
      </c>
      <c r="N51" s="96" t="s">
        <v>1674</v>
      </c>
      <c r="O51" s="841" t="s">
        <v>451</v>
      </c>
      <c r="P51" s="826" t="s">
        <v>454</v>
      </c>
      <c r="Q51" s="30" t="s">
        <v>1526</v>
      </c>
      <c r="R51" s="812">
        <v>5</v>
      </c>
      <c r="S51" s="1146"/>
      <c r="T51" s="1233"/>
      <c r="U51" s="1235"/>
      <c r="V51" s="1231"/>
      <c r="W51" s="612">
        <v>1</v>
      </c>
      <c r="Y51" s="613"/>
      <c r="Z51" s="612">
        <v>1</v>
      </c>
      <c r="AB51" s="613"/>
      <c r="AC51" s="612"/>
      <c r="AE51" s="613"/>
    </row>
    <row r="52" spans="2:31" x14ac:dyDescent="0.25">
      <c r="B52" s="1317"/>
      <c r="C52" s="1320"/>
      <c r="D52" s="1237"/>
      <c r="E52" s="529" t="s">
        <v>213</v>
      </c>
      <c r="F52" s="257" t="s">
        <v>916</v>
      </c>
      <c r="G52" s="1143"/>
      <c r="H52" s="174" t="s">
        <v>363</v>
      </c>
      <c r="I52" s="174" t="s">
        <v>754</v>
      </c>
      <c r="J52" s="174">
        <v>4</v>
      </c>
      <c r="K52" s="802">
        <v>0</v>
      </c>
      <c r="L52" s="96" t="s">
        <v>1658</v>
      </c>
      <c r="M52" s="96" t="s">
        <v>1672</v>
      </c>
      <c r="N52" s="96" t="s">
        <v>1674</v>
      </c>
      <c r="O52" s="841" t="s">
        <v>451</v>
      </c>
      <c r="P52" s="826" t="s">
        <v>445</v>
      </c>
      <c r="Q52" s="30" t="s">
        <v>1526</v>
      </c>
      <c r="R52" s="812">
        <v>5</v>
      </c>
      <c r="S52" s="1146"/>
      <c r="T52" s="1233"/>
      <c r="U52" s="1235"/>
      <c r="V52" s="1231"/>
      <c r="W52" s="612">
        <v>1</v>
      </c>
      <c r="Y52" s="613"/>
      <c r="Z52" s="612">
        <v>1</v>
      </c>
      <c r="AB52" s="613"/>
      <c r="AC52" s="612"/>
      <c r="AE52" s="613"/>
    </row>
    <row r="53" spans="2:31" x14ac:dyDescent="0.25">
      <c r="B53" s="1317"/>
      <c r="C53" s="1320"/>
      <c r="D53" s="1237"/>
      <c r="E53" s="529" t="s">
        <v>214</v>
      </c>
      <c r="F53" s="257" t="s">
        <v>915</v>
      </c>
      <c r="G53" s="1143"/>
      <c r="H53" s="174" t="s">
        <v>363</v>
      </c>
      <c r="I53" s="174" t="s">
        <v>755</v>
      </c>
      <c r="J53" s="174">
        <v>27</v>
      </c>
      <c r="K53" s="802">
        <v>25</v>
      </c>
      <c r="L53" s="96" t="s">
        <v>1658</v>
      </c>
      <c r="M53" s="96" t="s">
        <v>1672</v>
      </c>
      <c r="N53" s="96" t="s">
        <v>1674</v>
      </c>
      <c r="O53" s="821" t="s">
        <v>455</v>
      </c>
      <c r="P53" s="826" t="s">
        <v>456</v>
      </c>
      <c r="Q53" s="30" t="s">
        <v>1527</v>
      </c>
      <c r="R53" s="812">
        <v>3</v>
      </c>
      <c r="S53" s="1146"/>
      <c r="T53" s="1233"/>
      <c r="U53" s="1235"/>
      <c r="V53" s="1231"/>
      <c r="W53" s="612">
        <v>1</v>
      </c>
      <c r="Y53" s="613"/>
      <c r="Z53" s="612">
        <v>1</v>
      </c>
      <c r="AB53" s="613"/>
      <c r="AC53" s="612"/>
      <c r="AE53" s="613"/>
    </row>
    <row r="54" spans="2:31" x14ac:dyDescent="0.25">
      <c r="B54" s="1317"/>
      <c r="C54" s="1320"/>
      <c r="D54" s="1237"/>
      <c r="E54" s="529" t="s">
        <v>215</v>
      </c>
      <c r="F54" s="257" t="s">
        <v>915</v>
      </c>
      <c r="G54" s="1143"/>
      <c r="H54" s="174" t="s">
        <v>363</v>
      </c>
      <c r="I54" s="174" t="s">
        <v>755</v>
      </c>
      <c r="J54" s="174">
        <v>24</v>
      </c>
      <c r="K54" s="802">
        <v>22</v>
      </c>
      <c r="L54" s="96" t="s">
        <v>1658</v>
      </c>
      <c r="M54" s="96" t="s">
        <v>1672</v>
      </c>
      <c r="N54" s="96" t="s">
        <v>1674</v>
      </c>
      <c r="O54" s="841" t="s">
        <v>455</v>
      </c>
      <c r="P54" s="826" t="s">
        <v>457</v>
      </c>
      <c r="Q54" s="30" t="s">
        <v>1527</v>
      </c>
      <c r="R54" s="812">
        <v>3</v>
      </c>
      <c r="S54" s="1146"/>
      <c r="T54" s="1234"/>
      <c r="U54" s="1235"/>
      <c r="V54" s="1231"/>
      <c r="W54" s="612">
        <v>1</v>
      </c>
      <c r="Y54" s="613"/>
      <c r="Z54" s="612">
        <v>1</v>
      </c>
      <c r="AB54" s="613"/>
      <c r="AC54" s="612"/>
      <c r="AE54" s="613"/>
    </row>
    <row r="55" spans="2:31" x14ac:dyDescent="0.25">
      <c r="B55" s="1317"/>
      <c r="C55" s="1320"/>
      <c r="D55" s="1237" t="s">
        <v>28</v>
      </c>
      <c r="E55" s="529" t="s">
        <v>216</v>
      </c>
      <c r="F55" s="520" t="s">
        <v>1254</v>
      </c>
      <c r="G55" s="1143"/>
      <c r="H55" s="174" t="s">
        <v>363</v>
      </c>
      <c r="I55" s="174" t="s">
        <v>755</v>
      </c>
      <c r="J55" s="174">
        <v>21</v>
      </c>
      <c r="K55" s="802">
        <v>17</v>
      </c>
      <c r="L55" s="96" t="s">
        <v>1658</v>
      </c>
      <c r="M55" s="96" t="s">
        <v>1672</v>
      </c>
      <c r="N55" s="96" t="s">
        <v>1674</v>
      </c>
      <c r="O55" s="821" t="s">
        <v>458</v>
      </c>
      <c r="P55" s="826" t="s">
        <v>459</v>
      </c>
      <c r="Q55" s="30" t="s">
        <v>1526</v>
      </c>
      <c r="R55" s="812">
        <v>5</v>
      </c>
      <c r="S55" s="1146"/>
      <c r="T55" s="1232"/>
      <c r="U55" s="1235"/>
      <c r="V55" s="1231"/>
      <c r="W55" s="612"/>
      <c r="X55" s="53">
        <v>1</v>
      </c>
      <c r="Y55" s="613"/>
      <c r="Z55" s="612"/>
      <c r="AA55" s="53">
        <v>1</v>
      </c>
      <c r="AB55" s="613"/>
      <c r="AC55" s="612"/>
      <c r="AE55" s="613"/>
    </row>
    <row r="56" spans="2:31" x14ac:dyDescent="0.25">
      <c r="B56" s="1317"/>
      <c r="C56" s="1320"/>
      <c r="D56" s="1237"/>
      <c r="E56" s="529" t="s">
        <v>494</v>
      </c>
      <c r="F56" s="521" t="s">
        <v>917</v>
      </c>
      <c r="G56" s="1143"/>
      <c r="H56" s="174" t="s">
        <v>363</v>
      </c>
      <c r="I56" s="174" t="s">
        <v>755</v>
      </c>
      <c r="J56" s="174">
        <v>16</v>
      </c>
      <c r="K56" s="802">
        <v>14</v>
      </c>
      <c r="L56" s="96" t="s">
        <v>1658</v>
      </c>
      <c r="M56" s="96" t="s">
        <v>1672</v>
      </c>
      <c r="N56" s="96" t="s">
        <v>1674</v>
      </c>
      <c r="O56" s="841" t="s">
        <v>458</v>
      </c>
      <c r="P56" s="826" t="s">
        <v>432</v>
      </c>
      <c r="Q56" s="30" t="s">
        <v>1527</v>
      </c>
      <c r="R56" s="812">
        <v>3</v>
      </c>
      <c r="S56" s="1146"/>
      <c r="T56" s="1233"/>
      <c r="U56" s="1235"/>
      <c r="V56" s="1231"/>
      <c r="W56" s="612"/>
      <c r="X56" s="53">
        <v>1</v>
      </c>
      <c r="Y56" s="613"/>
      <c r="Z56" s="612"/>
      <c r="AA56" s="53">
        <v>1</v>
      </c>
      <c r="AB56" s="613"/>
      <c r="AC56" s="612"/>
      <c r="AE56" s="613"/>
    </row>
    <row r="57" spans="2:31" x14ac:dyDescent="0.25">
      <c r="B57" s="1317"/>
      <c r="C57" s="1320"/>
      <c r="D57" s="1237"/>
      <c r="E57" s="529" t="s">
        <v>495</v>
      </c>
      <c r="F57" s="520" t="s">
        <v>915</v>
      </c>
      <c r="G57" s="1143"/>
      <c r="H57" s="174" t="s">
        <v>363</v>
      </c>
      <c r="I57" s="174" t="s">
        <v>755</v>
      </c>
      <c r="J57" s="174">
        <v>13</v>
      </c>
      <c r="K57" s="802">
        <v>11</v>
      </c>
      <c r="L57" s="96" t="s">
        <v>1658</v>
      </c>
      <c r="M57" s="96" t="s">
        <v>1672</v>
      </c>
      <c r="N57" s="96" t="s">
        <v>1674</v>
      </c>
      <c r="O57" s="841" t="s">
        <v>458</v>
      </c>
      <c r="P57" s="826" t="s">
        <v>460</v>
      </c>
      <c r="Q57" s="30" t="s">
        <v>1527</v>
      </c>
      <c r="R57" s="812">
        <v>3</v>
      </c>
      <c r="S57" s="1146"/>
      <c r="T57" s="1233"/>
      <c r="U57" s="1235"/>
      <c r="V57" s="1231"/>
      <c r="W57" s="612">
        <v>1</v>
      </c>
      <c r="Y57" s="613"/>
      <c r="Z57" s="612">
        <v>1</v>
      </c>
      <c r="AB57" s="613"/>
      <c r="AC57" s="612"/>
      <c r="AE57" s="613"/>
    </row>
    <row r="58" spans="2:31" x14ac:dyDescent="0.25">
      <c r="B58" s="1317"/>
      <c r="C58" s="1320"/>
      <c r="D58" s="1237"/>
      <c r="E58" s="529" t="s">
        <v>221</v>
      </c>
      <c r="F58" s="257" t="s">
        <v>915</v>
      </c>
      <c r="G58" s="1143"/>
      <c r="H58" s="174" t="s">
        <v>363</v>
      </c>
      <c r="I58" s="174" t="s">
        <v>755</v>
      </c>
      <c r="J58" s="174">
        <v>10</v>
      </c>
      <c r="K58" s="802">
        <v>8</v>
      </c>
      <c r="L58" s="96" t="s">
        <v>1658</v>
      </c>
      <c r="M58" s="96" t="s">
        <v>1672</v>
      </c>
      <c r="N58" s="96" t="s">
        <v>1674</v>
      </c>
      <c r="O58" s="821" t="s">
        <v>461</v>
      </c>
      <c r="P58" s="826" t="s">
        <v>462</v>
      </c>
      <c r="Q58" s="30" t="s">
        <v>1527</v>
      </c>
      <c r="R58" s="812">
        <v>3</v>
      </c>
      <c r="S58" s="1146"/>
      <c r="T58" s="1233"/>
      <c r="U58" s="1235"/>
      <c r="V58" s="1231"/>
      <c r="W58" s="612">
        <v>1</v>
      </c>
      <c r="Y58" s="613"/>
      <c r="Z58" s="612">
        <v>1</v>
      </c>
      <c r="AB58" s="613"/>
      <c r="AC58" s="612"/>
      <c r="AE58" s="613"/>
    </row>
    <row r="59" spans="2:31" x14ac:dyDescent="0.25">
      <c r="B59" s="1317"/>
      <c r="C59" s="1320"/>
      <c r="D59" s="1237"/>
      <c r="E59" s="529" t="s">
        <v>222</v>
      </c>
      <c r="F59" s="520" t="s">
        <v>915</v>
      </c>
      <c r="G59" s="1143"/>
      <c r="H59" s="174" t="s">
        <v>363</v>
      </c>
      <c r="I59" s="174" t="s">
        <v>755</v>
      </c>
      <c r="J59" s="174">
        <v>7</v>
      </c>
      <c r="K59" s="802">
        <v>5</v>
      </c>
      <c r="L59" s="96" t="s">
        <v>1658</v>
      </c>
      <c r="M59" s="96" t="s">
        <v>1672</v>
      </c>
      <c r="N59" s="96" t="s">
        <v>1674</v>
      </c>
      <c r="O59" s="841" t="s">
        <v>461</v>
      </c>
      <c r="P59" s="826" t="s">
        <v>463</v>
      </c>
      <c r="Q59" s="30" t="s">
        <v>1527</v>
      </c>
      <c r="R59" s="812">
        <v>3</v>
      </c>
      <c r="S59" s="1146"/>
      <c r="T59" s="1233"/>
      <c r="U59" s="1235"/>
      <c r="V59" s="1231"/>
      <c r="W59" s="612">
        <v>1</v>
      </c>
      <c r="Y59" s="613"/>
      <c r="Z59" s="612">
        <v>1</v>
      </c>
      <c r="AB59" s="613"/>
      <c r="AC59" s="612"/>
      <c r="AE59" s="613"/>
    </row>
    <row r="60" spans="2:31" x14ac:dyDescent="0.25">
      <c r="B60" s="1317"/>
      <c r="C60" s="1320"/>
      <c r="D60" s="1237"/>
      <c r="E60" s="529" t="s">
        <v>218</v>
      </c>
      <c r="F60" s="257" t="s">
        <v>919</v>
      </c>
      <c r="G60" s="1143"/>
      <c r="H60" s="174" t="s">
        <v>363</v>
      </c>
      <c r="I60" s="174" t="s">
        <v>755</v>
      </c>
      <c r="J60" s="174">
        <v>4</v>
      </c>
      <c r="K60" s="802">
        <v>0</v>
      </c>
      <c r="L60" s="96" t="s">
        <v>1658</v>
      </c>
      <c r="M60" s="96" t="s">
        <v>1672</v>
      </c>
      <c r="N60" s="96" t="s">
        <v>1674</v>
      </c>
      <c r="O60" s="841" t="s">
        <v>461</v>
      </c>
      <c r="P60" s="826" t="s">
        <v>464</v>
      </c>
      <c r="Q60" s="30" t="s">
        <v>1526</v>
      </c>
      <c r="R60" s="812">
        <v>5</v>
      </c>
      <c r="S60" s="1146"/>
      <c r="T60" s="1233"/>
      <c r="U60" s="1235"/>
      <c r="V60" s="1231"/>
      <c r="W60" s="612"/>
      <c r="X60" s="53">
        <v>1</v>
      </c>
      <c r="Y60" s="613"/>
      <c r="Z60" s="612"/>
      <c r="AA60" s="53">
        <v>1</v>
      </c>
      <c r="AB60" s="613"/>
      <c r="AC60" s="612"/>
      <c r="AE60" s="613"/>
    </row>
    <row r="61" spans="2:31" x14ac:dyDescent="0.25">
      <c r="B61" s="1317"/>
      <c r="C61" s="1320"/>
      <c r="D61" s="1237"/>
      <c r="E61" s="529" t="s">
        <v>220</v>
      </c>
      <c r="F61" s="520" t="s">
        <v>919</v>
      </c>
      <c r="G61" s="1143"/>
      <c r="H61" s="174" t="s">
        <v>363</v>
      </c>
      <c r="I61" s="174" t="s">
        <v>756</v>
      </c>
      <c r="J61" s="174">
        <v>29</v>
      </c>
      <c r="K61" s="802">
        <v>25</v>
      </c>
      <c r="L61" s="96" t="s">
        <v>1658</v>
      </c>
      <c r="M61" s="96" t="s">
        <v>1672</v>
      </c>
      <c r="N61" s="96" t="s">
        <v>1674</v>
      </c>
      <c r="O61" s="841" t="s">
        <v>461</v>
      </c>
      <c r="P61" s="826" t="s">
        <v>465</v>
      </c>
      <c r="Q61" s="30" t="s">
        <v>1526</v>
      </c>
      <c r="R61" s="812">
        <v>5</v>
      </c>
      <c r="S61" s="1146"/>
      <c r="T61" s="1233"/>
      <c r="U61" s="1235"/>
      <c r="V61" s="1231"/>
      <c r="W61" s="612">
        <v>1</v>
      </c>
      <c r="Y61" s="613"/>
      <c r="Z61" s="612">
        <v>1</v>
      </c>
      <c r="AB61" s="613"/>
      <c r="AC61" s="612"/>
      <c r="AE61" s="613"/>
    </row>
    <row r="62" spans="2:31" x14ac:dyDescent="0.25">
      <c r="B62" s="1317"/>
      <c r="C62" s="1320"/>
      <c r="D62" s="1237"/>
      <c r="E62" s="529" t="s">
        <v>217</v>
      </c>
      <c r="F62" s="520" t="s">
        <v>915</v>
      </c>
      <c r="G62" s="1143"/>
      <c r="H62" s="174" t="s">
        <v>363</v>
      </c>
      <c r="I62" s="174" t="s">
        <v>756</v>
      </c>
      <c r="J62" s="174">
        <v>24</v>
      </c>
      <c r="K62" s="802">
        <v>22</v>
      </c>
      <c r="L62" s="96" t="s">
        <v>1658</v>
      </c>
      <c r="M62" s="96" t="s">
        <v>1672</v>
      </c>
      <c r="N62" s="96" t="s">
        <v>1674</v>
      </c>
      <c r="O62" s="841" t="s">
        <v>461</v>
      </c>
      <c r="P62" s="826" t="s">
        <v>466</v>
      </c>
      <c r="Q62" s="30" t="s">
        <v>1527</v>
      </c>
      <c r="R62" s="812">
        <v>3</v>
      </c>
      <c r="S62" s="1146"/>
      <c r="T62" s="1233"/>
      <c r="U62" s="1235"/>
      <c r="V62" s="1231"/>
      <c r="W62" s="612">
        <v>1</v>
      </c>
      <c r="Y62" s="613"/>
      <c r="Z62" s="612">
        <v>1</v>
      </c>
      <c r="AB62" s="613"/>
      <c r="AC62" s="612"/>
      <c r="AE62" s="613"/>
    </row>
    <row r="63" spans="2:31" x14ac:dyDescent="0.25">
      <c r="B63" s="1317"/>
      <c r="C63" s="1320"/>
      <c r="D63" s="1237"/>
      <c r="E63" s="529" t="s">
        <v>219</v>
      </c>
      <c r="F63" s="520" t="s">
        <v>915</v>
      </c>
      <c r="G63" s="1143"/>
      <c r="H63" s="174" t="s">
        <v>363</v>
      </c>
      <c r="I63" s="174" t="s">
        <v>756</v>
      </c>
      <c r="J63" s="174">
        <v>21</v>
      </c>
      <c r="K63" s="802">
        <v>19</v>
      </c>
      <c r="L63" s="96" t="s">
        <v>1658</v>
      </c>
      <c r="M63" s="96" t="s">
        <v>1672</v>
      </c>
      <c r="N63" s="96" t="s">
        <v>1674</v>
      </c>
      <c r="O63" s="841" t="s">
        <v>461</v>
      </c>
      <c r="P63" s="826" t="s">
        <v>467</v>
      </c>
      <c r="Q63" s="30" t="s">
        <v>1527</v>
      </c>
      <c r="R63" s="812">
        <v>3</v>
      </c>
      <c r="S63" s="1146"/>
      <c r="T63" s="1234"/>
      <c r="U63" s="1235"/>
      <c r="V63" s="1231"/>
      <c r="W63" s="612">
        <v>1</v>
      </c>
      <c r="Y63" s="613"/>
      <c r="Z63" s="612">
        <v>1</v>
      </c>
      <c r="AB63" s="613"/>
      <c r="AC63" s="612"/>
      <c r="AE63" s="613"/>
    </row>
    <row r="64" spans="2:31" x14ac:dyDescent="0.25">
      <c r="B64" s="1317"/>
      <c r="C64" s="1320"/>
      <c r="D64" s="1237" t="s">
        <v>489</v>
      </c>
      <c r="E64" s="529" t="s">
        <v>224</v>
      </c>
      <c r="F64" s="257" t="s">
        <v>1254</v>
      </c>
      <c r="G64" s="1143"/>
      <c r="H64" s="174" t="s">
        <v>363</v>
      </c>
      <c r="I64" s="174" t="s">
        <v>756</v>
      </c>
      <c r="J64" s="174">
        <v>18</v>
      </c>
      <c r="K64" s="802">
        <v>14</v>
      </c>
      <c r="L64" s="96" t="s">
        <v>1658</v>
      </c>
      <c r="M64" s="96" t="s">
        <v>1672</v>
      </c>
      <c r="N64" s="96" t="s">
        <v>1674</v>
      </c>
      <c r="O64" s="821" t="s">
        <v>468</v>
      </c>
      <c r="P64" s="826" t="s">
        <v>459</v>
      </c>
      <c r="Q64" s="30" t="s">
        <v>1526</v>
      </c>
      <c r="R64" s="812">
        <v>5</v>
      </c>
      <c r="S64" s="1146"/>
      <c r="T64" s="1145"/>
      <c r="U64" s="1235"/>
      <c r="V64" s="1231"/>
      <c r="W64" s="612">
        <v>1</v>
      </c>
      <c r="Y64" s="613"/>
      <c r="Z64" s="612">
        <v>1</v>
      </c>
      <c r="AB64" s="613"/>
      <c r="AC64" s="612"/>
      <c r="AE64" s="613"/>
    </row>
    <row r="65" spans="2:31" x14ac:dyDescent="0.25">
      <c r="B65" s="1317"/>
      <c r="C65" s="1320"/>
      <c r="D65" s="1237"/>
      <c r="E65" s="529" t="s">
        <v>223</v>
      </c>
      <c r="F65" s="520" t="s">
        <v>918</v>
      </c>
      <c r="G65" s="1143"/>
      <c r="H65" s="174" t="s">
        <v>363</v>
      </c>
      <c r="I65" s="174" t="s">
        <v>756</v>
      </c>
      <c r="J65" s="174">
        <v>13</v>
      </c>
      <c r="K65" s="802">
        <v>9</v>
      </c>
      <c r="L65" s="96" t="s">
        <v>1658</v>
      </c>
      <c r="M65" s="96" t="s">
        <v>1672</v>
      </c>
      <c r="N65" s="96" t="s">
        <v>1674</v>
      </c>
      <c r="O65" s="841" t="s">
        <v>468</v>
      </c>
      <c r="P65" s="826" t="s">
        <v>432</v>
      </c>
      <c r="Q65" s="30" t="s">
        <v>1526</v>
      </c>
      <c r="R65" s="812">
        <v>5</v>
      </c>
      <c r="S65" s="1146"/>
      <c r="T65" s="1146"/>
      <c r="U65" s="1235"/>
      <c r="V65" s="1231"/>
      <c r="W65" s="612">
        <v>1</v>
      </c>
      <c r="Y65" s="613"/>
      <c r="Z65" s="612">
        <v>1</v>
      </c>
      <c r="AB65" s="613"/>
      <c r="AC65" s="612"/>
      <c r="AE65" s="613"/>
    </row>
    <row r="66" spans="2:31" x14ac:dyDescent="0.25">
      <c r="B66" s="1317"/>
      <c r="C66" s="1320"/>
      <c r="D66" s="1237"/>
      <c r="E66" s="529" t="s">
        <v>225</v>
      </c>
      <c r="F66" s="257" t="s">
        <v>917</v>
      </c>
      <c r="G66" s="1143"/>
      <c r="H66" s="174" t="s">
        <v>363</v>
      </c>
      <c r="I66" s="174" t="s">
        <v>756</v>
      </c>
      <c r="J66" s="174">
        <v>8</v>
      </c>
      <c r="K66" s="802">
        <v>6</v>
      </c>
      <c r="L66" s="96" t="s">
        <v>1658</v>
      </c>
      <c r="M66" s="96" t="s">
        <v>1672</v>
      </c>
      <c r="N66" s="96" t="s">
        <v>1674</v>
      </c>
      <c r="O66" s="841" t="s">
        <v>468</v>
      </c>
      <c r="P66" s="826" t="s">
        <v>469</v>
      </c>
      <c r="Q66" s="30" t="s">
        <v>1527</v>
      </c>
      <c r="R66" s="812">
        <v>3</v>
      </c>
      <c r="S66" s="1146"/>
      <c r="T66" s="1146"/>
      <c r="U66" s="1235"/>
      <c r="V66" s="1231"/>
      <c r="W66" s="612">
        <v>1</v>
      </c>
      <c r="Y66" s="613"/>
      <c r="Z66" s="612">
        <v>1</v>
      </c>
      <c r="AB66" s="613"/>
      <c r="AC66" s="612"/>
      <c r="AE66" s="613"/>
    </row>
    <row r="67" spans="2:31" x14ac:dyDescent="0.25">
      <c r="B67" s="1317"/>
      <c r="C67" s="1320"/>
      <c r="D67" s="1237"/>
      <c r="E67" s="529" t="s">
        <v>226</v>
      </c>
      <c r="F67" s="520" t="s">
        <v>915</v>
      </c>
      <c r="G67" s="1143"/>
      <c r="H67" s="174" t="s">
        <v>363</v>
      </c>
      <c r="I67" s="174" t="s">
        <v>756</v>
      </c>
      <c r="J67" s="174">
        <v>5</v>
      </c>
      <c r="K67" s="802">
        <v>3</v>
      </c>
      <c r="L67" s="96" t="s">
        <v>1658</v>
      </c>
      <c r="M67" s="96" t="s">
        <v>1672</v>
      </c>
      <c r="N67" s="96" t="s">
        <v>1674</v>
      </c>
      <c r="O67" s="821" t="s">
        <v>470</v>
      </c>
      <c r="P67" s="826" t="s">
        <v>471</v>
      </c>
      <c r="Q67" s="30" t="s">
        <v>1527</v>
      </c>
      <c r="R67" s="812">
        <v>3</v>
      </c>
      <c r="S67" s="1146"/>
      <c r="T67" s="1146"/>
      <c r="U67" s="1235"/>
      <c r="V67" s="1231"/>
      <c r="W67" s="612">
        <v>1</v>
      </c>
      <c r="Y67" s="613"/>
      <c r="Z67" s="612">
        <v>1</v>
      </c>
      <c r="AB67" s="613"/>
      <c r="AC67" s="612"/>
      <c r="AE67" s="613"/>
    </row>
    <row r="68" spans="2:31" x14ac:dyDescent="0.25">
      <c r="B68" s="1317"/>
      <c r="C68" s="1320"/>
      <c r="D68" s="1237"/>
      <c r="E68" s="529" t="s">
        <v>227</v>
      </c>
      <c r="F68" s="520" t="s">
        <v>915</v>
      </c>
      <c r="G68" s="1143"/>
      <c r="H68" s="174" t="s">
        <v>363</v>
      </c>
      <c r="I68" s="174" t="s">
        <v>756</v>
      </c>
      <c r="J68" s="174">
        <v>2</v>
      </c>
      <c r="K68" s="802">
        <v>0</v>
      </c>
      <c r="L68" s="96" t="s">
        <v>1658</v>
      </c>
      <c r="M68" s="96" t="s">
        <v>1672</v>
      </c>
      <c r="N68" s="96" t="s">
        <v>1674</v>
      </c>
      <c r="O68" s="841" t="s">
        <v>470</v>
      </c>
      <c r="P68" s="826" t="s">
        <v>462</v>
      </c>
      <c r="Q68" s="30" t="s">
        <v>1527</v>
      </c>
      <c r="R68" s="812">
        <v>3</v>
      </c>
      <c r="S68" s="1146"/>
      <c r="T68" s="1146"/>
      <c r="U68" s="1235"/>
      <c r="V68" s="1231"/>
      <c r="W68" s="612">
        <v>1</v>
      </c>
      <c r="Y68" s="613"/>
      <c r="Z68" s="612">
        <v>1</v>
      </c>
      <c r="AB68" s="613"/>
      <c r="AC68" s="612"/>
      <c r="AE68" s="613"/>
    </row>
    <row r="69" spans="2:31" x14ac:dyDescent="0.25">
      <c r="B69" s="1317"/>
      <c r="C69" s="1320"/>
      <c r="D69" s="1237"/>
      <c r="E69" s="529" t="s">
        <v>228</v>
      </c>
      <c r="F69" s="520" t="s">
        <v>915</v>
      </c>
      <c r="G69" s="1143"/>
      <c r="H69" s="174" t="s">
        <v>363</v>
      </c>
      <c r="I69" s="174" t="s">
        <v>757</v>
      </c>
      <c r="J69" s="174">
        <v>30</v>
      </c>
      <c r="K69" s="802">
        <v>28</v>
      </c>
      <c r="L69" s="96" t="s">
        <v>1658</v>
      </c>
      <c r="M69" s="96" t="s">
        <v>1672</v>
      </c>
      <c r="N69" s="96" t="s">
        <v>1674</v>
      </c>
      <c r="O69" s="841" t="s">
        <v>470</v>
      </c>
      <c r="P69" s="826" t="s">
        <v>472</v>
      </c>
      <c r="Q69" s="30" t="s">
        <v>1527</v>
      </c>
      <c r="R69" s="812">
        <v>3</v>
      </c>
      <c r="S69" s="1146"/>
      <c r="T69" s="1146"/>
      <c r="U69" s="1235"/>
      <c r="V69" s="1231"/>
      <c r="W69" s="612">
        <v>1</v>
      </c>
      <c r="Y69" s="613"/>
      <c r="Z69" s="612">
        <v>1</v>
      </c>
      <c r="AB69" s="613"/>
      <c r="AC69" s="612"/>
      <c r="AE69" s="613"/>
    </row>
    <row r="70" spans="2:31" x14ac:dyDescent="0.25">
      <c r="B70" s="1317"/>
      <c r="C70" s="1320"/>
      <c r="D70" s="1237"/>
      <c r="E70" s="529" t="s">
        <v>638</v>
      </c>
      <c r="F70" s="520" t="s">
        <v>915</v>
      </c>
      <c r="G70" s="1143"/>
      <c r="H70" s="174" t="s">
        <v>363</v>
      </c>
      <c r="I70" s="174" t="s">
        <v>757</v>
      </c>
      <c r="J70" s="174">
        <v>27</v>
      </c>
      <c r="K70" s="802">
        <v>25</v>
      </c>
      <c r="L70" s="96" t="s">
        <v>1658</v>
      </c>
      <c r="M70" s="96" t="s">
        <v>1672</v>
      </c>
      <c r="N70" s="96" t="s">
        <v>1674</v>
      </c>
      <c r="O70" s="841" t="s">
        <v>470</v>
      </c>
      <c r="P70" s="826" t="s">
        <v>473</v>
      </c>
      <c r="Q70" s="30" t="s">
        <v>1527</v>
      </c>
      <c r="R70" s="812">
        <v>3</v>
      </c>
      <c r="S70" s="1146"/>
      <c r="T70" s="1147"/>
      <c r="U70" s="1235"/>
      <c r="V70" s="1231"/>
      <c r="W70" s="612">
        <v>1</v>
      </c>
      <c r="Y70" s="613"/>
      <c r="Z70" s="612">
        <v>1</v>
      </c>
      <c r="AB70" s="613"/>
      <c r="AC70" s="612"/>
      <c r="AE70" s="613"/>
    </row>
    <row r="71" spans="2:31" x14ac:dyDescent="0.25">
      <c r="B71" s="1317"/>
      <c r="C71" s="1320"/>
      <c r="D71" s="1237" t="s">
        <v>490</v>
      </c>
      <c r="E71" s="529" t="s">
        <v>229</v>
      </c>
      <c r="F71" s="520" t="s">
        <v>919</v>
      </c>
      <c r="G71" s="1143"/>
      <c r="H71" s="174" t="s">
        <v>363</v>
      </c>
      <c r="I71" s="174" t="s">
        <v>757</v>
      </c>
      <c r="J71" s="174">
        <v>24</v>
      </c>
      <c r="K71" s="802">
        <v>20</v>
      </c>
      <c r="L71" s="96" t="s">
        <v>1658</v>
      </c>
      <c r="M71" s="96" t="s">
        <v>1672</v>
      </c>
      <c r="N71" s="96" t="s">
        <v>1674</v>
      </c>
      <c r="O71" s="821" t="s">
        <v>430</v>
      </c>
      <c r="P71" s="826" t="s">
        <v>431</v>
      </c>
      <c r="Q71" s="30" t="s">
        <v>1526</v>
      </c>
      <c r="R71" s="812">
        <v>5</v>
      </c>
      <c r="S71" s="1146"/>
      <c r="T71" s="1145"/>
      <c r="U71" s="1235"/>
      <c r="V71" s="1231"/>
      <c r="W71" s="612">
        <v>1</v>
      </c>
      <c r="Y71" s="613"/>
      <c r="Z71" s="612">
        <v>1</v>
      </c>
      <c r="AB71" s="613"/>
      <c r="AC71" s="612"/>
      <c r="AE71" s="613"/>
    </row>
    <row r="72" spans="2:31" x14ac:dyDescent="0.25">
      <c r="B72" s="1317"/>
      <c r="C72" s="1320"/>
      <c r="D72" s="1237"/>
      <c r="E72" s="529" t="s">
        <v>437</v>
      </c>
      <c r="F72" s="520" t="s">
        <v>916</v>
      </c>
      <c r="G72" s="1143"/>
      <c r="H72" s="174" t="s">
        <v>363</v>
      </c>
      <c r="I72" s="174" t="s">
        <v>757</v>
      </c>
      <c r="J72" s="174">
        <v>19</v>
      </c>
      <c r="K72" s="802">
        <v>15</v>
      </c>
      <c r="L72" s="96" t="s">
        <v>1658</v>
      </c>
      <c r="M72" s="96" t="s">
        <v>1672</v>
      </c>
      <c r="N72" s="96" t="s">
        <v>1674</v>
      </c>
      <c r="O72" s="841" t="s">
        <v>430</v>
      </c>
      <c r="P72" s="826" t="s">
        <v>432</v>
      </c>
      <c r="Q72" s="30" t="s">
        <v>1526</v>
      </c>
      <c r="R72" s="812">
        <v>5</v>
      </c>
      <c r="S72" s="1146"/>
      <c r="T72" s="1146"/>
      <c r="U72" s="1235"/>
      <c r="V72" s="1231"/>
      <c r="W72" s="612">
        <v>1</v>
      </c>
      <c r="Y72" s="613"/>
      <c r="Z72" s="612">
        <v>1</v>
      </c>
      <c r="AB72" s="613"/>
      <c r="AC72" s="612"/>
      <c r="AE72" s="613"/>
    </row>
    <row r="73" spans="2:31" x14ac:dyDescent="0.25">
      <c r="B73" s="1317"/>
      <c r="C73" s="1320"/>
      <c r="D73" s="1237"/>
      <c r="E73" s="529" t="s">
        <v>436</v>
      </c>
      <c r="F73" s="257" t="s">
        <v>916</v>
      </c>
      <c r="G73" s="1143"/>
      <c r="H73" s="174" t="s">
        <v>363</v>
      </c>
      <c r="I73" s="174" t="s">
        <v>757</v>
      </c>
      <c r="J73" s="174">
        <v>14</v>
      </c>
      <c r="K73" s="802">
        <v>10</v>
      </c>
      <c r="L73" s="96" t="s">
        <v>1658</v>
      </c>
      <c r="M73" s="96" t="s">
        <v>1672</v>
      </c>
      <c r="N73" s="96" t="s">
        <v>1674</v>
      </c>
      <c r="O73" s="841" t="s">
        <v>430</v>
      </c>
      <c r="P73" s="826" t="s">
        <v>433</v>
      </c>
      <c r="Q73" s="30" t="s">
        <v>1526</v>
      </c>
      <c r="R73" s="812">
        <v>5</v>
      </c>
      <c r="S73" s="1146"/>
      <c r="T73" s="1146"/>
      <c r="U73" s="1235"/>
      <c r="V73" s="1231"/>
      <c r="W73" s="612">
        <v>1</v>
      </c>
      <c r="Y73" s="613"/>
      <c r="Z73" s="612">
        <v>1</v>
      </c>
      <c r="AB73" s="613"/>
      <c r="AC73" s="612"/>
      <c r="AE73" s="613"/>
    </row>
    <row r="74" spans="2:31" x14ac:dyDescent="0.25">
      <c r="B74" s="1317"/>
      <c r="C74" s="1320"/>
      <c r="D74" s="1237"/>
      <c r="E74" s="529" t="s">
        <v>435</v>
      </c>
      <c r="F74" s="257" t="s">
        <v>916</v>
      </c>
      <c r="G74" s="1143"/>
      <c r="H74" s="174" t="s">
        <v>363</v>
      </c>
      <c r="I74" s="174" t="s">
        <v>757</v>
      </c>
      <c r="J74" s="174">
        <v>9</v>
      </c>
      <c r="K74" s="802">
        <v>5</v>
      </c>
      <c r="L74" s="96" t="s">
        <v>1658</v>
      </c>
      <c r="M74" s="96" t="s">
        <v>1672</v>
      </c>
      <c r="N74" s="96" t="s">
        <v>1674</v>
      </c>
      <c r="O74" s="841" t="s">
        <v>430</v>
      </c>
      <c r="P74" s="826" t="s">
        <v>434</v>
      </c>
      <c r="Q74" s="30" t="s">
        <v>1526</v>
      </c>
      <c r="R74" s="812">
        <v>5</v>
      </c>
      <c r="S74" s="1146"/>
      <c r="T74" s="1147"/>
      <c r="U74" s="1235"/>
      <c r="V74" s="1231"/>
      <c r="W74" s="612">
        <v>1</v>
      </c>
      <c r="Y74" s="613"/>
      <c r="Z74" s="612">
        <v>1</v>
      </c>
      <c r="AB74" s="613"/>
      <c r="AC74" s="612"/>
      <c r="AE74" s="613"/>
    </row>
    <row r="75" spans="2:31" x14ac:dyDescent="0.25">
      <c r="B75" s="1317"/>
      <c r="C75" s="1320"/>
      <c r="D75" s="1224" t="s">
        <v>18</v>
      </c>
      <c r="E75" s="529" t="s">
        <v>498</v>
      </c>
      <c r="F75" s="257" t="s">
        <v>916</v>
      </c>
      <c r="G75" s="1143"/>
      <c r="H75" s="174" t="s">
        <v>363</v>
      </c>
      <c r="I75" s="174" t="s">
        <v>757</v>
      </c>
      <c r="J75" s="174">
        <v>4</v>
      </c>
      <c r="K75" s="802">
        <v>0</v>
      </c>
      <c r="L75" s="96" t="s">
        <v>1658</v>
      </c>
      <c r="M75" s="96" t="s">
        <v>1672</v>
      </c>
      <c r="N75" s="96" t="s">
        <v>1674</v>
      </c>
      <c r="O75" s="821" t="s">
        <v>439</v>
      </c>
      <c r="P75" s="826" t="s">
        <v>438</v>
      </c>
      <c r="Q75" s="30" t="s">
        <v>1526</v>
      </c>
      <c r="R75" s="812">
        <v>5</v>
      </c>
      <c r="S75" s="1146"/>
      <c r="T75" s="683"/>
      <c r="U75" s="1235"/>
      <c r="V75" s="1231"/>
      <c r="W75" s="612">
        <v>1</v>
      </c>
      <c r="Y75" s="613"/>
      <c r="Z75" s="612">
        <v>1</v>
      </c>
      <c r="AB75" s="613"/>
      <c r="AC75" s="612"/>
      <c r="AE75" s="613"/>
    </row>
    <row r="76" spans="2:31" x14ac:dyDescent="0.25">
      <c r="B76" s="1317"/>
      <c r="C76" s="1320"/>
      <c r="D76" s="1225"/>
      <c r="E76" s="529" t="s">
        <v>1464</v>
      </c>
      <c r="F76" s="520" t="s">
        <v>915</v>
      </c>
      <c r="G76" s="1143"/>
      <c r="H76" s="174" t="s">
        <v>363</v>
      </c>
      <c r="I76" s="174" t="s">
        <v>755</v>
      </c>
      <c r="J76" s="174">
        <v>30</v>
      </c>
      <c r="K76" s="802">
        <v>28</v>
      </c>
      <c r="L76" s="96" t="s">
        <v>1658</v>
      </c>
      <c r="M76" s="96" t="s">
        <v>1672</v>
      </c>
      <c r="N76" s="96" t="s">
        <v>1674</v>
      </c>
      <c r="O76" s="821" t="s">
        <v>1466</v>
      </c>
      <c r="P76" s="826" t="s">
        <v>1466</v>
      </c>
      <c r="Q76" s="30" t="s">
        <v>1527</v>
      </c>
      <c r="R76" s="812">
        <v>3</v>
      </c>
      <c r="S76" s="1146"/>
      <c r="T76" s="778"/>
      <c r="U76" s="1235"/>
      <c r="V76" s="1231"/>
      <c r="W76" s="612">
        <v>1</v>
      </c>
      <c r="Y76" s="613"/>
      <c r="Z76" s="612">
        <v>1</v>
      </c>
      <c r="AB76" s="613"/>
      <c r="AC76" s="612"/>
      <c r="AE76" s="613"/>
    </row>
    <row r="77" spans="2:31" x14ac:dyDescent="0.25">
      <c r="B77" s="1317"/>
      <c r="C77" s="1320"/>
      <c r="D77" s="690" t="s">
        <v>491</v>
      </c>
      <c r="E77" s="529" t="s">
        <v>230</v>
      </c>
      <c r="F77" s="257" t="s">
        <v>918</v>
      </c>
      <c r="G77" s="1143"/>
      <c r="H77" s="174" t="s">
        <v>363</v>
      </c>
      <c r="I77" s="174" t="s">
        <v>758</v>
      </c>
      <c r="J77" s="174">
        <v>29</v>
      </c>
      <c r="K77" s="802">
        <v>25</v>
      </c>
      <c r="L77" s="96" t="s">
        <v>1658</v>
      </c>
      <c r="M77" s="96" t="s">
        <v>1672</v>
      </c>
      <c r="N77" s="96" t="s">
        <v>1674</v>
      </c>
      <c r="O77" s="821" t="s">
        <v>474</v>
      </c>
      <c r="P77" s="826" t="s">
        <v>432</v>
      </c>
      <c r="Q77" s="30" t="s">
        <v>1526</v>
      </c>
      <c r="R77" s="812">
        <v>5</v>
      </c>
      <c r="S77" s="1146"/>
      <c r="T77" s="683"/>
      <c r="U77" s="1235"/>
      <c r="V77" s="1231"/>
      <c r="W77" s="612">
        <v>1</v>
      </c>
      <c r="Y77" s="613"/>
      <c r="Z77" s="612">
        <v>1</v>
      </c>
      <c r="AB77" s="613"/>
      <c r="AC77" s="612"/>
      <c r="AE77" s="613"/>
    </row>
    <row r="78" spans="2:31" x14ac:dyDescent="0.25">
      <c r="B78" s="1317"/>
      <c r="C78" s="1320"/>
      <c r="D78" s="1237" t="s">
        <v>492</v>
      </c>
      <c r="E78" s="529" t="s">
        <v>231</v>
      </c>
      <c r="F78" s="257" t="s">
        <v>1254</v>
      </c>
      <c r="G78" s="1143"/>
      <c r="H78" s="174" t="s">
        <v>363</v>
      </c>
      <c r="I78" s="174" t="s">
        <v>758</v>
      </c>
      <c r="J78" s="174">
        <v>24</v>
      </c>
      <c r="K78" s="802">
        <v>20</v>
      </c>
      <c r="L78" s="96" t="s">
        <v>1658</v>
      </c>
      <c r="M78" s="96" t="s">
        <v>1672</v>
      </c>
      <c r="N78" s="96" t="s">
        <v>1674</v>
      </c>
      <c r="O78" s="821" t="s">
        <v>475</v>
      </c>
      <c r="P78" s="826" t="s">
        <v>476</v>
      </c>
      <c r="Q78" s="30" t="s">
        <v>1526</v>
      </c>
      <c r="R78" s="812">
        <v>5</v>
      </c>
      <c r="S78" s="1146"/>
      <c r="T78" s="1145"/>
      <c r="U78" s="1235"/>
      <c r="V78" s="1231"/>
      <c r="W78" s="612">
        <v>1</v>
      </c>
      <c r="Y78" s="613"/>
      <c r="Z78" s="612">
        <v>1</v>
      </c>
      <c r="AB78" s="613"/>
      <c r="AC78" s="612"/>
      <c r="AE78" s="613"/>
    </row>
    <row r="79" spans="2:31" x14ac:dyDescent="0.25">
      <c r="B79" s="1317"/>
      <c r="C79" s="1320"/>
      <c r="D79" s="1237"/>
      <c r="E79" s="529" t="s">
        <v>232</v>
      </c>
      <c r="F79" s="257" t="s">
        <v>1254</v>
      </c>
      <c r="G79" s="1143"/>
      <c r="H79" s="174" t="s">
        <v>363</v>
      </c>
      <c r="I79" s="174" t="s">
        <v>758</v>
      </c>
      <c r="J79" s="174">
        <v>19</v>
      </c>
      <c r="K79" s="802">
        <v>15</v>
      </c>
      <c r="L79" s="96" t="s">
        <v>1658</v>
      </c>
      <c r="M79" s="96" t="s">
        <v>1672</v>
      </c>
      <c r="N79" s="96" t="s">
        <v>1674</v>
      </c>
      <c r="O79" s="841" t="s">
        <v>475</v>
      </c>
      <c r="P79" s="826" t="s">
        <v>449</v>
      </c>
      <c r="Q79" s="30" t="s">
        <v>1526</v>
      </c>
      <c r="R79" s="812">
        <v>5</v>
      </c>
      <c r="S79" s="1146"/>
      <c r="T79" s="1146"/>
      <c r="U79" s="1235"/>
      <c r="V79" s="1231"/>
      <c r="W79" s="612">
        <v>1</v>
      </c>
      <c r="Y79" s="613"/>
      <c r="Z79" s="612">
        <v>1</v>
      </c>
      <c r="AB79" s="613"/>
      <c r="AC79" s="612"/>
      <c r="AE79" s="613"/>
    </row>
    <row r="80" spans="2:31" x14ac:dyDescent="0.25">
      <c r="B80" s="1317"/>
      <c r="C80" s="1320"/>
      <c r="D80" s="1237"/>
      <c r="E80" s="529" t="s">
        <v>233</v>
      </c>
      <c r="F80" s="257" t="s">
        <v>918</v>
      </c>
      <c r="G80" s="1143"/>
      <c r="H80" s="174" t="s">
        <v>363</v>
      </c>
      <c r="I80" s="174" t="s">
        <v>758</v>
      </c>
      <c r="J80" s="174">
        <v>14</v>
      </c>
      <c r="K80" s="802">
        <v>10</v>
      </c>
      <c r="L80" s="96" t="s">
        <v>1658</v>
      </c>
      <c r="M80" s="96" t="s">
        <v>1672</v>
      </c>
      <c r="N80" s="96" t="s">
        <v>1674</v>
      </c>
      <c r="O80" s="841" t="s">
        <v>475</v>
      </c>
      <c r="P80" s="826" t="s">
        <v>477</v>
      </c>
      <c r="Q80" s="30" t="s">
        <v>1526</v>
      </c>
      <c r="R80" s="812">
        <v>5</v>
      </c>
      <c r="S80" s="1146"/>
      <c r="T80" s="1146"/>
      <c r="U80" s="1235"/>
      <c r="V80" s="1231"/>
      <c r="W80" s="612">
        <v>1</v>
      </c>
      <c r="Y80" s="613"/>
      <c r="Z80" s="612">
        <v>1</v>
      </c>
      <c r="AB80" s="613"/>
      <c r="AC80" s="612"/>
      <c r="AE80" s="613"/>
    </row>
    <row r="81" spans="2:31" x14ac:dyDescent="0.25">
      <c r="B81" s="1317"/>
      <c r="C81" s="1320"/>
      <c r="D81" s="1237"/>
      <c r="E81" s="529" t="s">
        <v>234</v>
      </c>
      <c r="F81" s="257" t="s">
        <v>918</v>
      </c>
      <c r="G81" s="1143"/>
      <c r="H81" s="174" t="s">
        <v>363</v>
      </c>
      <c r="I81" s="174" t="s">
        <v>758</v>
      </c>
      <c r="J81" s="174">
        <v>9</v>
      </c>
      <c r="K81" s="802">
        <v>5</v>
      </c>
      <c r="L81" s="96" t="s">
        <v>1658</v>
      </c>
      <c r="M81" s="96" t="s">
        <v>1672</v>
      </c>
      <c r="N81" s="96" t="s">
        <v>1674</v>
      </c>
      <c r="O81" s="821" t="s">
        <v>478</v>
      </c>
      <c r="P81" s="826" t="s">
        <v>454</v>
      </c>
      <c r="Q81" s="30" t="s">
        <v>1526</v>
      </c>
      <c r="R81" s="812">
        <v>5</v>
      </c>
      <c r="S81" s="1146"/>
      <c r="T81" s="1146"/>
      <c r="U81" s="1235"/>
      <c r="V81" s="1231"/>
      <c r="W81" s="612">
        <v>1</v>
      </c>
      <c r="Y81" s="613"/>
      <c r="Z81" s="612">
        <v>1</v>
      </c>
      <c r="AB81" s="613"/>
      <c r="AC81" s="612"/>
      <c r="AE81" s="613"/>
    </row>
    <row r="82" spans="2:31" x14ac:dyDescent="0.25">
      <c r="B82" s="1317"/>
      <c r="C82" s="1320"/>
      <c r="D82" s="1237"/>
      <c r="E82" s="529" t="s">
        <v>235</v>
      </c>
      <c r="F82" s="257" t="s">
        <v>918</v>
      </c>
      <c r="G82" s="1143"/>
      <c r="H82" s="174" t="s">
        <v>363</v>
      </c>
      <c r="I82" s="174" t="s">
        <v>758</v>
      </c>
      <c r="J82" s="174">
        <v>4</v>
      </c>
      <c r="K82" s="802">
        <v>0</v>
      </c>
      <c r="L82" s="96" t="s">
        <v>1658</v>
      </c>
      <c r="M82" s="96" t="s">
        <v>1672</v>
      </c>
      <c r="N82" s="96" t="s">
        <v>1674</v>
      </c>
      <c r="O82" s="841" t="s">
        <v>478</v>
      </c>
      <c r="P82" s="826" t="s">
        <v>479</v>
      </c>
      <c r="Q82" s="30" t="s">
        <v>1526</v>
      </c>
      <c r="R82" s="812">
        <v>5</v>
      </c>
      <c r="S82" s="1146"/>
      <c r="T82" s="1146"/>
      <c r="U82" s="1235"/>
      <c r="V82" s="1231"/>
      <c r="W82" s="612">
        <v>1</v>
      </c>
      <c r="Y82" s="613"/>
      <c r="Z82" s="612">
        <v>1</v>
      </c>
      <c r="AB82" s="613"/>
      <c r="AC82" s="612"/>
      <c r="AE82" s="613"/>
    </row>
    <row r="83" spans="2:31" x14ac:dyDescent="0.25">
      <c r="B83" s="1317"/>
      <c r="C83" s="1320"/>
      <c r="D83" s="1237"/>
      <c r="E83" s="529" t="s">
        <v>236</v>
      </c>
      <c r="F83" s="257" t="s">
        <v>918</v>
      </c>
      <c r="G83" s="1143"/>
      <c r="H83" s="174" t="s">
        <v>363</v>
      </c>
      <c r="I83" s="174" t="s">
        <v>759</v>
      </c>
      <c r="J83" s="174">
        <v>30</v>
      </c>
      <c r="K83" s="802">
        <v>26</v>
      </c>
      <c r="L83" s="96" t="s">
        <v>1658</v>
      </c>
      <c r="M83" s="96" t="s">
        <v>1672</v>
      </c>
      <c r="N83" s="96" t="s">
        <v>1674</v>
      </c>
      <c r="O83" s="841" t="s">
        <v>478</v>
      </c>
      <c r="P83" s="826" t="s">
        <v>480</v>
      </c>
      <c r="Q83" s="30" t="s">
        <v>1526</v>
      </c>
      <c r="R83" s="812">
        <v>5</v>
      </c>
      <c r="S83" s="1146"/>
      <c r="T83" s="1146"/>
      <c r="U83" s="1235"/>
      <c r="V83" s="1231"/>
      <c r="W83" s="612">
        <v>1</v>
      </c>
      <c r="Y83" s="613"/>
      <c r="Z83" s="612">
        <v>1</v>
      </c>
      <c r="AB83" s="613"/>
      <c r="AC83" s="612"/>
      <c r="AE83" s="613"/>
    </row>
    <row r="84" spans="2:31" x14ac:dyDescent="0.25">
      <c r="B84" s="1317"/>
      <c r="C84" s="1320"/>
      <c r="D84" s="1237"/>
      <c r="E84" s="529" t="s">
        <v>237</v>
      </c>
      <c r="F84" s="257" t="s">
        <v>918</v>
      </c>
      <c r="G84" s="1143"/>
      <c r="H84" s="174" t="s">
        <v>363</v>
      </c>
      <c r="I84" s="174" t="s">
        <v>759</v>
      </c>
      <c r="J84" s="174">
        <v>25</v>
      </c>
      <c r="K84" s="802">
        <v>21</v>
      </c>
      <c r="L84" s="96" t="s">
        <v>1658</v>
      </c>
      <c r="M84" s="96" t="s">
        <v>1672</v>
      </c>
      <c r="N84" s="96" t="s">
        <v>1674</v>
      </c>
      <c r="O84" s="841" t="s">
        <v>478</v>
      </c>
      <c r="P84" s="826" t="s">
        <v>481</v>
      </c>
      <c r="Q84" s="30" t="s">
        <v>1526</v>
      </c>
      <c r="R84" s="812">
        <v>5</v>
      </c>
      <c r="S84" s="1146"/>
      <c r="T84" s="1146"/>
      <c r="U84" s="1235"/>
      <c r="V84" s="1231"/>
      <c r="W84" s="612">
        <v>1</v>
      </c>
      <c r="Y84" s="613"/>
      <c r="Z84" s="612">
        <v>1</v>
      </c>
      <c r="AB84" s="613"/>
      <c r="AC84" s="612"/>
      <c r="AE84" s="613"/>
    </row>
    <row r="85" spans="2:31" x14ac:dyDescent="0.25">
      <c r="B85" s="1317"/>
      <c r="C85" s="1320"/>
      <c r="D85" s="1237"/>
      <c r="E85" s="529" t="s">
        <v>238</v>
      </c>
      <c r="F85" s="257" t="s">
        <v>915</v>
      </c>
      <c r="G85" s="1143"/>
      <c r="H85" s="174" t="s">
        <v>363</v>
      </c>
      <c r="I85" s="174" t="s">
        <v>759</v>
      </c>
      <c r="J85" s="174">
        <v>20</v>
      </c>
      <c r="K85" s="802">
        <v>18</v>
      </c>
      <c r="L85" s="96" t="s">
        <v>1658</v>
      </c>
      <c r="M85" s="96" t="s">
        <v>1672</v>
      </c>
      <c r="N85" s="96" t="s">
        <v>1674</v>
      </c>
      <c r="O85" s="821" t="s">
        <v>482</v>
      </c>
      <c r="P85" s="826" t="s">
        <v>483</v>
      </c>
      <c r="Q85" s="30" t="s">
        <v>1527</v>
      </c>
      <c r="R85" s="812">
        <v>3</v>
      </c>
      <c r="S85" s="1146"/>
      <c r="T85" s="1146"/>
      <c r="U85" s="1235"/>
      <c r="V85" s="1231"/>
      <c r="W85" s="612">
        <v>1</v>
      </c>
      <c r="Y85" s="613"/>
      <c r="Z85" s="612">
        <v>1</v>
      </c>
      <c r="AB85" s="613"/>
      <c r="AC85" s="612"/>
      <c r="AE85" s="613"/>
    </row>
    <row r="86" spans="2:31" x14ac:dyDescent="0.25">
      <c r="B86" s="1317"/>
      <c r="C86" s="1320"/>
      <c r="D86" s="1237"/>
      <c r="E86" s="529" t="s">
        <v>239</v>
      </c>
      <c r="F86" s="257" t="s">
        <v>915</v>
      </c>
      <c r="G86" s="1143"/>
      <c r="H86" s="174" t="s">
        <v>363</v>
      </c>
      <c r="I86" s="174" t="s">
        <v>759</v>
      </c>
      <c r="J86" s="174">
        <v>17</v>
      </c>
      <c r="K86" s="802">
        <v>15</v>
      </c>
      <c r="L86" s="96" t="s">
        <v>1658</v>
      </c>
      <c r="M86" s="96" t="s">
        <v>1672</v>
      </c>
      <c r="N86" s="96" t="s">
        <v>1674</v>
      </c>
      <c r="O86" s="841" t="s">
        <v>482</v>
      </c>
      <c r="P86" s="826" t="s">
        <v>484</v>
      </c>
      <c r="Q86" s="30" t="s">
        <v>1527</v>
      </c>
      <c r="R86" s="812">
        <v>3</v>
      </c>
      <c r="S86" s="1146"/>
      <c r="T86" s="1146"/>
      <c r="U86" s="1235"/>
      <c r="V86" s="1231"/>
      <c r="W86" s="612">
        <v>1</v>
      </c>
      <c r="Y86" s="613"/>
      <c r="Z86" s="612">
        <v>1</v>
      </c>
      <c r="AB86" s="613"/>
      <c r="AC86" s="612"/>
      <c r="AE86" s="613"/>
    </row>
    <row r="87" spans="2:31" x14ac:dyDescent="0.25">
      <c r="B87" s="1317"/>
      <c r="C87" s="1320"/>
      <c r="D87" s="1237"/>
      <c r="E87" s="529" t="s">
        <v>240</v>
      </c>
      <c r="F87" s="257" t="s">
        <v>915</v>
      </c>
      <c r="G87" s="1143"/>
      <c r="H87" s="174" t="s">
        <v>363</v>
      </c>
      <c r="I87" s="174" t="s">
        <v>759</v>
      </c>
      <c r="J87" s="174">
        <v>14</v>
      </c>
      <c r="K87" s="802">
        <v>12</v>
      </c>
      <c r="L87" s="96" t="s">
        <v>1658</v>
      </c>
      <c r="M87" s="96" t="s">
        <v>1672</v>
      </c>
      <c r="N87" s="96" t="s">
        <v>1674</v>
      </c>
      <c r="O87" s="841" t="s">
        <v>482</v>
      </c>
      <c r="P87" s="826" t="s">
        <v>485</v>
      </c>
      <c r="Q87" s="30" t="s">
        <v>1527</v>
      </c>
      <c r="R87" s="812">
        <v>3</v>
      </c>
      <c r="S87" s="1146"/>
      <c r="T87" s="1147"/>
      <c r="U87" s="1235"/>
      <c r="V87" s="1231"/>
      <c r="W87" s="612">
        <v>1</v>
      </c>
      <c r="Y87" s="613"/>
      <c r="Z87" s="612">
        <v>1</v>
      </c>
      <c r="AB87" s="613"/>
      <c r="AC87" s="612"/>
      <c r="AE87" s="613"/>
    </row>
    <row r="88" spans="2:31" x14ac:dyDescent="0.25">
      <c r="B88" s="1317"/>
      <c r="C88" s="1320"/>
      <c r="D88" s="1237" t="s">
        <v>493</v>
      </c>
      <c r="E88" s="529" t="s">
        <v>241</v>
      </c>
      <c r="F88" s="257" t="s">
        <v>915</v>
      </c>
      <c r="G88" s="1143"/>
      <c r="H88" s="174" t="s">
        <v>363</v>
      </c>
      <c r="I88" s="174" t="s">
        <v>759</v>
      </c>
      <c r="J88" s="174">
        <v>11</v>
      </c>
      <c r="K88" s="802">
        <v>9</v>
      </c>
      <c r="L88" s="96" t="s">
        <v>1658</v>
      </c>
      <c r="M88" s="96" t="s">
        <v>1672</v>
      </c>
      <c r="N88" s="96" t="s">
        <v>1674</v>
      </c>
      <c r="O88" s="821" t="s">
        <v>486</v>
      </c>
      <c r="P88" s="826" t="s">
        <v>487</v>
      </c>
      <c r="Q88" s="30" t="s">
        <v>1527</v>
      </c>
      <c r="R88" s="812">
        <v>3</v>
      </c>
      <c r="S88" s="1146"/>
      <c r="T88" s="1232"/>
      <c r="U88" s="1235"/>
      <c r="V88" s="1231"/>
      <c r="W88" s="612">
        <v>1</v>
      </c>
      <c r="Y88" s="613"/>
      <c r="Z88" s="612">
        <v>1</v>
      </c>
      <c r="AB88" s="613"/>
      <c r="AC88" s="612"/>
      <c r="AE88" s="613"/>
    </row>
    <row r="89" spans="2:31" x14ac:dyDescent="0.25">
      <c r="B89" s="1317"/>
      <c r="C89" s="1320"/>
      <c r="D89" s="1237"/>
      <c r="E89" s="529" t="s">
        <v>242</v>
      </c>
      <c r="F89" s="257" t="s">
        <v>915</v>
      </c>
      <c r="G89" s="1144"/>
      <c r="H89" s="174" t="s">
        <v>363</v>
      </c>
      <c r="I89" s="174" t="s">
        <v>759</v>
      </c>
      <c r="J89" s="174">
        <v>8</v>
      </c>
      <c r="K89" s="802">
        <v>6</v>
      </c>
      <c r="L89" s="96" t="s">
        <v>1658</v>
      </c>
      <c r="M89" s="96" t="s">
        <v>1672</v>
      </c>
      <c r="N89" s="96" t="s">
        <v>1674</v>
      </c>
      <c r="O89" s="841" t="s">
        <v>486</v>
      </c>
      <c r="P89" s="826" t="s">
        <v>488</v>
      </c>
      <c r="Q89" s="30" t="s">
        <v>1527</v>
      </c>
      <c r="R89" s="812">
        <v>3</v>
      </c>
      <c r="S89" s="1146"/>
      <c r="T89" s="1234"/>
      <c r="U89" s="1235"/>
      <c r="V89" s="1231"/>
      <c r="W89" s="612">
        <v>1</v>
      </c>
      <c r="Y89" s="613"/>
      <c r="Z89" s="612">
        <v>1</v>
      </c>
      <c r="AB89" s="613"/>
      <c r="AC89" s="612"/>
      <c r="AE89" s="613"/>
    </row>
    <row r="90" spans="2:31" x14ac:dyDescent="0.25">
      <c r="B90" s="1317"/>
      <c r="C90" s="1320"/>
      <c r="D90" s="1224" t="s">
        <v>1240</v>
      </c>
      <c r="E90" s="529" t="s">
        <v>1256</v>
      </c>
      <c r="F90" s="521" t="s">
        <v>917</v>
      </c>
      <c r="G90" s="681"/>
      <c r="H90" s="174" t="s">
        <v>363</v>
      </c>
      <c r="I90" s="174" t="s">
        <v>759</v>
      </c>
      <c r="J90" s="174">
        <v>5</v>
      </c>
      <c r="K90" s="802">
        <v>3</v>
      </c>
      <c r="L90" s="96" t="s">
        <v>1658</v>
      </c>
      <c r="M90" s="96" t="s">
        <v>1672</v>
      </c>
      <c r="N90" s="96" t="s">
        <v>1674</v>
      </c>
      <c r="O90" s="821" t="s">
        <v>1243</v>
      </c>
      <c r="P90" s="826" t="s">
        <v>469</v>
      </c>
      <c r="Q90" s="30" t="s">
        <v>1527</v>
      </c>
      <c r="R90" s="812">
        <v>3</v>
      </c>
      <c r="S90" s="1146"/>
      <c r="T90" s="1232"/>
      <c r="U90" s="1235"/>
      <c r="V90" s="1231"/>
      <c r="W90" s="612">
        <v>1</v>
      </c>
      <c r="Y90" s="613"/>
      <c r="Z90" s="612">
        <v>1</v>
      </c>
      <c r="AB90" s="613"/>
      <c r="AC90" s="612"/>
      <c r="AE90" s="613"/>
    </row>
    <row r="91" spans="2:31" x14ac:dyDescent="0.25">
      <c r="B91" s="1317"/>
      <c r="C91" s="1320"/>
      <c r="D91" s="1338"/>
      <c r="E91" s="529" t="s">
        <v>1257</v>
      </c>
      <c r="F91" s="257" t="s">
        <v>1254</v>
      </c>
      <c r="G91" s="681"/>
      <c r="H91" s="174" t="s">
        <v>363</v>
      </c>
      <c r="I91" s="174" t="s">
        <v>759</v>
      </c>
      <c r="J91" s="174">
        <v>2</v>
      </c>
      <c r="K91" s="802">
        <v>0</v>
      </c>
      <c r="L91" s="96" t="s">
        <v>1658</v>
      </c>
      <c r="M91" s="96" t="s">
        <v>1672</v>
      </c>
      <c r="N91" s="96" t="s">
        <v>1674</v>
      </c>
      <c r="O91" s="841" t="s">
        <v>1243</v>
      </c>
      <c r="P91" s="826" t="s">
        <v>1241</v>
      </c>
      <c r="Q91" s="30" t="s">
        <v>1527</v>
      </c>
      <c r="R91" s="812">
        <v>3</v>
      </c>
      <c r="S91" s="1146"/>
      <c r="T91" s="1233"/>
      <c r="U91" s="1235"/>
      <c r="V91" s="1231"/>
      <c r="W91" s="612">
        <v>1</v>
      </c>
      <c r="Y91" s="613"/>
      <c r="Z91" s="612">
        <v>1</v>
      </c>
      <c r="AB91" s="613"/>
      <c r="AC91" s="612"/>
      <c r="AE91" s="613"/>
    </row>
    <row r="92" spans="2:31" x14ac:dyDescent="0.25">
      <c r="B92" s="1317"/>
      <c r="C92" s="1320"/>
      <c r="D92" s="1225"/>
      <c r="E92" s="529" t="s">
        <v>1258</v>
      </c>
      <c r="F92" s="257" t="s">
        <v>1255</v>
      </c>
      <c r="G92" s="681"/>
      <c r="H92" s="174" t="s">
        <v>363</v>
      </c>
      <c r="I92" s="174">
        <v>300</v>
      </c>
      <c r="J92" s="174">
        <v>18</v>
      </c>
      <c r="K92" s="802">
        <v>16</v>
      </c>
      <c r="L92" s="96" t="s">
        <v>1658</v>
      </c>
      <c r="M92" s="96" t="s">
        <v>1672</v>
      </c>
      <c r="N92" s="96" t="s">
        <v>1674</v>
      </c>
      <c r="O92" s="841" t="s">
        <v>1243</v>
      </c>
      <c r="P92" s="826" t="s">
        <v>1242</v>
      </c>
      <c r="Q92" s="30" t="s">
        <v>1527</v>
      </c>
      <c r="R92" s="812">
        <v>3</v>
      </c>
      <c r="S92" s="1146"/>
      <c r="T92" s="1234"/>
      <c r="U92" s="1235"/>
      <c r="V92" s="1231"/>
      <c r="W92" s="612"/>
      <c r="X92" s="53">
        <v>1</v>
      </c>
      <c r="Y92" s="613"/>
      <c r="Z92" s="612"/>
      <c r="AA92" s="53">
        <v>1</v>
      </c>
      <c r="AB92" s="613"/>
      <c r="AC92" s="612"/>
      <c r="AE92" s="613"/>
    </row>
    <row r="93" spans="2:31" x14ac:dyDescent="0.25">
      <c r="B93" s="1317"/>
      <c r="C93" s="1320"/>
      <c r="D93" s="1215" t="s">
        <v>23</v>
      </c>
      <c r="E93" s="530" t="s">
        <v>243</v>
      </c>
      <c r="F93" s="522" t="s">
        <v>920</v>
      </c>
      <c r="G93" s="667" t="s">
        <v>1214</v>
      </c>
      <c r="H93" s="174" t="s">
        <v>363</v>
      </c>
      <c r="I93" s="174">
        <v>300</v>
      </c>
      <c r="J93" s="174">
        <v>15</v>
      </c>
      <c r="K93" s="802">
        <v>12</v>
      </c>
      <c r="L93" s="96" t="s">
        <v>1658</v>
      </c>
      <c r="M93" s="96" t="s">
        <v>1672</v>
      </c>
      <c r="N93" s="96" t="s">
        <v>1674</v>
      </c>
      <c r="O93" s="826" t="s">
        <v>100</v>
      </c>
      <c r="P93" s="826" t="s">
        <v>99</v>
      </c>
      <c r="Q93" s="30" t="s">
        <v>1518</v>
      </c>
      <c r="R93" s="813">
        <v>4</v>
      </c>
      <c r="S93" s="1146"/>
      <c r="T93" s="1184"/>
      <c r="U93" s="1235"/>
      <c r="V93" s="1231"/>
      <c r="W93" s="612"/>
      <c r="X93" s="53">
        <v>1</v>
      </c>
      <c r="Y93" s="613"/>
      <c r="Z93" s="612"/>
      <c r="AA93" s="53">
        <v>1</v>
      </c>
      <c r="AB93" s="613"/>
      <c r="AC93" s="612"/>
      <c r="AE93" s="613"/>
    </row>
    <row r="94" spans="2:31" x14ac:dyDescent="0.25">
      <c r="B94" s="1317"/>
      <c r="C94" s="1320"/>
      <c r="D94" s="1215"/>
      <c r="E94" s="529" t="s">
        <v>1259</v>
      </c>
      <c r="F94" s="522" t="s">
        <v>921</v>
      </c>
      <c r="G94" s="707"/>
      <c r="H94" s="174" t="s">
        <v>363</v>
      </c>
      <c r="I94" s="174">
        <v>300</v>
      </c>
      <c r="J94" s="174">
        <v>11</v>
      </c>
      <c r="K94" s="802">
        <v>6</v>
      </c>
      <c r="L94" s="96" t="s">
        <v>1658</v>
      </c>
      <c r="M94" s="96" t="s">
        <v>1672</v>
      </c>
      <c r="N94" s="96" t="s">
        <v>1674</v>
      </c>
      <c r="O94" s="829" t="s">
        <v>176</v>
      </c>
      <c r="P94" s="829" t="s">
        <v>1261</v>
      </c>
      <c r="Q94" s="30" t="s">
        <v>1524</v>
      </c>
      <c r="R94" s="813">
        <v>6</v>
      </c>
      <c r="S94" s="1146"/>
      <c r="T94" s="1184"/>
      <c r="U94" s="1235"/>
      <c r="V94" s="1231"/>
      <c r="W94" s="612"/>
      <c r="X94" s="53">
        <v>1</v>
      </c>
      <c r="Y94" s="613"/>
      <c r="Z94" s="612"/>
      <c r="AA94" s="53">
        <v>1</v>
      </c>
      <c r="AB94" s="613"/>
      <c r="AC94" s="612"/>
      <c r="AE94" s="613"/>
    </row>
    <row r="95" spans="2:31" x14ac:dyDescent="0.25">
      <c r="B95" s="1318"/>
      <c r="C95" s="1321"/>
      <c r="D95" s="1215"/>
      <c r="E95" s="529" t="s">
        <v>244</v>
      </c>
      <c r="F95" s="522" t="s">
        <v>921</v>
      </c>
      <c r="G95" s="258" t="s">
        <v>1219</v>
      </c>
      <c r="H95" s="174" t="s">
        <v>363</v>
      </c>
      <c r="I95" s="174">
        <v>300</v>
      </c>
      <c r="J95" s="174">
        <v>5</v>
      </c>
      <c r="K95" s="802">
        <v>0</v>
      </c>
      <c r="L95" s="96" t="s">
        <v>1658</v>
      </c>
      <c r="M95" s="96" t="s">
        <v>1672</v>
      </c>
      <c r="N95" s="96" t="s">
        <v>1674</v>
      </c>
      <c r="O95" s="826" t="s">
        <v>176</v>
      </c>
      <c r="P95" s="826" t="s">
        <v>177</v>
      </c>
      <c r="Q95" s="30" t="s">
        <v>1524</v>
      </c>
      <c r="R95" s="812">
        <v>6</v>
      </c>
      <c r="S95" s="1147"/>
      <c r="T95" s="1184"/>
      <c r="U95" s="1186"/>
      <c r="V95" s="1228"/>
      <c r="W95" s="612"/>
      <c r="X95" s="53">
        <v>1</v>
      </c>
      <c r="Y95" s="613"/>
      <c r="Z95" s="612"/>
      <c r="AA95" s="53">
        <v>1</v>
      </c>
      <c r="AB95" s="613"/>
      <c r="AC95" s="612"/>
      <c r="AE95" s="613"/>
    </row>
    <row r="96" spans="2:31" ht="15.75" x14ac:dyDescent="0.25">
      <c r="B96" s="7"/>
      <c r="C96" s="7"/>
      <c r="D96" s="14"/>
      <c r="E96" s="531"/>
      <c r="F96" s="550"/>
      <c r="G96" s="668"/>
      <c r="H96" s="14"/>
      <c r="I96" s="14"/>
      <c r="J96" s="14"/>
      <c r="K96" s="14"/>
      <c r="L96" s="822"/>
      <c r="M96" s="822"/>
      <c r="N96" s="822"/>
      <c r="O96" s="830"/>
      <c r="P96" s="830"/>
      <c r="Q96" s="845"/>
      <c r="R96" s="14"/>
      <c r="S96" s="14"/>
      <c r="T96" s="14"/>
      <c r="U96" s="551"/>
      <c r="V96" s="14"/>
      <c r="W96" s="7"/>
      <c r="X96" s="14"/>
      <c r="Y96" s="618"/>
      <c r="Z96" s="7"/>
      <c r="AA96" s="14"/>
      <c r="AB96" s="618"/>
      <c r="AC96" s="7"/>
      <c r="AD96" s="14"/>
      <c r="AE96" s="618"/>
    </row>
    <row r="97" spans="2:31" x14ac:dyDescent="0.25">
      <c r="B97" s="1178" t="s">
        <v>368</v>
      </c>
      <c r="C97" s="1181" t="s">
        <v>24</v>
      </c>
      <c r="D97" s="1167" t="s">
        <v>25</v>
      </c>
      <c r="E97" s="970" t="s">
        <v>245</v>
      </c>
      <c r="F97" s="1210" t="s">
        <v>922</v>
      </c>
      <c r="G97" s="1300" t="s">
        <v>49</v>
      </c>
      <c r="H97" s="957" t="s">
        <v>363</v>
      </c>
      <c r="I97" s="965" t="s">
        <v>740</v>
      </c>
      <c r="J97" s="957">
        <v>31</v>
      </c>
      <c r="K97" s="978">
        <v>16</v>
      </c>
      <c r="L97" s="1328" t="s">
        <v>1666</v>
      </c>
      <c r="M97" s="957" t="s">
        <v>1672</v>
      </c>
      <c r="N97" s="957" t="s">
        <v>1675</v>
      </c>
      <c r="O97" s="982" t="s">
        <v>716</v>
      </c>
      <c r="P97" s="982" t="s">
        <v>717</v>
      </c>
      <c r="Q97" s="952" t="s">
        <v>1680</v>
      </c>
      <c r="R97" s="980">
        <v>16</v>
      </c>
      <c r="S97" s="1145">
        <v>48</v>
      </c>
      <c r="T97" s="1145" t="s">
        <v>26</v>
      </c>
      <c r="U97" s="1185">
        <v>2</v>
      </c>
      <c r="V97" s="1246">
        <v>16</v>
      </c>
      <c r="W97" s="973">
        <v>1</v>
      </c>
      <c r="X97" s="949"/>
      <c r="Y97" s="974"/>
      <c r="Z97" s="973">
        <v>1</v>
      </c>
      <c r="AA97" s="949"/>
      <c r="AB97" s="974"/>
      <c r="AC97" s="973"/>
      <c r="AD97" s="949"/>
      <c r="AE97" s="974"/>
    </row>
    <row r="98" spans="2:31" x14ac:dyDescent="0.25">
      <c r="B98" s="1179"/>
      <c r="C98" s="1182"/>
      <c r="D98" s="1337"/>
      <c r="E98" s="969" t="s">
        <v>246</v>
      </c>
      <c r="F98" s="1331"/>
      <c r="G98" s="1302"/>
      <c r="H98" s="961" t="s">
        <v>363</v>
      </c>
      <c r="I98" s="961" t="s">
        <v>740</v>
      </c>
      <c r="J98" s="961">
        <v>15</v>
      </c>
      <c r="K98" s="977">
        <v>0</v>
      </c>
      <c r="L98" s="1329"/>
      <c r="M98" s="957" t="s">
        <v>1672</v>
      </c>
      <c r="N98" s="957" t="s">
        <v>1675</v>
      </c>
      <c r="O98" s="982" t="s">
        <v>716</v>
      </c>
      <c r="P98" s="982" t="s">
        <v>718</v>
      </c>
      <c r="Q98" s="952" t="s">
        <v>1681</v>
      </c>
      <c r="R98" s="979">
        <v>16</v>
      </c>
      <c r="S98" s="1146"/>
      <c r="T98" s="1146"/>
      <c r="U98" s="1235"/>
      <c r="V98" s="1248"/>
      <c r="W98" s="973">
        <v>1</v>
      </c>
      <c r="X98" s="949"/>
      <c r="Y98" s="974"/>
      <c r="Z98" s="973">
        <v>1</v>
      </c>
      <c r="AA98" s="949"/>
      <c r="AB98" s="974"/>
      <c r="AC98" s="973"/>
      <c r="AD98" s="949"/>
      <c r="AE98" s="974"/>
    </row>
    <row r="99" spans="2:31" x14ac:dyDescent="0.25">
      <c r="B99" s="1179"/>
      <c r="C99" s="1182"/>
      <c r="D99" s="1337"/>
      <c r="E99" s="969" t="s">
        <v>247</v>
      </c>
      <c r="F99" s="1211"/>
      <c r="G99" s="1301"/>
      <c r="H99" s="961" t="s">
        <v>363</v>
      </c>
      <c r="I99" s="965" t="s">
        <v>741</v>
      </c>
      <c r="J99" s="961">
        <v>15</v>
      </c>
      <c r="K99" s="977">
        <v>0</v>
      </c>
      <c r="L99" s="1330"/>
      <c r="M99" s="957" t="s">
        <v>1672</v>
      </c>
      <c r="N99" s="957" t="s">
        <v>1675</v>
      </c>
      <c r="O99" s="982" t="s">
        <v>719</v>
      </c>
      <c r="P99" s="982" t="s">
        <v>720</v>
      </c>
      <c r="Q99" s="952" t="s">
        <v>1682</v>
      </c>
      <c r="R99" s="979">
        <v>16</v>
      </c>
      <c r="S99" s="1147"/>
      <c r="T99" s="1147"/>
      <c r="U99" s="1186"/>
      <c r="V99" s="1247"/>
      <c r="W99" s="973">
        <v>1</v>
      </c>
      <c r="X99" s="949"/>
      <c r="Y99" s="974"/>
      <c r="Z99" s="973">
        <v>1</v>
      </c>
      <c r="AA99" s="949"/>
      <c r="AB99" s="974"/>
      <c r="AC99" s="973"/>
      <c r="AD99" s="949"/>
      <c r="AE99" s="974"/>
    </row>
    <row r="100" spans="2:31" x14ac:dyDescent="0.25">
      <c r="B100" s="1179"/>
      <c r="C100" s="1182"/>
      <c r="D100" s="1337"/>
      <c r="E100" s="970" t="s">
        <v>245</v>
      </c>
      <c r="F100" s="1210" t="s">
        <v>923</v>
      </c>
      <c r="G100" s="1300" t="s">
        <v>49</v>
      </c>
      <c r="H100" s="957" t="s">
        <v>363</v>
      </c>
      <c r="I100" s="965" t="s">
        <v>740</v>
      </c>
      <c r="J100" s="957">
        <v>31</v>
      </c>
      <c r="K100" s="978">
        <v>16</v>
      </c>
      <c r="L100" s="1328" t="s">
        <v>1667</v>
      </c>
      <c r="M100" s="957" t="s">
        <v>1672</v>
      </c>
      <c r="N100" s="957" t="s">
        <v>1675</v>
      </c>
      <c r="O100" s="982" t="s">
        <v>716</v>
      </c>
      <c r="P100" s="982" t="s">
        <v>717</v>
      </c>
      <c r="Q100" s="952" t="s">
        <v>1680</v>
      </c>
      <c r="R100" s="980">
        <v>16</v>
      </c>
      <c r="S100" s="1145">
        <v>48</v>
      </c>
      <c r="T100" s="1145" t="s">
        <v>26</v>
      </c>
      <c r="U100" s="1185">
        <v>2</v>
      </c>
      <c r="V100" s="1246">
        <v>16</v>
      </c>
      <c r="W100" s="973">
        <v>1</v>
      </c>
      <c r="X100" s="949"/>
      <c r="Y100" s="974"/>
      <c r="Z100" s="973">
        <v>1</v>
      </c>
      <c r="AA100" s="949"/>
      <c r="AB100" s="974"/>
      <c r="AC100" s="973"/>
      <c r="AD100" s="949"/>
      <c r="AE100" s="974"/>
    </row>
    <row r="101" spans="2:31" x14ac:dyDescent="0.25">
      <c r="B101" s="1179"/>
      <c r="C101" s="1182"/>
      <c r="D101" s="1337"/>
      <c r="E101" s="969" t="s">
        <v>246</v>
      </c>
      <c r="F101" s="1331"/>
      <c r="G101" s="1302"/>
      <c r="H101" s="961" t="s">
        <v>363</v>
      </c>
      <c r="I101" s="961" t="s">
        <v>740</v>
      </c>
      <c r="J101" s="961">
        <v>15</v>
      </c>
      <c r="K101" s="977">
        <v>0</v>
      </c>
      <c r="L101" s="1329"/>
      <c r="M101" s="957" t="s">
        <v>1672</v>
      </c>
      <c r="N101" s="957" t="s">
        <v>1675</v>
      </c>
      <c r="O101" s="982" t="s">
        <v>716</v>
      </c>
      <c r="P101" s="982" t="s">
        <v>718</v>
      </c>
      <c r="Q101" s="952" t="s">
        <v>1681</v>
      </c>
      <c r="R101" s="979">
        <v>16</v>
      </c>
      <c r="S101" s="1146"/>
      <c r="T101" s="1146"/>
      <c r="U101" s="1235"/>
      <c r="V101" s="1248"/>
      <c r="W101" s="973">
        <v>1</v>
      </c>
      <c r="X101" s="949"/>
      <c r="Y101" s="974"/>
      <c r="Z101" s="973">
        <v>1</v>
      </c>
      <c r="AA101" s="949"/>
      <c r="AB101" s="974"/>
      <c r="AC101" s="973"/>
      <c r="AD101" s="949"/>
      <c r="AE101" s="974"/>
    </row>
    <row r="102" spans="2:31" x14ac:dyDescent="0.25">
      <c r="B102" s="1179"/>
      <c r="C102" s="1182"/>
      <c r="D102" s="1337"/>
      <c r="E102" s="969" t="s">
        <v>247</v>
      </c>
      <c r="F102" s="1211"/>
      <c r="G102" s="1301"/>
      <c r="H102" s="961" t="s">
        <v>363</v>
      </c>
      <c r="I102" s="965" t="s">
        <v>741</v>
      </c>
      <c r="J102" s="961">
        <v>15</v>
      </c>
      <c r="K102" s="977">
        <v>0</v>
      </c>
      <c r="L102" s="1330"/>
      <c r="M102" s="957" t="s">
        <v>1672</v>
      </c>
      <c r="N102" s="957" t="s">
        <v>1675</v>
      </c>
      <c r="O102" s="982" t="s">
        <v>719</v>
      </c>
      <c r="P102" s="982" t="s">
        <v>720</v>
      </c>
      <c r="Q102" s="952" t="s">
        <v>1682</v>
      </c>
      <c r="R102" s="979">
        <v>16</v>
      </c>
      <c r="S102" s="1147"/>
      <c r="T102" s="1147"/>
      <c r="U102" s="1186"/>
      <c r="V102" s="1247"/>
      <c r="W102" s="973">
        <v>1</v>
      </c>
      <c r="X102" s="949"/>
      <c r="Y102" s="974"/>
      <c r="Z102" s="973">
        <v>1</v>
      </c>
      <c r="AA102" s="949"/>
      <c r="AB102" s="974"/>
      <c r="AC102" s="973"/>
      <c r="AD102" s="949"/>
      <c r="AE102" s="974"/>
    </row>
    <row r="103" spans="2:31" x14ac:dyDescent="0.25">
      <c r="B103" s="1179"/>
      <c r="C103" s="1182"/>
      <c r="D103" s="1337"/>
      <c r="E103" s="970" t="s">
        <v>245</v>
      </c>
      <c r="F103" s="1210" t="s">
        <v>924</v>
      </c>
      <c r="G103" s="1300" t="s">
        <v>49</v>
      </c>
      <c r="H103" s="957" t="s">
        <v>363</v>
      </c>
      <c r="I103" s="965" t="s">
        <v>740</v>
      </c>
      <c r="J103" s="957">
        <v>31</v>
      </c>
      <c r="K103" s="978">
        <v>16</v>
      </c>
      <c r="L103" s="1328" t="s">
        <v>1668</v>
      </c>
      <c r="M103" s="957" t="s">
        <v>1672</v>
      </c>
      <c r="N103" s="957" t="s">
        <v>1675</v>
      </c>
      <c r="O103" s="982" t="s">
        <v>716</v>
      </c>
      <c r="P103" s="982" t="s">
        <v>717</v>
      </c>
      <c r="Q103" s="952" t="s">
        <v>1680</v>
      </c>
      <c r="R103" s="980">
        <v>16</v>
      </c>
      <c r="S103" s="1145">
        <v>48</v>
      </c>
      <c r="T103" s="1145" t="s">
        <v>26</v>
      </c>
      <c r="U103" s="1185">
        <v>2</v>
      </c>
      <c r="V103" s="1246">
        <v>16</v>
      </c>
      <c r="W103" s="973">
        <v>1</v>
      </c>
      <c r="X103" s="949"/>
      <c r="Y103" s="974"/>
      <c r="Z103" s="973">
        <v>1</v>
      </c>
      <c r="AA103" s="949"/>
      <c r="AB103" s="974"/>
      <c r="AC103" s="973"/>
      <c r="AD103" s="949"/>
      <c r="AE103" s="974"/>
    </row>
    <row r="104" spans="2:31" x14ac:dyDescent="0.25">
      <c r="B104" s="1179"/>
      <c r="C104" s="1182"/>
      <c r="D104" s="1337"/>
      <c r="E104" s="969" t="s">
        <v>246</v>
      </c>
      <c r="F104" s="1331"/>
      <c r="G104" s="1302"/>
      <c r="H104" s="961" t="s">
        <v>363</v>
      </c>
      <c r="I104" s="961" t="s">
        <v>740</v>
      </c>
      <c r="J104" s="961">
        <v>15</v>
      </c>
      <c r="K104" s="977">
        <v>0</v>
      </c>
      <c r="L104" s="1329"/>
      <c r="M104" s="957" t="s">
        <v>1672</v>
      </c>
      <c r="N104" s="957" t="s">
        <v>1675</v>
      </c>
      <c r="O104" s="982" t="s">
        <v>716</v>
      </c>
      <c r="P104" s="982" t="s">
        <v>718</v>
      </c>
      <c r="Q104" s="952" t="s">
        <v>1681</v>
      </c>
      <c r="R104" s="979">
        <v>16</v>
      </c>
      <c r="S104" s="1146"/>
      <c r="T104" s="1146"/>
      <c r="U104" s="1235"/>
      <c r="V104" s="1248"/>
      <c r="W104" s="973">
        <v>1</v>
      </c>
      <c r="X104" s="949"/>
      <c r="Y104" s="974"/>
      <c r="Z104" s="973">
        <v>1</v>
      </c>
      <c r="AA104" s="949"/>
      <c r="AB104" s="974"/>
      <c r="AC104" s="973"/>
      <c r="AD104" s="949"/>
      <c r="AE104" s="974"/>
    </row>
    <row r="105" spans="2:31" x14ac:dyDescent="0.25">
      <c r="B105" s="1179"/>
      <c r="C105" s="1182"/>
      <c r="D105" s="1337"/>
      <c r="E105" s="969" t="s">
        <v>247</v>
      </c>
      <c r="F105" s="1211"/>
      <c r="G105" s="1301"/>
      <c r="H105" s="961" t="s">
        <v>363</v>
      </c>
      <c r="I105" s="965" t="s">
        <v>741</v>
      </c>
      <c r="J105" s="961">
        <v>15</v>
      </c>
      <c r="K105" s="977">
        <v>0</v>
      </c>
      <c r="L105" s="1330"/>
      <c r="M105" s="957" t="s">
        <v>1672</v>
      </c>
      <c r="N105" s="957" t="s">
        <v>1675</v>
      </c>
      <c r="O105" s="982" t="s">
        <v>719</v>
      </c>
      <c r="P105" s="982" t="s">
        <v>720</v>
      </c>
      <c r="Q105" s="952" t="s">
        <v>1682</v>
      </c>
      <c r="R105" s="979">
        <v>16</v>
      </c>
      <c r="S105" s="1147"/>
      <c r="T105" s="1147"/>
      <c r="U105" s="1186"/>
      <c r="V105" s="1247"/>
      <c r="W105" s="973">
        <v>1</v>
      </c>
      <c r="X105" s="949"/>
      <c r="Y105" s="974"/>
      <c r="Z105" s="973">
        <v>1</v>
      </c>
      <c r="AA105" s="949"/>
      <c r="AB105" s="974"/>
      <c r="AC105" s="973"/>
      <c r="AD105" s="949"/>
      <c r="AE105" s="974"/>
    </row>
    <row r="106" spans="2:31" x14ac:dyDescent="0.25">
      <c r="B106" s="1179"/>
      <c r="C106" s="1182"/>
      <c r="D106" s="1337"/>
      <c r="E106" s="970" t="s">
        <v>245</v>
      </c>
      <c r="F106" s="1210" t="s">
        <v>925</v>
      </c>
      <c r="G106" s="1300" t="s">
        <v>49</v>
      </c>
      <c r="H106" s="957" t="s">
        <v>363</v>
      </c>
      <c r="I106" s="965" t="s">
        <v>740</v>
      </c>
      <c r="J106" s="957">
        <v>31</v>
      </c>
      <c r="K106" s="978">
        <v>16</v>
      </c>
      <c r="L106" s="1328" t="s">
        <v>1669</v>
      </c>
      <c r="M106" s="957" t="s">
        <v>1672</v>
      </c>
      <c r="N106" s="957" t="s">
        <v>1675</v>
      </c>
      <c r="O106" s="982" t="s">
        <v>716</v>
      </c>
      <c r="P106" s="982" t="s">
        <v>717</v>
      </c>
      <c r="Q106" s="952" t="s">
        <v>1680</v>
      </c>
      <c r="R106" s="980">
        <v>16</v>
      </c>
      <c r="S106" s="1145">
        <v>48</v>
      </c>
      <c r="T106" s="1145" t="s">
        <v>26</v>
      </c>
      <c r="U106" s="1185">
        <v>2</v>
      </c>
      <c r="V106" s="1246">
        <v>16</v>
      </c>
      <c r="W106" s="973">
        <v>1</v>
      </c>
      <c r="X106" s="949"/>
      <c r="Y106" s="974"/>
      <c r="Z106" s="973">
        <v>1</v>
      </c>
      <c r="AA106" s="949"/>
      <c r="AB106" s="974"/>
      <c r="AC106" s="973"/>
      <c r="AD106" s="949"/>
      <c r="AE106" s="974"/>
    </row>
    <row r="107" spans="2:31" x14ac:dyDescent="0.25">
      <c r="B107" s="1179"/>
      <c r="C107" s="1182"/>
      <c r="D107" s="1337"/>
      <c r="E107" s="969" t="s">
        <v>246</v>
      </c>
      <c r="F107" s="1331"/>
      <c r="G107" s="1302"/>
      <c r="H107" s="961" t="s">
        <v>363</v>
      </c>
      <c r="I107" s="961" t="s">
        <v>740</v>
      </c>
      <c r="J107" s="961">
        <v>15</v>
      </c>
      <c r="K107" s="977">
        <v>0</v>
      </c>
      <c r="L107" s="1329"/>
      <c r="M107" s="957" t="s">
        <v>1672</v>
      </c>
      <c r="N107" s="957" t="s">
        <v>1675</v>
      </c>
      <c r="O107" s="982" t="s">
        <v>716</v>
      </c>
      <c r="P107" s="982" t="s">
        <v>718</v>
      </c>
      <c r="Q107" s="952" t="s">
        <v>1681</v>
      </c>
      <c r="R107" s="979">
        <v>16</v>
      </c>
      <c r="S107" s="1146"/>
      <c r="T107" s="1146"/>
      <c r="U107" s="1235"/>
      <c r="V107" s="1248"/>
      <c r="W107" s="973">
        <v>1</v>
      </c>
      <c r="X107" s="949"/>
      <c r="Y107" s="974"/>
      <c r="Z107" s="973">
        <v>1</v>
      </c>
      <c r="AA107" s="949"/>
      <c r="AB107" s="974"/>
      <c r="AC107" s="973"/>
      <c r="AD107" s="949"/>
      <c r="AE107" s="974"/>
    </row>
    <row r="108" spans="2:31" x14ac:dyDescent="0.25">
      <c r="B108" s="1179"/>
      <c r="C108" s="1182"/>
      <c r="D108" s="1168"/>
      <c r="E108" s="969" t="s">
        <v>247</v>
      </c>
      <c r="F108" s="1211"/>
      <c r="G108" s="1301"/>
      <c r="H108" s="961" t="s">
        <v>363</v>
      </c>
      <c r="I108" s="965" t="s">
        <v>741</v>
      </c>
      <c r="J108" s="961">
        <v>15</v>
      </c>
      <c r="K108" s="977">
        <v>0</v>
      </c>
      <c r="L108" s="1330"/>
      <c r="M108" s="957" t="s">
        <v>1672</v>
      </c>
      <c r="N108" s="957" t="s">
        <v>1675</v>
      </c>
      <c r="O108" s="982" t="s">
        <v>719</v>
      </c>
      <c r="P108" s="982" t="s">
        <v>720</v>
      </c>
      <c r="Q108" s="952" t="s">
        <v>1682</v>
      </c>
      <c r="R108" s="979">
        <v>16</v>
      </c>
      <c r="S108" s="1147"/>
      <c r="T108" s="1147"/>
      <c r="U108" s="1186"/>
      <c r="V108" s="1247"/>
      <c r="W108" s="973">
        <v>1</v>
      </c>
      <c r="X108" s="949"/>
      <c r="Y108" s="974"/>
      <c r="Z108" s="973">
        <v>1</v>
      </c>
      <c r="AA108" s="949"/>
      <c r="AB108" s="974"/>
      <c r="AC108" s="973"/>
      <c r="AD108" s="949"/>
      <c r="AE108" s="974"/>
    </row>
    <row r="109" spans="2:31" x14ac:dyDescent="0.25">
      <c r="B109" s="1179"/>
      <c r="C109" s="1182"/>
      <c r="D109" s="8" t="s">
        <v>410</v>
      </c>
      <c r="E109" s="530" t="s">
        <v>257</v>
      </c>
      <c r="F109" s="518" t="s">
        <v>922</v>
      </c>
      <c r="G109" s="1297" t="s">
        <v>1220</v>
      </c>
      <c r="H109" s="174" t="s">
        <v>363</v>
      </c>
      <c r="I109" s="341" t="s">
        <v>742</v>
      </c>
      <c r="J109" s="174">
        <v>31</v>
      </c>
      <c r="K109" s="802">
        <v>16</v>
      </c>
      <c r="L109" s="96" t="s">
        <v>1666</v>
      </c>
      <c r="M109" s="96" t="s">
        <v>1672</v>
      </c>
      <c r="N109" s="96" t="s">
        <v>1675</v>
      </c>
      <c r="O109" s="842" t="s">
        <v>719</v>
      </c>
      <c r="P109" s="842" t="s">
        <v>721</v>
      </c>
      <c r="Q109" s="203" t="s">
        <v>1516</v>
      </c>
      <c r="R109" s="812">
        <v>16</v>
      </c>
      <c r="S109" s="1184">
        <f>SUM(R109:R112)</f>
        <v>64</v>
      </c>
      <c r="T109" s="1269" t="s">
        <v>27</v>
      </c>
      <c r="U109" s="1215">
        <f>FLOOR((S109-0.1)/32,1)+1</f>
        <v>2</v>
      </c>
      <c r="V109" s="1229">
        <f>U109*32-S109</f>
        <v>0</v>
      </c>
      <c r="W109" s="612"/>
      <c r="Y109" s="617">
        <v>1</v>
      </c>
      <c r="Z109" s="612"/>
      <c r="AB109" s="617">
        <v>1</v>
      </c>
      <c r="AC109" s="612"/>
      <c r="AE109" s="617"/>
    </row>
    <row r="110" spans="2:31" x14ac:dyDescent="0.25">
      <c r="B110" s="1179"/>
      <c r="C110" s="1182"/>
      <c r="D110" s="8" t="s">
        <v>411</v>
      </c>
      <c r="E110" s="530" t="s">
        <v>258</v>
      </c>
      <c r="F110" s="518" t="s">
        <v>923</v>
      </c>
      <c r="G110" s="1298"/>
      <c r="H110" s="174" t="s">
        <v>363</v>
      </c>
      <c r="I110" s="174" t="s">
        <v>742</v>
      </c>
      <c r="J110" s="174">
        <v>15</v>
      </c>
      <c r="K110" s="802">
        <v>0</v>
      </c>
      <c r="L110" s="96" t="s">
        <v>1667</v>
      </c>
      <c r="M110" s="96" t="s">
        <v>1672</v>
      </c>
      <c r="N110" s="96" t="s">
        <v>1675</v>
      </c>
      <c r="O110" s="842" t="s">
        <v>719</v>
      </c>
      <c r="P110" s="842" t="s">
        <v>721</v>
      </c>
      <c r="Q110" s="203" t="s">
        <v>1516</v>
      </c>
      <c r="R110" s="812">
        <v>16</v>
      </c>
      <c r="S110" s="1184"/>
      <c r="T110" s="1184"/>
      <c r="U110" s="1215"/>
      <c r="V110" s="1229"/>
      <c r="W110" s="612"/>
      <c r="Y110" s="617">
        <v>1</v>
      </c>
      <c r="Z110" s="612"/>
      <c r="AB110" s="617">
        <v>1</v>
      </c>
      <c r="AC110" s="612"/>
      <c r="AE110" s="617"/>
    </row>
    <row r="111" spans="2:31" x14ac:dyDescent="0.25">
      <c r="B111" s="1179"/>
      <c r="C111" s="1182"/>
      <c r="D111" s="8" t="s">
        <v>412</v>
      </c>
      <c r="E111" s="530" t="s">
        <v>259</v>
      </c>
      <c r="F111" s="518" t="s">
        <v>924</v>
      </c>
      <c r="G111" s="1298"/>
      <c r="H111" s="174" t="s">
        <v>363</v>
      </c>
      <c r="I111" s="341" t="s">
        <v>743</v>
      </c>
      <c r="J111" s="174">
        <v>31</v>
      </c>
      <c r="K111" s="802">
        <v>16</v>
      </c>
      <c r="L111" s="96" t="s">
        <v>1668</v>
      </c>
      <c r="M111" s="96" t="s">
        <v>1672</v>
      </c>
      <c r="N111" s="96" t="s">
        <v>1675</v>
      </c>
      <c r="O111" s="842" t="s">
        <v>719</v>
      </c>
      <c r="P111" s="842" t="s">
        <v>721</v>
      </c>
      <c r="Q111" s="203" t="s">
        <v>1516</v>
      </c>
      <c r="R111" s="812">
        <v>16</v>
      </c>
      <c r="S111" s="1184"/>
      <c r="T111" s="1184"/>
      <c r="U111" s="1215"/>
      <c r="V111" s="1229"/>
      <c r="W111" s="612"/>
      <c r="Y111" s="617">
        <v>1</v>
      </c>
      <c r="Z111" s="612"/>
      <c r="AB111" s="617">
        <v>1</v>
      </c>
      <c r="AC111" s="612"/>
      <c r="AE111" s="617"/>
    </row>
    <row r="112" spans="2:31" x14ac:dyDescent="0.25">
      <c r="B112" s="1180"/>
      <c r="C112" s="1183"/>
      <c r="D112" s="8" t="s">
        <v>413</v>
      </c>
      <c r="E112" s="530" t="s">
        <v>260</v>
      </c>
      <c r="F112" s="518" t="s">
        <v>925</v>
      </c>
      <c r="G112" s="1299"/>
      <c r="H112" s="174" t="s">
        <v>363</v>
      </c>
      <c r="I112" s="174" t="s">
        <v>743</v>
      </c>
      <c r="J112" s="174">
        <v>15</v>
      </c>
      <c r="K112" s="802">
        <v>0</v>
      </c>
      <c r="L112" s="96" t="s">
        <v>1669</v>
      </c>
      <c r="M112" s="96" t="s">
        <v>1672</v>
      </c>
      <c r="N112" s="96" t="s">
        <v>1675</v>
      </c>
      <c r="O112" s="842" t="s">
        <v>719</v>
      </c>
      <c r="P112" s="842" t="s">
        <v>721</v>
      </c>
      <c r="Q112" s="203" t="s">
        <v>1516</v>
      </c>
      <c r="R112" s="812">
        <v>16</v>
      </c>
      <c r="S112" s="1184"/>
      <c r="T112" s="1184"/>
      <c r="U112" s="1215"/>
      <c r="V112" s="1229"/>
      <c r="W112" s="612"/>
      <c r="Y112" s="617">
        <v>1</v>
      </c>
      <c r="Z112" s="612"/>
      <c r="AB112" s="617">
        <v>1</v>
      </c>
      <c r="AC112" s="612"/>
      <c r="AE112" s="617"/>
    </row>
    <row r="113" spans="1:31" x14ac:dyDescent="0.25">
      <c r="B113" s="3"/>
      <c r="C113" s="3"/>
      <c r="D113" s="12"/>
      <c r="E113" s="528"/>
      <c r="F113" s="547"/>
      <c r="G113" s="666"/>
      <c r="H113" s="12"/>
      <c r="I113" s="12"/>
      <c r="J113" s="12"/>
      <c r="K113" s="12"/>
      <c r="L113" s="601"/>
      <c r="M113" s="601"/>
      <c r="N113" s="601"/>
      <c r="O113" s="828"/>
      <c r="P113" s="828"/>
      <c r="Q113" s="844"/>
      <c r="R113" s="12"/>
      <c r="S113" s="12"/>
      <c r="T113" s="12"/>
      <c r="U113" s="548"/>
      <c r="V113" s="12"/>
      <c r="W113" s="3"/>
      <c r="X113" s="12"/>
      <c r="Y113" s="614"/>
      <c r="Z113" s="3"/>
      <c r="AA113" s="12"/>
      <c r="AB113" s="614"/>
      <c r="AC113" s="3"/>
      <c r="AD113" s="12"/>
      <c r="AE113" s="614"/>
    </row>
    <row r="114" spans="1:31" ht="15" customHeight="1" x14ac:dyDescent="0.25">
      <c r="B114" s="1178" t="s">
        <v>368</v>
      </c>
      <c r="C114" s="1181" t="s">
        <v>28</v>
      </c>
      <c r="D114" s="1167" t="s">
        <v>1385</v>
      </c>
      <c r="E114" s="532" t="s">
        <v>1409</v>
      </c>
      <c r="F114" s="1110" t="s">
        <v>1383</v>
      </c>
      <c r="G114" s="669"/>
      <c r="H114" s="96" t="s">
        <v>363</v>
      </c>
      <c r="I114" s="96" t="s">
        <v>744</v>
      </c>
      <c r="J114" s="96">
        <v>6</v>
      </c>
      <c r="K114" s="803">
        <v>3</v>
      </c>
      <c r="L114" s="96" t="s">
        <v>28</v>
      </c>
      <c r="M114" s="96" t="s">
        <v>1672</v>
      </c>
      <c r="N114" s="96" t="s">
        <v>28</v>
      </c>
      <c r="O114" s="827" t="s">
        <v>72</v>
      </c>
      <c r="P114" s="827"/>
      <c r="Q114" s="96" t="s">
        <v>1518</v>
      </c>
      <c r="R114" s="814">
        <v>4</v>
      </c>
      <c r="S114" s="1184">
        <f>R115+R114</f>
        <v>6</v>
      </c>
      <c r="T114" s="1269"/>
      <c r="U114" s="1185"/>
      <c r="V114" s="1246"/>
      <c r="W114" s="612"/>
      <c r="Y114" s="617">
        <v>1</v>
      </c>
      <c r="Z114" s="612">
        <v>1</v>
      </c>
      <c r="AB114" s="613"/>
      <c r="AC114" s="612"/>
      <c r="AE114" s="617"/>
    </row>
    <row r="115" spans="1:31" x14ac:dyDescent="0.25">
      <c r="B115" s="1180"/>
      <c r="C115" s="1183"/>
      <c r="D115" s="1168"/>
      <c r="E115" s="532" t="s">
        <v>1410</v>
      </c>
      <c r="F115" s="1110" t="s">
        <v>1384</v>
      </c>
      <c r="G115" s="669" t="s">
        <v>49</v>
      </c>
      <c r="H115" s="174" t="s">
        <v>363</v>
      </c>
      <c r="I115" s="96" t="s">
        <v>744</v>
      </c>
      <c r="J115" s="96">
        <v>2</v>
      </c>
      <c r="K115" s="803">
        <v>1</v>
      </c>
      <c r="L115" s="96" t="s">
        <v>28</v>
      </c>
      <c r="M115" s="96" t="s">
        <v>1672</v>
      </c>
      <c r="N115" s="96" t="s">
        <v>28</v>
      </c>
      <c r="O115" s="827" t="s">
        <v>72</v>
      </c>
      <c r="P115" s="827"/>
      <c r="Q115" s="96" t="s">
        <v>1530</v>
      </c>
      <c r="R115" s="814">
        <v>2</v>
      </c>
      <c r="S115" s="1184"/>
      <c r="T115" s="1269"/>
      <c r="U115" s="1186"/>
      <c r="V115" s="1247"/>
      <c r="W115" s="612"/>
      <c r="Y115" s="617">
        <v>1</v>
      </c>
      <c r="Z115" s="612">
        <v>1</v>
      </c>
      <c r="AB115" s="613"/>
      <c r="AC115" s="612"/>
      <c r="AE115" s="617"/>
    </row>
    <row r="116" spans="1:31" x14ac:dyDescent="0.25">
      <c r="B116" s="3"/>
      <c r="C116" s="3"/>
      <c r="D116" s="12"/>
      <c r="E116" s="528"/>
      <c r="F116" s="547"/>
      <c r="G116" s="666"/>
      <c r="H116" s="12"/>
      <c r="I116" s="12"/>
      <c r="J116" s="12"/>
      <c r="K116" s="12"/>
      <c r="L116" s="601"/>
      <c r="M116" s="601"/>
      <c r="N116" s="601"/>
      <c r="O116" s="828"/>
      <c r="P116" s="828"/>
      <c r="Q116" s="844"/>
      <c r="R116" s="12"/>
      <c r="S116" s="15"/>
      <c r="T116" s="15"/>
      <c r="U116" s="552"/>
      <c r="V116" s="15"/>
      <c r="W116" s="3"/>
      <c r="X116" s="12"/>
      <c r="Y116" s="614"/>
      <c r="Z116" s="3"/>
      <c r="AA116" s="12"/>
      <c r="AB116" s="614"/>
      <c r="AC116" s="3"/>
      <c r="AD116" s="12"/>
      <c r="AE116" s="614"/>
    </row>
    <row r="117" spans="1:31" ht="30" x14ac:dyDescent="0.25">
      <c r="B117" s="1332" t="s">
        <v>368</v>
      </c>
      <c r="C117" s="1181" t="s">
        <v>29</v>
      </c>
      <c r="D117" s="1185" t="s">
        <v>30</v>
      </c>
      <c r="E117" s="533" t="s">
        <v>74</v>
      </c>
      <c r="F117" s="515"/>
      <c r="G117" s="670" t="s">
        <v>49</v>
      </c>
      <c r="H117" s="96" t="s">
        <v>874</v>
      </c>
      <c r="I117" s="375" t="s">
        <v>793</v>
      </c>
      <c r="J117" s="96">
        <v>31</v>
      </c>
      <c r="K117" s="803">
        <v>0</v>
      </c>
      <c r="L117" s="96"/>
      <c r="M117" s="96"/>
      <c r="N117" s="96"/>
      <c r="O117" s="827" t="s">
        <v>72</v>
      </c>
      <c r="P117" s="827"/>
      <c r="Q117" s="96"/>
      <c r="R117" s="815">
        <v>32</v>
      </c>
      <c r="S117" s="467">
        <f>R117</f>
        <v>32</v>
      </c>
      <c r="T117" s="471" t="s">
        <v>31</v>
      </c>
      <c r="U117" s="466">
        <f>FLOOR((S117-0.1)/32,1)+1</f>
        <v>1</v>
      </c>
      <c r="V117" s="602">
        <f>U117*32-S117</f>
        <v>0</v>
      </c>
      <c r="W117" s="621"/>
      <c r="X117" s="483"/>
      <c r="Y117" s="622"/>
      <c r="Z117" s="621"/>
      <c r="AA117" s="483"/>
      <c r="AB117" s="622"/>
      <c r="AC117" s="621"/>
      <c r="AD117" s="483"/>
      <c r="AE117" s="622"/>
    </row>
    <row r="118" spans="1:31" ht="30" x14ac:dyDescent="0.25">
      <c r="B118" s="1333"/>
      <c r="C118" s="1183"/>
      <c r="D118" s="1186"/>
      <c r="E118" s="533" t="s">
        <v>74</v>
      </c>
      <c r="F118" s="515"/>
      <c r="G118" s="670" t="s">
        <v>49</v>
      </c>
      <c r="H118" s="96" t="s">
        <v>874</v>
      </c>
      <c r="I118" s="375" t="s">
        <v>794</v>
      </c>
      <c r="J118" s="96">
        <v>31</v>
      </c>
      <c r="K118" s="803">
        <v>0</v>
      </c>
      <c r="L118" s="96"/>
      <c r="M118" s="96"/>
      <c r="N118" s="96"/>
      <c r="O118" s="827" t="s">
        <v>72</v>
      </c>
      <c r="P118" s="827"/>
      <c r="Q118" s="96"/>
      <c r="R118" s="815">
        <v>32</v>
      </c>
      <c r="S118" s="467">
        <f>R118</f>
        <v>32</v>
      </c>
      <c r="T118" s="471" t="s">
        <v>31</v>
      </c>
      <c r="U118" s="466">
        <f>FLOOR((S118-0.1)/32,1)+1</f>
        <v>1</v>
      </c>
      <c r="V118" s="602">
        <f>U118*32-S118</f>
        <v>0</v>
      </c>
      <c r="W118" s="621"/>
      <c r="X118" s="483"/>
      <c r="Y118" s="622"/>
      <c r="Z118" s="621"/>
      <c r="AA118" s="483"/>
      <c r="AB118" s="622"/>
      <c r="AC118" s="621"/>
      <c r="AD118" s="483"/>
      <c r="AE118" s="622"/>
    </row>
    <row r="119" spans="1:31" x14ac:dyDescent="0.25">
      <c r="B119" s="3"/>
      <c r="C119" s="3"/>
      <c r="D119" s="12"/>
      <c r="E119" s="528"/>
      <c r="F119" s="547"/>
      <c r="G119" s="666"/>
      <c r="H119" s="12"/>
      <c r="I119" s="12"/>
      <c r="J119" s="12"/>
      <c r="K119" s="12"/>
      <c r="L119" s="601"/>
      <c r="M119" s="601"/>
      <c r="N119" s="601"/>
      <c r="O119" s="828"/>
      <c r="P119" s="828"/>
      <c r="Q119" s="844"/>
      <c r="R119" s="12"/>
      <c r="S119" s="15"/>
      <c r="T119" s="15"/>
      <c r="U119" s="552"/>
      <c r="V119" s="15"/>
      <c r="W119" s="3"/>
      <c r="X119" s="12"/>
      <c r="Y119" s="614"/>
      <c r="Z119" s="3"/>
      <c r="AA119" s="12"/>
      <c r="AB119" s="614"/>
      <c r="AC119" s="3"/>
      <c r="AD119" s="12"/>
      <c r="AE119" s="614"/>
    </row>
    <row r="120" spans="1:31" x14ac:dyDescent="0.25">
      <c r="B120" s="1178" t="s">
        <v>368</v>
      </c>
      <c r="C120" s="1238" t="s">
        <v>265</v>
      </c>
      <c r="D120" s="1249" t="s">
        <v>264</v>
      </c>
      <c r="E120" s="970" t="s">
        <v>978</v>
      </c>
      <c r="F120" s="1164" t="s">
        <v>926</v>
      </c>
      <c r="G120" s="1287" t="s">
        <v>1455</v>
      </c>
      <c r="H120" s="96" t="s">
        <v>363</v>
      </c>
      <c r="I120" s="96" t="s">
        <v>760</v>
      </c>
      <c r="J120" s="96">
        <v>31</v>
      </c>
      <c r="K120" s="803">
        <v>22</v>
      </c>
      <c r="L120" s="96" t="s">
        <v>1662</v>
      </c>
      <c r="M120" s="96" t="s">
        <v>1672</v>
      </c>
      <c r="N120" s="96" t="s">
        <v>265</v>
      </c>
      <c r="O120" s="827" t="s">
        <v>72</v>
      </c>
      <c r="P120" s="827"/>
      <c r="Q120" s="96" t="s">
        <v>1516</v>
      </c>
      <c r="R120" s="814">
        <v>10</v>
      </c>
      <c r="S120" s="1230">
        <f>SUM(R120:R139)</f>
        <v>92</v>
      </c>
      <c r="T120" s="1269" t="s">
        <v>672</v>
      </c>
      <c r="U120" s="1215">
        <f>FLOOR((S120-0.1)/32,1)+1+1</f>
        <v>4</v>
      </c>
      <c r="V120" s="1230">
        <f>U120*32-S120</f>
        <v>36</v>
      </c>
      <c r="W120" s="619"/>
      <c r="X120" s="482"/>
      <c r="Y120" s="617">
        <v>1</v>
      </c>
      <c r="Z120" s="619"/>
      <c r="AA120" s="482"/>
      <c r="AB120" s="617"/>
      <c r="AC120" s="619"/>
      <c r="AD120" s="482"/>
      <c r="AE120" s="617"/>
    </row>
    <row r="121" spans="1:31" s="949" customFormat="1" x14ac:dyDescent="0.25">
      <c r="A121" s="971"/>
      <c r="B121" s="1179"/>
      <c r="C121" s="1336"/>
      <c r="D121" s="1250"/>
      <c r="E121" s="970" t="s">
        <v>1875</v>
      </c>
      <c r="F121" s="1236"/>
      <c r="G121" s="1288"/>
      <c r="H121" s="957" t="s">
        <v>363</v>
      </c>
      <c r="I121" s="961">
        <v>320</v>
      </c>
      <c r="J121" s="961">
        <v>24</v>
      </c>
      <c r="K121" s="977">
        <v>24</v>
      </c>
      <c r="L121" s="957" t="s">
        <v>1662</v>
      </c>
      <c r="M121" s="957" t="s">
        <v>1672</v>
      </c>
      <c r="N121" s="957" t="s">
        <v>265</v>
      </c>
      <c r="O121" s="981" t="s">
        <v>72</v>
      </c>
      <c r="P121" s="981"/>
      <c r="Q121" s="957" t="s">
        <v>1516</v>
      </c>
      <c r="R121" s="980">
        <v>1</v>
      </c>
      <c r="S121" s="1231"/>
      <c r="T121" s="1269"/>
      <c r="U121" s="1215"/>
      <c r="V121" s="1231"/>
      <c r="W121" s="975"/>
      <c r="X121" s="967"/>
      <c r="Y121" s="1245">
        <v>1</v>
      </c>
      <c r="Z121" s="975"/>
      <c r="AA121" s="967"/>
      <c r="AB121" s="617"/>
      <c r="AC121" s="975"/>
      <c r="AD121" s="967"/>
      <c r="AE121" s="617"/>
    </row>
    <row r="122" spans="1:31" x14ac:dyDescent="0.25">
      <c r="B122" s="1179"/>
      <c r="C122" s="1336"/>
      <c r="D122" s="1250"/>
      <c r="E122" s="970" t="s">
        <v>966</v>
      </c>
      <c r="F122" s="1236"/>
      <c r="G122" s="1288"/>
      <c r="H122" s="957" t="s">
        <v>363</v>
      </c>
      <c r="I122" s="174" t="s">
        <v>760</v>
      </c>
      <c r="J122" s="174">
        <v>21</v>
      </c>
      <c r="K122" s="802">
        <v>16</v>
      </c>
      <c r="L122" s="96" t="s">
        <v>1662</v>
      </c>
      <c r="M122" s="96" t="s">
        <v>1672</v>
      </c>
      <c r="N122" s="96" t="s">
        <v>265</v>
      </c>
      <c r="O122" s="827" t="s">
        <v>72</v>
      </c>
      <c r="P122" s="827"/>
      <c r="Q122" s="96" t="s">
        <v>1516</v>
      </c>
      <c r="R122" s="814">
        <v>6</v>
      </c>
      <c r="S122" s="1231"/>
      <c r="T122" s="1269"/>
      <c r="U122" s="1215"/>
      <c r="V122" s="1231"/>
      <c r="W122" s="619"/>
      <c r="X122" s="482"/>
      <c r="Y122" s="1245"/>
      <c r="Z122" s="619"/>
      <c r="AA122" s="482"/>
      <c r="AB122" s="617"/>
      <c r="AC122" s="619"/>
      <c r="AD122" s="482"/>
      <c r="AE122" s="617"/>
    </row>
    <row r="123" spans="1:31" x14ac:dyDescent="0.25">
      <c r="B123" s="1179"/>
      <c r="C123" s="1336"/>
      <c r="D123" s="1250"/>
      <c r="E123" s="970" t="s">
        <v>979</v>
      </c>
      <c r="F123" s="1236"/>
      <c r="G123" s="1287" t="s">
        <v>1455</v>
      </c>
      <c r="H123" s="957" t="s">
        <v>363</v>
      </c>
      <c r="I123" s="174" t="s">
        <v>761</v>
      </c>
      <c r="J123" s="174">
        <v>31</v>
      </c>
      <c r="K123" s="802">
        <v>22</v>
      </c>
      <c r="L123" s="96" t="s">
        <v>1663</v>
      </c>
      <c r="M123" s="96" t="s">
        <v>1672</v>
      </c>
      <c r="N123" s="96" t="s">
        <v>265</v>
      </c>
      <c r="O123" s="827" t="s">
        <v>72</v>
      </c>
      <c r="P123" s="827"/>
      <c r="Q123" s="96" t="s">
        <v>1516</v>
      </c>
      <c r="R123" s="814">
        <v>10</v>
      </c>
      <c r="S123" s="1231"/>
      <c r="T123" s="1184"/>
      <c r="U123" s="1215"/>
      <c r="V123" s="1231"/>
      <c r="W123" s="619"/>
      <c r="X123" s="482"/>
      <c r="Y123" s="617">
        <v>1</v>
      </c>
      <c r="Z123" s="619"/>
      <c r="AA123" s="482"/>
      <c r="AB123" s="617"/>
      <c r="AC123" s="619"/>
      <c r="AD123" s="482"/>
      <c r="AE123" s="617"/>
    </row>
    <row r="124" spans="1:31" s="949" customFormat="1" x14ac:dyDescent="0.25">
      <c r="A124" s="971"/>
      <c r="B124" s="1179"/>
      <c r="C124" s="1336"/>
      <c r="D124" s="1250"/>
      <c r="E124" s="970" t="s">
        <v>1876</v>
      </c>
      <c r="F124" s="1236"/>
      <c r="G124" s="1288"/>
      <c r="H124" s="957" t="s">
        <v>363</v>
      </c>
      <c r="I124" s="961">
        <v>320</v>
      </c>
      <c r="J124" s="961">
        <v>26</v>
      </c>
      <c r="K124" s="977">
        <v>26</v>
      </c>
      <c r="L124" s="957" t="s">
        <v>1663</v>
      </c>
      <c r="M124" s="957" t="s">
        <v>1672</v>
      </c>
      <c r="N124" s="957" t="s">
        <v>265</v>
      </c>
      <c r="O124" s="981" t="s">
        <v>72</v>
      </c>
      <c r="P124" s="981"/>
      <c r="Q124" s="957" t="s">
        <v>1516</v>
      </c>
      <c r="R124" s="980">
        <v>1</v>
      </c>
      <c r="S124" s="1231"/>
      <c r="T124" s="1184"/>
      <c r="U124" s="1215"/>
      <c r="V124" s="1231"/>
      <c r="W124" s="975"/>
      <c r="X124" s="967"/>
      <c r="Y124" s="1245">
        <v>1</v>
      </c>
      <c r="Z124" s="975"/>
      <c r="AA124" s="967"/>
      <c r="AB124" s="617"/>
      <c r="AC124" s="975"/>
      <c r="AD124" s="967"/>
      <c r="AE124" s="617"/>
    </row>
    <row r="125" spans="1:31" x14ac:dyDescent="0.25">
      <c r="B125" s="1179"/>
      <c r="C125" s="1336"/>
      <c r="D125" s="1250"/>
      <c r="E125" s="970" t="s">
        <v>967</v>
      </c>
      <c r="F125" s="1236"/>
      <c r="G125" s="1288"/>
      <c r="H125" s="957" t="s">
        <v>363</v>
      </c>
      <c r="I125" s="174" t="s">
        <v>761</v>
      </c>
      <c r="J125" s="174">
        <v>21</v>
      </c>
      <c r="K125" s="802">
        <v>16</v>
      </c>
      <c r="L125" s="96" t="s">
        <v>1663</v>
      </c>
      <c r="M125" s="96" t="s">
        <v>1672</v>
      </c>
      <c r="N125" s="96" t="s">
        <v>265</v>
      </c>
      <c r="O125" s="827" t="s">
        <v>72</v>
      </c>
      <c r="P125" s="827"/>
      <c r="Q125" s="96" t="s">
        <v>1516</v>
      </c>
      <c r="R125" s="814">
        <v>6</v>
      </c>
      <c r="S125" s="1231"/>
      <c r="T125" s="1184"/>
      <c r="U125" s="1215"/>
      <c r="V125" s="1231"/>
      <c r="W125" s="619"/>
      <c r="X125" s="482"/>
      <c r="Y125" s="1245"/>
      <c r="Z125" s="619"/>
      <c r="AA125" s="482"/>
      <c r="AB125" s="617"/>
      <c r="AC125" s="619"/>
      <c r="AD125" s="482"/>
      <c r="AE125" s="617"/>
    </row>
    <row r="126" spans="1:31" x14ac:dyDescent="0.25">
      <c r="B126" s="1179"/>
      <c r="C126" s="1336"/>
      <c r="D126" s="1250"/>
      <c r="E126" s="970" t="s">
        <v>980</v>
      </c>
      <c r="F126" s="1236"/>
      <c r="G126" s="1287" t="s">
        <v>1455</v>
      </c>
      <c r="H126" s="957" t="s">
        <v>363</v>
      </c>
      <c r="I126" s="174" t="s">
        <v>762</v>
      </c>
      <c r="J126" s="174">
        <v>31</v>
      </c>
      <c r="K126" s="802">
        <v>22</v>
      </c>
      <c r="L126" s="96" t="s">
        <v>1664</v>
      </c>
      <c r="M126" s="96" t="s">
        <v>1672</v>
      </c>
      <c r="N126" s="96" t="s">
        <v>265</v>
      </c>
      <c r="O126" s="827" t="s">
        <v>72</v>
      </c>
      <c r="P126" s="827"/>
      <c r="Q126" s="96" t="s">
        <v>1516</v>
      </c>
      <c r="R126" s="814">
        <v>10</v>
      </c>
      <c r="S126" s="1231"/>
      <c r="T126" s="1184"/>
      <c r="U126" s="1215"/>
      <c r="V126" s="1231"/>
      <c r="W126" s="619"/>
      <c r="X126" s="482"/>
      <c r="Y126" s="617">
        <v>1</v>
      </c>
      <c r="Z126" s="619"/>
      <c r="AA126" s="482"/>
      <c r="AB126" s="617"/>
      <c r="AC126" s="619"/>
      <c r="AD126" s="482"/>
      <c r="AE126" s="617"/>
    </row>
    <row r="127" spans="1:31" s="949" customFormat="1" x14ac:dyDescent="0.25">
      <c r="A127" s="971"/>
      <c r="B127" s="1179"/>
      <c r="C127" s="1336"/>
      <c r="D127" s="1250"/>
      <c r="E127" s="970" t="s">
        <v>1877</v>
      </c>
      <c r="F127" s="1236"/>
      <c r="G127" s="1288"/>
      <c r="H127" s="957" t="s">
        <v>363</v>
      </c>
      <c r="I127" s="961">
        <v>320</v>
      </c>
      <c r="J127" s="961">
        <v>28</v>
      </c>
      <c r="K127" s="977">
        <v>28</v>
      </c>
      <c r="L127" s="957" t="s">
        <v>1664</v>
      </c>
      <c r="M127" s="957" t="s">
        <v>1672</v>
      </c>
      <c r="N127" s="957" t="s">
        <v>265</v>
      </c>
      <c r="O127" s="981" t="s">
        <v>72</v>
      </c>
      <c r="P127" s="981"/>
      <c r="Q127" s="957" t="s">
        <v>1516</v>
      </c>
      <c r="R127" s="980">
        <v>1</v>
      </c>
      <c r="S127" s="1231"/>
      <c r="T127" s="1184"/>
      <c r="U127" s="1215"/>
      <c r="V127" s="1231"/>
      <c r="W127" s="975"/>
      <c r="X127" s="967"/>
      <c r="Y127" s="1245">
        <v>1</v>
      </c>
      <c r="Z127" s="975"/>
      <c r="AA127" s="967"/>
      <c r="AB127" s="617"/>
      <c r="AC127" s="975"/>
      <c r="AD127" s="967"/>
      <c r="AE127" s="617"/>
    </row>
    <row r="128" spans="1:31" x14ac:dyDescent="0.25">
      <c r="B128" s="1179"/>
      <c r="C128" s="1336"/>
      <c r="D128" s="1250"/>
      <c r="E128" s="970" t="s">
        <v>969</v>
      </c>
      <c r="F128" s="1236"/>
      <c r="G128" s="1288"/>
      <c r="H128" s="957" t="s">
        <v>363</v>
      </c>
      <c r="I128" s="174" t="s">
        <v>762</v>
      </c>
      <c r="J128" s="174">
        <v>21</v>
      </c>
      <c r="K128" s="802">
        <v>16</v>
      </c>
      <c r="L128" s="96" t="s">
        <v>1664</v>
      </c>
      <c r="M128" s="96" t="s">
        <v>1672</v>
      </c>
      <c r="N128" s="96" t="s">
        <v>265</v>
      </c>
      <c r="O128" s="827" t="s">
        <v>72</v>
      </c>
      <c r="P128" s="827"/>
      <c r="Q128" s="96" t="s">
        <v>1516</v>
      </c>
      <c r="R128" s="814">
        <v>6</v>
      </c>
      <c r="S128" s="1231"/>
      <c r="T128" s="1184"/>
      <c r="U128" s="1215"/>
      <c r="V128" s="1231"/>
      <c r="W128" s="619"/>
      <c r="X128" s="482"/>
      <c r="Y128" s="1245"/>
      <c r="Z128" s="619"/>
      <c r="AA128" s="482"/>
      <c r="AB128" s="617"/>
      <c r="AC128" s="619"/>
      <c r="AD128" s="482"/>
      <c r="AE128" s="617"/>
    </row>
    <row r="129" spans="1:31" x14ac:dyDescent="0.25">
      <c r="B129" s="1179"/>
      <c r="C129" s="1336"/>
      <c r="D129" s="1250"/>
      <c r="E129" s="970" t="s">
        <v>981</v>
      </c>
      <c r="F129" s="1236"/>
      <c r="G129" s="1287" t="s">
        <v>1455</v>
      </c>
      <c r="H129" s="957" t="s">
        <v>363</v>
      </c>
      <c r="I129" s="174" t="s">
        <v>763</v>
      </c>
      <c r="J129" s="174">
        <v>31</v>
      </c>
      <c r="K129" s="802">
        <v>22</v>
      </c>
      <c r="L129" s="96" t="s">
        <v>1665</v>
      </c>
      <c r="M129" s="96" t="s">
        <v>1672</v>
      </c>
      <c r="N129" s="96" t="s">
        <v>265</v>
      </c>
      <c r="O129" s="827" t="s">
        <v>72</v>
      </c>
      <c r="P129" s="827"/>
      <c r="Q129" s="96" t="s">
        <v>1516</v>
      </c>
      <c r="R129" s="814">
        <v>10</v>
      </c>
      <c r="S129" s="1231"/>
      <c r="T129" s="1184"/>
      <c r="U129" s="1215"/>
      <c r="V129" s="1231"/>
      <c r="W129" s="619"/>
      <c r="X129" s="482"/>
      <c r="Y129" s="617">
        <v>1</v>
      </c>
      <c r="Z129" s="619"/>
      <c r="AA129" s="482"/>
      <c r="AB129" s="617"/>
      <c r="AC129" s="619"/>
      <c r="AD129" s="482"/>
      <c r="AE129" s="617"/>
    </row>
    <row r="130" spans="1:31" s="949" customFormat="1" x14ac:dyDescent="0.25">
      <c r="A130" s="971"/>
      <c r="B130" s="1179"/>
      <c r="C130" s="1336"/>
      <c r="D130" s="1250"/>
      <c r="E130" s="970" t="s">
        <v>1878</v>
      </c>
      <c r="F130" s="1236"/>
      <c r="G130" s="1288"/>
      <c r="H130" s="957" t="s">
        <v>363</v>
      </c>
      <c r="I130" s="961">
        <v>320</v>
      </c>
      <c r="J130" s="961">
        <v>30</v>
      </c>
      <c r="K130" s="977">
        <v>30</v>
      </c>
      <c r="L130" s="957" t="s">
        <v>1665</v>
      </c>
      <c r="M130" s="957" t="s">
        <v>1672</v>
      </c>
      <c r="N130" s="957" t="s">
        <v>265</v>
      </c>
      <c r="O130" s="981" t="s">
        <v>72</v>
      </c>
      <c r="P130" s="981"/>
      <c r="Q130" s="957" t="s">
        <v>1516</v>
      </c>
      <c r="R130" s="980">
        <v>1</v>
      </c>
      <c r="S130" s="1231"/>
      <c r="T130" s="1184"/>
      <c r="U130" s="1215"/>
      <c r="V130" s="1231"/>
      <c r="W130" s="975"/>
      <c r="X130" s="967"/>
      <c r="Y130" s="1245">
        <v>1</v>
      </c>
      <c r="Z130" s="975"/>
      <c r="AA130" s="967"/>
      <c r="AB130" s="617"/>
      <c r="AC130" s="975"/>
      <c r="AD130" s="967"/>
      <c r="AE130" s="617"/>
    </row>
    <row r="131" spans="1:31" x14ac:dyDescent="0.25">
      <c r="B131" s="1179"/>
      <c r="C131" s="1336"/>
      <c r="D131" s="1250"/>
      <c r="E131" s="970" t="s">
        <v>968</v>
      </c>
      <c r="F131" s="1236"/>
      <c r="G131" s="1288"/>
      <c r="H131" s="957" t="s">
        <v>363</v>
      </c>
      <c r="I131" s="174" t="s">
        <v>763</v>
      </c>
      <c r="J131" s="174">
        <v>21</v>
      </c>
      <c r="K131" s="802">
        <v>16</v>
      </c>
      <c r="L131" s="96" t="s">
        <v>1665</v>
      </c>
      <c r="M131" s="96" t="s">
        <v>1672</v>
      </c>
      <c r="N131" s="96" t="s">
        <v>265</v>
      </c>
      <c r="O131" s="827" t="s">
        <v>72</v>
      </c>
      <c r="P131" s="827"/>
      <c r="Q131" s="96" t="s">
        <v>1516</v>
      </c>
      <c r="R131" s="814">
        <v>6</v>
      </c>
      <c r="S131" s="1231"/>
      <c r="T131" s="1184"/>
      <c r="U131" s="1215"/>
      <c r="V131" s="1231"/>
      <c r="W131" s="619"/>
      <c r="X131" s="482"/>
      <c r="Y131" s="1245"/>
      <c r="Z131" s="619"/>
      <c r="AA131" s="482"/>
      <c r="AB131" s="617"/>
      <c r="AC131" s="619"/>
      <c r="AD131" s="482"/>
      <c r="AE131" s="617"/>
    </row>
    <row r="132" spans="1:31" x14ac:dyDescent="0.25">
      <c r="B132" s="1179"/>
      <c r="C132" s="1336"/>
      <c r="D132" s="1250"/>
      <c r="E132" s="532" t="s">
        <v>187</v>
      </c>
      <c r="F132" s="1164" t="s">
        <v>927</v>
      </c>
      <c r="G132" s="1252" t="s">
        <v>49</v>
      </c>
      <c r="H132" s="174" t="s">
        <v>363</v>
      </c>
      <c r="I132" s="174" t="s">
        <v>764</v>
      </c>
      <c r="J132" s="174">
        <v>23</v>
      </c>
      <c r="K132" s="802">
        <v>21</v>
      </c>
      <c r="L132" s="96" t="s">
        <v>1662</v>
      </c>
      <c r="M132" s="96" t="s">
        <v>1672</v>
      </c>
      <c r="N132" s="96" t="s">
        <v>265</v>
      </c>
      <c r="O132" s="826" t="s">
        <v>195</v>
      </c>
      <c r="P132" s="826" t="s">
        <v>152</v>
      </c>
      <c r="Q132" s="200" t="s">
        <v>1528</v>
      </c>
      <c r="R132" s="814">
        <v>3</v>
      </c>
      <c r="S132" s="1231"/>
      <c r="T132" s="1184"/>
      <c r="U132" s="1215"/>
      <c r="V132" s="1231"/>
      <c r="W132" s="612">
        <v>1</v>
      </c>
      <c r="X132" s="482"/>
      <c r="Y132" s="620"/>
      <c r="Z132" s="612">
        <v>1</v>
      </c>
      <c r="AA132" s="482"/>
      <c r="AB132" s="620"/>
      <c r="AC132" s="612"/>
      <c r="AD132" s="482"/>
      <c r="AE132" s="620"/>
    </row>
    <row r="133" spans="1:31" x14ac:dyDescent="0.25">
      <c r="B133" s="1179"/>
      <c r="C133" s="1336"/>
      <c r="D133" s="1250"/>
      <c r="E133" s="532" t="s">
        <v>188</v>
      </c>
      <c r="F133" s="1236"/>
      <c r="G133" s="1334"/>
      <c r="H133" s="174" t="s">
        <v>363</v>
      </c>
      <c r="I133" s="174" t="s">
        <v>764</v>
      </c>
      <c r="J133" s="174">
        <v>20</v>
      </c>
      <c r="K133" s="802">
        <v>18</v>
      </c>
      <c r="L133" s="96" t="s">
        <v>1662</v>
      </c>
      <c r="M133" s="96" t="s">
        <v>1672</v>
      </c>
      <c r="N133" s="96" t="s">
        <v>265</v>
      </c>
      <c r="O133" s="826" t="s">
        <v>195</v>
      </c>
      <c r="P133" s="826" t="s">
        <v>153</v>
      </c>
      <c r="Q133" s="200" t="s">
        <v>1527</v>
      </c>
      <c r="R133" s="814">
        <v>3</v>
      </c>
      <c r="S133" s="1231"/>
      <c r="T133" s="1184"/>
      <c r="U133" s="1215"/>
      <c r="V133" s="1231"/>
      <c r="W133" s="612">
        <v>1</v>
      </c>
      <c r="X133" s="482"/>
      <c r="Y133" s="620"/>
      <c r="Z133" s="612">
        <v>1</v>
      </c>
      <c r="AA133" s="482"/>
      <c r="AB133" s="620"/>
      <c r="AC133" s="612"/>
      <c r="AD133" s="482"/>
      <c r="AE133" s="620"/>
    </row>
    <row r="134" spans="1:31" x14ac:dyDescent="0.25">
      <c r="B134" s="1179"/>
      <c r="C134" s="1336"/>
      <c r="D134" s="1250"/>
      <c r="E134" s="532" t="s">
        <v>189</v>
      </c>
      <c r="F134" s="1236"/>
      <c r="G134" s="1334"/>
      <c r="H134" s="174" t="s">
        <v>363</v>
      </c>
      <c r="I134" s="174" t="s">
        <v>764</v>
      </c>
      <c r="J134" s="174">
        <v>17</v>
      </c>
      <c r="K134" s="802">
        <v>15</v>
      </c>
      <c r="L134" s="96" t="s">
        <v>1663</v>
      </c>
      <c r="M134" s="96" t="s">
        <v>1672</v>
      </c>
      <c r="N134" s="96" t="s">
        <v>265</v>
      </c>
      <c r="O134" s="826" t="s">
        <v>195</v>
      </c>
      <c r="P134" s="826" t="s">
        <v>152</v>
      </c>
      <c r="Q134" s="200" t="s">
        <v>1528</v>
      </c>
      <c r="R134" s="814">
        <v>3</v>
      </c>
      <c r="S134" s="1231"/>
      <c r="T134" s="1184"/>
      <c r="U134" s="1215"/>
      <c r="V134" s="1231"/>
      <c r="W134" s="612">
        <v>1</v>
      </c>
      <c r="X134" s="482"/>
      <c r="Y134" s="620"/>
      <c r="Z134" s="612">
        <v>1</v>
      </c>
      <c r="AA134" s="482"/>
      <c r="AB134" s="620"/>
      <c r="AC134" s="612"/>
      <c r="AD134" s="482"/>
      <c r="AE134" s="620"/>
    </row>
    <row r="135" spans="1:31" x14ac:dyDescent="0.25">
      <c r="B135" s="1179"/>
      <c r="C135" s="1336"/>
      <c r="D135" s="1250"/>
      <c r="E135" s="532" t="s">
        <v>190</v>
      </c>
      <c r="F135" s="1236"/>
      <c r="G135" s="1334"/>
      <c r="H135" s="174" t="s">
        <v>363</v>
      </c>
      <c r="I135" s="174" t="s">
        <v>764</v>
      </c>
      <c r="J135" s="174">
        <v>14</v>
      </c>
      <c r="K135" s="802">
        <v>12</v>
      </c>
      <c r="L135" s="96" t="s">
        <v>1663</v>
      </c>
      <c r="M135" s="96" t="s">
        <v>1672</v>
      </c>
      <c r="N135" s="96" t="s">
        <v>265</v>
      </c>
      <c r="O135" s="826" t="s">
        <v>195</v>
      </c>
      <c r="P135" s="826" t="s">
        <v>153</v>
      </c>
      <c r="Q135" s="200" t="s">
        <v>1527</v>
      </c>
      <c r="R135" s="814">
        <v>3</v>
      </c>
      <c r="S135" s="1231"/>
      <c r="T135" s="1184"/>
      <c r="U135" s="1215"/>
      <c r="V135" s="1231"/>
      <c r="W135" s="612">
        <v>1</v>
      </c>
      <c r="X135" s="482"/>
      <c r="Y135" s="620"/>
      <c r="Z135" s="612">
        <v>1</v>
      </c>
      <c r="AA135" s="482"/>
      <c r="AB135" s="620"/>
      <c r="AC135" s="612"/>
      <c r="AD135" s="482"/>
      <c r="AE135" s="620"/>
    </row>
    <row r="136" spans="1:31" x14ac:dyDescent="0.25">
      <c r="B136" s="1179"/>
      <c r="C136" s="1336"/>
      <c r="D136" s="1250"/>
      <c r="E136" s="532" t="s">
        <v>191</v>
      </c>
      <c r="F136" s="1236"/>
      <c r="G136" s="1334"/>
      <c r="H136" s="174" t="s">
        <v>363</v>
      </c>
      <c r="I136" s="174" t="s">
        <v>764</v>
      </c>
      <c r="J136" s="174">
        <v>11</v>
      </c>
      <c r="K136" s="802">
        <v>9</v>
      </c>
      <c r="L136" s="96" t="s">
        <v>1664</v>
      </c>
      <c r="M136" s="96" t="s">
        <v>1672</v>
      </c>
      <c r="N136" s="96" t="s">
        <v>265</v>
      </c>
      <c r="O136" s="826" t="s">
        <v>195</v>
      </c>
      <c r="P136" s="826" t="s">
        <v>152</v>
      </c>
      <c r="Q136" s="200" t="s">
        <v>1528</v>
      </c>
      <c r="R136" s="814">
        <v>3</v>
      </c>
      <c r="S136" s="1231"/>
      <c r="T136" s="1184"/>
      <c r="U136" s="1215"/>
      <c r="V136" s="1231"/>
      <c r="W136" s="612">
        <v>1</v>
      </c>
      <c r="X136" s="482"/>
      <c r="Y136" s="620"/>
      <c r="Z136" s="612">
        <v>1</v>
      </c>
      <c r="AA136" s="482"/>
      <c r="AB136" s="620"/>
      <c r="AC136" s="612"/>
      <c r="AD136" s="482"/>
      <c r="AE136" s="620"/>
    </row>
    <row r="137" spans="1:31" x14ac:dyDescent="0.25">
      <c r="B137" s="1179"/>
      <c r="C137" s="1336"/>
      <c r="D137" s="1250"/>
      <c r="E137" s="532" t="s">
        <v>192</v>
      </c>
      <c r="F137" s="1236"/>
      <c r="G137" s="1334"/>
      <c r="H137" s="174" t="s">
        <v>363</v>
      </c>
      <c r="I137" s="174" t="s">
        <v>764</v>
      </c>
      <c r="J137" s="174">
        <v>8</v>
      </c>
      <c r="K137" s="802">
        <v>6</v>
      </c>
      <c r="L137" s="96" t="s">
        <v>1664</v>
      </c>
      <c r="M137" s="96" t="s">
        <v>1672</v>
      </c>
      <c r="N137" s="96" t="s">
        <v>265</v>
      </c>
      <c r="O137" s="826" t="s">
        <v>195</v>
      </c>
      <c r="P137" s="826" t="s">
        <v>153</v>
      </c>
      <c r="Q137" s="200" t="s">
        <v>1527</v>
      </c>
      <c r="R137" s="814">
        <v>3</v>
      </c>
      <c r="S137" s="1231"/>
      <c r="T137" s="1184"/>
      <c r="U137" s="1215"/>
      <c r="V137" s="1231"/>
      <c r="W137" s="612">
        <v>1</v>
      </c>
      <c r="X137" s="482"/>
      <c r="Y137" s="620"/>
      <c r="Z137" s="612">
        <v>1</v>
      </c>
      <c r="AA137" s="482"/>
      <c r="AB137" s="620"/>
      <c r="AC137" s="612"/>
      <c r="AD137" s="482"/>
      <c r="AE137" s="620"/>
    </row>
    <row r="138" spans="1:31" x14ac:dyDescent="0.25">
      <c r="B138" s="1179"/>
      <c r="C138" s="1336"/>
      <c r="D138" s="1250"/>
      <c r="E138" s="532" t="s">
        <v>193</v>
      </c>
      <c r="F138" s="1236"/>
      <c r="G138" s="1334"/>
      <c r="H138" s="174" t="s">
        <v>363</v>
      </c>
      <c r="I138" s="174" t="s">
        <v>764</v>
      </c>
      <c r="J138" s="174">
        <v>5</v>
      </c>
      <c r="K138" s="802">
        <v>3</v>
      </c>
      <c r="L138" s="96" t="s">
        <v>1665</v>
      </c>
      <c r="M138" s="96" t="s">
        <v>1672</v>
      </c>
      <c r="N138" s="96" t="s">
        <v>265</v>
      </c>
      <c r="O138" s="826" t="s">
        <v>195</v>
      </c>
      <c r="P138" s="826" t="s">
        <v>152</v>
      </c>
      <c r="Q138" s="200" t="s">
        <v>1528</v>
      </c>
      <c r="R138" s="814">
        <v>3</v>
      </c>
      <c r="S138" s="1231"/>
      <c r="T138" s="1184"/>
      <c r="U138" s="1215"/>
      <c r="V138" s="1231"/>
      <c r="W138" s="612">
        <v>1</v>
      </c>
      <c r="X138" s="482"/>
      <c r="Y138" s="620"/>
      <c r="Z138" s="612">
        <v>1</v>
      </c>
      <c r="AA138" s="482"/>
      <c r="AB138" s="620"/>
      <c r="AC138" s="612"/>
      <c r="AD138" s="482"/>
      <c r="AE138" s="620"/>
    </row>
    <row r="139" spans="1:31" x14ac:dyDescent="0.25">
      <c r="B139" s="1180"/>
      <c r="C139" s="1239"/>
      <c r="D139" s="1251"/>
      <c r="E139" s="532" t="s">
        <v>194</v>
      </c>
      <c r="F139" s="1165"/>
      <c r="G139" s="1253"/>
      <c r="H139" s="174" t="s">
        <v>363</v>
      </c>
      <c r="I139" s="174" t="s">
        <v>764</v>
      </c>
      <c r="J139" s="174">
        <v>2</v>
      </c>
      <c r="K139" s="802">
        <v>0</v>
      </c>
      <c r="L139" s="96" t="s">
        <v>1665</v>
      </c>
      <c r="M139" s="96" t="s">
        <v>1672</v>
      </c>
      <c r="N139" s="96" t="s">
        <v>265</v>
      </c>
      <c r="O139" s="826" t="s">
        <v>195</v>
      </c>
      <c r="P139" s="826" t="s">
        <v>153</v>
      </c>
      <c r="Q139" s="200" t="s">
        <v>1527</v>
      </c>
      <c r="R139" s="814">
        <v>3</v>
      </c>
      <c r="S139" s="1228"/>
      <c r="T139" s="1184"/>
      <c r="U139" s="1215"/>
      <c r="V139" s="1228"/>
      <c r="W139" s="612">
        <v>1</v>
      </c>
      <c r="X139" s="482"/>
      <c r="Y139" s="620"/>
      <c r="Z139" s="612">
        <v>1</v>
      </c>
      <c r="AA139" s="482"/>
      <c r="AB139" s="620"/>
      <c r="AC139" s="612"/>
      <c r="AD139" s="482"/>
      <c r="AE139" s="620"/>
    </row>
    <row r="140" spans="1:31" x14ac:dyDescent="0.25">
      <c r="B140" s="873"/>
      <c r="C140" s="3"/>
      <c r="D140" s="12"/>
      <c r="E140" s="528"/>
      <c r="F140" s="547"/>
      <c r="G140" s="666"/>
      <c r="H140" s="12"/>
      <c r="I140" s="12"/>
      <c r="J140" s="12"/>
      <c r="K140" s="12"/>
      <c r="L140" s="601"/>
      <c r="M140" s="601"/>
      <c r="N140" s="601"/>
      <c r="O140" s="828"/>
      <c r="P140" s="828"/>
      <c r="Q140" s="844"/>
      <c r="R140" s="12"/>
      <c r="S140" s="15"/>
      <c r="T140" s="15"/>
      <c r="U140" s="552"/>
      <c r="V140" s="15"/>
      <c r="W140" s="3"/>
      <c r="X140" s="12"/>
      <c r="Y140" s="614"/>
      <c r="Z140" s="3"/>
      <c r="AA140" s="12"/>
      <c r="AB140" s="614"/>
      <c r="AC140" s="3"/>
      <c r="AD140" s="12"/>
      <c r="AE140" s="614"/>
    </row>
    <row r="141" spans="1:31" x14ac:dyDescent="0.25">
      <c r="B141" s="1179" t="s">
        <v>368</v>
      </c>
      <c r="C141" s="1181" t="s">
        <v>33</v>
      </c>
      <c r="D141" s="134"/>
      <c r="E141" s="532" t="s">
        <v>74</v>
      </c>
      <c r="F141" s="518"/>
      <c r="G141" s="669" t="s">
        <v>49</v>
      </c>
      <c r="H141" s="96" t="s">
        <v>874</v>
      </c>
      <c r="I141" s="96" t="s">
        <v>746</v>
      </c>
      <c r="J141" s="96">
        <v>31</v>
      </c>
      <c r="K141" s="803">
        <v>2</v>
      </c>
      <c r="L141" s="96"/>
      <c r="M141" s="96"/>
      <c r="N141" s="96"/>
      <c r="O141" s="827" t="s">
        <v>72</v>
      </c>
      <c r="P141" s="827"/>
      <c r="Q141" s="96"/>
      <c r="R141" s="814">
        <v>30</v>
      </c>
      <c r="S141" s="1145">
        <f>SUM(R141:R142)</f>
        <v>32</v>
      </c>
      <c r="T141" s="471"/>
      <c r="U141" s="1273">
        <f>FLOOR((S141-0.1)/32,1)+1</f>
        <v>1</v>
      </c>
      <c r="V141" s="1272">
        <f>U141*32-S141</f>
        <v>0</v>
      </c>
      <c r="W141" s="612"/>
      <c r="X141" s="482"/>
      <c r="Y141" s="620"/>
      <c r="Z141" s="612"/>
      <c r="AA141" s="482"/>
      <c r="AB141" s="620"/>
      <c r="AC141" s="612"/>
      <c r="AD141" s="482"/>
      <c r="AE141" s="620"/>
    </row>
    <row r="142" spans="1:31" x14ac:dyDescent="0.25">
      <c r="B142" s="1180"/>
      <c r="C142" s="1183"/>
      <c r="D142" s="779" t="s">
        <v>1456</v>
      </c>
      <c r="E142" s="532" t="s">
        <v>1457</v>
      </c>
      <c r="F142" s="1105" t="s">
        <v>1462</v>
      </c>
      <c r="G142" s="671"/>
      <c r="H142" s="96" t="s">
        <v>363</v>
      </c>
      <c r="I142" s="96" t="s">
        <v>746</v>
      </c>
      <c r="J142" s="96">
        <v>1</v>
      </c>
      <c r="K142" s="803">
        <v>0</v>
      </c>
      <c r="L142" s="96" t="s">
        <v>1659</v>
      </c>
      <c r="M142" s="96" t="s">
        <v>1672</v>
      </c>
      <c r="N142" s="96" t="s">
        <v>489</v>
      </c>
      <c r="O142" s="821" t="s">
        <v>1460</v>
      </c>
      <c r="P142" s="821" t="s">
        <v>1461</v>
      </c>
      <c r="Q142" s="96" t="s">
        <v>1529</v>
      </c>
      <c r="R142" s="816">
        <v>2</v>
      </c>
      <c r="S142" s="1147"/>
      <c r="T142" s="203"/>
      <c r="U142" s="1274"/>
      <c r="V142" s="1265"/>
      <c r="W142" s="973">
        <v>1</v>
      </c>
      <c r="X142" s="482"/>
      <c r="Y142" s="620"/>
      <c r="Z142" s="973">
        <v>1</v>
      </c>
      <c r="AA142" s="482"/>
      <c r="AB142" s="620"/>
      <c r="AC142" s="612"/>
      <c r="AD142" s="482"/>
      <c r="AE142" s="620"/>
    </row>
    <row r="143" spans="1:31" x14ac:dyDescent="0.25">
      <c r="B143" s="3"/>
      <c r="C143" s="3"/>
      <c r="D143" s="12"/>
      <c r="E143" s="528"/>
      <c r="F143" s="547"/>
      <c r="G143" s="666"/>
      <c r="H143" s="12"/>
      <c r="I143" s="12"/>
      <c r="J143" s="12"/>
      <c r="K143" s="12"/>
      <c r="L143" s="601"/>
      <c r="M143" s="601"/>
      <c r="N143" s="601"/>
      <c r="O143" s="828"/>
      <c r="P143" s="828"/>
      <c r="Q143" s="844"/>
      <c r="R143" s="12"/>
      <c r="S143" s="15"/>
      <c r="T143" s="15"/>
      <c r="U143" s="552"/>
      <c r="V143" s="15"/>
      <c r="W143" s="3"/>
      <c r="X143" s="12"/>
      <c r="Y143" s="614"/>
      <c r="Z143" s="3"/>
      <c r="AA143" s="12"/>
      <c r="AB143" s="614"/>
      <c r="AC143" s="3"/>
      <c r="AD143" s="12"/>
      <c r="AE143" s="614"/>
    </row>
    <row r="144" spans="1:31" x14ac:dyDescent="0.25">
      <c r="B144" s="1315" t="s">
        <v>368</v>
      </c>
      <c r="C144" s="1335" t="s">
        <v>34</v>
      </c>
      <c r="D144" s="1212" t="s">
        <v>262</v>
      </c>
      <c r="E144" s="532" t="s">
        <v>1496</v>
      </c>
      <c r="F144" s="1242" t="s">
        <v>1499</v>
      </c>
      <c r="G144" s="1297" t="s">
        <v>1214</v>
      </c>
      <c r="H144" s="96" t="s">
        <v>363</v>
      </c>
      <c r="I144" s="96" t="s">
        <v>747</v>
      </c>
      <c r="J144" s="96">
        <v>17</v>
      </c>
      <c r="K144" s="803">
        <v>13</v>
      </c>
      <c r="L144" s="96" t="s">
        <v>1662</v>
      </c>
      <c r="M144" s="96" t="s">
        <v>1672</v>
      </c>
      <c r="N144" s="96" t="s">
        <v>265</v>
      </c>
      <c r="O144" s="409" t="s">
        <v>91</v>
      </c>
      <c r="P144" s="1090" t="s">
        <v>92</v>
      </c>
      <c r="Q144" s="96" t="s">
        <v>1518</v>
      </c>
      <c r="R144" s="816">
        <v>5</v>
      </c>
      <c r="S144" s="1184">
        <f>SUM(R144:R146)</f>
        <v>15</v>
      </c>
      <c r="T144" s="1229"/>
      <c r="U144" s="1185">
        <f>FLOOR((S144+S149-0.1)/32,1)+1</f>
        <v>1</v>
      </c>
      <c r="V144" s="1230">
        <f>U144*32-S144-S148</f>
        <v>9</v>
      </c>
      <c r="W144" s="619"/>
      <c r="X144" s="53">
        <v>1</v>
      </c>
      <c r="Y144" s="620"/>
      <c r="Z144" s="619"/>
      <c r="AB144" s="620"/>
      <c r="AC144" s="619"/>
      <c r="AE144" s="620"/>
    </row>
    <row r="145" spans="1:31" x14ac:dyDescent="0.25">
      <c r="B145" s="1315"/>
      <c r="C145" s="1335"/>
      <c r="D145" s="1212"/>
      <c r="E145" s="532" t="s">
        <v>1497</v>
      </c>
      <c r="F145" s="1243"/>
      <c r="G145" s="1298"/>
      <c r="H145" s="174" t="s">
        <v>363</v>
      </c>
      <c r="I145" s="174" t="s">
        <v>747</v>
      </c>
      <c r="J145" s="174">
        <v>12</v>
      </c>
      <c r="K145" s="802">
        <v>8</v>
      </c>
      <c r="L145" s="96" t="s">
        <v>1663</v>
      </c>
      <c r="M145" s="96" t="s">
        <v>1672</v>
      </c>
      <c r="N145" s="96" t="s">
        <v>265</v>
      </c>
      <c r="O145" s="409" t="s">
        <v>91</v>
      </c>
      <c r="P145" s="1090" t="s">
        <v>92</v>
      </c>
      <c r="Q145" s="96" t="s">
        <v>1518</v>
      </c>
      <c r="R145" s="816">
        <v>5</v>
      </c>
      <c r="S145" s="1184"/>
      <c r="T145" s="1229"/>
      <c r="U145" s="1235"/>
      <c r="V145" s="1231"/>
      <c r="W145" s="619"/>
      <c r="X145" s="53">
        <v>1</v>
      </c>
      <c r="Y145" s="620"/>
      <c r="Z145" s="619"/>
      <c r="AB145" s="620"/>
      <c r="AC145" s="619"/>
      <c r="AE145" s="620"/>
    </row>
    <row r="146" spans="1:31" x14ac:dyDescent="0.25">
      <c r="B146" s="1315"/>
      <c r="C146" s="1335"/>
      <c r="D146" s="1212"/>
      <c r="E146" s="534" t="s">
        <v>1498</v>
      </c>
      <c r="F146" s="1244"/>
      <c r="G146" s="1299"/>
      <c r="H146" s="174" t="s">
        <v>363</v>
      </c>
      <c r="I146" s="174" t="s">
        <v>747</v>
      </c>
      <c r="J146" s="174">
        <v>7</v>
      </c>
      <c r="K146" s="802">
        <v>3</v>
      </c>
      <c r="L146" s="96" t="s">
        <v>1664</v>
      </c>
      <c r="M146" s="96" t="s">
        <v>1672</v>
      </c>
      <c r="N146" s="96" t="s">
        <v>265</v>
      </c>
      <c r="O146" s="409" t="s">
        <v>91</v>
      </c>
      <c r="P146" s="1090" t="s">
        <v>92</v>
      </c>
      <c r="Q146" s="96" t="s">
        <v>1518</v>
      </c>
      <c r="R146" s="816">
        <v>5</v>
      </c>
      <c r="S146" s="1184"/>
      <c r="T146" s="1229"/>
      <c r="U146" s="1235"/>
      <c r="V146" s="1231"/>
      <c r="W146" s="619"/>
      <c r="X146" s="53">
        <v>1</v>
      </c>
      <c r="Y146" s="620"/>
      <c r="Z146" s="619"/>
      <c r="AB146" s="620"/>
      <c r="AC146" s="619"/>
      <c r="AE146" s="620"/>
    </row>
    <row r="147" spans="1:31" x14ac:dyDescent="0.25">
      <c r="B147" s="3"/>
      <c r="C147" s="3"/>
      <c r="D147" s="12"/>
      <c r="E147" s="528"/>
      <c r="F147" s="547"/>
      <c r="G147" s="666"/>
      <c r="H147" s="12"/>
      <c r="I147" s="12"/>
      <c r="J147" s="12"/>
      <c r="K147" s="12"/>
      <c r="L147" s="601"/>
      <c r="M147" s="601"/>
      <c r="N147" s="601"/>
      <c r="O147" s="828"/>
      <c r="P147" s="828"/>
      <c r="Q147" s="844"/>
      <c r="R147" s="12"/>
      <c r="S147" s="15"/>
      <c r="T147" s="15"/>
      <c r="U147" s="1235"/>
      <c r="V147" s="1231"/>
      <c r="W147" s="3"/>
      <c r="X147" s="12"/>
      <c r="Y147" s="614"/>
      <c r="Z147" s="3"/>
      <c r="AA147" s="12"/>
      <c r="AB147" s="614"/>
      <c r="AC147" s="3"/>
      <c r="AD147" s="12"/>
      <c r="AE147" s="614"/>
    </row>
    <row r="148" spans="1:31" x14ac:dyDescent="0.25">
      <c r="B148" s="1178" t="s">
        <v>368</v>
      </c>
      <c r="C148" s="1238" t="s">
        <v>35</v>
      </c>
      <c r="D148" s="1216" t="s">
        <v>137</v>
      </c>
      <c r="E148" s="534" t="s">
        <v>2075</v>
      </c>
      <c r="F148" s="518" t="s">
        <v>1230</v>
      </c>
      <c r="G148" s="678"/>
      <c r="H148" s="96" t="s">
        <v>363</v>
      </c>
      <c r="I148" s="96" t="s">
        <v>747</v>
      </c>
      <c r="J148" s="96">
        <v>22</v>
      </c>
      <c r="K148" s="803">
        <v>18</v>
      </c>
      <c r="L148" s="96" t="s">
        <v>1860</v>
      </c>
      <c r="M148" s="96" t="s">
        <v>1672</v>
      </c>
      <c r="N148" s="96" t="s">
        <v>492</v>
      </c>
      <c r="O148" s="826" t="s">
        <v>137</v>
      </c>
      <c r="P148" s="826" t="s">
        <v>2074</v>
      </c>
      <c r="Q148" s="203" t="s">
        <v>1515</v>
      </c>
      <c r="R148" s="816">
        <v>5</v>
      </c>
      <c r="S148" s="1145">
        <f>R148+R149</f>
        <v>8</v>
      </c>
      <c r="T148" s="1145"/>
      <c r="U148" s="1235"/>
      <c r="V148" s="1231"/>
      <c r="W148" s="619"/>
      <c r="X148" s="53">
        <v>1</v>
      </c>
      <c r="Y148" s="613"/>
      <c r="Z148" s="619"/>
      <c r="AA148" s="482"/>
      <c r="AB148" s="613"/>
      <c r="AC148" s="619"/>
      <c r="AD148" s="482"/>
      <c r="AE148" s="613"/>
    </row>
    <row r="149" spans="1:31" ht="60" x14ac:dyDescent="0.25">
      <c r="B149" s="1180"/>
      <c r="C149" s="1239"/>
      <c r="D149" s="1217"/>
      <c r="E149" s="532" t="s">
        <v>261</v>
      </c>
      <c r="F149" s="518" t="s">
        <v>929</v>
      </c>
      <c r="G149" s="678" t="s">
        <v>1222</v>
      </c>
      <c r="H149" s="96" t="s">
        <v>363</v>
      </c>
      <c r="I149" s="96" t="s">
        <v>747</v>
      </c>
      <c r="J149" s="96">
        <v>2</v>
      </c>
      <c r="K149" s="803">
        <v>0</v>
      </c>
      <c r="L149" s="96" t="s">
        <v>1860</v>
      </c>
      <c r="M149" s="96" t="s">
        <v>1672</v>
      </c>
      <c r="N149" s="96" t="s">
        <v>492</v>
      </c>
      <c r="O149" s="826" t="s">
        <v>137</v>
      </c>
      <c r="P149" s="826" t="s">
        <v>138</v>
      </c>
      <c r="Q149" s="96" t="s">
        <v>1516</v>
      </c>
      <c r="R149" s="816">
        <v>3</v>
      </c>
      <c r="S149" s="1147"/>
      <c r="T149" s="1147"/>
      <c r="U149" s="1186"/>
      <c r="V149" s="1228"/>
      <c r="W149" s="619"/>
      <c r="X149" s="482"/>
      <c r="Y149" s="613">
        <v>1</v>
      </c>
      <c r="Z149" s="619"/>
      <c r="AA149" s="482"/>
      <c r="AB149" s="613"/>
      <c r="AC149" s="619"/>
      <c r="AD149" s="482"/>
      <c r="AE149" s="613"/>
    </row>
    <row r="150" spans="1:31" x14ac:dyDescent="0.25">
      <c r="B150" s="3"/>
      <c r="C150" s="3"/>
      <c r="D150" s="12"/>
      <c r="E150" s="528"/>
      <c r="F150" s="547"/>
      <c r="G150" s="666"/>
      <c r="H150" s="12"/>
      <c r="I150" s="12"/>
      <c r="J150" s="12"/>
      <c r="K150" s="12"/>
      <c r="L150" s="601"/>
      <c r="M150" s="601"/>
      <c r="N150" s="601"/>
      <c r="O150" s="828"/>
      <c r="P150" s="828"/>
      <c r="Q150" s="844"/>
      <c r="R150" s="12"/>
      <c r="S150" s="15"/>
      <c r="T150" s="15"/>
      <c r="U150" s="552"/>
      <c r="V150" s="15"/>
      <c r="W150" s="3"/>
      <c r="X150" s="12"/>
      <c r="Y150" s="614"/>
      <c r="Z150" s="3"/>
      <c r="AA150" s="12"/>
      <c r="AB150" s="614"/>
      <c r="AC150" s="3"/>
      <c r="AD150" s="12"/>
      <c r="AE150" s="614"/>
    </row>
    <row r="151" spans="1:31" x14ac:dyDescent="0.25">
      <c r="B151" s="1315" t="s">
        <v>368</v>
      </c>
      <c r="C151" s="1282" t="s">
        <v>36</v>
      </c>
      <c r="D151" s="1215" t="s">
        <v>376</v>
      </c>
      <c r="E151" s="534" t="s">
        <v>248</v>
      </c>
      <c r="F151" s="1240" t="s">
        <v>930</v>
      </c>
      <c r="G151" s="1300" t="s">
        <v>49</v>
      </c>
      <c r="H151" s="1154" t="s">
        <v>2127</v>
      </c>
      <c r="I151" s="203" t="s">
        <v>745</v>
      </c>
      <c r="J151" s="96">
        <v>18</v>
      </c>
      <c r="K151" s="803">
        <v>12</v>
      </c>
      <c r="L151" s="96" t="s">
        <v>36</v>
      </c>
      <c r="M151" s="96" t="s">
        <v>1672</v>
      </c>
      <c r="N151" s="96" t="s">
        <v>36</v>
      </c>
      <c r="O151" s="827" t="s">
        <v>378</v>
      </c>
      <c r="P151" s="826" t="s">
        <v>379</v>
      </c>
      <c r="Q151" s="96" t="s">
        <v>1519</v>
      </c>
      <c r="R151" s="814">
        <v>7</v>
      </c>
      <c r="S151" s="1184">
        <f>SUM(R151:R153)</f>
        <v>19</v>
      </c>
      <c r="T151" s="1184"/>
      <c r="U151" s="1215">
        <f>FLOOR((R151:R165-0.1)/32,1)+1</f>
        <v>1</v>
      </c>
      <c r="V151" s="1230">
        <f>U151*32-S151</f>
        <v>13</v>
      </c>
      <c r="W151" s="623"/>
      <c r="X151" s="53">
        <v>1</v>
      </c>
      <c r="Y151" s="613"/>
      <c r="Z151" s="623"/>
      <c r="AB151" s="613"/>
      <c r="AC151" s="612">
        <v>1</v>
      </c>
      <c r="AE151" s="613"/>
    </row>
    <row r="152" spans="1:31" x14ac:dyDescent="0.25">
      <c r="B152" s="1315"/>
      <c r="C152" s="1282"/>
      <c r="D152" s="1215"/>
      <c r="E152" s="534" t="s">
        <v>249</v>
      </c>
      <c r="F152" s="1241"/>
      <c r="G152" s="1301"/>
      <c r="H152" s="1155"/>
      <c r="I152" s="174" t="s">
        <v>745</v>
      </c>
      <c r="J152" s="174">
        <v>11</v>
      </c>
      <c r="K152" s="802">
        <v>5</v>
      </c>
      <c r="L152" s="96" t="s">
        <v>36</v>
      </c>
      <c r="M152" s="96" t="s">
        <v>1672</v>
      </c>
      <c r="N152" s="96" t="s">
        <v>36</v>
      </c>
      <c r="O152" s="827" t="s">
        <v>378</v>
      </c>
      <c r="P152" s="826" t="s">
        <v>380</v>
      </c>
      <c r="Q152" s="96" t="s">
        <v>1520</v>
      </c>
      <c r="R152" s="814">
        <v>7</v>
      </c>
      <c r="S152" s="1184"/>
      <c r="T152" s="1184"/>
      <c r="U152" s="1215"/>
      <c r="V152" s="1231"/>
      <c r="W152" s="623"/>
      <c r="X152" s="53">
        <v>1</v>
      </c>
      <c r="Y152" s="613"/>
      <c r="Z152" s="623"/>
      <c r="AB152" s="613"/>
      <c r="AC152" s="612">
        <v>1</v>
      </c>
      <c r="AE152" s="613"/>
    </row>
    <row r="153" spans="1:31" x14ac:dyDescent="0.25">
      <c r="B153" s="1315"/>
      <c r="C153" s="1282"/>
      <c r="D153" s="466" t="s">
        <v>377</v>
      </c>
      <c r="E153" s="535" t="s">
        <v>1346</v>
      </c>
      <c r="F153" s="1105" t="s">
        <v>931</v>
      </c>
      <c r="G153" s="671" t="s">
        <v>1214</v>
      </c>
      <c r="H153" s="96" t="s">
        <v>363</v>
      </c>
      <c r="I153" s="174" t="s">
        <v>745</v>
      </c>
      <c r="J153" s="174">
        <v>4</v>
      </c>
      <c r="K153" s="802">
        <v>0</v>
      </c>
      <c r="L153" s="96" t="s">
        <v>36</v>
      </c>
      <c r="M153" s="96" t="s">
        <v>1672</v>
      </c>
      <c r="N153" s="96" t="s">
        <v>36</v>
      </c>
      <c r="O153" s="821" t="s">
        <v>385</v>
      </c>
      <c r="P153" s="821" t="s">
        <v>386</v>
      </c>
      <c r="Q153" s="96" t="s">
        <v>1521</v>
      </c>
      <c r="R153" s="814">
        <v>5</v>
      </c>
      <c r="S153" s="1184"/>
      <c r="T153" s="1184"/>
      <c r="U153" s="1215"/>
      <c r="V153" s="1228"/>
      <c r="W153" s="624"/>
      <c r="X153" s="53">
        <v>1</v>
      </c>
      <c r="Y153" s="625"/>
      <c r="Z153" s="624"/>
      <c r="AB153" s="625"/>
      <c r="AC153" s="624"/>
      <c r="AE153" s="625"/>
    </row>
    <row r="154" spans="1:31" x14ac:dyDescent="0.25">
      <c r="B154" s="343"/>
      <c r="C154" s="343"/>
      <c r="D154" s="141"/>
      <c r="E154" s="709"/>
      <c r="F154" s="516"/>
      <c r="G154" s="665"/>
      <c r="H154" s="141"/>
      <c r="I154" s="141"/>
      <c r="J154" s="141"/>
      <c r="K154" s="141"/>
      <c r="L154" s="601"/>
      <c r="M154" s="601"/>
      <c r="N154" s="601"/>
      <c r="O154" s="828"/>
      <c r="P154" s="828"/>
      <c r="Q154" s="844"/>
      <c r="R154" s="141"/>
      <c r="S154" s="710"/>
      <c r="T154" s="710"/>
      <c r="U154" s="711"/>
      <c r="V154" s="712"/>
      <c r="W154" s="3"/>
      <c r="X154" s="12"/>
      <c r="Y154" s="614"/>
      <c r="Z154" s="3"/>
      <c r="AA154" s="12"/>
      <c r="AB154" s="614"/>
      <c r="AC154" s="3"/>
      <c r="AD154" s="12"/>
      <c r="AE154" s="614"/>
    </row>
    <row r="155" spans="1:31" s="949" customFormat="1" x14ac:dyDescent="0.25">
      <c r="A155" s="971"/>
      <c r="B155" s="1179" t="s">
        <v>368</v>
      </c>
      <c r="C155" s="1218" t="s">
        <v>37</v>
      </c>
      <c r="D155" s="1216" t="s">
        <v>991</v>
      </c>
      <c r="E155" s="1056" t="s">
        <v>2018</v>
      </c>
      <c r="F155" s="1220" t="s">
        <v>999</v>
      </c>
      <c r="G155" s="666"/>
      <c r="H155" s="1052" t="s">
        <v>363</v>
      </c>
      <c r="I155" s="957" t="s">
        <v>748</v>
      </c>
      <c r="J155" s="1052">
        <v>30</v>
      </c>
      <c r="K155" s="977">
        <v>28</v>
      </c>
      <c r="L155" s="1052" t="s">
        <v>1676</v>
      </c>
      <c r="M155" s="1052" t="s">
        <v>1673</v>
      </c>
      <c r="N155" s="1052" t="s">
        <v>1676</v>
      </c>
      <c r="O155" s="1057" t="s">
        <v>133</v>
      </c>
      <c r="P155" s="1057" t="s">
        <v>2019</v>
      </c>
      <c r="Q155" s="1052" t="s">
        <v>1527</v>
      </c>
      <c r="R155" s="1058">
        <v>3</v>
      </c>
      <c r="S155" s="1051">
        <f>R155</f>
        <v>3</v>
      </c>
      <c r="T155" s="1260"/>
      <c r="U155" s="1262">
        <v>5</v>
      </c>
      <c r="V155" s="1264">
        <f>U155*32-SUM(R155:R172)</f>
        <v>-18</v>
      </c>
      <c r="W155" s="973">
        <v>1</v>
      </c>
      <c r="X155" s="483"/>
      <c r="Y155" s="622"/>
      <c r="Z155" s="973">
        <v>1</v>
      </c>
      <c r="AA155" s="483"/>
      <c r="AB155" s="622"/>
      <c r="AC155" s="975"/>
      <c r="AD155" s="53"/>
      <c r="AE155" s="620"/>
    </row>
    <row r="156" spans="1:31" x14ac:dyDescent="0.25">
      <c r="B156" s="1179"/>
      <c r="C156" s="1218"/>
      <c r="D156" s="1217"/>
      <c r="E156" s="532" t="s">
        <v>1679</v>
      </c>
      <c r="F156" s="1221"/>
      <c r="G156" s="682" t="s">
        <v>1214</v>
      </c>
      <c r="H156" s="957" t="s">
        <v>363</v>
      </c>
      <c r="I156" s="96" t="s">
        <v>748</v>
      </c>
      <c r="J156" s="96">
        <v>21</v>
      </c>
      <c r="K156" s="803">
        <v>18</v>
      </c>
      <c r="L156" s="96" t="s">
        <v>1676</v>
      </c>
      <c r="M156" s="96" t="s">
        <v>1673</v>
      </c>
      <c r="N156" s="96" t="s">
        <v>1676</v>
      </c>
      <c r="O156" s="826" t="s">
        <v>133</v>
      </c>
      <c r="P156" s="826" t="s">
        <v>134</v>
      </c>
      <c r="Q156" s="96" t="s">
        <v>1522</v>
      </c>
      <c r="R156" s="814">
        <v>4</v>
      </c>
      <c r="S156" s="735">
        <f>R156</f>
        <v>4</v>
      </c>
      <c r="T156" s="1260"/>
      <c r="U156" s="1262"/>
      <c r="V156" s="1264"/>
      <c r="W156" s="619"/>
      <c r="X156" s="53">
        <v>1</v>
      </c>
      <c r="Y156" s="620"/>
      <c r="Z156" s="619"/>
      <c r="AA156" s="53">
        <v>1</v>
      </c>
      <c r="AB156" s="620"/>
      <c r="AC156" s="619"/>
      <c r="AE156" s="620"/>
    </row>
    <row r="157" spans="1:31" x14ac:dyDescent="0.25">
      <c r="B157" s="1179"/>
      <c r="C157" s="1218"/>
      <c r="D157" s="736" t="s">
        <v>1374</v>
      </c>
      <c r="E157" s="532" t="s">
        <v>1356</v>
      </c>
      <c r="F157" s="1101" t="s">
        <v>1355</v>
      </c>
      <c r="G157" s="868" t="s">
        <v>49</v>
      </c>
      <c r="H157" s="96" t="s">
        <v>363</v>
      </c>
      <c r="I157" s="96" t="s">
        <v>1375</v>
      </c>
      <c r="J157" s="174">
        <v>15</v>
      </c>
      <c r="K157" s="802">
        <v>0</v>
      </c>
      <c r="L157" s="96" t="s">
        <v>1676</v>
      </c>
      <c r="M157" s="96" t="s">
        <v>1673</v>
      </c>
      <c r="N157" s="96" t="s">
        <v>1676</v>
      </c>
      <c r="O157" s="826" t="s">
        <v>1357</v>
      </c>
      <c r="P157" s="826" t="s">
        <v>1358</v>
      </c>
      <c r="Q157" s="957" t="s">
        <v>2049</v>
      </c>
      <c r="R157" s="814">
        <v>16</v>
      </c>
      <c r="S157" s="735">
        <f>R157</f>
        <v>16</v>
      </c>
      <c r="T157" s="1260"/>
      <c r="U157" s="1262"/>
      <c r="V157" s="1264"/>
      <c r="W157" s="619"/>
      <c r="X157" s="313">
        <v>1</v>
      </c>
      <c r="Y157" s="620"/>
      <c r="Z157" s="619"/>
      <c r="AA157" s="53">
        <v>1</v>
      </c>
      <c r="AB157" s="620"/>
      <c r="AC157" s="619"/>
      <c r="AE157" s="620"/>
    </row>
    <row r="158" spans="1:31" x14ac:dyDescent="0.25">
      <c r="B158" s="1179"/>
      <c r="C158" s="1218"/>
      <c r="D158" s="685" t="s">
        <v>992</v>
      </c>
      <c r="E158" s="532" t="s">
        <v>250</v>
      </c>
      <c r="F158" s="515" t="s">
        <v>1000</v>
      </c>
      <c r="G158" s="664" t="s">
        <v>1214</v>
      </c>
      <c r="H158" s="174" t="s">
        <v>363</v>
      </c>
      <c r="I158" s="174" t="s">
        <v>748</v>
      </c>
      <c r="J158" s="174">
        <v>17</v>
      </c>
      <c r="K158" s="802">
        <v>12</v>
      </c>
      <c r="L158" s="96" t="s">
        <v>1676</v>
      </c>
      <c r="M158" s="96" t="s">
        <v>1673</v>
      </c>
      <c r="N158" s="96" t="s">
        <v>1676</v>
      </c>
      <c r="O158" s="826" t="s">
        <v>135</v>
      </c>
      <c r="P158" s="826" t="s">
        <v>849</v>
      </c>
      <c r="Q158" s="96" t="s">
        <v>1523</v>
      </c>
      <c r="R158" s="814">
        <v>6</v>
      </c>
      <c r="S158" s="735">
        <f>R158</f>
        <v>6</v>
      </c>
      <c r="T158" s="1260"/>
      <c r="U158" s="1262"/>
      <c r="V158" s="1264"/>
      <c r="W158" s="619"/>
      <c r="X158" s="53">
        <v>1</v>
      </c>
      <c r="Y158" s="620"/>
      <c r="Z158" s="619"/>
      <c r="AA158" s="53">
        <v>1</v>
      </c>
      <c r="AB158" s="620"/>
      <c r="AC158" s="619"/>
      <c r="AE158" s="620"/>
    </row>
    <row r="159" spans="1:31" x14ac:dyDescent="0.25">
      <c r="B159" s="1179"/>
      <c r="C159" s="1218"/>
      <c r="D159" s="685" t="s">
        <v>993</v>
      </c>
      <c r="E159" s="534" t="s">
        <v>844</v>
      </c>
      <c r="F159" s="518" t="s">
        <v>1001</v>
      </c>
      <c r="G159" s="672" t="s">
        <v>49</v>
      </c>
      <c r="H159" s="174" t="s">
        <v>363</v>
      </c>
      <c r="I159" s="174">
        <v>328</v>
      </c>
      <c r="J159" s="174">
        <v>22</v>
      </c>
      <c r="K159" s="802">
        <v>16</v>
      </c>
      <c r="L159" s="96" t="s">
        <v>1676</v>
      </c>
      <c r="M159" s="96" t="s">
        <v>1673</v>
      </c>
      <c r="N159" s="96" t="s">
        <v>1676</v>
      </c>
      <c r="O159" s="826" t="s">
        <v>853</v>
      </c>
      <c r="P159" s="826" t="s">
        <v>854</v>
      </c>
      <c r="Q159" s="96" t="s">
        <v>1515</v>
      </c>
      <c r="R159" s="816">
        <v>7</v>
      </c>
      <c r="S159" s="735">
        <f>R159</f>
        <v>7</v>
      </c>
      <c r="T159" s="1260"/>
      <c r="U159" s="1262"/>
      <c r="V159" s="1264"/>
      <c r="W159" s="623"/>
      <c r="X159" s="53">
        <v>1</v>
      </c>
      <c r="Y159" s="613"/>
      <c r="Z159" s="623"/>
      <c r="AA159" s="53">
        <v>1</v>
      </c>
      <c r="AB159" s="613"/>
      <c r="AC159" s="623"/>
      <c r="AD159" s="484"/>
      <c r="AE159" s="613"/>
    </row>
    <row r="160" spans="1:31" x14ac:dyDescent="0.25">
      <c r="B160" s="1179"/>
      <c r="C160" s="1218"/>
      <c r="D160" s="1212" t="s">
        <v>945</v>
      </c>
      <c r="E160" s="536" t="s">
        <v>2070</v>
      </c>
      <c r="F160" s="1207" t="s">
        <v>1002</v>
      </c>
      <c r="G160" s="1142" t="s">
        <v>1214</v>
      </c>
      <c r="H160" s="174" t="s">
        <v>363</v>
      </c>
      <c r="I160" s="174" t="s">
        <v>749</v>
      </c>
      <c r="J160" s="174">
        <v>27</v>
      </c>
      <c r="K160" s="802">
        <v>21</v>
      </c>
      <c r="L160" s="96" t="s">
        <v>1676</v>
      </c>
      <c r="M160" s="96" t="s">
        <v>1673</v>
      </c>
      <c r="N160" s="96" t="s">
        <v>1676</v>
      </c>
      <c r="O160" s="831" t="s">
        <v>936</v>
      </c>
      <c r="P160" s="826" t="s">
        <v>939</v>
      </c>
      <c r="Q160" s="1083" t="s">
        <v>1777</v>
      </c>
      <c r="R160" s="814">
        <v>7</v>
      </c>
      <c r="S160" s="1184">
        <f>SUM(R160:R163)</f>
        <v>28</v>
      </c>
      <c r="T160" s="1260"/>
      <c r="U160" s="1262"/>
      <c r="V160" s="1264"/>
      <c r="W160" s="626"/>
      <c r="X160" s="53">
        <v>1</v>
      </c>
      <c r="Y160" s="627"/>
      <c r="Z160" s="626"/>
      <c r="AA160" s="53">
        <v>1</v>
      </c>
      <c r="AB160" s="627"/>
      <c r="AC160" s="626"/>
      <c r="AE160" s="627"/>
    </row>
    <row r="161" spans="1:31" x14ac:dyDescent="0.25">
      <c r="B161" s="1179"/>
      <c r="C161" s="1218"/>
      <c r="D161" s="1212"/>
      <c r="E161" s="532" t="s">
        <v>2071</v>
      </c>
      <c r="F161" s="1208"/>
      <c r="G161" s="1143"/>
      <c r="H161" s="174" t="s">
        <v>363</v>
      </c>
      <c r="I161" s="174" t="s">
        <v>749</v>
      </c>
      <c r="J161" s="174">
        <v>20</v>
      </c>
      <c r="K161" s="802">
        <v>14</v>
      </c>
      <c r="L161" s="96" t="s">
        <v>1676</v>
      </c>
      <c r="M161" s="96" t="s">
        <v>1673</v>
      </c>
      <c r="N161" s="96" t="s">
        <v>1676</v>
      </c>
      <c r="O161" s="831" t="s">
        <v>936</v>
      </c>
      <c r="P161" s="826" t="s">
        <v>937</v>
      </c>
      <c r="Q161" s="1083" t="s">
        <v>1778</v>
      </c>
      <c r="R161" s="814">
        <v>7</v>
      </c>
      <c r="S161" s="1184"/>
      <c r="T161" s="1260"/>
      <c r="U161" s="1262"/>
      <c r="V161" s="1264"/>
      <c r="W161" s="619"/>
      <c r="X161" s="53">
        <v>1</v>
      </c>
      <c r="Y161" s="620"/>
      <c r="Z161" s="619"/>
      <c r="AA161" s="53">
        <v>1</v>
      </c>
      <c r="AB161" s="620"/>
      <c r="AC161" s="619"/>
      <c r="AE161" s="620"/>
    </row>
    <row r="162" spans="1:31" x14ac:dyDescent="0.25">
      <c r="B162" s="1179"/>
      <c r="C162" s="1218"/>
      <c r="D162" s="1212"/>
      <c r="E162" s="532" t="s">
        <v>2072</v>
      </c>
      <c r="F162" s="1208"/>
      <c r="G162" s="1143"/>
      <c r="H162" s="174" t="s">
        <v>363</v>
      </c>
      <c r="I162" s="174" t="s">
        <v>749</v>
      </c>
      <c r="J162" s="174">
        <v>13</v>
      </c>
      <c r="K162" s="802">
        <v>7</v>
      </c>
      <c r="L162" s="96" t="s">
        <v>1676</v>
      </c>
      <c r="M162" s="96" t="s">
        <v>1673</v>
      </c>
      <c r="N162" s="96" t="s">
        <v>1676</v>
      </c>
      <c r="O162" s="831" t="s">
        <v>936</v>
      </c>
      <c r="P162" s="826" t="s">
        <v>938</v>
      </c>
      <c r="Q162" s="1083" t="s">
        <v>1525</v>
      </c>
      <c r="R162" s="814">
        <v>7</v>
      </c>
      <c r="S162" s="1184"/>
      <c r="T162" s="1260"/>
      <c r="U162" s="1262"/>
      <c r="V162" s="1264"/>
      <c r="W162" s="619"/>
      <c r="X162" s="53">
        <v>1</v>
      </c>
      <c r="Y162" s="620"/>
      <c r="Z162" s="619"/>
      <c r="AA162" s="53">
        <v>1</v>
      </c>
      <c r="AB162" s="620"/>
      <c r="AC162" s="619"/>
      <c r="AE162" s="620"/>
    </row>
    <row r="163" spans="1:31" x14ac:dyDescent="0.25">
      <c r="B163" s="1179"/>
      <c r="C163" s="1218"/>
      <c r="D163" s="1212"/>
      <c r="E163" s="532" t="s">
        <v>2073</v>
      </c>
      <c r="F163" s="1209"/>
      <c r="G163" s="1144"/>
      <c r="H163" s="174" t="s">
        <v>363</v>
      </c>
      <c r="I163" s="174" t="s">
        <v>749</v>
      </c>
      <c r="J163" s="174">
        <v>6</v>
      </c>
      <c r="K163" s="802">
        <v>0</v>
      </c>
      <c r="L163" s="96" t="s">
        <v>1676</v>
      </c>
      <c r="M163" s="96" t="s">
        <v>1673</v>
      </c>
      <c r="N163" s="96" t="s">
        <v>1676</v>
      </c>
      <c r="O163" s="831" t="s">
        <v>936</v>
      </c>
      <c r="P163" s="826" t="s">
        <v>940</v>
      </c>
      <c r="Q163" s="1083" t="s">
        <v>1602</v>
      </c>
      <c r="R163" s="814">
        <v>7</v>
      </c>
      <c r="S163" s="1184"/>
      <c r="T163" s="1260"/>
      <c r="U163" s="1262"/>
      <c r="V163" s="1264"/>
      <c r="W163" s="619"/>
      <c r="X163" s="53">
        <v>1</v>
      </c>
      <c r="Y163" s="620"/>
      <c r="Z163" s="619"/>
      <c r="AA163" s="53">
        <v>1</v>
      </c>
      <c r="AB163" s="620"/>
      <c r="AC163" s="619"/>
      <c r="AE163" s="620"/>
    </row>
    <row r="164" spans="1:31" x14ac:dyDescent="0.25">
      <c r="B164" s="1179"/>
      <c r="C164" s="1218"/>
      <c r="D164" s="1213" t="s">
        <v>946</v>
      </c>
      <c r="E164" s="532" t="s">
        <v>862</v>
      </c>
      <c r="F164" s="1210" t="s">
        <v>1003</v>
      </c>
      <c r="G164" s="1142" t="s">
        <v>1214</v>
      </c>
      <c r="H164" s="174" t="s">
        <v>363</v>
      </c>
      <c r="I164" s="174" t="s">
        <v>748</v>
      </c>
      <c r="J164" s="174">
        <v>11</v>
      </c>
      <c r="K164" s="802">
        <v>6</v>
      </c>
      <c r="L164" s="96" t="s">
        <v>1676</v>
      </c>
      <c r="M164" s="96" t="s">
        <v>1673</v>
      </c>
      <c r="N164" s="96" t="s">
        <v>1676</v>
      </c>
      <c r="O164" s="831" t="s">
        <v>861</v>
      </c>
      <c r="P164" s="821" t="s">
        <v>859</v>
      </c>
      <c r="Q164" s="96" t="s">
        <v>1816</v>
      </c>
      <c r="R164" s="814">
        <v>6</v>
      </c>
      <c r="S164" s="1184">
        <f>SUM(R164:R165)</f>
        <v>12</v>
      </c>
      <c r="T164" s="1260"/>
      <c r="U164" s="1262"/>
      <c r="V164" s="1264"/>
      <c r="W164" s="619"/>
      <c r="X164" s="53">
        <v>1</v>
      </c>
      <c r="Y164" s="620"/>
      <c r="Z164" s="619"/>
      <c r="AA164" s="53">
        <v>1</v>
      </c>
      <c r="AB164" s="620"/>
      <c r="AC164" s="619"/>
      <c r="AE164" s="620"/>
    </row>
    <row r="165" spans="1:31" ht="17.25" customHeight="1" x14ac:dyDescent="0.25">
      <c r="B165" s="1179"/>
      <c r="C165" s="1218"/>
      <c r="D165" s="1214"/>
      <c r="E165" s="532" t="s">
        <v>863</v>
      </c>
      <c r="F165" s="1211"/>
      <c r="G165" s="1144"/>
      <c r="H165" s="174" t="s">
        <v>363</v>
      </c>
      <c r="I165" s="174" t="s">
        <v>748</v>
      </c>
      <c r="J165" s="174">
        <v>5</v>
      </c>
      <c r="K165" s="802">
        <v>0</v>
      </c>
      <c r="L165" s="96" t="s">
        <v>1676</v>
      </c>
      <c r="M165" s="96" t="s">
        <v>1673</v>
      </c>
      <c r="N165" s="96" t="s">
        <v>1676</v>
      </c>
      <c r="O165" s="831" t="s">
        <v>861</v>
      </c>
      <c r="P165" s="821" t="s">
        <v>860</v>
      </c>
      <c r="Q165" s="96" t="s">
        <v>1815</v>
      </c>
      <c r="R165" s="814">
        <v>6</v>
      </c>
      <c r="S165" s="1184"/>
      <c r="T165" s="1260"/>
      <c r="U165" s="1262"/>
      <c r="V165" s="1264"/>
      <c r="W165" s="619"/>
      <c r="X165" s="53">
        <v>1</v>
      </c>
      <c r="Y165" s="620"/>
      <c r="Z165" s="619"/>
      <c r="AA165" s="53">
        <v>1</v>
      </c>
      <c r="AB165" s="620"/>
      <c r="AC165" s="619"/>
      <c r="AE165" s="620"/>
    </row>
    <row r="166" spans="1:31" ht="17.25" customHeight="1" x14ac:dyDescent="0.25">
      <c r="B166" s="1179"/>
      <c r="C166" s="1218"/>
      <c r="D166" s="848" t="s">
        <v>1535</v>
      </c>
      <c r="E166" s="532" t="s">
        <v>1536</v>
      </c>
      <c r="F166" s="518" t="s">
        <v>1618</v>
      </c>
      <c r="G166" s="872"/>
      <c r="H166" s="96" t="s">
        <v>363</v>
      </c>
      <c r="I166" s="96" t="s">
        <v>1375</v>
      </c>
      <c r="J166" s="96">
        <v>31</v>
      </c>
      <c r="K166" s="96">
        <v>16</v>
      </c>
      <c r="L166" s="96" t="s">
        <v>1676</v>
      </c>
      <c r="M166" s="96" t="s">
        <v>1673</v>
      </c>
      <c r="N166" s="96" t="s">
        <v>1676</v>
      </c>
      <c r="O166" s="831" t="s">
        <v>1540</v>
      </c>
      <c r="P166" s="841" t="s">
        <v>1541</v>
      </c>
      <c r="Q166" s="203" t="s">
        <v>1692</v>
      </c>
      <c r="R166" s="96">
        <v>16</v>
      </c>
      <c r="S166" s="849">
        <f>R166</f>
        <v>16</v>
      </c>
      <c r="T166" s="1260"/>
      <c r="U166" s="1262"/>
      <c r="V166" s="1264"/>
      <c r="W166" s="619"/>
      <c r="X166" s="313">
        <v>1</v>
      </c>
      <c r="Y166" s="620"/>
      <c r="Z166" s="619"/>
      <c r="AB166" s="620"/>
      <c r="AC166" s="619"/>
      <c r="AE166" s="620"/>
    </row>
    <row r="167" spans="1:31" ht="18" customHeight="1" x14ac:dyDescent="0.25">
      <c r="B167" s="1179"/>
      <c r="C167" s="1218"/>
      <c r="D167" s="1212" t="s">
        <v>1537</v>
      </c>
      <c r="E167" s="532" t="s">
        <v>1538</v>
      </c>
      <c r="F167" s="1164" t="s">
        <v>1616</v>
      </c>
      <c r="G167" s="1295"/>
      <c r="H167" s="96" t="s">
        <v>363</v>
      </c>
      <c r="I167" s="96" t="s">
        <v>1549</v>
      </c>
      <c r="J167" s="96">
        <v>31</v>
      </c>
      <c r="K167" s="96">
        <v>16</v>
      </c>
      <c r="L167" s="96" t="s">
        <v>1676</v>
      </c>
      <c r="M167" s="96" t="s">
        <v>1673</v>
      </c>
      <c r="N167" s="96" t="s">
        <v>1676</v>
      </c>
      <c r="O167" s="831" t="s">
        <v>1542</v>
      </c>
      <c r="P167" s="841" t="s">
        <v>1543</v>
      </c>
      <c r="Q167" s="203" t="s">
        <v>1630</v>
      </c>
      <c r="R167" s="96">
        <v>16</v>
      </c>
      <c r="S167" s="1184">
        <f>R167+R168</f>
        <v>32</v>
      </c>
      <c r="T167" s="1260"/>
      <c r="U167" s="1262"/>
      <c r="V167" s="1264"/>
      <c r="W167" s="619"/>
      <c r="Y167" s="613">
        <v>1</v>
      </c>
      <c r="Z167" s="619"/>
      <c r="AB167" s="620"/>
      <c r="AC167" s="619"/>
      <c r="AE167" s="620"/>
    </row>
    <row r="168" spans="1:31" ht="17.25" customHeight="1" x14ac:dyDescent="0.25">
      <c r="B168" s="1179"/>
      <c r="C168" s="1218"/>
      <c r="D168" s="1212"/>
      <c r="E168" s="532" t="s">
        <v>1539</v>
      </c>
      <c r="F168" s="1165"/>
      <c r="G168" s="1296"/>
      <c r="H168" s="96" t="s">
        <v>363</v>
      </c>
      <c r="I168" s="96" t="s">
        <v>1549</v>
      </c>
      <c r="J168" s="96">
        <v>15</v>
      </c>
      <c r="K168" s="96">
        <v>0</v>
      </c>
      <c r="L168" s="96" t="s">
        <v>1676</v>
      </c>
      <c r="M168" s="96" t="s">
        <v>1673</v>
      </c>
      <c r="N168" s="96" t="s">
        <v>1676</v>
      </c>
      <c r="O168" s="831" t="s">
        <v>1542</v>
      </c>
      <c r="P168" s="841" t="s">
        <v>1544</v>
      </c>
      <c r="Q168" s="203" t="s">
        <v>1631</v>
      </c>
      <c r="R168" s="96">
        <v>16</v>
      </c>
      <c r="S168" s="1184"/>
      <c r="T168" s="1260"/>
      <c r="U168" s="1262"/>
      <c r="V168" s="1264"/>
      <c r="W168" s="619"/>
      <c r="Y168" s="613">
        <v>1</v>
      </c>
      <c r="Z168" s="619"/>
      <c r="AB168" s="620"/>
      <c r="AC168" s="619"/>
      <c r="AE168" s="620"/>
    </row>
    <row r="169" spans="1:31" s="949" customFormat="1" ht="17.25" customHeight="1" x14ac:dyDescent="0.25">
      <c r="A169" s="971"/>
      <c r="B169" s="1179"/>
      <c r="C169" s="1218"/>
      <c r="D169" s="1224" t="s">
        <v>1545</v>
      </c>
      <c r="E169" s="878" t="s">
        <v>2056</v>
      </c>
      <c r="F169" s="1139" t="s">
        <v>1617</v>
      </c>
      <c r="G169" s="1071"/>
      <c r="H169" s="875" t="s">
        <v>363</v>
      </c>
      <c r="I169" s="957">
        <v>328</v>
      </c>
      <c r="J169" s="957">
        <v>15</v>
      </c>
      <c r="K169" s="957">
        <v>0</v>
      </c>
      <c r="L169" s="957" t="s">
        <v>1676</v>
      </c>
      <c r="M169" s="957" t="s">
        <v>1673</v>
      </c>
      <c r="N169" s="957" t="s">
        <v>1676</v>
      </c>
      <c r="O169" s="831" t="s">
        <v>2053</v>
      </c>
      <c r="P169" s="936" t="s">
        <v>2054</v>
      </c>
      <c r="Q169" s="1083"/>
      <c r="R169" s="957">
        <v>16</v>
      </c>
      <c r="S169" s="1156">
        <f>R170+R169</f>
        <v>32</v>
      </c>
      <c r="T169" s="1260"/>
      <c r="U169" s="1262"/>
      <c r="V169" s="1264"/>
      <c r="W169" s="975"/>
      <c r="X169" s="53"/>
      <c r="Y169" s="974">
        <v>1</v>
      </c>
      <c r="Z169" s="975"/>
      <c r="AA169" s="53"/>
      <c r="AB169" s="620"/>
      <c r="AC169" s="975"/>
      <c r="AD169" s="53"/>
      <c r="AE169" s="620"/>
    </row>
    <row r="170" spans="1:31" s="510" customFormat="1" ht="17.25" customHeight="1" x14ac:dyDescent="0.25">
      <c r="A170" s="560"/>
      <c r="B170" s="1179"/>
      <c r="C170" s="1218"/>
      <c r="D170" s="1225"/>
      <c r="E170" s="878" t="s">
        <v>2057</v>
      </c>
      <c r="F170" s="1141"/>
      <c r="G170" s="874"/>
      <c r="H170" s="875" t="s">
        <v>363</v>
      </c>
      <c r="I170" s="875" t="s">
        <v>1550</v>
      </c>
      <c r="J170" s="875">
        <v>31</v>
      </c>
      <c r="K170" s="875">
        <v>16</v>
      </c>
      <c r="L170" s="96" t="s">
        <v>1676</v>
      </c>
      <c r="M170" s="96" t="s">
        <v>1673</v>
      </c>
      <c r="N170" s="96" t="s">
        <v>1676</v>
      </c>
      <c r="O170" s="831" t="s">
        <v>2053</v>
      </c>
      <c r="P170" s="936" t="s">
        <v>2065</v>
      </c>
      <c r="Q170" s="1083" t="s">
        <v>1819</v>
      </c>
      <c r="R170" s="875">
        <v>16</v>
      </c>
      <c r="S170" s="1157"/>
      <c r="T170" s="1260"/>
      <c r="U170" s="1262"/>
      <c r="V170" s="1264"/>
      <c r="W170" s="619"/>
      <c r="X170" s="53"/>
      <c r="Y170" s="613">
        <v>1</v>
      </c>
      <c r="Z170" s="619"/>
      <c r="AA170" s="53"/>
      <c r="AB170" s="620"/>
      <c r="AC170" s="619"/>
      <c r="AD170" s="53"/>
      <c r="AE170" s="620"/>
    </row>
    <row r="171" spans="1:31" ht="17.25" customHeight="1" x14ac:dyDescent="0.25">
      <c r="B171" s="1179"/>
      <c r="C171" s="1218"/>
      <c r="D171" s="848" t="s">
        <v>1559</v>
      </c>
      <c r="E171" s="532" t="s">
        <v>1546</v>
      </c>
      <c r="F171" s="518" t="s">
        <v>1578</v>
      </c>
      <c r="G171" s="669" t="s">
        <v>49</v>
      </c>
      <c r="H171" s="96" t="s">
        <v>363</v>
      </c>
      <c r="I171" s="96" t="s">
        <v>748</v>
      </c>
      <c r="J171" s="96">
        <v>27</v>
      </c>
      <c r="K171" s="96">
        <v>22</v>
      </c>
      <c r="L171" s="96" t="s">
        <v>1676</v>
      </c>
      <c r="M171" s="96" t="s">
        <v>1673</v>
      </c>
      <c r="N171" s="96" t="s">
        <v>1676</v>
      </c>
      <c r="O171" s="876" t="s">
        <v>1553</v>
      </c>
      <c r="P171" s="877" t="s">
        <v>1554</v>
      </c>
      <c r="Q171" s="203" t="s">
        <v>1526</v>
      </c>
      <c r="R171" s="96">
        <v>6</v>
      </c>
      <c r="S171" s="849">
        <f>R171</f>
        <v>6</v>
      </c>
      <c r="T171" s="1260"/>
      <c r="U171" s="1262"/>
      <c r="V171" s="1264"/>
      <c r="W171" s="619"/>
      <c r="X171" s="53">
        <v>1</v>
      </c>
      <c r="Y171" s="620"/>
      <c r="Z171" s="619"/>
      <c r="AB171" s="620"/>
      <c r="AC171" s="619"/>
      <c r="AE171" s="620"/>
    </row>
    <row r="172" spans="1:31" ht="17.25" customHeight="1" x14ac:dyDescent="0.25">
      <c r="B172" s="1180"/>
      <c r="C172" s="1219"/>
      <c r="D172" s="848" t="s">
        <v>1579</v>
      </c>
      <c r="E172" s="532" t="s">
        <v>1548</v>
      </c>
      <c r="F172" s="518" t="s">
        <v>1619</v>
      </c>
      <c r="G172" s="872"/>
      <c r="H172" s="96" t="s">
        <v>363</v>
      </c>
      <c r="I172" s="96" t="s">
        <v>1550</v>
      </c>
      <c r="J172" s="96">
        <v>15</v>
      </c>
      <c r="K172" s="96">
        <v>0</v>
      </c>
      <c r="L172" s="96" t="s">
        <v>1676</v>
      </c>
      <c r="M172" s="96" t="s">
        <v>1673</v>
      </c>
      <c r="N172" s="96" t="s">
        <v>1676</v>
      </c>
      <c r="O172" s="831" t="s">
        <v>1357</v>
      </c>
      <c r="P172" s="841" t="s">
        <v>1547</v>
      </c>
      <c r="Q172" s="361" t="s">
        <v>1858</v>
      </c>
      <c r="R172" s="96">
        <v>16</v>
      </c>
      <c r="S172" s="849">
        <f>R172</f>
        <v>16</v>
      </c>
      <c r="T172" s="1261"/>
      <c r="U172" s="1263"/>
      <c r="V172" s="1265"/>
      <c r="W172" s="619"/>
      <c r="Y172" s="613">
        <v>1</v>
      </c>
      <c r="Z172" s="619"/>
      <c r="AB172" s="620"/>
      <c r="AC172" s="619"/>
      <c r="AE172" s="620"/>
    </row>
    <row r="173" spans="1:31" x14ac:dyDescent="0.25">
      <c r="B173" s="3"/>
      <c r="C173" s="3"/>
      <c r="D173" s="12"/>
      <c r="E173" s="528"/>
      <c r="F173" s="547"/>
      <c r="G173" s="666"/>
      <c r="H173" s="12"/>
      <c r="I173" s="12"/>
      <c r="J173" s="12"/>
      <c r="K173" s="12"/>
      <c r="L173" s="869"/>
      <c r="M173" s="869"/>
      <c r="N173" s="869"/>
      <c r="O173" s="870"/>
      <c r="P173" s="870"/>
      <c r="Q173" s="871"/>
      <c r="R173" s="12"/>
      <c r="S173" s="15"/>
      <c r="T173" s="15"/>
      <c r="U173" s="552"/>
      <c r="V173" s="15"/>
      <c r="W173" s="3"/>
      <c r="X173" s="12"/>
      <c r="Y173" s="614"/>
      <c r="Z173" s="3"/>
      <c r="AA173" s="12"/>
      <c r="AB173" s="614"/>
      <c r="AC173" s="3"/>
      <c r="AD173" s="12"/>
      <c r="AE173" s="614"/>
    </row>
    <row r="174" spans="1:31" x14ac:dyDescent="0.25">
      <c r="B174" s="379" t="s">
        <v>368</v>
      </c>
      <c r="C174" s="469" t="s">
        <v>986</v>
      </c>
      <c r="D174" s="8" t="s">
        <v>493</v>
      </c>
      <c r="E174" s="537" t="s">
        <v>989</v>
      </c>
      <c r="F174" s="518" t="s">
        <v>870</v>
      </c>
      <c r="G174" s="4" t="s">
        <v>1214</v>
      </c>
      <c r="H174" s="96" t="s">
        <v>363</v>
      </c>
      <c r="I174" s="455">
        <v>294</v>
      </c>
      <c r="J174" s="96">
        <v>4</v>
      </c>
      <c r="K174" s="803">
        <v>0</v>
      </c>
      <c r="L174" s="96" t="s">
        <v>1660</v>
      </c>
      <c r="M174" s="96" t="s">
        <v>1672</v>
      </c>
      <c r="N174" s="96" t="s">
        <v>1677</v>
      </c>
      <c r="O174" s="832" t="s">
        <v>1093</v>
      </c>
      <c r="P174" s="832" t="s">
        <v>1094</v>
      </c>
      <c r="Q174" s="96" t="s">
        <v>1525</v>
      </c>
      <c r="R174" s="814">
        <v>5</v>
      </c>
      <c r="S174" s="467">
        <f>SUM(R174:R174)</f>
        <v>5</v>
      </c>
      <c r="T174" s="471"/>
      <c r="U174" s="1185">
        <f>FLOOR((SUM(S174:S178)-0.1)/32,1)+1</f>
        <v>1</v>
      </c>
      <c r="V174" s="1272">
        <f>U174*32-SUM(S174:S178)</f>
        <v>15</v>
      </c>
      <c r="W174" s="628"/>
      <c r="X174" s="53">
        <v>1</v>
      </c>
      <c r="Y174" s="629"/>
      <c r="Z174" s="628"/>
      <c r="AA174" s="53">
        <v>1</v>
      </c>
      <c r="AB174" s="629"/>
      <c r="AC174" s="628"/>
      <c r="AE174" s="629"/>
    </row>
    <row r="175" spans="1:31" x14ac:dyDescent="0.25">
      <c r="B175" s="343"/>
      <c r="C175" s="343"/>
      <c r="D175" s="141"/>
      <c r="E175" s="709"/>
      <c r="F175" s="516"/>
      <c r="G175" s="665"/>
      <c r="H175" s="141"/>
      <c r="I175" s="141"/>
      <c r="J175" s="141"/>
      <c r="K175" s="141"/>
      <c r="L175" s="601"/>
      <c r="M175" s="601"/>
      <c r="N175" s="601"/>
      <c r="O175" s="828"/>
      <c r="P175" s="828"/>
      <c r="Q175" s="844"/>
      <c r="R175" s="141"/>
      <c r="S175" s="710"/>
      <c r="T175" s="724"/>
      <c r="U175" s="1235"/>
      <c r="V175" s="1264"/>
      <c r="W175" s="3"/>
      <c r="X175" s="12"/>
      <c r="Y175" s="614"/>
      <c r="Z175" s="3"/>
      <c r="AA175" s="12"/>
      <c r="AB175" s="614"/>
      <c r="AC175" s="3"/>
      <c r="AD175" s="12"/>
      <c r="AE175" s="614"/>
    </row>
    <row r="176" spans="1:31" x14ac:dyDescent="0.25">
      <c r="B176" s="1178" t="s">
        <v>368</v>
      </c>
      <c r="C176" s="1181" t="s">
        <v>1233</v>
      </c>
      <c r="D176" s="699" t="s">
        <v>1307</v>
      </c>
      <c r="E176" s="526" t="s">
        <v>1279</v>
      </c>
      <c r="F176" s="700" t="s">
        <v>1308</v>
      </c>
      <c r="G176" s="701"/>
      <c r="H176" s="96" t="s">
        <v>363</v>
      </c>
      <c r="I176" s="455">
        <v>294</v>
      </c>
      <c r="J176" s="96">
        <v>16</v>
      </c>
      <c r="K176" s="803">
        <v>13</v>
      </c>
      <c r="L176" s="96" t="s">
        <v>1661</v>
      </c>
      <c r="M176" s="96" t="s">
        <v>1672</v>
      </c>
      <c r="N176" s="96" t="s">
        <v>1678</v>
      </c>
      <c r="O176" s="826" t="s">
        <v>1303</v>
      </c>
      <c r="P176" s="826" t="s">
        <v>104</v>
      </c>
      <c r="Q176" s="96" t="s">
        <v>1517</v>
      </c>
      <c r="R176" s="814">
        <v>4</v>
      </c>
      <c r="S176" s="1184">
        <f>SUM(R176:R178)</f>
        <v>12</v>
      </c>
      <c r="T176" s="1184"/>
      <c r="U176" s="1235"/>
      <c r="V176" s="1264"/>
      <c r="W176" s="628"/>
      <c r="X176" s="53">
        <v>1</v>
      </c>
      <c r="Y176" s="629"/>
      <c r="Z176" s="628"/>
      <c r="AB176" s="629"/>
      <c r="AC176" s="628"/>
      <c r="AE176" s="629"/>
    </row>
    <row r="177" spans="1:31" x14ac:dyDescent="0.25">
      <c r="B177" s="1179"/>
      <c r="C177" s="1182"/>
      <c r="D177" s="1222" t="s">
        <v>1306</v>
      </c>
      <c r="E177" s="527" t="s">
        <v>1280</v>
      </c>
      <c r="F177" s="1164" t="s">
        <v>1302</v>
      </c>
      <c r="G177" s="701"/>
      <c r="H177" s="96" t="s">
        <v>363</v>
      </c>
      <c r="I177" s="455">
        <v>294</v>
      </c>
      <c r="J177" s="174">
        <v>12</v>
      </c>
      <c r="K177" s="802">
        <v>9</v>
      </c>
      <c r="L177" s="96" t="s">
        <v>1661</v>
      </c>
      <c r="M177" s="96" t="s">
        <v>1672</v>
      </c>
      <c r="N177" s="96" t="s">
        <v>1678</v>
      </c>
      <c r="O177" s="826" t="s">
        <v>1286</v>
      </c>
      <c r="P177" s="826" t="s">
        <v>1284</v>
      </c>
      <c r="Q177" s="96" t="s">
        <v>1516</v>
      </c>
      <c r="R177" s="814">
        <v>4</v>
      </c>
      <c r="S177" s="1184"/>
      <c r="T177" s="1184"/>
      <c r="U177" s="1235"/>
      <c r="V177" s="1264"/>
      <c r="W177" s="628"/>
      <c r="X177" s="53">
        <v>1</v>
      </c>
      <c r="Y177" s="629"/>
      <c r="Z177" s="628"/>
      <c r="AB177" s="629"/>
      <c r="AC177" s="628"/>
      <c r="AE177" s="629"/>
    </row>
    <row r="178" spans="1:31" x14ac:dyDescent="0.25">
      <c r="B178" s="1180"/>
      <c r="C178" s="1183"/>
      <c r="D178" s="1223"/>
      <c r="E178" s="527" t="s">
        <v>1281</v>
      </c>
      <c r="F178" s="1165"/>
      <c r="G178" s="701"/>
      <c r="H178" s="96" t="s">
        <v>363</v>
      </c>
      <c r="I178" s="455">
        <v>294</v>
      </c>
      <c r="J178" s="174">
        <v>8</v>
      </c>
      <c r="K178" s="802">
        <v>5</v>
      </c>
      <c r="L178" s="96" t="s">
        <v>1661</v>
      </c>
      <c r="M178" s="96" t="s">
        <v>1672</v>
      </c>
      <c r="N178" s="96" t="s">
        <v>1678</v>
      </c>
      <c r="O178" s="826" t="s">
        <v>1286</v>
      </c>
      <c r="P178" s="826" t="s">
        <v>1285</v>
      </c>
      <c r="Q178" s="96" t="s">
        <v>2039</v>
      </c>
      <c r="R178" s="814">
        <v>4</v>
      </c>
      <c r="S178" s="1184"/>
      <c r="T178" s="1184"/>
      <c r="U178" s="1186"/>
      <c r="V178" s="1265"/>
      <c r="W178" s="628"/>
      <c r="X178" s="53">
        <v>1</v>
      </c>
      <c r="Y178" s="629"/>
      <c r="Z178" s="628"/>
      <c r="AB178" s="629"/>
      <c r="AC178" s="628"/>
      <c r="AE178" s="629"/>
    </row>
    <row r="179" spans="1:31" x14ac:dyDescent="0.25">
      <c r="B179" s="343"/>
      <c r="C179" s="343"/>
      <c r="D179" s="141"/>
      <c r="E179" s="709"/>
      <c r="F179" s="516"/>
      <c r="G179" s="665"/>
      <c r="H179" s="141"/>
      <c r="I179" s="141"/>
      <c r="J179" s="141"/>
      <c r="K179" s="141"/>
      <c r="L179" s="601"/>
      <c r="M179" s="601"/>
      <c r="N179" s="601"/>
      <c r="O179" s="828"/>
      <c r="P179" s="828"/>
      <c r="Q179" s="844"/>
      <c r="R179" s="141"/>
      <c r="S179" s="710"/>
      <c r="T179" s="710"/>
      <c r="U179" s="711"/>
      <c r="V179" s="712"/>
      <c r="W179" s="3"/>
      <c r="X179" s="12"/>
      <c r="Y179" s="614"/>
      <c r="Z179" s="3"/>
      <c r="AA179" s="12"/>
      <c r="AB179" s="614"/>
      <c r="AC179" s="3"/>
      <c r="AD179" s="12"/>
      <c r="AE179" s="614"/>
    </row>
    <row r="180" spans="1:31" x14ac:dyDescent="0.25">
      <c r="B180" s="364" t="s">
        <v>368</v>
      </c>
      <c r="C180" s="469" t="s">
        <v>795</v>
      </c>
      <c r="D180" s="8" t="s">
        <v>796</v>
      </c>
      <c r="E180" s="533" t="s">
        <v>1127</v>
      </c>
      <c r="F180" s="515" t="s">
        <v>932</v>
      </c>
      <c r="G180" s="670" t="s">
        <v>49</v>
      </c>
      <c r="H180" s="96" t="s">
        <v>363</v>
      </c>
      <c r="I180" s="342" t="s">
        <v>765</v>
      </c>
      <c r="J180" s="96">
        <v>31</v>
      </c>
      <c r="K180" s="803">
        <v>24</v>
      </c>
      <c r="L180" s="96" t="s">
        <v>368</v>
      </c>
      <c r="M180" s="96"/>
      <c r="N180" s="96"/>
      <c r="O180" s="827" t="s">
        <v>72</v>
      </c>
      <c r="P180" s="827"/>
      <c r="Q180" s="96"/>
      <c r="R180" s="814">
        <v>8</v>
      </c>
      <c r="S180" s="467">
        <f>SUM(R180:R180)</f>
        <v>8</v>
      </c>
      <c r="T180" s="471"/>
      <c r="U180" s="466">
        <f>FLOOR((S180-0.1)/32,1)+1</f>
        <v>1</v>
      </c>
      <c r="V180" s="602">
        <f>U180*32-S180</f>
        <v>24</v>
      </c>
      <c r="W180" s="612">
        <v>1</v>
      </c>
      <c r="X180" s="483"/>
      <c r="Y180" s="622"/>
      <c r="Z180" s="612">
        <v>1</v>
      </c>
      <c r="AA180" s="483"/>
      <c r="AB180" s="622"/>
      <c r="AC180" s="612">
        <v>1</v>
      </c>
      <c r="AD180" s="483"/>
      <c r="AE180" s="622"/>
    </row>
    <row r="181" spans="1:31" x14ac:dyDescent="0.25">
      <c r="B181" s="3"/>
      <c r="C181" s="3"/>
      <c r="D181" s="12"/>
      <c r="E181" s="528"/>
      <c r="F181" s="547"/>
      <c r="G181" s="666"/>
      <c r="H181" s="12"/>
      <c r="I181" s="12"/>
      <c r="J181" s="12"/>
      <c r="K181" s="12"/>
      <c r="L181" s="601"/>
      <c r="M181" s="601"/>
      <c r="N181" s="601"/>
      <c r="O181" s="828"/>
      <c r="P181" s="828"/>
      <c r="Q181" s="844"/>
      <c r="R181" s="12"/>
      <c r="S181" s="15"/>
      <c r="T181" s="15"/>
      <c r="U181" s="552"/>
      <c r="V181" s="15"/>
      <c r="W181" s="3"/>
      <c r="X181" s="12"/>
      <c r="Y181" s="614"/>
      <c r="Z181" s="3"/>
      <c r="AA181" s="12"/>
      <c r="AB181" s="614"/>
      <c r="AC181" s="3"/>
      <c r="AD181" s="12"/>
      <c r="AE181" s="614"/>
    </row>
    <row r="182" spans="1:31" x14ac:dyDescent="0.25">
      <c r="B182" s="1178" t="s">
        <v>368</v>
      </c>
      <c r="C182" s="1181" t="s">
        <v>39</v>
      </c>
      <c r="D182" s="468" t="s">
        <v>45</v>
      </c>
      <c r="E182" s="533" t="s">
        <v>821</v>
      </c>
      <c r="F182" s="515"/>
      <c r="G182" s="1300" t="s">
        <v>49</v>
      </c>
      <c r="H182" s="96" t="s">
        <v>363</v>
      </c>
      <c r="I182" s="467" t="s">
        <v>768</v>
      </c>
      <c r="J182" s="96">
        <v>31</v>
      </c>
      <c r="K182" s="803">
        <v>0</v>
      </c>
      <c r="L182" s="96"/>
      <c r="M182" s="96"/>
      <c r="N182" s="96"/>
      <c r="O182" s="827" t="s">
        <v>72</v>
      </c>
      <c r="P182" s="827"/>
      <c r="Q182" s="96"/>
      <c r="R182" s="815">
        <v>32</v>
      </c>
      <c r="S182" s="467">
        <v>32</v>
      </c>
      <c r="T182" s="467"/>
      <c r="U182" s="466">
        <f t="shared" ref="U182:U187" si="0">FLOOR((S182-0.1)/32,1)+1</f>
        <v>1</v>
      </c>
      <c r="V182" s="602">
        <v>0</v>
      </c>
      <c r="W182" s="621"/>
      <c r="X182" s="483"/>
      <c r="Y182" s="622"/>
      <c r="Z182" s="621"/>
      <c r="AA182" s="483"/>
      <c r="AB182" s="622"/>
      <c r="AC182" s="621"/>
      <c r="AD182" s="483"/>
      <c r="AE182" s="622"/>
    </row>
    <row r="183" spans="1:31" x14ac:dyDescent="0.25">
      <c r="B183" s="1179"/>
      <c r="C183" s="1182"/>
      <c r="D183" s="468" t="s">
        <v>44</v>
      </c>
      <c r="E183" s="533" t="s">
        <v>821</v>
      </c>
      <c r="F183" s="515"/>
      <c r="G183" s="1302"/>
      <c r="H183" s="96" t="s">
        <v>363</v>
      </c>
      <c r="I183" s="467" t="s">
        <v>769</v>
      </c>
      <c r="J183" s="174">
        <v>31</v>
      </c>
      <c r="K183" s="802">
        <v>0</v>
      </c>
      <c r="L183" s="96"/>
      <c r="M183" s="96"/>
      <c r="N183" s="96"/>
      <c r="O183" s="827" t="s">
        <v>72</v>
      </c>
      <c r="P183" s="827"/>
      <c r="Q183" s="96"/>
      <c r="R183" s="815">
        <v>32</v>
      </c>
      <c r="S183" s="467">
        <v>32</v>
      </c>
      <c r="T183" s="467"/>
      <c r="U183" s="466">
        <f t="shared" si="0"/>
        <v>1</v>
      </c>
      <c r="V183" s="602">
        <v>0</v>
      </c>
      <c r="W183" s="621"/>
      <c r="X183" s="483"/>
      <c r="Y183" s="622"/>
      <c r="Z183" s="621"/>
      <c r="AA183" s="483"/>
      <c r="AB183" s="622"/>
      <c r="AC183" s="621"/>
      <c r="AD183" s="483"/>
      <c r="AE183" s="622"/>
    </row>
    <row r="184" spans="1:31" x14ac:dyDescent="0.25">
      <c r="B184" s="1179"/>
      <c r="C184" s="1182"/>
      <c r="D184" s="468" t="s">
        <v>43</v>
      </c>
      <c r="E184" s="533" t="s">
        <v>821</v>
      </c>
      <c r="F184" s="515"/>
      <c r="G184" s="1302"/>
      <c r="H184" s="96" t="s">
        <v>363</v>
      </c>
      <c r="I184" s="467" t="s">
        <v>770</v>
      </c>
      <c r="J184" s="174">
        <v>31</v>
      </c>
      <c r="K184" s="802">
        <v>0</v>
      </c>
      <c r="L184" s="96"/>
      <c r="M184" s="96"/>
      <c r="N184" s="96"/>
      <c r="O184" s="827" t="s">
        <v>72</v>
      </c>
      <c r="P184" s="827"/>
      <c r="Q184" s="96"/>
      <c r="R184" s="815">
        <v>32</v>
      </c>
      <c r="S184" s="467">
        <v>32</v>
      </c>
      <c r="T184" s="467"/>
      <c r="U184" s="466">
        <f t="shared" si="0"/>
        <v>1</v>
      </c>
      <c r="V184" s="602">
        <v>0</v>
      </c>
      <c r="W184" s="621"/>
      <c r="X184" s="483"/>
      <c r="Y184" s="622"/>
      <c r="Z184" s="621"/>
      <c r="AA184" s="483"/>
      <c r="AB184" s="622"/>
      <c r="AC184" s="621"/>
      <c r="AD184" s="483"/>
      <c r="AE184" s="622"/>
    </row>
    <row r="185" spans="1:31" x14ac:dyDescent="0.25">
      <c r="B185" s="1179"/>
      <c r="C185" s="1182"/>
      <c r="D185" s="468" t="s">
        <v>42</v>
      </c>
      <c r="E185" s="533" t="s">
        <v>821</v>
      </c>
      <c r="F185" s="515"/>
      <c r="G185" s="1302"/>
      <c r="H185" s="96" t="s">
        <v>363</v>
      </c>
      <c r="I185" s="467" t="s">
        <v>771</v>
      </c>
      <c r="J185" s="174">
        <v>31</v>
      </c>
      <c r="K185" s="802">
        <v>0</v>
      </c>
      <c r="L185" s="96"/>
      <c r="M185" s="96"/>
      <c r="N185" s="96"/>
      <c r="O185" s="827" t="s">
        <v>72</v>
      </c>
      <c r="P185" s="827"/>
      <c r="Q185" s="96"/>
      <c r="R185" s="815">
        <v>32</v>
      </c>
      <c r="S185" s="467">
        <v>32</v>
      </c>
      <c r="T185" s="467"/>
      <c r="U185" s="466">
        <f t="shared" si="0"/>
        <v>1</v>
      </c>
      <c r="V185" s="602">
        <v>0</v>
      </c>
      <c r="W185" s="621"/>
      <c r="X185" s="483"/>
      <c r="Y185" s="622"/>
      <c r="Z185" s="621"/>
      <c r="AA185" s="483"/>
      <c r="AB185" s="622"/>
      <c r="AC185" s="621"/>
      <c r="AD185" s="483"/>
      <c r="AE185" s="622"/>
    </row>
    <row r="186" spans="1:31" x14ac:dyDescent="0.25">
      <c r="B186" s="1179"/>
      <c r="C186" s="1182"/>
      <c r="D186" s="468" t="s">
        <v>41</v>
      </c>
      <c r="E186" s="533" t="s">
        <v>821</v>
      </c>
      <c r="F186" s="515"/>
      <c r="G186" s="1302"/>
      <c r="H186" s="96" t="s">
        <v>363</v>
      </c>
      <c r="I186" s="467" t="s">
        <v>772</v>
      </c>
      <c r="J186" s="174">
        <v>31</v>
      </c>
      <c r="K186" s="802">
        <v>0</v>
      </c>
      <c r="L186" s="96"/>
      <c r="M186" s="96"/>
      <c r="N186" s="96"/>
      <c r="O186" s="827" t="s">
        <v>72</v>
      </c>
      <c r="P186" s="827"/>
      <c r="Q186" s="96"/>
      <c r="R186" s="815">
        <v>32</v>
      </c>
      <c r="S186" s="467">
        <v>32</v>
      </c>
      <c r="T186" s="467"/>
      <c r="U186" s="466">
        <f t="shared" si="0"/>
        <v>1</v>
      </c>
      <c r="V186" s="602">
        <v>0</v>
      </c>
      <c r="W186" s="621"/>
      <c r="X186" s="483"/>
      <c r="Y186" s="622"/>
      <c r="Z186" s="621"/>
      <c r="AA186" s="483"/>
      <c r="AB186" s="622"/>
      <c r="AC186" s="621"/>
      <c r="AD186" s="483"/>
      <c r="AE186" s="622"/>
    </row>
    <row r="187" spans="1:31" x14ac:dyDescent="0.25">
      <c r="B187" s="1180"/>
      <c r="C187" s="1183"/>
      <c r="D187" s="468" t="s">
        <v>40</v>
      </c>
      <c r="E187" s="533" t="s">
        <v>821</v>
      </c>
      <c r="F187" s="515"/>
      <c r="G187" s="1301"/>
      <c r="H187" s="96" t="s">
        <v>363</v>
      </c>
      <c r="I187" s="467" t="s">
        <v>773</v>
      </c>
      <c r="J187" s="174">
        <v>31</v>
      </c>
      <c r="K187" s="802">
        <v>0</v>
      </c>
      <c r="L187" s="96"/>
      <c r="M187" s="96"/>
      <c r="N187" s="96"/>
      <c r="O187" s="827" t="s">
        <v>72</v>
      </c>
      <c r="P187" s="827"/>
      <c r="Q187" s="96"/>
      <c r="R187" s="815">
        <v>32</v>
      </c>
      <c r="S187" s="467">
        <v>32</v>
      </c>
      <c r="T187" s="467"/>
      <c r="U187" s="466">
        <f t="shared" si="0"/>
        <v>1</v>
      </c>
      <c r="V187" s="602">
        <v>0</v>
      </c>
      <c r="W187" s="621"/>
      <c r="X187" s="483"/>
      <c r="Y187" s="622"/>
      <c r="Z187" s="621"/>
      <c r="AA187" s="483"/>
      <c r="AB187" s="622"/>
      <c r="AC187" s="621"/>
      <c r="AD187" s="483"/>
      <c r="AE187" s="622"/>
    </row>
    <row r="188" spans="1:31" s="949" customFormat="1" ht="15.75" thickBot="1" x14ac:dyDescent="0.3">
      <c r="A188" s="971"/>
      <c r="B188" s="357"/>
      <c r="C188" s="357"/>
      <c r="D188" s="358"/>
      <c r="E188" s="538"/>
      <c r="F188" s="523"/>
      <c r="G188" s="673"/>
      <c r="H188" s="358"/>
      <c r="I188" s="486"/>
      <c r="J188" s="358"/>
      <c r="K188" s="358"/>
      <c r="L188" s="823"/>
      <c r="M188" s="823"/>
      <c r="N188" s="823"/>
      <c r="O188" s="833"/>
      <c r="P188" s="833"/>
      <c r="Q188" s="846"/>
      <c r="R188" s="486"/>
      <c r="S188" s="1021"/>
      <c r="T188" s="1021"/>
      <c r="U188" s="1022"/>
      <c r="V188" s="359"/>
      <c r="W188" s="630"/>
      <c r="X188" s="486"/>
      <c r="Y188" s="631"/>
      <c r="Z188" s="630"/>
      <c r="AA188" s="486"/>
      <c r="AB188" s="631"/>
      <c r="AC188" s="630"/>
      <c r="AD188" s="486"/>
      <c r="AE188" s="631"/>
    </row>
    <row r="189" spans="1:31" s="949" customFormat="1" x14ac:dyDescent="0.25">
      <c r="A189" s="971"/>
      <c r="B189" s="1189" t="s">
        <v>72</v>
      </c>
      <c r="C189" s="1203" t="s">
        <v>1937</v>
      </c>
      <c r="D189" s="1193" t="s">
        <v>1938</v>
      </c>
      <c r="E189" s="533" t="s">
        <v>1942</v>
      </c>
      <c r="F189" s="1191" t="s">
        <v>932</v>
      </c>
      <c r="G189" s="1020"/>
      <c r="H189" s="957" t="s">
        <v>363</v>
      </c>
      <c r="I189" s="990">
        <v>338</v>
      </c>
      <c r="J189" s="203">
        <v>18</v>
      </c>
      <c r="K189" s="1026">
        <v>16</v>
      </c>
      <c r="L189" s="957"/>
      <c r="M189" s="957"/>
      <c r="N189" s="957"/>
      <c r="O189" s="981" t="s">
        <v>72</v>
      </c>
      <c r="P189" s="981"/>
      <c r="Q189" s="981"/>
      <c r="R189" s="990">
        <v>3</v>
      </c>
      <c r="S189" s="1184">
        <f>SUM(R189:R191)</f>
        <v>19</v>
      </c>
      <c r="T189" s="1184"/>
      <c r="U189" s="1215"/>
      <c r="V189" s="1279"/>
      <c r="W189" s="973">
        <v>1</v>
      </c>
      <c r="X189" s="483"/>
      <c r="Y189" s="622"/>
      <c r="Z189" s="973">
        <v>1</v>
      </c>
      <c r="AA189" s="483"/>
      <c r="AB189" s="622"/>
      <c r="AC189" s="973">
        <v>1</v>
      </c>
      <c r="AD189" s="483"/>
      <c r="AE189" s="622"/>
    </row>
    <row r="190" spans="1:31" s="949" customFormat="1" x14ac:dyDescent="0.25">
      <c r="A190" s="971"/>
      <c r="B190" s="1189"/>
      <c r="C190" s="1203"/>
      <c r="D190" s="1194"/>
      <c r="E190" s="533" t="s">
        <v>1943</v>
      </c>
      <c r="F190" s="1192"/>
      <c r="G190" s="1020"/>
      <c r="H190" s="957" t="s">
        <v>363</v>
      </c>
      <c r="I190" s="990">
        <v>338</v>
      </c>
      <c r="J190" s="203">
        <v>15</v>
      </c>
      <c r="K190" s="1026">
        <v>14</v>
      </c>
      <c r="L190" s="957"/>
      <c r="M190" s="957"/>
      <c r="N190" s="957"/>
      <c r="O190" s="981" t="s">
        <v>72</v>
      </c>
      <c r="P190" s="981"/>
      <c r="Q190" s="981"/>
      <c r="R190" s="990">
        <v>2</v>
      </c>
      <c r="S190" s="1184"/>
      <c r="T190" s="1184"/>
      <c r="U190" s="1215"/>
      <c r="V190" s="1264"/>
      <c r="W190" s="973">
        <v>1</v>
      </c>
      <c r="X190" s="483"/>
      <c r="Y190" s="622"/>
      <c r="Z190" s="973">
        <v>1</v>
      </c>
      <c r="AA190" s="483"/>
      <c r="AB190" s="622"/>
      <c r="AC190" s="973">
        <v>1</v>
      </c>
      <c r="AD190" s="483"/>
      <c r="AE190" s="622"/>
    </row>
    <row r="191" spans="1:31" s="949" customFormat="1" ht="15.75" thickBot="1" x14ac:dyDescent="0.3">
      <c r="A191" s="971"/>
      <c r="B191" s="1190"/>
      <c r="C191" s="1203"/>
      <c r="D191" s="1194"/>
      <c r="E191" s="533" t="s">
        <v>1944</v>
      </c>
      <c r="F191" s="1192"/>
      <c r="G191" s="1020"/>
      <c r="H191" s="957" t="s">
        <v>363</v>
      </c>
      <c r="I191" s="990">
        <v>338</v>
      </c>
      <c r="J191" s="203">
        <v>13</v>
      </c>
      <c r="K191" s="1026">
        <v>0</v>
      </c>
      <c r="L191" s="957"/>
      <c r="M191" s="957"/>
      <c r="N191" s="957"/>
      <c r="O191" s="981" t="s">
        <v>72</v>
      </c>
      <c r="P191" s="981"/>
      <c r="Q191" s="981"/>
      <c r="R191" s="990">
        <v>14</v>
      </c>
      <c r="S191" s="1184"/>
      <c r="T191" s="1184"/>
      <c r="U191" s="1215"/>
      <c r="V191" s="1264"/>
      <c r="W191" s="973">
        <v>1</v>
      </c>
      <c r="X191" s="483"/>
      <c r="Y191" s="622"/>
      <c r="Z191" s="973">
        <v>1</v>
      </c>
      <c r="AA191" s="483"/>
      <c r="AB191" s="622"/>
      <c r="AC191" s="973">
        <v>1</v>
      </c>
      <c r="AD191" s="483"/>
      <c r="AE191" s="622"/>
    </row>
    <row r="192" spans="1:31" ht="15.75" thickBot="1" x14ac:dyDescent="0.3">
      <c r="B192" s="357"/>
      <c r="C192" s="357"/>
      <c r="D192" s="358"/>
      <c r="E192" s="538"/>
      <c r="F192" s="523"/>
      <c r="G192" s="673"/>
      <c r="H192" s="358"/>
      <c r="I192" s="358"/>
      <c r="J192" s="358"/>
      <c r="K192" s="358"/>
      <c r="L192" s="823"/>
      <c r="M192" s="823"/>
      <c r="N192" s="823"/>
      <c r="O192" s="833"/>
      <c r="P192" s="833"/>
      <c r="Q192" s="846"/>
      <c r="R192" s="358"/>
      <c r="S192" s="359"/>
      <c r="T192" s="359"/>
      <c r="U192" s="360"/>
      <c r="V192" s="359"/>
      <c r="W192" s="630"/>
      <c r="X192" s="486"/>
      <c r="Y192" s="631"/>
      <c r="Z192" s="630"/>
      <c r="AA192" s="486"/>
      <c r="AB192" s="631"/>
      <c r="AC192" s="630"/>
      <c r="AD192" s="486"/>
      <c r="AE192" s="631"/>
    </row>
    <row r="193" spans="1:31" x14ac:dyDescent="0.25">
      <c r="A193" s="510"/>
      <c r="B193" s="1148" t="s">
        <v>369</v>
      </c>
      <c r="C193" s="1151" t="s">
        <v>333</v>
      </c>
      <c r="D193" s="1169" t="s">
        <v>334</v>
      </c>
      <c r="E193" s="539" t="s">
        <v>425</v>
      </c>
      <c r="F193" s="1171" t="s">
        <v>933</v>
      </c>
      <c r="G193" s="1303" t="s">
        <v>49</v>
      </c>
      <c r="H193" s="1202" t="s">
        <v>364</v>
      </c>
      <c r="I193" s="200">
        <v>264</v>
      </c>
      <c r="J193" s="200">
        <v>30</v>
      </c>
      <c r="K193" s="804">
        <v>26</v>
      </c>
      <c r="L193" s="200"/>
      <c r="M193" s="200"/>
      <c r="N193" s="200"/>
      <c r="O193" s="827" t="s">
        <v>72</v>
      </c>
      <c r="P193" s="834"/>
      <c r="Q193" s="96" t="s">
        <v>1526</v>
      </c>
      <c r="R193" s="817">
        <v>5</v>
      </c>
      <c r="S193" s="1174">
        <f>SUM(R193:R200)</f>
        <v>31</v>
      </c>
      <c r="T193" s="344"/>
      <c r="U193" s="1270" t="e">
        <f>FLOOR((S193+#REF!-0.1)/32,1)+1</f>
        <v>#REF!</v>
      </c>
      <c r="V193" s="1277" t="e">
        <f>U193*32-S193-#REF!</f>
        <v>#REF!</v>
      </c>
      <c r="W193" s="612">
        <v>1</v>
      </c>
      <c r="Y193" s="613"/>
      <c r="Z193" s="612">
        <v>1</v>
      </c>
      <c r="AB193" s="613"/>
      <c r="AC193" s="612">
        <v>1</v>
      </c>
      <c r="AE193" s="613"/>
    </row>
    <row r="194" spans="1:31" x14ac:dyDescent="0.25">
      <c r="A194" s="510"/>
      <c r="B194" s="1149"/>
      <c r="C194" s="1152"/>
      <c r="D194" s="1169"/>
      <c r="E194" s="540" t="s">
        <v>659</v>
      </c>
      <c r="F194" s="1141"/>
      <c r="G194" s="1196"/>
      <c r="H194" s="1146"/>
      <c r="I194" s="200">
        <v>264</v>
      </c>
      <c r="J194" s="200">
        <v>25</v>
      </c>
      <c r="K194" s="804">
        <v>23</v>
      </c>
      <c r="L194" s="200"/>
      <c r="M194" s="200"/>
      <c r="N194" s="200"/>
      <c r="O194" s="827" t="s">
        <v>72</v>
      </c>
      <c r="P194" s="834"/>
      <c r="Q194" s="96" t="s">
        <v>635</v>
      </c>
      <c r="R194" s="812">
        <v>3</v>
      </c>
      <c r="S194" s="1175"/>
      <c r="T194" s="6"/>
      <c r="U194" s="1271"/>
      <c r="V194" s="1278"/>
      <c r="W194" s="612">
        <v>1</v>
      </c>
      <c r="Y194" s="613"/>
      <c r="Z194" s="612">
        <v>1</v>
      </c>
      <c r="AB194" s="613"/>
      <c r="AC194" s="612">
        <v>1</v>
      </c>
      <c r="AE194" s="613"/>
    </row>
    <row r="195" spans="1:31" x14ac:dyDescent="0.25">
      <c r="A195" s="510"/>
      <c r="B195" s="1149"/>
      <c r="C195" s="1152"/>
      <c r="D195" s="1169"/>
      <c r="E195" s="540" t="s">
        <v>408</v>
      </c>
      <c r="F195" s="1139" t="s">
        <v>934</v>
      </c>
      <c r="G195" s="1142" t="s">
        <v>1214</v>
      </c>
      <c r="H195" s="1146"/>
      <c r="I195" s="200">
        <v>264</v>
      </c>
      <c r="J195" s="200">
        <v>22</v>
      </c>
      <c r="K195" s="804">
        <v>20</v>
      </c>
      <c r="L195" s="200"/>
      <c r="M195" s="200"/>
      <c r="N195" s="200"/>
      <c r="O195" s="827" t="s">
        <v>72</v>
      </c>
      <c r="P195" s="834"/>
      <c r="Q195" s="957" t="s">
        <v>1229</v>
      </c>
      <c r="R195" s="812">
        <v>3</v>
      </c>
      <c r="S195" s="1175"/>
      <c r="T195" s="6"/>
      <c r="U195" s="1271"/>
      <c r="V195" s="1278"/>
      <c r="W195" s="612">
        <v>1</v>
      </c>
      <c r="Y195" s="613"/>
      <c r="Z195" s="612">
        <v>1</v>
      </c>
      <c r="AB195" s="613"/>
      <c r="AC195" s="612">
        <v>1</v>
      </c>
      <c r="AE195" s="613"/>
    </row>
    <row r="196" spans="1:31" x14ac:dyDescent="0.25">
      <c r="A196" s="510"/>
      <c r="B196" s="1149"/>
      <c r="C196" s="1152"/>
      <c r="D196" s="1169"/>
      <c r="E196" s="540" t="s">
        <v>407</v>
      </c>
      <c r="F196" s="1141"/>
      <c r="G196" s="1144"/>
      <c r="H196" s="1146"/>
      <c r="I196" s="200">
        <v>264</v>
      </c>
      <c r="J196" s="200">
        <v>19</v>
      </c>
      <c r="K196" s="804">
        <v>16</v>
      </c>
      <c r="L196" s="200"/>
      <c r="M196" s="200"/>
      <c r="N196" s="200"/>
      <c r="O196" s="827" t="s">
        <v>72</v>
      </c>
      <c r="P196" s="834"/>
      <c r="Q196" s="96" t="s">
        <v>1603</v>
      </c>
      <c r="R196" s="812">
        <v>4</v>
      </c>
      <c r="S196" s="1175"/>
      <c r="T196" s="6"/>
      <c r="U196" s="1271"/>
      <c r="V196" s="1278"/>
      <c r="W196" s="612"/>
      <c r="X196" s="53">
        <v>1</v>
      </c>
      <c r="Y196" s="613"/>
      <c r="Z196" s="612"/>
      <c r="AA196" s="53">
        <v>1</v>
      </c>
      <c r="AB196" s="613"/>
      <c r="AC196" s="612">
        <v>1</v>
      </c>
      <c r="AE196" s="613"/>
    </row>
    <row r="197" spans="1:31" x14ac:dyDescent="0.25">
      <c r="A197" s="510"/>
      <c r="B197" s="1149"/>
      <c r="C197" s="1152"/>
      <c r="D197" s="1169"/>
      <c r="E197" s="540" t="s">
        <v>429</v>
      </c>
      <c r="F197" s="1139" t="s">
        <v>933</v>
      </c>
      <c r="G197" s="1196" t="s">
        <v>49</v>
      </c>
      <c r="H197" s="1146"/>
      <c r="I197" s="200">
        <v>264</v>
      </c>
      <c r="J197" s="200">
        <v>15</v>
      </c>
      <c r="K197" s="804">
        <v>11</v>
      </c>
      <c r="L197" s="200"/>
      <c r="M197" s="200"/>
      <c r="N197" s="200"/>
      <c r="O197" s="827" t="s">
        <v>72</v>
      </c>
      <c r="P197" s="834"/>
      <c r="Q197" s="96" t="s">
        <v>1604</v>
      </c>
      <c r="R197" s="812">
        <v>5</v>
      </c>
      <c r="S197" s="1175"/>
      <c r="T197" s="6"/>
      <c r="U197" s="1271"/>
      <c r="V197" s="1278"/>
      <c r="W197" s="612">
        <v>1</v>
      </c>
      <c r="Y197" s="613"/>
      <c r="Z197" s="612">
        <v>1</v>
      </c>
      <c r="AB197" s="613"/>
      <c r="AC197" s="612">
        <v>1</v>
      </c>
      <c r="AE197" s="613"/>
    </row>
    <row r="198" spans="1:31" x14ac:dyDescent="0.25">
      <c r="A198" s="510"/>
      <c r="B198" s="1149"/>
      <c r="C198" s="1152"/>
      <c r="D198" s="1169"/>
      <c r="E198" s="540" t="s">
        <v>427</v>
      </c>
      <c r="F198" s="1140"/>
      <c r="G198" s="1196"/>
      <c r="H198" s="1146"/>
      <c r="I198" s="200">
        <v>264</v>
      </c>
      <c r="J198" s="200">
        <v>10</v>
      </c>
      <c r="K198" s="804">
        <v>8</v>
      </c>
      <c r="L198" s="200"/>
      <c r="M198" s="200"/>
      <c r="N198" s="200"/>
      <c r="O198" s="827" t="s">
        <v>72</v>
      </c>
      <c r="P198" s="834"/>
      <c r="Q198" s="96" t="s">
        <v>1605</v>
      </c>
      <c r="R198" s="812">
        <v>3</v>
      </c>
      <c r="S198" s="1175"/>
      <c r="T198" s="6"/>
      <c r="U198" s="1271"/>
      <c r="V198" s="1278"/>
      <c r="W198" s="612">
        <v>1</v>
      </c>
      <c r="Y198" s="613"/>
      <c r="Z198" s="612">
        <v>1</v>
      </c>
      <c r="AB198" s="613"/>
      <c r="AC198" s="612">
        <v>1</v>
      </c>
      <c r="AE198" s="613"/>
    </row>
    <row r="199" spans="1:31" x14ac:dyDescent="0.25">
      <c r="A199" s="510"/>
      <c r="B199" s="1149"/>
      <c r="C199" s="1152"/>
      <c r="D199" s="1169"/>
      <c r="E199" s="540" t="s">
        <v>428</v>
      </c>
      <c r="F199" s="1140"/>
      <c r="G199" s="1196"/>
      <c r="H199" s="1146"/>
      <c r="I199" s="200">
        <v>264</v>
      </c>
      <c r="J199" s="200">
        <v>7</v>
      </c>
      <c r="K199" s="804">
        <v>3</v>
      </c>
      <c r="L199" s="200"/>
      <c r="M199" s="200"/>
      <c r="N199" s="200"/>
      <c r="O199" s="827" t="s">
        <v>72</v>
      </c>
      <c r="P199" s="834"/>
      <c r="Q199" s="96" t="s">
        <v>1604</v>
      </c>
      <c r="R199" s="812">
        <v>5</v>
      </c>
      <c r="S199" s="1175"/>
      <c r="T199" s="6"/>
      <c r="U199" s="1271"/>
      <c r="V199" s="1278"/>
      <c r="W199" s="612">
        <v>1</v>
      </c>
      <c r="Y199" s="613"/>
      <c r="Z199" s="612">
        <v>1</v>
      </c>
      <c r="AB199" s="613"/>
      <c r="AC199" s="612">
        <v>1</v>
      </c>
      <c r="AE199" s="613"/>
    </row>
    <row r="200" spans="1:31" x14ac:dyDescent="0.25">
      <c r="A200" s="510"/>
      <c r="B200" s="1149"/>
      <c r="C200" s="1152"/>
      <c r="D200" s="1170"/>
      <c r="E200" s="540" t="s">
        <v>426</v>
      </c>
      <c r="F200" s="1141"/>
      <c r="G200" s="1197"/>
      <c r="H200" s="1147"/>
      <c r="I200" s="200">
        <v>264</v>
      </c>
      <c r="J200" s="200">
        <v>2</v>
      </c>
      <c r="K200" s="804">
        <v>0</v>
      </c>
      <c r="L200" s="200"/>
      <c r="M200" s="200"/>
      <c r="N200" s="200"/>
      <c r="O200" s="827" t="s">
        <v>72</v>
      </c>
      <c r="P200" s="834"/>
      <c r="Q200" s="96" t="s">
        <v>1229</v>
      </c>
      <c r="R200" s="812">
        <v>3</v>
      </c>
      <c r="S200" s="1173"/>
      <c r="T200" s="6"/>
      <c r="U200" s="1271"/>
      <c r="V200" s="1278"/>
      <c r="W200" s="612">
        <v>1</v>
      </c>
      <c r="Y200" s="613"/>
      <c r="Z200" s="612">
        <v>1</v>
      </c>
      <c r="AB200" s="613"/>
      <c r="AC200" s="612">
        <v>1</v>
      </c>
      <c r="AE200" s="613"/>
    </row>
    <row r="201" spans="1:31" s="949" customFormat="1" x14ac:dyDescent="0.25">
      <c r="A201" s="510"/>
      <c r="B201" s="1149"/>
      <c r="C201" s="1152"/>
      <c r="D201" s="1136" t="s">
        <v>335</v>
      </c>
      <c r="E201" s="540" t="s">
        <v>814</v>
      </c>
      <c r="F201" s="1139" t="s">
        <v>935</v>
      </c>
      <c r="G201" s="1142" t="s">
        <v>1218</v>
      </c>
      <c r="H201" s="1145" t="s">
        <v>364</v>
      </c>
      <c r="I201" s="1118">
        <v>268</v>
      </c>
      <c r="J201" s="1118">
        <v>31</v>
      </c>
      <c r="K201" s="963">
        <v>26</v>
      </c>
      <c r="L201" s="1118"/>
      <c r="M201" s="1118"/>
      <c r="N201" s="1118"/>
      <c r="O201" s="981" t="s">
        <v>72</v>
      </c>
      <c r="P201" s="826"/>
      <c r="Q201" s="957" t="s">
        <v>1516</v>
      </c>
      <c r="R201" s="979">
        <v>6</v>
      </c>
      <c r="S201" s="1145">
        <f>SUM(R201:R205)</f>
        <v>33</v>
      </c>
      <c r="T201" s="6"/>
      <c r="U201" s="1116"/>
      <c r="V201" s="1117"/>
      <c r="W201" s="973"/>
      <c r="Y201" s="974">
        <v>1</v>
      </c>
      <c r="Z201" s="646">
        <v>1</v>
      </c>
      <c r="AB201" s="974"/>
      <c r="AC201" s="646">
        <v>1</v>
      </c>
      <c r="AE201" s="974"/>
    </row>
    <row r="202" spans="1:31" s="949" customFormat="1" x14ac:dyDescent="0.25">
      <c r="A202" s="510"/>
      <c r="B202" s="1149"/>
      <c r="C202" s="1152"/>
      <c r="D202" s="1137"/>
      <c r="E202" s="540" t="s">
        <v>815</v>
      </c>
      <c r="F202" s="1140"/>
      <c r="G202" s="1143"/>
      <c r="H202" s="1146"/>
      <c r="I202" s="1118">
        <v>268</v>
      </c>
      <c r="J202" s="1118">
        <v>25</v>
      </c>
      <c r="K202" s="963">
        <v>16</v>
      </c>
      <c r="L202" s="1118"/>
      <c r="M202" s="1118"/>
      <c r="N202" s="1118"/>
      <c r="O202" s="981" t="s">
        <v>72</v>
      </c>
      <c r="P202" s="826"/>
      <c r="Q202" s="957" t="s">
        <v>1516</v>
      </c>
      <c r="R202" s="979">
        <v>10</v>
      </c>
      <c r="S202" s="1146"/>
      <c r="T202" s="6"/>
      <c r="U202" s="1116"/>
      <c r="V202" s="1117"/>
      <c r="W202" s="973"/>
      <c r="Y202" s="974">
        <v>1</v>
      </c>
      <c r="Z202" s="646">
        <v>1</v>
      </c>
      <c r="AB202" s="974"/>
      <c r="AC202" s="646">
        <v>1</v>
      </c>
      <c r="AE202" s="974"/>
    </row>
    <row r="203" spans="1:31" s="949" customFormat="1" x14ac:dyDescent="0.25">
      <c r="A203" s="510"/>
      <c r="B203" s="1149"/>
      <c r="C203" s="1152"/>
      <c r="D203" s="1137"/>
      <c r="E203" s="540" t="s">
        <v>816</v>
      </c>
      <c r="F203" s="1140"/>
      <c r="G203" s="1143"/>
      <c r="H203" s="1146"/>
      <c r="I203" s="1118">
        <v>268</v>
      </c>
      <c r="J203" s="1118">
        <v>15</v>
      </c>
      <c r="K203" s="963">
        <v>10</v>
      </c>
      <c r="L203" s="1118"/>
      <c r="M203" s="1118"/>
      <c r="N203" s="1118"/>
      <c r="O203" s="981" t="s">
        <v>72</v>
      </c>
      <c r="P203" s="826"/>
      <c r="Q203" s="957" t="s">
        <v>1516</v>
      </c>
      <c r="R203" s="979">
        <v>6</v>
      </c>
      <c r="S203" s="1146"/>
      <c r="T203" s="6"/>
      <c r="U203" s="1116"/>
      <c r="V203" s="1117"/>
      <c r="W203" s="973"/>
      <c r="Y203" s="974">
        <v>1</v>
      </c>
      <c r="Z203" s="646">
        <v>1</v>
      </c>
      <c r="AB203" s="974"/>
      <c r="AC203" s="646">
        <v>1</v>
      </c>
      <c r="AE203" s="974"/>
    </row>
    <row r="204" spans="1:31" s="949" customFormat="1" x14ac:dyDescent="0.25">
      <c r="A204" s="510"/>
      <c r="B204" s="1149"/>
      <c r="C204" s="1152"/>
      <c r="D204" s="1137"/>
      <c r="E204" s="540" t="s">
        <v>817</v>
      </c>
      <c r="F204" s="1140"/>
      <c r="G204" s="1144"/>
      <c r="H204" s="1146"/>
      <c r="I204" s="1118">
        <v>268</v>
      </c>
      <c r="J204" s="1118">
        <v>9</v>
      </c>
      <c r="K204" s="963">
        <v>0</v>
      </c>
      <c r="L204" s="1118"/>
      <c r="M204" s="1118"/>
      <c r="N204" s="1118"/>
      <c r="O204" s="981" t="s">
        <v>72</v>
      </c>
      <c r="P204" s="826"/>
      <c r="Q204" s="957" t="s">
        <v>1516</v>
      </c>
      <c r="R204" s="979">
        <v>10</v>
      </c>
      <c r="S204" s="1146"/>
      <c r="T204" s="6"/>
      <c r="U204" s="1116"/>
      <c r="V204" s="1117"/>
      <c r="W204" s="973"/>
      <c r="Y204" s="974">
        <v>1</v>
      </c>
      <c r="Z204" s="646">
        <v>1</v>
      </c>
      <c r="AB204" s="974"/>
      <c r="AC204" s="646">
        <v>1</v>
      </c>
      <c r="AE204" s="974"/>
    </row>
    <row r="205" spans="1:31" s="949" customFormat="1" x14ac:dyDescent="0.25">
      <c r="A205" s="510"/>
      <c r="B205" s="1149"/>
      <c r="C205" s="1152"/>
      <c r="D205" s="1137"/>
      <c r="E205" s="540" t="s">
        <v>2125</v>
      </c>
      <c r="F205" s="1141"/>
      <c r="G205" s="1114"/>
      <c r="H205" s="1147"/>
      <c r="I205" s="1119" t="s">
        <v>2126</v>
      </c>
      <c r="J205" s="1119">
        <v>6</v>
      </c>
      <c r="K205" s="406">
        <v>6</v>
      </c>
      <c r="L205" s="1118"/>
      <c r="M205" s="1118"/>
      <c r="N205" s="1118"/>
      <c r="O205" s="981" t="s">
        <v>72</v>
      </c>
      <c r="P205" s="826"/>
      <c r="Q205" s="957" t="s">
        <v>1606</v>
      </c>
      <c r="R205" s="979">
        <v>1</v>
      </c>
      <c r="S205" s="1147"/>
      <c r="T205" s="344"/>
      <c r="U205" s="1116"/>
      <c r="V205" s="1117"/>
      <c r="W205" s="973">
        <v>1</v>
      </c>
      <c r="Y205" s="974"/>
      <c r="Z205" s="646">
        <v>1</v>
      </c>
      <c r="AB205" s="974"/>
      <c r="AC205" s="646">
        <v>1</v>
      </c>
      <c r="AE205" s="974"/>
    </row>
    <row r="206" spans="1:31" s="949" customFormat="1" x14ac:dyDescent="0.25">
      <c r="A206" s="510"/>
      <c r="B206" s="1150"/>
      <c r="C206" s="1153"/>
      <c r="D206" s="1138"/>
      <c r="E206" s="540" t="s">
        <v>74</v>
      </c>
      <c r="F206" s="1111"/>
      <c r="G206" s="1114"/>
      <c r="H206" s="1113" t="s">
        <v>874</v>
      </c>
      <c r="I206" s="1119" t="s">
        <v>2126</v>
      </c>
      <c r="J206" s="1119">
        <v>5</v>
      </c>
      <c r="K206" s="406">
        <v>0</v>
      </c>
      <c r="L206" s="1118"/>
      <c r="M206" s="1118"/>
      <c r="N206" s="1118"/>
      <c r="O206" s="981" t="s">
        <v>72</v>
      </c>
      <c r="P206" s="826"/>
      <c r="Q206" s="957" t="s">
        <v>1516</v>
      </c>
      <c r="R206" s="979">
        <v>6</v>
      </c>
      <c r="S206" s="1113"/>
      <c r="T206" s="344"/>
      <c r="U206" s="1116"/>
      <c r="V206" s="1117"/>
      <c r="W206" s="973">
        <v>1</v>
      </c>
      <c r="Y206" s="974"/>
      <c r="Z206" s="646">
        <v>1</v>
      </c>
      <c r="AB206" s="974"/>
      <c r="AC206" s="646">
        <v>1</v>
      </c>
      <c r="AE206" s="974"/>
    </row>
    <row r="207" spans="1:31" ht="15" customHeight="1" x14ac:dyDescent="0.25">
      <c r="A207" s="510"/>
      <c r="B207" s="168"/>
      <c r="C207" s="168"/>
      <c r="D207" s="169"/>
      <c r="E207" s="541"/>
      <c r="F207" s="524"/>
      <c r="G207" s="674"/>
      <c r="H207" s="355"/>
      <c r="I207" s="355"/>
      <c r="J207" s="355"/>
      <c r="K207" s="805"/>
      <c r="L207" s="824"/>
      <c r="M207" s="824"/>
      <c r="N207" s="824"/>
      <c r="O207" s="524"/>
      <c r="P207" s="524"/>
      <c r="Q207" s="890"/>
      <c r="R207" s="818"/>
      <c r="S207" s="355"/>
      <c r="T207" s="170"/>
      <c r="U207" s="170"/>
      <c r="V207" s="608"/>
      <c r="W207" s="632"/>
      <c r="X207" s="487"/>
      <c r="Y207" s="633"/>
      <c r="Z207" s="632"/>
      <c r="AA207" s="487"/>
      <c r="AB207" s="633"/>
      <c r="AC207" s="632"/>
      <c r="AD207" s="487"/>
      <c r="AE207" s="633"/>
    </row>
    <row r="208" spans="1:31" ht="15" customHeight="1" x14ac:dyDescent="0.25">
      <c r="A208" s="510"/>
      <c r="B208" s="1158" t="s">
        <v>369</v>
      </c>
      <c r="C208" s="1159" t="s">
        <v>336</v>
      </c>
      <c r="D208" s="1167" t="s">
        <v>336</v>
      </c>
      <c r="E208" s="537" t="s">
        <v>1135</v>
      </c>
      <c r="F208" s="1164" t="s">
        <v>336</v>
      </c>
      <c r="G208" s="1287" t="s">
        <v>1223</v>
      </c>
      <c r="H208" s="586" t="s">
        <v>364</v>
      </c>
      <c r="I208" s="586">
        <v>244</v>
      </c>
      <c r="J208" s="591">
        <v>18</v>
      </c>
      <c r="K208" s="806">
        <v>18</v>
      </c>
      <c r="L208" s="800"/>
      <c r="M208" s="918"/>
      <c r="N208" s="918"/>
      <c r="O208" s="827" t="s">
        <v>72</v>
      </c>
      <c r="P208" s="835"/>
      <c r="Q208" s="96" t="s">
        <v>1606</v>
      </c>
      <c r="R208" s="1176">
        <v>19</v>
      </c>
      <c r="S208" s="1172">
        <f>SUM(R208)</f>
        <v>19</v>
      </c>
      <c r="T208" s="1275"/>
      <c r="U208" s="1156">
        <f>FLOOR((S208-0.1)/32,1)+1</f>
        <v>1</v>
      </c>
      <c r="V208" s="1254">
        <f>U208*32-S208</f>
        <v>13</v>
      </c>
      <c r="W208" s="654">
        <v>1</v>
      </c>
      <c r="X208" s="313"/>
      <c r="Y208" s="617"/>
      <c r="Z208" s="654">
        <v>1</v>
      </c>
      <c r="AA208" s="313"/>
      <c r="AB208" s="617"/>
      <c r="AC208" s="654">
        <v>1</v>
      </c>
      <c r="AD208" s="313"/>
      <c r="AE208" s="617"/>
    </row>
    <row r="209" spans="1:31" x14ac:dyDescent="0.25">
      <c r="A209" s="510"/>
      <c r="B209" s="1150"/>
      <c r="C209" s="1153"/>
      <c r="D209" s="1168"/>
      <c r="E209" s="537" t="s">
        <v>660</v>
      </c>
      <c r="F209" s="1165"/>
      <c r="G209" s="1289"/>
      <c r="H209" s="467" t="s">
        <v>364</v>
      </c>
      <c r="I209" s="467">
        <v>244</v>
      </c>
      <c r="J209" s="467">
        <v>17</v>
      </c>
      <c r="K209" s="798">
        <v>0</v>
      </c>
      <c r="L209" s="799"/>
      <c r="M209" s="916"/>
      <c r="N209" s="916"/>
      <c r="O209" s="827" t="s">
        <v>72</v>
      </c>
      <c r="P209" s="515"/>
      <c r="Q209" s="934" t="s">
        <v>1808</v>
      </c>
      <c r="R209" s="1177"/>
      <c r="S209" s="1173"/>
      <c r="T209" s="1276"/>
      <c r="U209" s="1157"/>
      <c r="V209" s="1256"/>
      <c r="W209" s="634"/>
      <c r="X209" s="485"/>
      <c r="Y209" s="617">
        <v>1</v>
      </c>
      <c r="Z209" s="634"/>
      <c r="AA209" s="485"/>
      <c r="AB209" s="617">
        <v>1</v>
      </c>
      <c r="AC209" s="507">
        <v>1</v>
      </c>
      <c r="AD209" s="645" t="s">
        <v>1203</v>
      </c>
      <c r="AE209" s="617"/>
    </row>
    <row r="210" spans="1:31" x14ac:dyDescent="0.25">
      <c r="A210" s="510"/>
      <c r="B210" s="168"/>
      <c r="C210" s="168"/>
      <c r="D210" s="169"/>
      <c r="E210" s="541"/>
      <c r="F210" s="524"/>
      <c r="G210" s="674"/>
      <c r="H210" s="355"/>
      <c r="I210" s="355"/>
      <c r="J210" s="355"/>
      <c r="K210" s="805"/>
      <c r="L210" s="824"/>
      <c r="M210" s="824"/>
      <c r="N210" s="824"/>
      <c r="O210" s="524"/>
      <c r="P210" s="524"/>
      <c r="Q210" s="890"/>
      <c r="R210" s="818"/>
      <c r="S210" s="355"/>
      <c r="T210" s="170"/>
      <c r="U210" s="170"/>
      <c r="V210" s="608"/>
      <c r="W210" s="632"/>
      <c r="X210" s="487"/>
      <c r="Y210" s="633"/>
      <c r="Z210" s="632"/>
      <c r="AA210" s="487"/>
      <c r="AB210" s="633"/>
      <c r="AC210" s="632"/>
      <c r="AD210" s="487"/>
      <c r="AE210" s="633"/>
    </row>
    <row r="211" spans="1:31" ht="13.5" customHeight="1" x14ac:dyDescent="0.25">
      <c r="A211" s="510"/>
      <c r="B211" s="1200" t="s">
        <v>369</v>
      </c>
      <c r="C211" s="1304" t="s">
        <v>337</v>
      </c>
      <c r="D211" s="1166" t="s">
        <v>338</v>
      </c>
      <c r="E211" s="542" t="s">
        <v>661</v>
      </c>
      <c r="F211" s="1204" t="s">
        <v>998</v>
      </c>
      <c r="G211" s="1311" t="s">
        <v>49</v>
      </c>
      <c r="H211" s="1305" t="s">
        <v>364</v>
      </c>
      <c r="I211" s="200">
        <v>260</v>
      </c>
      <c r="J211" s="200">
        <v>15</v>
      </c>
      <c r="K211" s="804">
        <v>0</v>
      </c>
      <c r="L211" s="200"/>
      <c r="M211" s="200"/>
      <c r="N211" s="200"/>
      <c r="O211" s="827" t="s">
        <v>72</v>
      </c>
      <c r="P211" s="834"/>
      <c r="Q211" s="362" t="s">
        <v>1680</v>
      </c>
      <c r="R211" s="819">
        <v>16</v>
      </c>
      <c r="S211" s="1310">
        <f>SUM(R211:R213)</f>
        <v>48</v>
      </c>
      <c r="T211" s="5"/>
      <c r="U211" s="1156">
        <f>FLOOR((S211+S214-0.1)/32,1)+1</f>
        <v>2</v>
      </c>
      <c r="V211" s="1254">
        <f>U211*32-S211-S214</f>
        <v>0</v>
      </c>
      <c r="W211" s="612">
        <v>1</v>
      </c>
      <c r="Y211" s="613"/>
      <c r="Z211" s="612">
        <v>1</v>
      </c>
      <c r="AB211" s="613"/>
      <c r="AC211" s="612">
        <v>1</v>
      </c>
      <c r="AE211" s="613"/>
    </row>
    <row r="212" spans="1:31" x14ac:dyDescent="0.25">
      <c r="A212" s="510"/>
      <c r="B212" s="1200"/>
      <c r="C212" s="1304"/>
      <c r="D212" s="1166"/>
      <c r="E212" s="543" t="s">
        <v>662</v>
      </c>
      <c r="F212" s="1205"/>
      <c r="G212" s="1312"/>
      <c r="H212" s="1306"/>
      <c r="I212" s="200">
        <v>260</v>
      </c>
      <c r="J212" s="200">
        <v>31</v>
      </c>
      <c r="K212" s="804">
        <v>16</v>
      </c>
      <c r="L212" s="200"/>
      <c r="M212" s="200"/>
      <c r="N212" s="200"/>
      <c r="O212" s="827" t="s">
        <v>72</v>
      </c>
      <c r="P212" s="834"/>
      <c r="Q212" s="362" t="s">
        <v>1681</v>
      </c>
      <c r="R212" s="812">
        <v>16</v>
      </c>
      <c r="S212" s="1310"/>
      <c r="T212" s="5"/>
      <c r="U212" s="1280"/>
      <c r="V212" s="1255"/>
      <c r="W212" s="612">
        <v>1</v>
      </c>
      <c r="Y212" s="613"/>
      <c r="Z212" s="612">
        <v>1</v>
      </c>
      <c r="AB212" s="613"/>
      <c r="AC212" s="612">
        <v>1</v>
      </c>
      <c r="AE212" s="613"/>
    </row>
    <row r="213" spans="1:31" x14ac:dyDescent="0.25">
      <c r="A213" s="510"/>
      <c r="B213" s="1200"/>
      <c r="C213" s="1304"/>
      <c r="D213" s="1166"/>
      <c r="E213" s="543" t="s">
        <v>663</v>
      </c>
      <c r="F213" s="1205"/>
      <c r="G213" s="1313"/>
      <c r="H213" s="1307"/>
      <c r="I213" s="200">
        <v>280</v>
      </c>
      <c r="J213" s="200">
        <v>31</v>
      </c>
      <c r="K213" s="804">
        <v>16</v>
      </c>
      <c r="L213" s="200"/>
      <c r="M213" s="200"/>
      <c r="N213" s="200"/>
      <c r="O213" s="827" t="s">
        <v>72</v>
      </c>
      <c r="P213" s="834"/>
      <c r="Q213" s="362" t="s">
        <v>1682</v>
      </c>
      <c r="R213" s="812">
        <v>16</v>
      </c>
      <c r="S213" s="1310"/>
      <c r="T213" s="5"/>
      <c r="U213" s="1280"/>
      <c r="V213" s="1255"/>
      <c r="W213" s="612">
        <v>1</v>
      </c>
      <c r="Y213" s="613"/>
      <c r="Z213" s="612">
        <v>1</v>
      </c>
      <c r="AB213" s="613"/>
      <c r="AC213" s="612">
        <v>1</v>
      </c>
      <c r="AE213" s="613"/>
    </row>
    <row r="214" spans="1:31" ht="45" x14ac:dyDescent="0.25">
      <c r="A214" s="510"/>
      <c r="B214" s="1200"/>
      <c r="C214" s="1304"/>
      <c r="D214" s="30" t="s">
        <v>339</v>
      </c>
      <c r="E214" s="542" t="s">
        <v>664</v>
      </c>
      <c r="F214" s="1206"/>
      <c r="G214" s="675" t="s">
        <v>1220</v>
      </c>
      <c r="H214" s="200" t="s">
        <v>364</v>
      </c>
      <c r="I214" s="200">
        <v>280</v>
      </c>
      <c r="J214" s="200">
        <v>15</v>
      </c>
      <c r="K214" s="804">
        <v>0</v>
      </c>
      <c r="L214" s="200"/>
      <c r="M214" s="200"/>
      <c r="N214" s="200"/>
      <c r="O214" s="827" t="s">
        <v>72</v>
      </c>
      <c r="P214" s="834"/>
      <c r="Q214" s="96" t="s">
        <v>1607</v>
      </c>
      <c r="R214" s="812">
        <v>16</v>
      </c>
      <c r="S214" s="362">
        <f>R214</f>
        <v>16</v>
      </c>
      <c r="T214" s="5"/>
      <c r="U214" s="1157"/>
      <c r="V214" s="1256"/>
      <c r="W214" s="612"/>
      <c r="Y214" s="617">
        <v>1</v>
      </c>
      <c r="Z214" s="612"/>
      <c r="AB214" s="617">
        <v>1</v>
      </c>
      <c r="AC214" s="646">
        <v>1</v>
      </c>
      <c r="AE214" s="617"/>
    </row>
    <row r="215" spans="1:31" x14ac:dyDescent="0.25">
      <c r="A215" s="510"/>
      <c r="B215" s="168"/>
      <c r="C215" s="168"/>
      <c r="D215" s="169"/>
      <c r="E215" s="541"/>
      <c r="F215" s="524"/>
      <c r="G215" s="674"/>
      <c r="H215" s="355"/>
      <c r="I215" s="355"/>
      <c r="J215" s="355"/>
      <c r="K215" s="805"/>
      <c r="L215" s="824"/>
      <c r="M215" s="824"/>
      <c r="N215" s="824"/>
      <c r="O215" s="524"/>
      <c r="P215" s="524"/>
      <c r="Q215" s="890"/>
      <c r="R215" s="818"/>
      <c r="S215" s="355"/>
      <c r="T215" s="170"/>
      <c r="U215" s="170"/>
      <c r="V215" s="608"/>
      <c r="W215" s="632"/>
      <c r="X215" s="487"/>
      <c r="Y215" s="633"/>
      <c r="Z215" s="632"/>
      <c r="AA215" s="487"/>
      <c r="AB215" s="633"/>
      <c r="AC215" s="632"/>
      <c r="AD215" s="487"/>
      <c r="AE215" s="633"/>
    </row>
    <row r="216" spans="1:31" x14ac:dyDescent="0.25">
      <c r="A216" s="510"/>
      <c r="B216" s="365" t="s">
        <v>369</v>
      </c>
      <c r="C216" s="474" t="s">
        <v>340</v>
      </c>
      <c r="D216" s="473" t="s">
        <v>825</v>
      </c>
      <c r="E216" s="537" t="s">
        <v>1347</v>
      </c>
      <c r="F216" s="472" t="s">
        <v>825</v>
      </c>
      <c r="G216" s="664" t="s">
        <v>1214</v>
      </c>
      <c r="H216" s="200" t="s">
        <v>364</v>
      </c>
      <c r="I216" s="210">
        <v>258</v>
      </c>
      <c r="J216" s="210">
        <v>4</v>
      </c>
      <c r="K216" s="801">
        <v>0</v>
      </c>
      <c r="L216" s="210"/>
      <c r="M216" s="210"/>
      <c r="N216" s="210"/>
      <c r="O216" s="827" t="s">
        <v>72</v>
      </c>
      <c r="P216" s="836"/>
      <c r="Q216" s="96" t="s">
        <v>1521</v>
      </c>
      <c r="R216" s="819">
        <v>5</v>
      </c>
      <c r="S216" s="210">
        <f>R216</f>
        <v>5</v>
      </c>
      <c r="T216" s="5"/>
      <c r="U216" s="337">
        <f>FLOOR((S216-0.1)/32,1)+1</f>
        <v>1</v>
      </c>
      <c r="V216" s="609">
        <f>U216*32-S216</f>
        <v>27</v>
      </c>
      <c r="W216" s="628"/>
      <c r="X216" s="53">
        <v>1</v>
      </c>
      <c r="Y216" s="629"/>
      <c r="Z216" s="628"/>
      <c r="AA216" s="53">
        <v>1</v>
      </c>
      <c r="AB216" s="629"/>
      <c r="AC216" s="646">
        <v>1</v>
      </c>
      <c r="AE216" s="629"/>
    </row>
    <row r="217" spans="1:31" x14ac:dyDescent="0.25">
      <c r="A217" s="510"/>
      <c r="B217" s="168"/>
      <c r="C217" s="168"/>
      <c r="D217" s="169"/>
      <c r="E217" s="541"/>
      <c r="F217" s="524"/>
      <c r="G217" s="674"/>
      <c r="H217" s="355"/>
      <c r="I217" s="355"/>
      <c r="J217" s="355"/>
      <c r="K217" s="805"/>
      <c r="L217" s="824"/>
      <c r="M217" s="824"/>
      <c r="N217" s="824"/>
      <c r="O217" s="524"/>
      <c r="P217" s="524"/>
      <c r="Q217" s="890"/>
      <c r="R217" s="818"/>
      <c r="S217" s="355"/>
      <c r="T217" s="170"/>
      <c r="U217" s="170"/>
      <c r="V217" s="608"/>
      <c r="W217" s="632"/>
      <c r="X217" s="487"/>
      <c r="Y217" s="633"/>
      <c r="Z217" s="632"/>
      <c r="AA217" s="487"/>
      <c r="AB217" s="633"/>
      <c r="AC217" s="632"/>
      <c r="AD217" s="487"/>
      <c r="AE217" s="633"/>
    </row>
    <row r="218" spans="1:31" s="949" customFormat="1" x14ac:dyDescent="0.25">
      <c r="A218" s="510"/>
      <c r="B218" s="1158" t="s">
        <v>369</v>
      </c>
      <c r="C218" s="1159" t="s">
        <v>341</v>
      </c>
      <c r="D218" s="1097" t="s">
        <v>2092</v>
      </c>
      <c r="E218" s="537" t="s">
        <v>2093</v>
      </c>
      <c r="F218" s="1160" t="s">
        <v>997</v>
      </c>
      <c r="G218" s="1091"/>
      <c r="H218" s="200" t="s">
        <v>364</v>
      </c>
      <c r="I218" s="356">
        <v>250</v>
      </c>
      <c r="J218" s="591">
        <v>6</v>
      </c>
      <c r="K218" s="806">
        <v>6</v>
      </c>
      <c r="L218" s="200"/>
      <c r="M218" s="200"/>
      <c r="N218" s="200"/>
      <c r="O218" s="981" t="s">
        <v>72</v>
      </c>
      <c r="P218" s="834"/>
      <c r="Q218" s="1094" t="s">
        <v>1606</v>
      </c>
      <c r="R218" s="1096">
        <v>1</v>
      </c>
      <c r="S218" s="1095">
        <v>1</v>
      </c>
      <c r="T218" s="170"/>
      <c r="U218" s="1092"/>
      <c r="V218" s="1093"/>
      <c r="W218" s="973"/>
      <c r="X218" s="53">
        <v>1</v>
      </c>
      <c r="Y218" s="974"/>
      <c r="Z218" s="973"/>
      <c r="AA218" s="53">
        <v>1</v>
      </c>
      <c r="AB218" s="974"/>
      <c r="AC218" s="646">
        <v>1</v>
      </c>
      <c r="AD218" s="53"/>
      <c r="AE218" s="974"/>
    </row>
    <row r="219" spans="1:31" x14ac:dyDescent="0.25">
      <c r="A219" s="510"/>
      <c r="B219" s="1149"/>
      <c r="C219" s="1152"/>
      <c r="D219" s="1170" t="s">
        <v>342</v>
      </c>
      <c r="E219" s="543" t="s">
        <v>343</v>
      </c>
      <c r="F219" s="1161"/>
      <c r="G219" s="1142" t="s">
        <v>1214</v>
      </c>
      <c r="H219" s="200" t="s">
        <v>364</v>
      </c>
      <c r="I219" s="200" t="s">
        <v>1006</v>
      </c>
      <c r="J219" s="200">
        <v>3</v>
      </c>
      <c r="K219" s="804">
        <v>0</v>
      </c>
      <c r="L219" s="200"/>
      <c r="M219" s="200"/>
      <c r="N219" s="200"/>
      <c r="O219" s="827" t="s">
        <v>72</v>
      </c>
      <c r="P219" s="834"/>
      <c r="Q219" s="96" t="s">
        <v>1603</v>
      </c>
      <c r="R219" s="812">
        <v>4</v>
      </c>
      <c r="S219" s="1172">
        <v>7</v>
      </c>
      <c r="T219" s="5"/>
      <c r="U219" s="1156">
        <f>FLOOR((S219+S221+S223+S225+S227+S230-0.1)/32,1)+1</f>
        <v>2</v>
      </c>
      <c r="V219" s="1254">
        <f>U219*32-S219-S221-S223-S225-S227-S230</f>
        <v>27</v>
      </c>
      <c r="W219" s="612"/>
      <c r="X219" s="53">
        <v>1</v>
      </c>
      <c r="Y219" s="613"/>
      <c r="Z219" s="612"/>
      <c r="AA219" s="53">
        <v>1</v>
      </c>
      <c r="AB219" s="613"/>
      <c r="AC219" s="646">
        <v>1</v>
      </c>
      <c r="AE219" s="613"/>
    </row>
    <row r="220" spans="1:31" x14ac:dyDescent="0.25">
      <c r="A220" s="510"/>
      <c r="B220" s="1149"/>
      <c r="C220" s="1152"/>
      <c r="D220" s="1166"/>
      <c r="E220" s="543" t="s">
        <v>344</v>
      </c>
      <c r="F220" s="1162"/>
      <c r="G220" s="1144"/>
      <c r="H220" s="200" t="s">
        <v>364</v>
      </c>
      <c r="I220" s="200" t="s">
        <v>1006</v>
      </c>
      <c r="J220" s="200">
        <v>6</v>
      </c>
      <c r="K220" s="804">
        <v>4</v>
      </c>
      <c r="L220" s="200"/>
      <c r="M220" s="200"/>
      <c r="N220" s="200"/>
      <c r="O220" s="827" t="s">
        <v>72</v>
      </c>
      <c r="P220" s="834"/>
      <c r="Q220" s="957" t="s">
        <v>1229</v>
      </c>
      <c r="R220" s="812">
        <v>3</v>
      </c>
      <c r="S220" s="1173"/>
      <c r="T220" s="5"/>
      <c r="U220" s="1280"/>
      <c r="V220" s="1255"/>
      <c r="W220" s="612">
        <v>1</v>
      </c>
      <c r="Y220" s="613"/>
      <c r="Z220" s="612">
        <v>1</v>
      </c>
      <c r="AB220" s="613"/>
      <c r="AC220" s="612">
        <v>1</v>
      </c>
      <c r="AE220" s="613"/>
    </row>
    <row r="221" spans="1:31" x14ac:dyDescent="0.25">
      <c r="A221" s="510"/>
      <c r="B221" s="1149"/>
      <c r="C221" s="1152"/>
      <c r="D221" s="1166" t="s">
        <v>16</v>
      </c>
      <c r="E221" s="543" t="s">
        <v>1349</v>
      </c>
      <c r="F221" s="1139" t="s">
        <v>996</v>
      </c>
      <c r="G221" s="1142" t="s">
        <v>1214</v>
      </c>
      <c r="H221" s="200" t="s">
        <v>364</v>
      </c>
      <c r="I221" s="200" t="s">
        <v>1006</v>
      </c>
      <c r="J221" s="200">
        <v>10</v>
      </c>
      <c r="K221" s="804">
        <v>7</v>
      </c>
      <c r="L221" s="200"/>
      <c r="M221" s="200"/>
      <c r="N221" s="200"/>
      <c r="O221" s="827" t="s">
        <v>72</v>
      </c>
      <c r="P221" s="834"/>
      <c r="Q221" s="96" t="s">
        <v>1603</v>
      </c>
      <c r="R221" s="812">
        <v>4</v>
      </c>
      <c r="S221" s="1172">
        <v>7</v>
      </c>
      <c r="T221" s="5"/>
      <c r="U221" s="1280"/>
      <c r="V221" s="1255"/>
      <c r="W221" s="612"/>
      <c r="X221" s="53">
        <v>1</v>
      </c>
      <c r="Y221" s="613"/>
      <c r="Z221" s="646">
        <v>1</v>
      </c>
      <c r="AB221" s="613"/>
      <c r="AC221" s="646">
        <v>1</v>
      </c>
      <c r="AE221" s="613"/>
    </row>
    <row r="222" spans="1:31" x14ac:dyDescent="0.25">
      <c r="A222" s="510"/>
      <c r="B222" s="1149"/>
      <c r="C222" s="1152"/>
      <c r="D222" s="1166"/>
      <c r="E222" s="543" t="s">
        <v>1350</v>
      </c>
      <c r="F222" s="1141"/>
      <c r="G222" s="1144"/>
      <c r="H222" s="200" t="s">
        <v>364</v>
      </c>
      <c r="I222" s="200" t="s">
        <v>1006</v>
      </c>
      <c r="J222" s="200">
        <v>13</v>
      </c>
      <c r="K222" s="804">
        <v>11</v>
      </c>
      <c r="L222" s="200"/>
      <c r="M222" s="200"/>
      <c r="N222" s="200"/>
      <c r="O222" s="827" t="s">
        <v>72</v>
      </c>
      <c r="P222" s="834"/>
      <c r="Q222" s="957" t="s">
        <v>1229</v>
      </c>
      <c r="R222" s="812">
        <v>3</v>
      </c>
      <c r="S222" s="1173"/>
      <c r="T222" s="5"/>
      <c r="U222" s="1280"/>
      <c r="V222" s="1255"/>
      <c r="W222" s="612">
        <v>1</v>
      </c>
      <c r="Y222" s="613"/>
      <c r="Z222" s="612">
        <v>1</v>
      </c>
      <c r="AB222" s="613"/>
      <c r="AC222" s="612">
        <v>1</v>
      </c>
      <c r="AE222" s="613"/>
    </row>
    <row r="223" spans="1:31" x14ac:dyDescent="0.25">
      <c r="A223" s="510"/>
      <c r="B223" s="1149"/>
      <c r="C223" s="1152"/>
      <c r="D223" s="1166" t="s">
        <v>345</v>
      </c>
      <c r="E223" s="540" t="s">
        <v>346</v>
      </c>
      <c r="F223" s="1139" t="s">
        <v>995</v>
      </c>
      <c r="G223" s="1142" t="s">
        <v>1214</v>
      </c>
      <c r="H223" s="200" t="s">
        <v>364</v>
      </c>
      <c r="I223" s="200" t="s">
        <v>1006</v>
      </c>
      <c r="J223" s="200">
        <v>17</v>
      </c>
      <c r="K223" s="804">
        <v>14</v>
      </c>
      <c r="L223" s="200"/>
      <c r="M223" s="200"/>
      <c r="N223" s="200"/>
      <c r="O223" s="827" t="s">
        <v>72</v>
      </c>
      <c r="P223" s="834"/>
      <c r="Q223" s="96" t="s">
        <v>1519</v>
      </c>
      <c r="R223" s="812">
        <v>4</v>
      </c>
      <c r="S223" s="1172">
        <v>8</v>
      </c>
      <c r="T223" s="5"/>
      <c r="U223" s="1280"/>
      <c r="V223" s="1255"/>
      <c r="W223" s="612"/>
      <c r="X223" s="53">
        <v>1</v>
      </c>
      <c r="Y223" s="613"/>
      <c r="Z223" s="646">
        <v>1</v>
      </c>
      <c r="AB223" s="613"/>
      <c r="AC223" s="646">
        <v>1</v>
      </c>
      <c r="AE223" s="613"/>
    </row>
    <row r="224" spans="1:31" x14ac:dyDescent="0.25">
      <c r="A224" s="510"/>
      <c r="B224" s="1149"/>
      <c r="C224" s="1152"/>
      <c r="D224" s="1166"/>
      <c r="E224" s="540" t="s">
        <v>347</v>
      </c>
      <c r="F224" s="1141"/>
      <c r="G224" s="1144"/>
      <c r="H224" s="200" t="s">
        <v>364</v>
      </c>
      <c r="I224" s="200" t="s">
        <v>1006</v>
      </c>
      <c r="J224" s="200">
        <v>21</v>
      </c>
      <c r="K224" s="804">
        <v>18</v>
      </c>
      <c r="L224" s="200"/>
      <c r="M224" s="200"/>
      <c r="N224" s="200"/>
      <c r="O224" s="827" t="s">
        <v>72</v>
      </c>
      <c r="P224" s="834"/>
      <c r="Q224" s="96" t="s">
        <v>2040</v>
      </c>
      <c r="R224" s="812">
        <v>4</v>
      </c>
      <c r="S224" s="1173"/>
      <c r="T224" s="5"/>
      <c r="U224" s="1280"/>
      <c r="V224" s="1255"/>
      <c r="W224" s="612"/>
      <c r="X224" s="53">
        <v>1</v>
      </c>
      <c r="Y224" s="613"/>
      <c r="Z224" s="646">
        <v>1</v>
      </c>
      <c r="AB224" s="613"/>
      <c r="AC224" s="646">
        <v>1</v>
      </c>
      <c r="AE224" s="613"/>
    </row>
    <row r="225" spans="1:31" x14ac:dyDescent="0.25">
      <c r="A225" s="510"/>
      <c r="B225" s="1149"/>
      <c r="C225" s="1152"/>
      <c r="D225" s="1166" t="s">
        <v>348</v>
      </c>
      <c r="E225" s="540" t="s">
        <v>349</v>
      </c>
      <c r="F225" s="1139" t="s">
        <v>994</v>
      </c>
      <c r="G225" s="1142" t="s">
        <v>1216</v>
      </c>
      <c r="H225" s="200" t="s">
        <v>364</v>
      </c>
      <c r="I225" s="200" t="s">
        <v>1006</v>
      </c>
      <c r="J225" s="200">
        <v>25</v>
      </c>
      <c r="K225" s="804">
        <v>22</v>
      </c>
      <c r="L225" s="200"/>
      <c r="M225" s="200"/>
      <c r="N225" s="200"/>
      <c r="O225" s="827" t="s">
        <v>72</v>
      </c>
      <c r="P225" s="834"/>
      <c r="Q225" s="96" t="s">
        <v>1519</v>
      </c>
      <c r="R225" s="812">
        <v>4</v>
      </c>
      <c r="S225" s="1172">
        <v>8</v>
      </c>
      <c r="T225" s="5"/>
      <c r="U225" s="1280"/>
      <c r="V225" s="1255"/>
      <c r="W225" s="612"/>
      <c r="X225" s="53">
        <v>1</v>
      </c>
      <c r="Y225" s="613"/>
      <c r="Z225" s="646">
        <v>1</v>
      </c>
      <c r="AB225" s="613"/>
      <c r="AC225" s="646">
        <v>1</v>
      </c>
      <c r="AE225" s="613"/>
    </row>
    <row r="226" spans="1:31" x14ac:dyDescent="0.25">
      <c r="A226" s="510"/>
      <c r="B226" s="1149"/>
      <c r="C226" s="1152"/>
      <c r="D226" s="1166"/>
      <c r="E226" s="540" t="s">
        <v>350</v>
      </c>
      <c r="F226" s="1141"/>
      <c r="G226" s="1144"/>
      <c r="H226" s="200" t="s">
        <v>364</v>
      </c>
      <c r="I226" s="200" t="s">
        <v>1006</v>
      </c>
      <c r="J226" s="200">
        <v>29</v>
      </c>
      <c r="K226" s="804">
        <v>26</v>
      </c>
      <c r="L226" s="200"/>
      <c r="M226" s="200"/>
      <c r="N226" s="200"/>
      <c r="O226" s="827" t="s">
        <v>72</v>
      </c>
      <c r="P226" s="834"/>
      <c r="Q226" s="96" t="s">
        <v>2040</v>
      </c>
      <c r="R226" s="812">
        <v>4</v>
      </c>
      <c r="S226" s="1173"/>
      <c r="T226" s="5"/>
      <c r="U226" s="1280"/>
      <c r="V226" s="1255"/>
      <c r="W226" s="612"/>
      <c r="X226" s="53">
        <v>1</v>
      </c>
      <c r="Y226" s="613"/>
      <c r="Z226" s="646">
        <v>1</v>
      </c>
      <c r="AB226" s="613"/>
      <c r="AC226" s="646">
        <v>1</v>
      </c>
      <c r="AE226" s="613"/>
    </row>
    <row r="227" spans="1:31" x14ac:dyDescent="0.25">
      <c r="A227" s="510"/>
      <c r="B227" s="1149"/>
      <c r="C227" s="1152"/>
      <c r="D227" s="1327" t="s">
        <v>351</v>
      </c>
      <c r="E227" s="598" t="s">
        <v>1182</v>
      </c>
      <c r="F227" s="1139" t="s">
        <v>351</v>
      </c>
      <c r="G227" s="1195" t="s">
        <v>49</v>
      </c>
      <c r="H227" s="200" t="s">
        <v>364</v>
      </c>
      <c r="I227" s="200" t="s">
        <v>1006</v>
      </c>
      <c r="J227" s="200">
        <v>31</v>
      </c>
      <c r="K227" s="804">
        <v>30</v>
      </c>
      <c r="L227" s="200"/>
      <c r="M227" s="200"/>
      <c r="N227" s="200"/>
      <c r="O227" s="827" t="s">
        <v>72</v>
      </c>
      <c r="P227" s="834"/>
      <c r="Q227" s="96" t="s">
        <v>1519</v>
      </c>
      <c r="R227" s="1176">
        <v>4</v>
      </c>
      <c r="S227" s="1172">
        <v>4</v>
      </c>
      <c r="T227" s="1156"/>
      <c r="U227" s="1280"/>
      <c r="V227" s="1255"/>
      <c r="W227" s="1267">
        <v>1</v>
      </c>
      <c r="X227" s="1268"/>
      <c r="Y227" s="1266"/>
      <c r="Z227" s="1267">
        <v>1</v>
      </c>
      <c r="AA227" s="1268"/>
      <c r="AB227" s="1266"/>
      <c r="AC227" s="1267">
        <v>1</v>
      </c>
      <c r="AD227" s="1268"/>
      <c r="AE227" s="1266"/>
    </row>
    <row r="228" spans="1:31" x14ac:dyDescent="0.25">
      <c r="A228" s="510"/>
      <c r="B228" s="1150"/>
      <c r="C228" s="1153"/>
      <c r="D228" s="1170"/>
      <c r="E228" s="598" t="s">
        <v>1183</v>
      </c>
      <c r="F228" s="1141"/>
      <c r="G228" s="1197"/>
      <c r="H228" s="200" t="s">
        <v>364</v>
      </c>
      <c r="I228" s="356">
        <v>250</v>
      </c>
      <c r="J228" s="356">
        <v>4</v>
      </c>
      <c r="K228" s="807">
        <v>3</v>
      </c>
      <c r="L228" s="200"/>
      <c r="M228" s="200"/>
      <c r="N228" s="200"/>
      <c r="O228" s="827" t="s">
        <v>72</v>
      </c>
      <c r="P228" s="834"/>
      <c r="Q228" s="96" t="s">
        <v>1519</v>
      </c>
      <c r="R228" s="1177"/>
      <c r="S228" s="1173"/>
      <c r="T228" s="1157"/>
      <c r="U228" s="1280"/>
      <c r="V228" s="1255"/>
      <c r="W228" s="1267"/>
      <c r="X228" s="1268"/>
      <c r="Y228" s="1266"/>
      <c r="Z228" s="1267"/>
      <c r="AA228" s="1268"/>
      <c r="AB228" s="1266"/>
      <c r="AC228" s="1267"/>
      <c r="AD228" s="1268"/>
      <c r="AE228" s="1266"/>
    </row>
    <row r="229" spans="1:31" x14ac:dyDescent="0.25">
      <c r="A229" s="510"/>
      <c r="B229" s="168"/>
      <c r="C229" s="168"/>
      <c r="D229" s="169"/>
      <c r="E229" s="544"/>
      <c r="F229" s="524"/>
      <c r="G229" s="674"/>
      <c r="H229" s="355"/>
      <c r="I229" s="355"/>
      <c r="J229" s="355"/>
      <c r="K229" s="805"/>
      <c r="L229" s="824"/>
      <c r="M229" s="824"/>
      <c r="N229" s="824"/>
      <c r="O229" s="524"/>
      <c r="P229" s="524"/>
      <c r="Q229" s="890"/>
      <c r="R229" s="818"/>
      <c r="S229" s="355"/>
      <c r="T229" s="170"/>
      <c r="U229" s="1280"/>
      <c r="V229" s="1255"/>
      <c r="W229" s="635"/>
      <c r="X229" s="488"/>
      <c r="Y229" s="636"/>
      <c r="Z229" s="635"/>
      <c r="AA229" s="488"/>
      <c r="AB229" s="636"/>
      <c r="AC229" s="635"/>
      <c r="AD229" s="488"/>
      <c r="AE229" s="636"/>
    </row>
    <row r="230" spans="1:31" x14ac:dyDescent="0.25">
      <c r="A230" s="510"/>
      <c r="B230" s="1198" t="s">
        <v>369</v>
      </c>
      <c r="C230" s="1159" t="s">
        <v>352</v>
      </c>
      <c r="D230" s="473" t="s">
        <v>353</v>
      </c>
      <c r="E230" s="537" t="s">
        <v>899</v>
      </c>
      <c r="F230" s="1187" t="s">
        <v>990</v>
      </c>
      <c r="G230" s="1308" t="s">
        <v>49</v>
      </c>
      <c r="H230" s="200" t="s">
        <v>364</v>
      </c>
      <c r="I230" s="200">
        <v>250</v>
      </c>
      <c r="J230" s="362">
        <v>2</v>
      </c>
      <c r="K230" s="808">
        <v>2</v>
      </c>
      <c r="L230" s="362"/>
      <c r="M230" s="362"/>
      <c r="N230" s="362"/>
      <c r="O230" s="827" t="s">
        <v>72</v>
      </c>
      <c r="P230" s="837"/>
      <c r="Q230" s="96" t="s">
        <v>1519</v>
      </c>
      <c r="R230" s="819">
        <v>1</v>
      </c>
      <c r="S230" s="1163">
        <f>SUM(R230:R231)</f>
        <v>3</v>
      </c>
      <c r="T230" s="5"/>
      <c r="U230" s="1280"/>
      <c r="V230" s="1255"/>
      <c r="W230" s="612">
        <v>1</v>
      </c>
      <c r="X230" s="485"/>
      <c r="Y230" s="629"/>
      <c r="Z230" s="612">
        <v>1</v>
      </c>
      <c r="AA230" s="485"/>
      <c r="AB230" s="629"/>
      <c r="AC230" s="612">
        <v>1</v>
      </c>
      <c r="AD230" s="485"/>
      <c r="AE230" s="629"/>
    </row>
    <row r="231" spans="1:31" x14ac:dyDescent="0.25">
      <c r="A231" s="510"/>
      <c r="B231" s="1201"/>
      <c r="C231" s="1153"/>
      <c r="D231" s="473" t="s">
        <v>354</v>
      </c>
      <c r="E231" s="537" t="s">
        <v>895</v>
      </c>
      <c r="F231" s="1188"/>
      <c r="G231" s="1309"/>
      <c r="H231" s="200" t="s">
        <v>364</v>
      </c>
      <c r="I231" s="200">
        <v>250</v>
      </c>
      <c r="J231" s="362">
        <v>1</v>
      </c>
      <c r="K231" s="808">
        <v>0</v>
      </c>
      <c r="L231" s="362"/>
      <c r="M231" s="362"/>
      <c r="N231" s="362"/>
      <c r="O231" s="827" t="s">
        <v>72</v>
      </c>
      <c r="P231" s="837"/>
      <c r="Q231" s="96" t="s">
        <v>1519</v>
      </c>
      <c r="R231" s="819">
        <v>2</v>
      </c>
      <c r="S231" s="1163"/>
      <c r="T231" s="5"/>
      <c r="U231" s="1157"/>
      <c r="V231" s="1256"/>
      <c r="W231" s="612">
        <v>1</v>
      </c>
      <c r="X231" s="485"/>
      <c r="Y231" s="629"/>
      <c r="Z231" s="612">
        <v>1</v>
      </c>
      <c r="AA231" s="485"/>
      <c r="AB231" s="629"/>
      <c r="AC231" s="612">
        <v>1</v>
      </c>
      <c r="AD231" s="485"/>
      <c r="AE231" s="629"/>
    </row>
    <row r="232" spans="1:31" x14ac:dyDescent="0.25">
      <c r="A232" s="510"/>
      <c r="B232" s="168"/>
      <c r="C232" s="168"/>
      <c r="D232" s="169"/>
      <c r="E232" s="544"/>
      <c r="F232" s="524"/>
      <c r="G232" s="674"/>
      <c r="H232" s="355"/>
      <c r="I232" s="355"/>
      <c r="J232" s="355"/>
      <c r="K232" s="805"/>
      <c r="L232" s="824"/>
      <c r="M232" s="824"/>
      <c r="N232" s="824"/>
      <c r="O232" s="524"/>
      <c r="P232" s="524"/>
      <c r="Q232" s="890"/>
      <c r="R232" s="818"/>
      <c r="S232" s="355"/>
      <c r="T232" s="170"/>
      <c r="U232" s="170"/>
      <c r="V232" s="608"/>
      <c r="W232" s="635"/>
      <c r="X232" s="488"/>
      <c r="Y232" s="636"/>
      <c r="Z232" s="635"/>
      <c r="AA232" s="488"/>
      <c r="AB232" s="636"/>
      <c r="AC232" s="635"/>
      <c r="AD232" s="488"/>
      <c r="AE232" s="636"/>
    </row>
    <row r="233" spans="1:31" x14ac:dyDescent="0.25">
      <c r="A233" s="510"/>
      <c r="B233" s="1198" t="s">
        <v>369</v>
      </c>
      <c r="C233" s="1159" t="s">
        <v>18</v>
      </c>
      <c r="D233" s="1185" t="s">
        <v>1953</v>
      </c>
      <c r="E233" s="540" t="s">
        <v>1957</v>
      </c>
      <c r="F233" s="1187" t="s">
        <v>1984</v>
      </c>
      <c r="G233" s="1195" t="s">
        <v>49</v>
      </c>
      <c r="H233" s="957" t="s">
        <v>363</v>
      </c>
      <c r="I233" s="1028">
        <v>270</v>
      </c>
      <c r="J233" s="1028">
        <v>9</v>
      </c>
      <c r="K233" s="1029">
        <v>5</v>
      </c>
      <c r="L233" s="1042"/>
      <c r="M233" s="1042" t="s">
        <v>1673</v>
      </c>
      <c r="N233" s="1042"/>
      <c r="O233" s="981" t="s">
        <v>1959</v>
      </c>
      <c r="P233" s="515" t="s">
        <v>1959</v>
      </c>
      <c r="Q233" s="1028" t="s">
        <v>1515</v>
      </c>
      <c r="R233" s="979">
        <v>5</v>
      </c>
      <c r="S233" s="1184">
        <f>SUM(R233:R236)</f>
        <v>64</v>
      </c>
      <c r="T233" s="5"/>
      <c r="U233" s="1156">
        <f>FLOOR((S233-0.1)/32,1)+1</f>
        <v>2</v>
      </c>
      <c r="V233" s="1254">
        <f>U233*32-S233</f>
        <v>0</v>
      </c>
      <c r="W233" s="612"/>
      <c r="X233" s="53">
        <v>1</v>
      </c>
      <c r="Y233" s="629"/>
      <c r="Z233" s="612"/>
      <c r="AA233" s="485"/>
      <c r="AB233" s="629"/>
      <c r="AC233" s="612"/>
      <c r="AD233" s="485"/>
      <c r="AE233" s="629"/>
    </row>
    <row r="234" spans="1:31" s="949" customFormat="1" x14ac:dyDescent="0.25">
      <c r="A234" s="510"/>
      <c r="B234" s="1199"/>
      <c r="C234" s="1152"/>
      <c r="D234" s="1186"/>
      <c r="E234" s="540" t="s">
        <v>1961</v>
      </c>
      <c r="F234" s="1188"/>
      <c r="G234" s="1196"/>
      <c r="H234" s="957" t="s">
        <v>363</v>
      </c>
      <c r="I234" s="1028">
        <v>270</v>
      </c>
      <c r="J234" s="1028">
        <v>4</v>
      </c>
      <c r="K234" s="1029">
        <v>0</v>
      </c>
      <c r="L234" s="1042"/>
      <c r="M234" s="1042" t="s">
        <v>1673</v>
      </c>
      <c r="N234" s="1042"/>
      <c r="O234" s="981" t="s">
        <v>1963</v>
      </c>
      <c r="P234" s="515" t="s">
        <v>1963</v>
      </c>
      <c r="Q234" s="1028" t="s">
        <v>1515</v>
      </c>
      <c r="R234" s="979">
        <v>5</v>
      </c>
      <c r="S234" s="1184"/>
      <c r="T234" s="5"/>
      <c r="U234" s="1280"/>
      <c r="V234" s="1255"/>
      <c r="W234" s="973"/>
      <c r="X234" s="53">
        <v>1</v>
      </c>
      <c r="Y234" s="629"/>
      <c r="Z234" s="973"/>
      <c r="AA234" s="485"/>
      <c r="AB234" s="629"/>
      <c r="AC234" s="973"/>
      <c r="AD234" s="485"/>
      <c r="AE234" s="629"/>
    </row>
    <row r="235" spans="1:31" s="949" customFormat="1" x14ac:dyDescent="0.25">
      <c r="A235" s="510"/>
      <c r="B235" s="1199"/>
      <c r="C235" s="1152"/>
      <c r="D235" s="1167"/>
      <c r="E235" s="540" t="s">
        <v>74</v>
      </c>
      <c r="F235" s="522"/>
      <c r="G235" s="1196"/>
      <c r="H235" s="1145" t="s">
        <v>874</v>
      </c>
      <c r="I235" s="467">
        <v>270</v>
      </c>
      <c r="J235" s="467">
        <v>31</v>
      </c>
      <c r="K235" s="798">
        <v>10</v>
      </c>
      <c r="L235" s="799"/>
      <c r="M235" s="916"/>
      <c r="N235" s="916"/>
      <c r="O235" s="827" t="s">
        <v>72</v>
      </c>
      <c r="P235" s="515"/>
      <c r="Q235" s="840"/>
      <c r="R235" s="812">
        <v>22</v>
      </c>
      <c r="S235" s="1184"/>
      <c r="T235" s="5"/>
      <c r="U235" s="1280"/>
      <c r="V235" s="1255"/>
      <c r="W235" s="973"/>
      <c r="X235" s="485"/>
      <c r="Y235" s="629"/>
      <c r="Z235" s="973"/>
      <c r="AA235" s="485"/>
      <c r="AB235" s="629"/>
      <c r="AC235" s="973"/>
      <c r="AD235" s="485"/>
      <c r="AE235" s="629"/>
    </row>
    <row r="236" spans="1:31" x14ac:dyDescent="0.25">
      <c r="A236" s="510"/>
      <c r="B236" s="1199"/>
      <c r="C236" s="1152"/>
      <c r="D236" s="1168"/>
      <c r="E236" s="540" t="s">
        <v>74</v>
      </c>
      <c r="F236" s="522"/>
      <c r="G236" s="1197"/>
      <c r="H236" s="1147"/>
      <c r="I236" s="467">
        <v>274</v>
      </c>
      <c r="J236" s="467">
        <v>31</v>
      </c>
      <c r="K236" s="798">
        <v>0</v>
      </c>
      <c r="L236" s="799"/>
      <c r="M236" s="916"/>
      <c r="N236" s="916"/>
      <c r="O236" s="827" t="s">
        <v>72</v>
      </c>
      <c r="P236" s="515"/>
      <c r="Q236" s="840"/>
      <c r="R236" s="812">
        <v>32</v>
      </c>
      <c r="S236" s="1184"/>
      <c r="T236" s="5"/>
      <c r="U236" s="1157"/>
      <c r="V236" s="1256"/>
      <c r="W236" s="612"/>
      <c r="X236" s="485"/>
      <c r="Y236" s="629"/>
      <c r="Z236" s="612"/>
      <c r="AA236" s="485"/>
      <c r="AB236" s="629"/>
      <c r="AC236" s="612"/>
      <c r="AD236" s="485"/>
      <c r="AE236" s="629"/>
    </row>
    <row r="237" spans="1:31" x14ac:dyDescent="0.25">
      <c r="A237" s="510"/>
      <c r="B237" s="168"/>
      <c r="C237" s="168"/>
      <c r="D237" s="169"/>
      <c r="E237" s="541"/>
      <c r="F237" s="525"/>
      <c r="G237" s="676"/>
      <c r="H237" s="170"/>
      <c r="I237" s="355"/>
      <c r="J237" s="355"/>
      <c r="K237" s="805"/>
      <c r="L237" s="824"/>
      <c r="M237" s="824"/>
      <c r="N237" s="824"/>
      <c r="O237" s="524"/>
      <c r="P237" s="524"/>
      <c r="Q237" s="824"/>
      <c r="R237" s="818"/>
      <c r="S237" s="355"/>
      <c r="T237" s="170"/>
      <c r="U237" s="170"/>
      <c r="V237" s="608"/>
      <c r="W237" s="637"/>
      <c r="X237" s="489"/>
      <c r="Y237" s="638"/>
      <c r="Z237" s="637"/>
      <c r="AA237" s="489"/>
      <c r="AB237" s="638"/>
      <c r="AC237" s="637"/>
      <c r="AD237" s="489"/>
      <c r="AE237" s="638"/>
    </row>
    <row r="238" spans="1:31" x14ac:dyDescent="0.25">
      <c r="A238" s="510"/>
      <c r="B238" s="378" t="s">
        <v>369</v>
      </c>
      <c r="C238" s="474" t="s">
        <v>875</v>
      </c>
      <c r="D238" s="473" t="s">
        <v>875</v>
      </c>
      <c r="E238" s="545" t="s">
        <v>948</v>
      </c>
      <c r="F238" s="522" t="s">
        <v>875</v>
      </c>
      <c r="G238" s="677" t="s">
        <v>49</v>
      </c>
      <c r="H238" s="200" t="s">
        <v>364</v>
      </c>
      <c r="I238" s="362">
        <v>248</v>
      </c>
      <c r="J238" s="362">
        <v>11</v>
      </c>
      <c r="K238" s="808">
        <v>8</v>
      </c>
      <c r="L238" s="362"/>
      <c r="M238" s="362"/>
      <c r="N238" s="362"/>
      <c r="O238" s="827" t="s">
        <v>72</v>
      </c>
      <c r="P238" s="837"/>
      <c r="Q238" s="362" t="s">
        <v>1603</v>
      </c>
      <c r="R238" s="820">
        <v>4</v>
      </c>
      <c r="S238" s="361">
        <f>SUM(R238)</f>
        <v>4</v>
      </c>
      <c r="T238" s="407" t="s">
        <v>947</v>
      </c>
      <c r="U238" s="361">
        <f>FLOOR((S238-0.1)/32,1)+1</f>
        <v>1</v>
      </c>
      <c r="V238" s="604">
        <f>U238*32-S238</f>
        <v>28</v>
      </c>
      <c r="W238" s="612">
        <v>1</v>
      </c>
      <c r="X238" s="485"/>
      <c r="Y238" s="629"/>
      <c r="Z238" s="612">
        <v>1</v>
      </c>
      <c r="AA238" s="485"/>
      <c r="AB238" s="629"/>
      <c r="AC238" s="612">
        <v>1</v>
      </c>
      <c r="AD238" s="485"/>
      <c r="AE238" s="629"/>
    </row>
    <row r="239" spans="1:31" ht="15.75" thickBot="1" x14ac:dyDescent="0.3">
      <c r="A239" s="510"/>
      <c r="B239" s="168"/>
      <c r="C239" s="168"/>
      <c r="D239" s="169"/>
      <c r="E239" s="546"/>
      <c r="F239" s="524"/>
      <c r="G239" s="674"/>
      <c r="H239" s="355"/>
      <c r="I239" s="355"/>
      <c r="J239" s="355"/>
      <c r="K239" s="805"/>
      <c r="L239" s="824"/>
      <c r="M239" s="824"/>
      <c r="N239" s="824"/>
      <c r="O239" s="524"/>
      <c r="P239" s="524"/>
      <c r="Q239" s="824"/>
      <c r="R239" s="818"/>
      <c r="S239" s="355"/>
      <c r="T239" s="170"/>
      <c r="U239" s="170"/>
      <c r="V239" s="608"/>
      <c r="W239" s="639"/>
      <c r="X239" s="640"/>
      <c r="Y239" s="641"/>
      <c r="Z239" s="639"/>
      <c r="AA239" s="640"/>
      <c r="AB239" s="641"/>
      <c r="AC239" s="639"/>
      <c r="AD239" s="640"/>
      <c r="AE239" s="641"/>
    </row>
    <row r="240" spans="1:31" x14ac:dyDescent="0.25">
      <c r="R240" s="11"/>
      <c r="T240" s="2"/>
      <c r="W240" s="53">
        <f t="shared" ref="W240:AE240" si="1">SUM(W4:W239)</f>
        <v>96</v>
      </c>
      <c r="X240" s="53">
        <f t="shared" si="1"/>
        <v>57</v>
      </c>
      <c r="Y240" s="53">
        <f t="shared" si="1"/>
        <v>34</v>
      </c>
      <c r="Z240" s="648">
        <f t="shared" si="1"/>
        <v>107</v>
      </c>
      <c r="AA240" s="649">
        <f t="shared" si="1"/>
        <v>27</v>
      </c>
      <c r="AB240" s="650">
        <f t="shared" si="1"/>
        <v>6</v>
      </c>
      <c r="AC240" s="53">
        <f t="shared" si="1"/>
        <v>40</v>
      </c>
      <c r="AD240" s="53">
        <f t="shared" si="1"/>
        <v>0</v>
      </c>
      <c r="AE240" s="53">
        <f t="shared" si="1"/>
        <v>0</v>
      </c>
    </row>
    <row r="241" spans="1:31" x14ac:dyDescent="0.25">
      <c r="W241" s="490">
        <f t="shared" ref="W241:AE241" si="2">W240/SUM($W240:$Y240)</f>
        <v>0.5133689839572193</v>
      </c>
      <c r="X241" s="490">
        <f t="shared" si="2"/>
        <v>0.30481283422459893</v>
      </c>
      <c r="Y241" s="490">
        <f t="shared" si="2"/>
        <v>0.18181818181818182</v>
      </c>
      <c r="Z241" s="651">
        <f t="shared" si="2"/>
        <v>0.57219251336898391</v>
      </c>
      <c r="AA241" s="606">
        <f t="shared" si="2"/>
        <v>0.14438502673796791</v>
      </c>
      <c r="AB241" s="652">
        <f t="shared" si="2"/>
        <v>3.2085561497326207E-2</v>
      </c>
      <c r="AC241" s="490">
        <f t="shared" si="2"/>
        <v>0.21390374331550802</v>
      </c>
      <c r="AD241" s="606">
        <f t="shared" si="2"/>
        <v>0</v>
      </c>
      <c r="AE241" s="606">
        <f t="shared" si="2"/>
        <v>0</v>
      </c>
    </row>
    <row r="242" spans="1:31" x14ac:dyDescent="0.25">
      <c r="W242" s="605">
        <f>SUM(W241:Y241)</f>
        <v>1</v>
      </c>
      <c r="Z242" s="653">
        <f>SUM(Z241:AB241)</f>
        <v>0.74866310160427807</v>
      </c>
      <c r="AB242" s="613"/>
      <c r="AC242" s="605">
        <f>SUM(AC241:AE241)</f>
        <v>0.21390374331550802</v>
      </c>
    </row>
    <row r="243" spans="1:31" x14ac:dyDescent="0.25">
      <c r="W243" s="605"/>
      <c r="Z243" s="653"/>
      <c r="AB243" s="613"/>
      <c r="AC243" s="605"/>
    </row>
    <row r="244" spans="1:31" x14ac:dyDescent="0.25">
      <c r="W244" s="308" t="s">
        <v>1199</v>
      </c>
      <c r="Z244" s="612"/>
      <c r="AB244" s="613"/>
    </row>
    <row r="245" spans="1:31" x14ac:dyDescent="0.25">
      <c r="W245" s="53" t="s">
        <v>1196</v>
      </c>
      <c r="X245" s="53" t="s">
        <v>1197</v>
      </c>
      <c r="Y245" s="53" t="s">
        <v>1198</v>
      </c>
      <c r="Z245" s="612" t="s">
        <v>1196</v>
      </c>
      <c r="AA245" s="53" t="s">
        <v>1197</v>
      </c>
      <c r="AB245" s="613" t="s">
        <v>1198</v>
      </c>
      <c r="AC245" s="53" t="s">
        <v>1196</v>
      </c>
      <c r="AD245" s="53" t="s">
        <v>1197</v>
      </c>
      <c r="AE245" s="53" t="s">
        <v>1198</v>
      </c>
    </row>
    <row r="246" spans="1:31" x14ac:dyDescent="0.25">
      <c r="Z246" s="612"/>
      <c r="AB246" s="613"/>
    </row>
    <row r="247" spans="1:31" x14ac:dyDescent="0.25">
      <c r="W247" s="2" t="s">
        <v>1195</v>
      </c>
      <c r="Z247" s="612"/>
      <c r="AB247" s="613"/>
    </row>
    <row r="248" spans="1:31" ht="30" x14ac:dyDescent="0.25">
      <c r="W248" s="53" t="s">
        <v>1190</v>
      </c>
      <c r="X248" s="53" t="s">
        <v>1190</v>
      </c>
      <c r="Y248" s="53" t="s">
        <v>1190</v>
      </c>
      <c r="Z248" s="654" t="s">
        <v>1190</v>
      </c>
      <c r="AA248" s="313" t="s">
        <v>1192</v>
      </c>
      <c r="AB248" s="617" t="s">
        <v>1192</v>
      </c>
      <c r="AC248" s="642" t="s">
        <v>1204</v>
      </c>
      <c r="AD248" s="643"/>
    </row>
    <row r="249" spans="1:31" ht="63" customHeight="1" x14ac:dyDescent="0.25">
      <c r="Z249" s="661" t="s">
        <v>1210</v>
      </c>
      <c r="AA249" s="643" t="s">
        <v>1191</v>
      </c>
      <c r="AB249" s="660" t="s">
        <v>1208</v>
      </c>
      <c r="AC249" s="647" t="s">
        <v>1210</v>
      </c>
    </row>
    <row r="250" spans="1:31" ht="93.75" customHeight="1" x14ac:dyDescent="0.25">
      <c r="Z250" s="612"/>
      <c r="AA250" s="643" t="s">
        <v>1209</v>
      </c>
      <c r="AB250" s="617" t="s">
        <v>336</v>
      </c>
      <c r="AC250" s="643" t="s">
        <v>1205</v>
      </c>
    </row>
    <row r="251" spans="1:31" x14ac:dyDescent="0.25">
      <c r="Z251" s="612"/>
      <c r="AA251" s="659" t="s">
        <v>847</v>
      </c>
      <c r="AB251" s="613"/>
    </row>
    <row r="252" spans="1:31" s="53" customFormat="1" x14ac:dyDescent="0.25">
      <c r="A252" s="655"/>
      <c r="B252" s="656"/>
      <c r="C252" s="656"/>
      <c r="D252" s="656"/>
      <c r="E252" s="656"/>
      <c r="F252" s="657"/>
      <c r="G252" s="657"/>
      <c r="H252" s="656"/>
      <c r="I252" s="656"/>
      <c r="J252" s="656"/>
      <c r="K252" s="656"/>
      <c r="L252" s="656"/>
      <c r="M252" s="656"/>
      <c r="N252" s="656"/>
      <c r="O252" s="839"/>
      <c r="P252" s="839"/>
      <c r="Q252" s="847"/>
      <c r="R252" s="656"/>
      <c r="S252" s="656"/>
      <c r="T252" s="656"/>
      <c r="U252" s="658"/>
      <c r="V252" s="656"/>
    </row>
    <row r="253" spans="1:31" x14ac:dyDescent="0.25">
      <c r="W253" s="308" t="s">
        <v>1193</v>
      </c>
      <c r="Z253" s="53" t="s">
        <v>1200</v>
      </c>
    </row>
    <row r="254" spans="1:31" x14ac:dyDescent="0.25">
      <c r="Z254" s="53" t="s">
        <v>1194</v>
      </c>
    </row>
  </sheetData>
  <autoFilter ref="B1:AE239" xr:uid="{2E145680-1C00-4533-A44C-BEBE6367F620}"/>
  <mergeCells count="298">
    <mergeCell ref="B97:B112"/>
    <mergeCell ref="S106:S108"/>
    <mergeCell ref="T106:T108"/>
    <mergeCell ref="U97:U99"/>
    <mergeCell ref="V97:V99"/>
    <mergeCell ref="L97:L99"/>
    <mergeCell ref="D93:D95"/>
    <mergeCell ref="D55:D63"/>
    <mergeCell ref="D90:D92"/>
    <mergeCell ref="B114:B115"/>
    <mergeCell ref="V144:V149"/>
    <mergeCell ref="U144:U149"/>
    <mergeCell ref="G103:G105"/>
    <mergeCell ref="S103:S105"/>
    <mergeCell ref="T103:T105"/>
    <mergeCell ref="U103:U105"/>
    <mergeCell ref="V103:V105"/>
    <mergeCell ref="F100:F102"/>
    <mergeCell ref="G100:G102"/>
    <mergeCell ref="S100:S102"/>
    <mergeCell ref="L100:L102"/>
    <mergeCell ref="L103:L105"/>
    <mergeCell ref="B117:B118"/>
    <mergeCell ref="F103:F105"/>
    <mergeCell ref="G129:G131"/>
    <mergeCell ref="T114:T115"/>
    <mergeCell ref="G132:G139"/>
    <mergeCell ref="C97:C112"/>
    <mergeCell ref="C144:C146"/>
    <mergeCell ref="C141:C142"/>
    <mergeCell ref="C120:C139"/>
    <mergeCell ref="D97:D108"/>
    <mergeCell ref="D114:D115"/>
    <mergeCell ref="S109:S112"/>
    <mergeCell ref="T109:T112"/>
    <mergeCell ref="T55:T63"/>
    <mergeCell ref="T64:T70"/>
    <mergeCell ref="T93:T95"/>
    <mergeCell ref="F227:F228"/>
    <mergeCell ref="F221:F222"/>
    <mergeCell ref="S160:S163"/>
    <mergeCell ref="S151:S153"/>
    <mergeCell ref="F132:F139"/>
    <mergeCell ref="G109:G112"/>
    <mergeCell ref="L106:L108"/>
    <mergeCell ref="F106:F108"/>
    <mergeCell ref="G106:G108"/>
    <mergeCell ref="F97:F99"/>
    <mergeCell ref="G97:G99"/>
    <mergeCell ref="S97:S99"/>
    <mergeCell ref="B2:B3"/>
    <mergeCell ref="B4:B11"/>
    <mergeCell ref="C151:C153"/>
    <mergeCell ref="B41:B95"/>
    <mergeCell ref="C41:C95"/>
    <mergeCell ref="S41:S95"/>
    <mergeCell ref="U4:U11"/>
    <mergeCell ref="F2:F3"/>
    <mergeCell ref="I2:K2"/>
    <mergeCell ref="F16:F19"/>
    <mergeCell ref="F20:F26"/>
    <mergeCell ref="T88:T89"/>
    <mergeCell ref="U41:U95"/>
    <mergeCell ref="U109:U112"/>
    <mergeCell ref="D2:D3"/>
    <mergeCell ref="R2:R3"/>
    <mergeCell ref="S2:S3"/>
    <mergeCell ref="C117:C118"/>
    <mergeCell ref="C114:C115"/>
    <mergeCell ref="B120:B139"/>
    <mergeCell ref="B144:B146"/>
    <mergeCell ref="B151:B153"/>
    <mergeCell ref="T120:T139"/>
    <mergeCell ref="T2:T3"/>
    <mergeCell ref="V233:V236"/>
    <mergeCell ref="C211:C214"/>
    <mergeCell ref="D211:D213"/>
    <mergeCell ref="H211:H213"/>
    <mergeCell ref="F230:F231"/>
    <mergeCell ref="G230:G231"/>
    <mergeCell ref="G227:G228"/>
    <mergeCell ref="G225:G226"/>
    <mergeCell ref="G223:G224"/>
    <mergeCell ref="G219:G220"/>
    <mergeCell ref="D219:D220"/>
    <mergeCell ref="D221:D222"/>
    <mergeCell ref="C233:C236"/>
    <mergeCell ref="S233:S236"/>
    <mergeCell ref="U233:U236"/>
    <mergeCell ref="S211:S213"/>
    <mergeCell ref="V219:V231"/>
    <mergeCell ref="G211:G213"/>
    <mergeCell ref="D225:D226"/>
    <mergeCell ref="S225:S226"/>
    <mergeCell ref="D227:D228"/>
    <mergeCell ref="R227:R228"/>
    <mergeCell ref="S227:S228"/>
    <mergeCell ref="S114:S115"/>
    <mergeCell ref="G120:G122"/>
    <mergeCell ref="G123:G125"/>
    <mergeCell ref="F120:F131"/>
    <mergeCell ref="S141:S142"/>
    <mergeCell ref="G144:G146"/>
    <mergeCell ref="S120:S139"/>
    <mergeCell ref="G126:G128"/>
    <mergeCell ref="G151:G152"/>
    <mergeCell ref="S144:S146"/>
    <mergeCell ref="Z2:AB2"/>
    <mergeCell ref="C4:C11"/>
    <mergeCell ref="D64:D70"/>
    <mergeCell ref="D5:D6"/>
    <mergeCell ref="D75:D76"/>
    <mergeCell ref="T78:T87"/>
    <mergeCell ref="T16:T19"/>
    <mergeCell ref="U2:U3"/>
    <mergeCell ref="V2:V3"/>
    <mergeCell ref="G5:G6"/>
    <mergeCell ref="G9:G10"/>
    <mergeCell ref="G30:G36"/>
    <mergeCell ref="G20:G26"/>
    <mergeCell ref="G16:G19"/>
    <mergeCell ref="C2:C3"/>
    <mergeCell ref="F30:F36"/>
    <mergeCell ref="D16:D19"/>
    <mergeCell ref="Y21:Y22"/>
    <mergeCell ref="H2:H3"/>
    <mergeCell ref="L2:Q2"/>
    <mergeCell ref="V15:V39"/>
    <mergeCell ref="S15:S39"/>
    <mergeCell ref="U15:U39"/>
    <mergeCell ref="F37:F39"/>
    <mergeCell ref="AA227:AA228"/>
    <mergeCell ref="V141:V142"/>
    <mergeCell ref="T227:T228"/>
    <mergeCell ref="U141:U142"/>
    <mergeCell ref="W227:W228"/>
    <mergeCell ref="X227:X228"/>
    <mergeCell ref="Y227:Y228"/>
    <mergeCell ref="T148:T149"/>
    <mergeCell ref="U208:U209"/>
    <mergeCell ref="T208:T209"/>
    <mergeCell ref="V193:V200"/>
    <mergeCell ref="V189:V191"/>
    <mergeCell ref="T189:T191"/>
    <mergeCell ref="T176:T178"/>
    <mergeCell ref="U211:U214"/>
    <mergeCell ref="U219:U231"/>
    <mergeCell ref="U189:U191"/>
    <mergeCell ref="T151:T153"/>
    <mergeCell ref="V151:V153"/>
    <mergeCell ref="V211:V214"/>
    <mergeCell ref="W2:Y2"/>
    <mergeCell ref="V208:V209"/>
    <mergeCell ref="T155:T172"/>
    <mergeCell ref="U155:U172"/>
    <mergeCell ref="V155:V172"/>
    <mergeCell ref="AB227:AB228"/>
    <mergeCell ref="AC2:AE2"/>
    <mergeCell ref="AC227:AC228"/>
    <mergeCell ref="AD227:AD228"/>
    <mergeCell ref="AE227:AE228"/>
    <mergeCell ref="T144:T146"/>
    <mergeCell ref="U120:U139"/>
    <mergeCell ref="U151:U153"/>
    <mergeCell ref="Y25:Y26"/>
    <mergeCell ref="T20:T28"/>
    <mergeCell ref="T30:T38"/>
    <mergeCell ref="U193:U200"/>
    <mergeCell ref="V174:V178"/>
    <mergeCell ref="Y23:Y24"/>
    <mergeCell ref="Y33:Y34"/>
    <mergeCell ref="Y35:Y36"/>
    <mergeCell ref="Y121:Y122"/>
    <mergeCell ref="Z227:Z228"/>
    <mergeCell ref="Y124:Y125"/>
    <mergeCell ref="Y127:Y128"/>
    <mergeCell ref="Y130:Y131"/>
    <mergeCell ref="D9:D10"/>
    <mergeCell ref="S4:S11"/>
    <mergeCell ref="T4:T11"/>
    <mergeCell ref="T42:T54"/>
    <mergeCell ref="T71:T74"/>
    <mergeCell ref="F9:F10"/>
    <mergeCell ref="F5:F6"/>
    <mergeCell ref="D117:D118"/>
    <mergeCell ref="V114:V115"/>
    <mergeCell ref="U114:U115"/>
    <mergeCell ref="V106:V108"/>
    <mergeCell ref="U106:U108"/>
    <mergeCell ref="V100:V102"/>
    <mergeCell ref="T97:T99"/>
    <mergeCell ref="D120:D139"/>
    <mergeCell ref="T100:T102"/>
    <mergeCell ref="U100:U102"/>
    <mergeCell ref="V109:V112"/>
    <mergeCell ref="Y31:Y32"/>
    <mergeCell ref="G27:G28"/>
    <mergeCell ref="G37:G38"/>
    <mergeCell ref="E2:E3"/>
    <mergeCell ref="S189:S191"/>
    <mergeCell ref="V4:V11"/>
    <mergeCell ref="V41:V95"/>
    <mergeCell ref="T90:T92"/>
    <mergeCell ref="V120:V139"/>
    <mergeCell ref="U174:U178"/>
    <mergeCell ref="B15:B39"/>
    <mergeCell ref="C15:C39"/>
    <mergeCell ref="D20:D39"/>
    <mergeCell ref="F27:F29"/>
    <mergeCell ref="D42:D54"/>
    <mergeCell ref="D71:D74"/>
    <mergeCell ref="D78:D87"/>
    <mergeCell ref="D88:D89"/>
    <mergeCell ref="G41:G89"/>
    <mergeCell ref="G164:G165"/>
    <mergeCell ref="S164:S165"/>
    <mergeCell ref="B148:B149"/>
    <mergeCell ref="C148:C149"/>
    <mergeCell ref="B141:B142"/>
    <mergeCell ref="F151:F152"/>
    <mergeCell ref="S148:S149"/>
    <mergeCell ref="F144:F146"/>
    <mergeCell ref="D144:D146"/>
    <mergeCell ref="D164:D165"/>
    <mergeCell ref="D151:D152"/>
    <mergeCell ref="D148:D149"/>
    <mergeCell ref="B155:B172"/>
    <mergeCell ref="C155:C172"/>
    <mergeCell ref="D155:D156"/>
    <mergeCell ref="F155:F156"/>
    <mergeCell ref="D177:D178"/>
    <mergeCell ref="D160:D163"/>
    <mergeCell ref="D167:D168"/>
    <mergeCell ref="D169:D170"/>
    <mergeCell ref="F169:F170"/>
    <mergeCell ref="F167:F168"/>
    <mergeCell ref="D235:D236"/>
    <mergeCell ref="H235:H236"/>
    <mergeCell ref="D233:D234"/>
    <mergeCell ref="F233:F234"/>
    <mergeCell ref="B189:B191"/>
    <mergeCell ref="F189:F191"/>
    <mergeCell ref="D189:D191"/>
    <mergeCell ref="G233:G236"/>
    <mergeCell ref="B233:B236"/>
    <mergeCell ref="B211:B214"/>
    <mergeCell ref="B230:B231"/>
    <mergeCell ref="C230:C231"/>
    <mergeCell ref="G221:G222"/>
    <mergeCell ref="B208:B209"/>
    <mergeCell ref="C208:C209"/>
    <mergeCell ref="F223:F224"/>
    <mergeCell ref="H193:H200"/>
    <mergeCell ref="C189:C191"/>
    <mergeCell ref="F211:F214"/>
    <mergeCell ref="G197:G200"/>
    <mergeCell ref="G193:G194"/>
    <mergeCell ref="G195:G196"/>
    <mergeCell ref="G208:G209"/>
    <mergeCell ref="B218:B228"/>
    <mergeCell ref="C218:C228"/>
    <mergeCell ref="F218:F220"/>
    <mergeCell ref="S230:S231"/>
    <mergeCell ref="F225:F226"/>
    <mergeCell ref="F195:F196"/>
    <mergeCell ref="F197:F200"/>
    <mergeCell ref="F208:F209"/>
    <mergeCell ref="D223:D224"/>
    <mergeCell ref="D208:D209"/>
    <mergeCell ref="D193:D200"/>
    <mergeCell ref="F193:F194"/>
    <mergeCell ref="S221:S222"/>
    <mergeCell ref="S223:S224"/>
    <mergeCell ref="S193:S200"/>
    <mergeCell ref="R208:R209"/>
    <mergeCell ref="S208:S209"/>
    <mergeCell ref="S219:S220"/>
    <mergeCell ref="D201:D206"/>
    <mergeCell ref="F201:F205"/>
    <mergeCell ref="G201:G204"/>
    <mergeCell ref="H201:H205"/>
    <mergeCell ref="S201:S205"/>
    <mergeCell ref="B193:B206"/>
    <mergeCell ref="C193:C206"/>
    <mergeCell ref="H151:H152"/>
    <mergeCell ref="S169:S170"/>
    <mergeCell ref="B182:B187"/>
    <mergeCell ref="B176:B178"/>
    <mergeCell ref="C182:C187"/>
    <mergeCell ref="S176:S178"/>
    <mergeCell ref="C176:C178"/>
    <mergeCell ref="F177:F178"/>
    <mergeCell ref="F160:F163"/>
    <mergeCell ref="F164:F165"/>
    <mergeCell ref="G167:G168"/>
    <mergeCell ref="S167:S168"/>
    <mergeCell ref="G182:G187"/>
    <mergeCell ref="G160:G163"/>
  </mergeCells>
  <phoneticPr fontId="7" type="noConversion"/>
  <hyperlinks>
    <hyperlink ref="E10" location="'OVUV HVLDO'!F9" display="trim_uv_hvldo1v8&lt;3:0&gt;" xr:uid="{83A53408-14AD-427B-8486-D28C23A038DF}"/>
    <hyperlink ref="E11" location="Bandgaps!F11" display="set_dc_bg_gldo_ovuv&lt;3:0&gt;" xr:uid="{FFBA4171-A984-4577-BB26-FC7FFBA6CD22}"/>
    <hyperlink ref="E5" location="'OVUV GLDO &amp; PMIC'!F8" display="trim_ov_gldo1v45&lt;3:0&gt;" xr:uid="{A6FBE8BA-4A03-4503-BF01-670BF6E0FCEE}"/>
    <hyperlink ref="E6" location="'OVUV GLDO &amp; PMIC'!F9" display="trim_uv_gldo1v45&lt;3:0&gt;" xr:uid="{F979596D-41D9-47E9-959F-03F32A1F31B0}"/>
    <hyperlink ref="E7" location="'OVUV GLDO &amp; PMIC'!F10" display="trim_ov_gldo1v3&lt;3:0&gt;" xr:uid="{027FC52B-3794-4254-9560-8FE176186B15}"/>
    <hyperlink ref="E93" location="Bandgaps!F13" display="ctrl_bg_set_dc&lt;3:0&gt;" xr:uid="{5DF69FC5-0922-4499-A0DF-28326BC873F5}"/>
    <hyperlink ref="E16" location="'ATB R'!C8" display="atb1_set_res7k8&lt;4:0&gt;" xr:uid="{BD9CE680-3DA8-4BA7-9964-512D52F6ED50}"/>
    <hyperlink ref="E17" location="'ATB R'!C9" display="atb1_set_res35k&lt;4:0&gt;" xr:uid="{D6C0D569-6B65-4CB4-BF99-0CA787CB815E}"/>
    <hyperlink ref="E18" location="'ATB R'!C10" display="atb2_set_res7k8&lt;4:0&gt;" xr:uid="{5DD02689-DE5E-4AF0-A295-5816C1D9A1D2}"/>
    <hyperlink ref="E19" location="'ATB R'!C11" display="atb2_set_res35k&lt;4:0&gt;" xr:uid="{661B633D-49C0-41E2-8C0D-08E7E50FA68A}"/>
    <hyperlink ref="E27" location="'ADC HW ctrl'!F8" display="atb1_set_adc_ldo_vrefp&lt;2:0&gt;" xr:uid="{5371E9FA-0BEF-426F-AA02-F41D5ECE59E1}"/>
    <hyperlink ref="E28" location="'ADC HW ctrl'!F9" display="atb1_set_adc_ldo_vdda&lt;2:0&gt;" xr:uid="{A27520FC-6232-4D1D-A261-484CCCECF908}"/>
    <hyperlink ref="E37" location="'ADC HW ctrl'!F10" display="atb2_set_adc_ldo_vrefp&lt;2:0&gt;" xr:uid="{A071759B-5919-47F1-9255-EC0C162BCA6C}"/>
    <hyperlink ref="E38" location="'ADC HW ctrl'!F11" display="atb2_set_adc_ldo_vdda&lt;2:0&gt;" xr:uid="{50B343A3-A717-45CB-8360-4153F79B21DC}"/>
    <hyperlink ref="E95" location="'GBIAS V2I'!C9" display="ctrl_v2i_res&lt;5:0&gt;" xr:uid="{82D3ADFC-9251-4A14-80CC-5F570A0509E0}"/>
    <hyperlink ref="E15" location="Bandgaps!F12" display="atb_set_bg_dc&lt;3:0&gt;" xr:uid="{24BAC9CA-8726-4E22-9720-9D03AD6A3E0F}"/>
    <hyperlink ref="E109:E112" location="TSense!A1" display="rfe_tsense_val_a&lt;15:0&gt;" xr:uid="{DE18D97E-ADC0-45CA-91BE-BFE05CF85492}"/>
    <hyperlink ref="E141" location="Spares!A1" display="spare&lt;31:0&gt;" xr:uid="{7B87BFF8-36BD-4195-AB21-66CB6931A74E}"/>
    <hyperlink ref="E117:E118" location="Spares!A1" display="spare" xr:uid="{149CECDC-E4DE-42D8-BF85-27E08F080232}"/>
    <hyperlink ref="E26" location="'ADC OffGain corr'!F11" display="atb1_adcdig_offsetcorr_div2&lt;4:0&gt;" xr:uid="{DF2030A9-F89E-40A0-860C-15960567903B}"/>
    <hyperlink ref="E20" location="'ADC OffGain corr'!F8" display="atb1_adcdig_gaincorr&lt;7:0&gt;" xr:uid="{2BE27FCF-DA70-4780-AFC6-A6E214A70C05}"/>
    <hyperlink ref="E144" location="'TXBiST VdVGA'!A1" display="txbist1_vdvga&lt;4:0&gt;" xr:uid="{5BFD05B0-EE8E-4755-98E5-6DCEBBDAD6BA}"/>
    <hyperlink ref="E149" location="'BBBiST C'!C8" display="bbbist_trim_ccal&lt;2:0&gt;" xr:uid="{AB23CD5B-07F3-4E1E-AF90-9D433B58EA25}"/>
    <hyperlink ref="E145" location="'TXBiST VdVGA'!A1" display="txbist2_vdvga&lt;4:0&gt;" xr:uid="{C7D40330-6EB5-4900-B84D-57D97DE25FE0}"/>
    <hyperlink ref="E146" location="'TXBiST VdVGA'!A1" display="txbist3_vdvga&lt;4:0&gt;" xr:uid="{2F6E5755-9171-4BB2-838A-2ECE3E5CBAA1}"/>
    <hyperlink ref="E151:E152" location="'MCGEN FreqDet'!A1" display="freq_det_cal_over&lt;6:0&gt;" xr:uid="{0CE7B8CE-283C-4FBD-83C5-CEA8F8191FA9}"/>
    <hyperlink ref="E153" location="'MCGEN Iref'!C8" display="mcgen_set_iref&lt;4:0&gt;" xr:uid="{1FE80D72-0ACA-4B37-AE17-CFAF0359AE91}"/>
    <hyperlink ref="E180" location="'RFE OTP Version'!A1" display="opt_rfe_version&lt;7:0&gt;" xr:uid="{CC788FF7-78CE-4C4F-BE33-C4778BBBF021}"/>
    <hyperlink ref="E193:E199" location="'ADC HW ctrl'!A1" display="div2_cal&lt;4:0&gt;" xr:uid="{C68E369F-1D26-4CE2-B939-9AA998FA3B94}"/>
    <hyperlink ref="E196:E200" location="Bandgaps!A1" display="set_dc_bg&lt;3:0&gt;" xr:uid="{1E1D0FE1-073C-4E5F-8DDD-D4E0A8CA2AFD}"/>
    <hyperlink ref="E219:E222" location="Bandgaps!A1" display="set_dc_bg_hld1v8&lt;3:0&gt;" xr:uid="{4DB7035C-FE8C-4692-BEE9-BF70D063116E}"/>
    <hyperlink ref="E211:E214" location="TSense!A1" display="val_a&lt;15:0&gt;" xr:uid="{3712CFE0-E508-45B4-9BD1-EC4FDD879DB1}"/>
    <hyperlink ref="E216" location="'GPADPLL LDO'!A1" display="set_iref&lt;4:0&gt;" xr:uid="{0E91B499-436E-428C-A3C6-A16CFCCCC5F7}"/>
    <hyperlink ref="E182:E187" location="'TRIM VALID'!A1" display="link" xr:uid="{3A504EA9-FF02-4EBB-BB78-5C571FA558B3}"/>
    <hyperlink ref="E209" location="FIRC!A1" display="freq_sel&lt;17:0&gt;" xr:uid="{06B992CA-38F9-44EC-8381-BAFEA92E8B1C}"/>
    <hyperlink ref="E156" location="Bandgaps!F14" display="hvldo_bg_set_dc &lt;3:0&gt;" xr:uid="{5A2CC0BB-08B5-42B1-9E52-90604BC3F6A4}"/>
    <hyperlink ref="E158" location="'ChirpGen V2I'!C8" display="ldo_ctl_res_v2i&lt;5:0&gt;" xr:uid="{7BBA0414-033F-4024-AB13-1F0553C909D4}"/>
    <hyperlink ref="E164:E165" location="'ChirpGen VtuneDet'!A1" display="vtune_vco_high&lt;3:0&gt;" xr:uid="{A8EFA126-CC5E-465A-83A6-206A7913FDFE}"/>
    <hyperlink ref="E195:E196" location="Bandgaps!A1" display="set_curve_bg&lt;2:0&gt;" xr:uid="{B56EA6F3-1E01-4099-B811-B0BEA5E376D9}"/>
    <hyperlink ref="E197:E200" location="'ADC HW ctrl'!A1" display="set_ldo_bias_vrefp&lt;4:0&gt;" xr:uid="{07EB878A-E3C0-41B7-861D-4B9D86EE5950}"/>
    <hyperlink ref="E223:E224" location="'OVUV HVLDO'!A1" display="trim_ov_hld1v8&lt;3:0&gt;" xr:uid="{24640E33-0C35-4013-B15D-FE46769A40AA}"/>
    <hyperlink ref="E225:E226" location="'OVUV GLDO &amp; PMIC'!A1" display="trim_ov_pmc0v9&lt;3:0&gt;" xr:uid="{8C088BE7-1FA9-4DB8-8710-4DE769BF0792}"/>
    <hyperlink ref="E235:E236" location="Spares!A1" display="spare" xr:uid="{A87C1391-B133-4F87-946D-D50F1E5C2E55}"/>
    <hyperlink ref="E194" location="'ADC HW ctrl'!A1" display="set_vref_out&lt;2:0&gt;" xr:uid="{B5123D44-056A-4EDB-A5FF-6DF0D97F8137}"/>
    <hyperlink ref="E230:E231" location="PMC!A1" display="por_wdog_disable_fuse" xr:uid="{4E715D96-54C3-4291-8C53-AC6AE6A17AFB}"/>
    <hyperlink ref="E159" location="'ChirpGen pgm_vout'!C8" display="pgm_vout&lt;6:0&gt;" xr:uid="{507A0388-00DC-44E0-A651-751FA4C75193}"/>
    <hyperlink ref="E160:E163" location="'ChirpGen LevelDet'!A1" display="level_vco_max&lt;5:0&gt;" xr:uid="{42CF1BBD-DA58-491A-BFFB-6B0AD70652EC}"/>
    <hyperlink ref="E238" location="LVDS!A1" display="LVDS" xr:uid="{FFFCA668-C7FC-486A-868A-390053537730}"/>
    <hyperlink ref="E174" location="'PDC LLDO'!C8" display="vref_trim&lt;4:0&gt;" xr:uid="{8EADC305-51DB-45F5-85D9-26B17AFF4210}"/>
    <hyperlink ref="E208" location="FIRC!A1" display="firc_trim_valid" xr:uid="{BB329D0A-C8E7-4265-9A35-68D6A0EC84DA}"/>
    <hyperlink ref="E41" location="'GBIAS ibias'!D9" display="ctrl_ibias_ldo_adc_20ua_flat&lt;2:0&gt;" xr:uid="{1352E237-48E7-4C2E-822F-AEAC3FD539BD}"/>
    <hyperlink ref="E227:E228" location="'OVUV GLDO &amp; PMIC'!A1" display="trim_bg_buf_LSB&lt;1:0&gt;" xr:uid="{22EA3389-0CE5-4A20-B6B8-3CED87F4A146}"/>
    <hyperlink ref="E148" location="'BBBiST Gain'!C8" display="bbbist_trim_gain&lt;3:0&gt;" xr:uid="{48042CA7-2377-4DFA-91E4-D5E24E5F0E89}"/>
    <hyperlink ref="E90:E92" location="'GBIAS ibias'!A1" display="ctrl_ibias_fusa_ft_90ua_flat&lt;2:0&gt;" xr:uid="{0EA6CC39-4C47-4ED7-A945-A44CA8FACBD5}"/>
    <hyperlink ref="E94" location="'GBIAS V2I'!C8" display="ctrl_v2i_ptat&lt;5:0&gt;" xr:uid="{52CF78E9-44FE-4F74-B3C6-136936CCCE0F}"/>
    <hyperlink ref="E176" location="Bandgaps!F15" display="set_dc_bg_lldodig&lt;3:0&gt;" xr:uid="{77924B25-6F8A-4E48-9B03-E0E0D1FF6BAC}"/>
    <hyperlink ref="E177" location="'OVUV GLDO &amp; PMIC'!F13" display="trim_ov_lldodig&lt;3:0&gt;" xr:uid="{DAB0A96B-3133-427A-93BD-9FE1F9C5B7A6}"/>
    <hyperlink ref="E178" location="'OVUV GLDO &amp; PMIC'!F14" display="trim_uv_lldodig&lt;3:0&gt;" xr:uid="{276E25A9-5034-4636-946C-BAAEBCF66D58}"/>
    <hyperlink ref="E157" location="'ChirpGen RES_OHM'!C8" display="res_ohm&lt;15:0&gt;" xr:uid="{7C63DB37-16E5-4800-AF26-7B6F7513D8AE}"/>
    <hyperlink ref="E114" location="'BE process monitor'!A1" display="BE_Process_Monitor" xr:uid="{6F5077AE-C410-451A-B670-93CF4485A696}"/>
    <hyperlink ref="E115" location="'FE process monitor'!A1" display="FE_Process_Monitor" xr:uid="{FDB72FDF-52D3-440B-854A-BB79B32D1DC4}"/>
    <hyperlink ref="E142" location="'LOx4 Tune Freq'!C8" display="lox4_tune_freq&lt;1:0&gt;" xr:uid="{76DB0FD9-485E-472C-B0CB-A24CDAAEE120}"/>
    <hyperlink ref="E76" location="'GBIAS ibias'!D44" display="ctrl_ibias_atb_ppd_20ua_flat&lt;2:0&gt;" xr:uid="{E683A1C7-E21E-4F7C-AB51-114CC45DB440}"/>
    <hyperlink ref="E4" location="Bandgaps!F8" display="set_dc_bg_gldo1v45&lt;3:0&gt;" xr:uid="{89F7007E-77A5-42C4-893D-4D96D0FC53A2}"/>
    <hyperlink ref="E9" location="'OVUV HVLDO'!F8" display="trim_ov_hvldo1v8&lt;3:0&gt;" xr:uid="{DB65A56C-B2D6-479F-A727-53A1E7D482A2}"/>
    <hyperlink ref="E8" location="Bandgaps!F10" display="set_dc_bg_hvldo1v8&lt;3:0&gt;" xr:uid="{B9025672-4ECA-4006-B683-59C661C30A85}"/>
    <hyperlink ref="E22" location="'ADC OffGain corr'!F9" display="atb1_adcdig_offsetcorr&lt;4:0&gt;" xr:uid="{69F288B7-391B-4AB0-B896-DC2F510C63EE}"/>
    <hyperlink ref="E24" location="'ADC OffGain corr'!F10" display="atb1_adcdig_gaincorr_div2&lt;7:0&gt;" xr:uid="{4A7EA5E5-3B31-4E84-B4B3-3A0C6CC4255D}"/>
    <hyperlink ref="E32" location="'ADC OffGain corr'!F13" display="atb2_adcdig_offsetcorr&lt;4:0&gt;" xr:uid="{B675B903-37DD-458A-9E3B-31D6F152B4DE}"/>
    <hyperlink ref="E34" location="'ADC OffGain corr'!F14" display="atb2_adcdig_gaincorr_div2&lt;7:0&gt;" xr:uid="{8831F3E7-5ED8-4EB2-8F52-129D18E04A66}"/>
    <hyperlink ref="E36" location="'ADC OffGain corr'!F15" display="atb2_adcdig_offsetcorr_div2&lt;4:0&gt;" xr:uid="{5B4AF9AA-E7B0-4744-B3C5-70FB3A8AA9B8}"/>
    <hyperlink ref="E30" location="'ADC OffGain corr'!F12" display="atb2_adcdig_gaincorr&lt;7:0&gt;" xr:uid="{358F41EA-8E29-43B4-82EB-DAE0C5E17651}"/>
    <hyperlink ref="E109" location="TSense!F11" display="rfe_tsenseTX12_val_xoffset&lt;15:0&gt;" xr:uid="{CB79A4CF-553E-4BD7-BC8B-BFD5304CC6F3}"/>
    <hyperlink ref="E110" location="TSense!F12" display="rfe_tsenseTX34_val_xoffset&lt;15:0&gt;" xr:uid="{FBE821C1-EE5A-4692-BD01-B9746C3802F5}"/>
    <hyperlink ref="E111" location="TSense!F13" display="rfe_tsenseXO_val_xoffset&lt;15:0&gt;" xr:uid="{48BD63A2-3512-4E2F-8453-DA4A20561BFC}"/>
    <hyperlink ref="E112" location="TSense!F14" display="rfe_tsenseRX_val_xoffset&lt;15:0&gt;" xr:uid="{4EEFD1F4-2043-4A64-B971-1FB016E215CA}"/>
    <hyperlink ref="E132" location="'ADC HW ctrl'!F12" display="tx1_set_adc_ldo_vrefp&lt;2:0&gt;" xr:uid="{F23D2886-C3D1-4CAB-92F4-C103721E1A9A}"/>
    <hyperlink ref="E133" location="'ADC HW ctrl'!F13" display="tx1_set_adc_ldo_vdda&lt;2:0&gt;" xr:uid="{A87B04FB-A1DF-4E04-89A5-D041AB507626}"/>
    <hyperlink ref="E134" location="'ADC HW ctrl'!F14" display="tx2_set_adc_ldo_vrefp&lt;2:0&gt;" xr:uid="{4F70DA06-4134-49D8-81D5-7087C390663F}"/>
    <hyperlink ref="E135" location="'ADC HW ctrl'!F15" display="tx2_set_adc_ldo_vdda&lt;2:0&gt;" xr:uid="{A4234873-BF49-4F6E-B2F7-0227E8F996D3}"/>
    <hyperlink ref="E136" location="'ADC HW ctrl'!F16" display="tx3_set_adc_ldo_vrefp&lt;2:0&gt;" xr:uid="{81C6B67E-1462-452D-A805-3D29FF5005DE}"/>
    <hyperlink ref="E137" location="'ADC HW ctrl'!F17" display="tx3_set_adc_ldo_vdda&lt;2:0&gt;" xr:uid="{210A7AE4-D176-4F59-B3CD-D857100211FE}"/>
    <hyperlink ref="E138" location="'ADC HW ctrl'!F18" display="tx4_set_adc_ldo_vrefp&lt;2:0&gt;" xr:uid="{9E4C66E5-D76F-446F-AEE7-0557577D372E}"/>
    <hyperlink ref="E139" location="'ADC HW ctrl'!F19" display="tx4_set_adc_ldo_vdda&lt;2:0&gt;" xr:uid="{0BA4A338-37C5-42F9-A609-05882AF28943}"/>
    <hyperlink ref="E42" location="'GBIAS ibias'!D10" display="ctrl_ibias_tx_doubler_90ua_flat&lt;4:0&gt;" xr:uid="{8954A1BE-8419-45A5-B6EA-E7B9EE10C63F}"/>
    <hyperlink ref="E43" location="'GBIAS ibias'!D11" display="ctrl_ibias_tx_phase_rotator_90ua_flat&lt;4:0&gt;" xr:uid="{1E05FECE-F527-412C-9836-1AB4B6002ADA}"/>
    <hyperlink ref="E44" location="'GBIAS ibias'!D12" display="ctrl_ibias_tx_pa_90ua_flat&lt;4:0&gt;" xr:uid="{E67C2639-8EF8-4592-82FE-03B8F2A771F6}"/>
    <hyperlink ref="E45" location="'GBIAS ibias'!D13" display="ctrl_ibias_tx_doubler_90ua_ptat&lt;4:0&gt;" xr:uid="{F0D26C4E-F681-470E-89FD-73FA40E6C4B6}"/>
    <hyperlink ref="E46" location="'GBIAS ibias'!D14" display="ctrl_ibias_tx_phase_rotator_90ua_ptat&lt;4:0&gt;" xr:uid="{43CE2554-39B3-4453-9635-D04622ACEA4A}"/>
    <hyperlink ref="E47" location="'GBIAS ibias'!D15" display="ctrl_ibias_tx_buf_90ua_ptat&lt;4:0&gt;" xr:uid="{3F20B946-484B-44C5-84FD-1EFA060C3966}"/>
    <hyperlink ref="E48" location="'GBIAS ibias'!D16" display="ctrl_ibias_tx_pa_90ua_ptat&lt;4:0&gt;" xr:uid="{AFC88DCF-6F69-42E4-8338-B56A03810060}"/>
    <hyperlink ref="E49" location="'GBIAS ibias'!D17" display="ctrl_ibias_tx_phase_rotator_1_20ua_flat&lt;4:0&gt;" xr:uid="{4F237A2C-D77F-422A-942E-B3BBACB9A333}"/>
    <hyperlink ref="E50" location="'GBIAS ibias'!D18" display="ctrl_ibias_tx_phase_rotator_2_20ua_flat&lt;4:0&gt;" xr:uid="{89070E42-19A4-4DED-AA92-90F4F416D116}"/>
    <hyperlink ref="E51" location="'GBIAS ibias'!D19" display="ctrl_ibias_tx_buf_20ua_flat&lt;4:0&gt;" xr:uid="{7529CFA2-BDBC-4082-B0E0-E789061A5006}"/>
    <hyperlink ref="E52" location="'GBIAS ibias'!D20" display="ctrl_ibias_tx_pa_20ua_flat&lt;4:0&gt;" xr:uid="{F66DF619-2355-454F-AF84-EC971BC3EAD6}"/>
    <hyperlink ref="E53" location="'GBIAS ibias'!D21" display="ctrl_ibias_ldo_tx_0v9_20ua_flat&lt;2:0&gt;" xr:uid="{42179D83-E8F7-45FC-AF3C-F757FFD6C43A}"/>
    <hyperlink ref="E54" location="'GBIAS ibias'!D22" display="ctrl_ibias_ldo_tx_1v1_20ua_flat&lt;2:0&gt;" xr:uid="{51AEA938-9BD6-481B-92B1-0DA7DC369BE6}"/>
    <hyperlink ref="E55" location="'GBIAS ibias'!D23" display="ctrl_ibias_rx_90ua_ptat&lt;4:0&gt;" xr:uid="{9D1ABA82-51C4-4933-BD21-CACB1A60EA37}"/>
    <hyperlink ref="E56" location="'GBIAS ibias'!D24" display="ctrl_ibias_rx_90ua_flat&lt;2:0&gt;" xr:uid="{D67A08F1-C068-4FBF-B310-BEF7602F1F66}"/>
    <hyperlink ref="E57" location="'GBIAS ibias'!D25" display="ctrl_ibias_rx_20ua_flat&lt;2:0&gt;" xr:uid="{F15E3604-ECB4-490B-969B-984992D1812F}"/>
    <hyperlink ref="E92" location="'GBIAS ibias'!D60" display="ctrl_ibias_fusa_pt_0p3_90ua_ptat&lt;2:0&gt;" xr:uid="{00F2FC47-272A-40D3-82AC-7E8E4F1B2514}"/>
    <hyperlink ref="E91" location="'GBIAS ibias'!D599" display="ctrl_ibias_fusa_pt_0p2_90ua_ptat&lt;2:0&gt;" xr:uid="{FA5B41CF-1BD0-4D2E-A35E-6AB8E3A5094D}"/>
    <hyperlink ref="E90" location="'GBIAS ibias'!D58" display="ctrl_ibias_fusa_ft_90ua_flat&lt;2:0&gt;" xr:uid="{FA62F09B-D9FB-4EC8-8DD9-45A5A6BF4C5E}"/>
    <hyperlink ref="E58" location="'GBIAS ibias'!D26" display="ctrl_ibias_ldo_rx_lna_20ua_flat&lt;2:0&gt;" xr:uid="{B1BE00BF-0E17-4ADC-AD4F-4246CA4A1ECD}"/>
    <hyperlink ref="E59" location="'GBIAS ibias'!D27" display="ctrl_ibias_ldo_rx_loi_20ua_flat&lt;2:0&gt;" xr:uid="{DCD0BC43-C49F-4A72-A5BC-772CCBE8D06E}"/>
    <hyperlink ref="E60" location="'GBIAS ibias'!D28" display="ctrl_ibias_ldo_rx_lpfi_30ua_ptat&lt;4:0&gt;" xr:uid="{78C740FD-85E4-412E-9BC8-1E0169F172CE}"/>
    <hyperlink ref="E61" location="'GBIAS ibias'!D29" display="ctrl_ibias_ldo_rx_lpfq_30ua_ptat&lt;4:0&gt;" xr:uid="{4E201ABF-83A0-4EB0-A8A2-9C82FEC9DA0E}"/>
    <hyperlink ref="E62" location="'GBIAS ibias'!D30" display="ctrl_ibias_ldo_rx_lpfi_20ua_flat&lt;2:0&gt;" xr:uid="{F6187F77-C01B-4409-AD31-4FF37F9C77F3}"/>
    <hyperlink ref="E63" location="'GBIAS ibias'!D31" display="ctrl_ibias_ldo_rx_lpfq_20ua_flat&lt;2:0&gt;" xr:uid="{AAB3A425-B068-440F-8B5C-3C8DCD05B414}"/>
    <hyperlink ref="E64" location="'GBIAS ibias'!D32" display="ctrl_ibias_loif_90ua_ptat&lt;4:0&gt;" xr:uid="{EAD2665B-F513-4A38-9043-E2ECB8F95884}"/>
    <hyperlink ref="E65" location="'GBIAS ibias'!D33" display="ctrl_ibias_loif_90ua_flat&lt;4:0&gt;" xr:uid="{C12861CE-4011-4B39-A524-438C8E6E85CD}"/>
    <hyperlink ref="E66" location="'GBIAS ibias'!D34" display="ctrl_ibias_loif_fusa_90ua_flat&lt;2:0&gt;" xr:uid="{CCD2244D-2A5C-4F64-9E74-199F3BA49431}"/>
    <hyperlink ref="E67" location="'GBIAS ibias'!D35" display="ctrl_ibias_ldo_loif_pa_20ua_flat&lt;2:0&gt;" xr:uid="{2B56F6D2-E2DA-4582-92EA-23B72AA31AD1}"/>
    <hyperlink ref="E68" location="'GBIAS ibias'!D36" display="ctrl_ibias_ldo_loif_lna_20ua_flat&lt;2:0&gt;" xr:uid="{FDEF6D87-5690-449C-8055-C01F7FE27E49}"/>
    <hyperlink ref="E69" location="'GBIAS ibias'!D37" display="ctrl_ibias_ldo_loif_driver_20ua_flat&lt;2:0&gt;" xr:uid="{88318DE9-410D-4463-82EF-1A1FD7404DC3}"/>
    <hyperlink ref="E71" location="'GBIAS ibias'!D39" display="ctrl_ibias_ldo_xo_core_30ua_ptat&lt;4:0&gt;" xr:uid="{739B605C-9AB9-49E3-B465-BD1953F5D737}"/>
    <hyperlink ref="E72" location="'GBIAS ibias'!D40" display="ctrl_ibias_xo_20ua_flat&lt;4:0&gt;" xr:uid="{B8F69653-0C85-4685-A185-C527C352CEED}"/>
    <hyperlink ref="E73" location="'GBIAS ibias'!D41" display="ctrl_ibias_ldo_xo_buf_20ua_flat&lt;4:0&gt;" xr:uid="{C895CD14-364A-47B9-9323-6DFE34AA9A3D}"/>
    <hyperlink ref="E74" location="'GBIAS ibias'!D42" display="ctrl_ibias_ldo_xo_mcgen_20ua_flat&lt;4:0&gt;" xr:uid="{6DF1F732-0150-4D4C-AD50-E197327E5608}"/>
    <hyperlink ref="E75" location="'GBIAS ibias'!D43" display="ctrl_ibias_atb_ac_0v9_20ua_flat&lt;4:0&gt;" xr:uid="{8F744D6F-FBF7-4A0A-8A88-8865521F9215}"/>
    <hyperlink ref="E77" location="'GBIAS ibias'!D45" display="ctrl_ibias_txbist_90ua_flat&lt;4:0&gt;" xr:uid="{F2F6E89A-895C-4D98-AF8F-0D78B35FF9F1}"/>
    <hyperlink ref="E78" location="'GBIAS ibias'!D46" display="ctrl_ibias_rxbist_lo_90ua_ptat&lt;4:0&gt;" xr:uid="{CD5E9A6B-41C2-4024-A480-6E6556D99D3C}"/>
    <hyperlink ref="E79" location="'GBIAS ibias'!D47" display="ctrl_ibias_rxbist_buf_90ua_ptat&lt;4:0&gt;" xr:uid="{7FAFC9AC-6F3E-4DE2-8648-07B3803A7E86}"/>
    <hyperlink ref="E80" location="'GBIAS ibias'!D48" display="ctrl_ibias_rxbist_lo_90ua_flat&lt;4:0&gt;" xr:uid="{A5BBBF9C-45F9-45C9-BE36-B2CA8D2BC5D8}"/>
    <hyperlink ref="E81" location="'GBIAS ibias'!D49" display="ctrl_ibias_rxbist_buf_90ua_flat&lt;4:0&gt;" xr:uid="{480BD4C4-63CE-4600-A3EE-7F3D5AB57A04}"/>
    <hyperlink ref="E82" location="'GBIAS ibias'!D50" display="ctrl_ibias_rxbist_psdac_90ua_flat&lt;4:0&gt;" xr:uid="{308439A3-2DE3-4531-80FE-AC1CF240238B}"/>
    <hyperlink ref="E83" location="'GBIAS ibias'!D51" display="ctrl_ibias_rxbist_bbbist_i_90ua_flat&lt;4:0&gt;" xr:uid="{A4B6BF44-873D-4078-AB40-F65D0A6B34FA}"/>
    <hyperlink ref="E84" location="'GBIAS ibias'!D52" display="ctrl_ibias_rxbist_bbbist_q_90ua_flat&lt;4:0&gt;" xr:uid="{2A3D0A2F-1487-404B-AD54-01E6C230E929}"/>
    <hyperlink ref="E85" location="'GBIAS ibias'!D53" display="ctrl_ibias_ldo_rxbist_lo_0v9_20ua_flat&lt;2:0&gt;" xr:uid="{6558BF4D-D26B-4226-BE28-A0E36761FD3A}"/>
    <hyperlink ref="E86" location="'GBIAS ibias'!D54" display="ctrl_ibias_ldo_rxbist_rf_1v1_20ua_flat&lt;2:0&gt;" xr:uid="{6A5ADC8D-FFCF-4B94-836E-16DCD2932749}"/>
    <hyperlink ref="E87" location="'GBIAS ibias'!D55" display="ctrl_ibias_ldo_rxbist_dig_1v1_20ua_flat&lt;2:0&gt;" xr:uid="{EF671E14-6196-4987-BF14-7874DF58508E}"/>
    <hyperlink ref="E88" location="'GBIAS ibias'!D56" display="ctrl_ibias_ldo_core_20ua_flat&lt;2:0&gt;" xr:uid="{D904DF42-19ED-4A60-8696-8FC6153DD1C2}"/>
    <hyperlink ref="E89" location="'GBIAS ibias'!D57" display="ctrl_ibias_ldo_pdc_20ua_flat&lt;2:0&gt;" xr:uid="{3E68A37B-EFE3-4A08-9AC6-31BE950E9CB4}"/>
    <hyperlink ref="E70" location="'GBIAS ibias'!D38" display="ctrl_ibias_ldo_loif_lox4_20ua_flat&lt;2:0&gt;" xr:uid="{1FB7A1C4-F249-4BCE-8DDB-75E898386779}"/>
    <hyperlink ref="E151" location="'MCGEN FreqDet'!C8" display="freq_det_cal_over&lt;6:0&gt;" xr:uid="{1BCC846B-A4A7-47DB-AB9C-F4EAABF9D4BD}"/>
    <hyperlink ref="E152" location="'MCGEN FreqDet'!C9" display="freq_det_cal_under&lt;6:0&gt;" xr:uid="{5D862D13-E091-4510-B867-459E938D6DA0}"/>
    <hyperlink ref="E160" location="'ChirpGen LevelDet'!C8" display="level_vco_max&lt;5:0&gt;" xr:uid="{3607EBE4-6A58-40E3-B0F8-04F481E82C44}"/>
    <hyperlink ref="E161" location="'ChirpGen LevelDet'!C9" display="level_vco_high&lt;5:0&gt;" xr:uid="{509D717A-339A-4D2B-9E6B-3E6E395D07DA}"/>
    <hyperlink ref="E162" location="'ChirpGen LevelDet'!C10" display="level_vco_low&lt;5:0&gt;" xr:uid="{43098FDE-4F22-45B2-AD92-6D59EF1845EC}"/>
    <hyperlink ref="E163" location="'ChirpGen LevelDet'!C11" display="level_vco_min&lt;5:0&gt;" xr:uid="{0103472C-8F98-476F-A252-806089E136C4}"/>
    <hyperlink ref="E164" location="'ChirpGen VtuneDet'!C8" display="vtune_vco_high&lt;5:0&gt;" xr:uid="{69400AA9-D9BD-43E6-8ED5-1A15282E0DA6}"/>
    <hyperlink ref="E165" location="'ChirpGen VtuneDet'!C9" display="vtune_vco_low&lt;5:0&gt;" xr:uid="{D861022E-8B45-46C2-B169-A408184B50EE}"/>
    <hyperlink ref="E171" location="'ChirpGen VCO Ibias'!A1" display="vco_r_ibias_set&lt;5:0&gt;" xr:uid="{945F3855-A8CB-4548-834D-F90D701F8F73}"/>
    <hyperlink ref="E170" location="'ChirpGen CAL DAC'!A1" display="cal_dac_offset&lt;5:0&gt;" xr:uid="{CC37F502-7125-40EF-A7EC-138953DE197D}"/>
    <hyperlink ref="E172" location="'ChirpGen RCOsc'!A1" display="rc_freq_mhz&lt;15:0&gt;" xr:uid="{EDE92AE7-7376-4E3F-9DFF-0FF4D0213C3B}"/>
    <hyperlink ref="E167" location="'ChirpGen KVCO'!A1" display="kvco1_mhzv&lt;15:0&gt;" xr:uid="{6653CA92-EF75-4145-9F92-65BE66E7E8A6}"/>
    <hyperlink ref="E168" location="'ChirpGen KVCO'!A1" display="kvco2_mhzv&lt;15:0&gt;" xr:uid="{F7369EF4-E97B-4381-B09D-EC5DE370D1AC}"/>
    <hyperlink ref="E166" location="'ChirpGen CP'!A1" display="icp_ua&lt;15:0&gt;" xr:uid="{784A9D70-02F5-403A-950A-5BB7C6A2B1F4}"/>
    <hyperlink ref="E106" location="TSense!F8" display="rfe_tsense_val_a&lt;15:0&gt;" xr:uid="{C3D27572-425B-40B5-B305-D2BF0AF7E409}"/>
    <hyperlink ref="E107" location="TSense!F9" display="rfe_tsense_val_b&lt;15:0&gt;" xr:uid="{0132A24B-8FBA-4BBA-94F0-7F9B9EE8A2E3}"/>
    <hyperlink ref="E108" location="TSense!F10" display="rfe_tsense_val_alpha&lt;15:0&gt;" xr:uid="{DD80D24B-0C0F-4030-A111-7FF16B40B866}"/>
    <hyperlink ref="E103:E105" location="TSense!A1" display="rfe_tsense_val_a&lt;15:0&gt;" xr:uid="{A5632C5E-4BB8-4DA9-9AE3-50F979A5118F}"/>
    <hyperlink ref="E103" location="TSense!F8" display="rfe_tsense_val_a&lt;15:0&gt;" xr:uid="{763A003D-8BC7-4FA9-B328-6DC717B1C044}"/>
    <hyperlink ref="E104" location="TSense!F9" display="rfe_tsense_val_b&lt;15:0&gt;" xr:uid="{5284F8B8-3941-4ECF-8C20-93A9E8EF26D9}"/>
    <hyperlink ref="E105" location="TSense!F10" display="rfe_tsense_val_alpha&lt;15:0&gt;" xr:uid="{6A04C5C4-8EE2-4202-A509-BA3CE482A682}"/>
    <hyperlink ref="E100:E102" location="TSense!A1" display="rfe_tsense_val_a&lt;15:0&gt;" xr:uid="{4C7A765F-2F0C-4759-A9F7-B713CC1D4A9F}"/>
    <hyperlink ref="E100" location="TSense!F8" display="rfe_tsense_val_a&lt;15:0&gt;" xr:uid="{35E96FB7-DEE9-4B0D-B13E-706DD2AAD748}"/>
    <hyperlink ref="E101" location="TSense!F9" display="rfe_tsense_val_b&lt;15:0&gt;" xr:uid="{3BD7E6ED-2EC0-4795-B34D-A5E660E3A051}"/>
    <hyperlink ref="E102" location="TSense!F10" display="rfe_tsense_val_alpha&lt;15:0&gt;" xr:uid="{8D1F5648-3487-414A-84B0-FCAA59471ECB}"/>
    <hyperlink ref="E97:E99" location="TSense!A1" display="rfe_tsense_val_a&lt;15:0&gt;" xr:uid="{F7D374F3-B3FA-484C-8750-538AE3669659}"/>
    <hyperlink ref="E97" location="TSense!F8" display="rfe_tsense_val_a&lt;15:0&gt;" xr:uid="{CEA8B7C2-E99F-4748-839C-A89EA1E72B85}"/>
    <hyperlink ref="E98" location="TSense!F9" display="rfe_tsense_val_b&lt;15:0&gt;" xr:uid="{813BCFAD-C69E-4210-969F-B6B710284E47}"/>
    <hyperlink ref="E99" location="TSense!F10" display="rfe_tsense_val_alpha&lt;15:0&gt;" xr:uid="{4FD12589-7E02-4E63-A140-26C186BB0F90}"/>
    <hyperlink ref="E21" location="'ADC OffGain corr'!F9" display="atb1_adcdig_offsetcorr&lt;4:0&gt;" xr:uid="{E409C94D-3494-4C29-B9C7-27200CDDE7D5}"/>
    <hyperlink ref="E25" location="'ADC OffGain corr'!F11" display="atb1_adcdig_offsetcorr_div2&lt;4:0&gt;" xr:uid="{2BD4654E-9A07-4B8B-B245-236D539CF1BB}"/>
    <hyperlink ref="E31" location="'ADC OffGain corr'!F13" display="atb2_adcdig_offsetcorr&lt;4:0&gt;" xr:uid="{2529B87E-B2AC-4925-A3A1-611F90590443}"/>
    <hyperlink ref="E35" location="'ADC OffGain corr'!F15" display="atb2_adcdig_offsetcorr_div2&lt;4:0&gt;" xr:uid="{52A538B4-D10D-4492-A0E3-AF6BF59FABA0}"/>
    <hyperlink ref="E120:E131" location="'ADC OffGain corr'!A1" display="tx1_adcdig_gaincorr&lt;9:0&gt;" xr:uid="{36FF7191-C3D0-477F-8DEE-3561CEF36E4C}"/>
    <hyperlink ref="E29" location="'ADC HW ctrl'!A1" display="atb1_set_adc_div2_cal&lt;4:0&gt;" xr:uid="{F3EA0C80-1F2D-4FF8-AB0C-75C85BF6C5E2}"/>
    <hyperlink ref="E39" location="'ADC HW ctrl'!A1" display="atb2_set_adc_div2_cal&lt;4:0&gt;" xr:uid="{95FB2B06-F1F0-4327-888A-0665CBBE018E}"/>
    <hyperlink ref="E189:E191" location="Tracability!A1" display="comb_trim_version&lt;2:0&gt;" xr:uid="{F3F385A2-F9E4-49FF-8377-C4A6E1A8CC35}"/>
    <hyperlink ref="E233:E234" location="'SOC ATB R'!A1" display="ATB_RES_R1_CAL&lt;4:0&gt;" xr:uid="{E2F3D9A5-0FBC-49DE-8A85-6EA72EDE608E}"/>
    <hyperlink ref="E155" location="Bandgaps!F14" display="hvldo_bg_set_dc &lt;3:0&gt;" xr:uid="{F2C8E001-1926-4BF7-8FD6-D5BF45D99116}"/>
    <hyperlink ref="E33" location="'ADC OffGain corr'!F14" display="atb2_adcdig_gaincorr_div2&lt;7:0&gt;" xr:uid="{60D08283-C758-4F57-AEA2-9FBFA70A4233}"/>
    <hyperlink ref="E23" location="'ADC OffGain corr'!F10" display="atb1_adcdig_gaincorr_div2&lt;7:0&gt;" xr:uid="{B948A205-302C-431D-9515-CE1910A108E0}"/>
    <hyperlink ref="E169" location="'ChirpGen CAL DAC'!A1" display="cal_dac_offset&lt;5:0&gt;" xr:uid="{0857EEA8-CAEF-4934-881E-37DD72B5A09A}"/>
    <hyperlink ref="E218" location="Bandgaps!A1" display="hvldo_trim_valid" xr:uid="{F70111E6-0E8F-404D-AA7F-3CBFC9D64A6C}"/>
    <hyperlink ref="E201:E204" location="'ADC OffGain corr'!A1" display="LV_OFFS&lt;5:0&gt;" xr:uid="{83F70D59-BDFA-4AF3-9548-E7632C9AE522}"/>
    <hyperlink ref="E205" location="'ADC OffGain corr'!A1" display="ADC0_SAR_TRIM_VALID" xr:uid="{C81E7EA4-3D7D-4230-8810-B8B2C03F8208}"/>
    <hyperlink ref="E206" location="Spares!A1" display="spare" xr:uid="{2D75ADFB-5EA1-46CF-B28B-402E20BF2141}"/>
    <hyperlink ref="E201:E205" location="'ADC OffGain corr'!A1" display="LV_OFFS&lt;5:0&gt;" xr:uid="{79B0D937-0E5E-442D-BE77-F3ABF7D472B8}"/>
  </hyperlinks>
  <pageMargins left="0.7" right="0.7" top="0.75" bottom="0.75" header="0.3" footer="0.3"/>
  <pageSetup paperSize="9" orientation="portrait" r:id="rId1"/>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02624-6DC3-4A56-AAF4-F04F3F22A87A}">
  <dimension ref="B1:L39"/>
  <sheetViews>
    <sheetView workbookViewId="0">
      <selection activeCell="E1" sqref="E1:G4"/>
    </sheetView>
  </sheetViews>
  <sheetFormatPr defaultRowHeight="15" x14ac:dyDescent="0.25"/>
  <cols>
    <col min="2" max="2" width="16.28515625" customWidth="1"/>
    <col min="3" max="3" width="24.7109375" customWidth="1"/>
    <col min="4" max="4" width="20.85546875" customWidth="1"/>
    <col min="5" max="5" width="20.5703125" customWidth="1"/>
    <col min="6" max="6" width="18.85546875" customWidth="1"/>
    <col min="7" max="7" width="16.5703125" customWidth="1"/>
    <col min="9" max="9" width="22.5703125" customWidth="1"/>
    <col min="10" max="10" width="13.5703125" customWidth="1"/>
    <col min="11" max="11" width="20" bestFit="1" customWidth="1"/>
    <col min="12" max="12" width="35.28515625" bestFit="1" customWidth="1"/>
  </cols>
  <sheetData>
    <row r="1" spans="2:12" x14ac:dyDescent="0.25">
      <c r="B1" s="16" t="s">
        <v>1055</v>
      </c>
    </row>
    <row r="2" spans="2:12" ht="15.75" thickBot="1" x14ac:dyDescent="0.3">
      <c r="E2" s="949"/>
      <c r="F2" s="949"/>
      <c r="G2" s="949"/>
    </row>
    <row r="3" spans="2:12" x14ac:dyDescent="0.25">
      <c r="B3" s="19" t="s">
        <v>0</v>
      </c>
      <c r="C3" s="105" t="s">
        <v>34</v>
      </c>
      <c r="D3" s="53"/>
      <c r="E3" s="949"/>
      <c r="F3" s="949"/>
      <c r="G3" s="949"/>
    </row>
    <row r="4" spans="2:12" ht="15.75" thickBot="1" x14ac:dyDescent="0.3">
      <c r="B4" s="22" t="s">
        <v>1</v>
      </c>
      <c r="C4" s="23" t="s">
        <v>262</v>
      </c>
      <c r="D4" s="53"/>
      <c r="E4" s="949"/>
      <c r="F4" s="949"/>
      <c r="G4" s="949"/>
    </row>
    <row r="5" spans="2:12" ht="15.75" thickBot="1" x14ac:dyDescent="0.3"/>
    <row r="6" spans="2:12" ht="45.75" thickBot="1" x14ac:dyDescent="0.3">
      <c r="D6" s="52" t="s">
        <v>666</v>
      </c>
      <c r="E6" s="1365" t="s">
        <v>46</v>
      </c>
      <c r="F6" s="1366"/>
      <c r="G6" s="1367"/>
      <c r="H6" s="52" t="s">
        <v>61</v>
      </c>
      <c r="I6" s="77" t="s">
        <v>94</v>
      </c>
      <c r="J6" s="78" t="s">
        <v>96</v>
      </c>
      <c r="K6" s="59" t="s">
        <v>95</v>
      </c>
    </row>
    <row r="7" spans="2:12" ht="15.75" thickBot="1" x14ac:dyDescent="0.3">
      <c r="B7" s="42" t="s">
        <v>59</v>
      </c>
      <c r="C7" s="45" t="s">
        <v>49</v>
      </c>
      <c r="D7" s="90" t="s">
        <v>49</v>
      </c>
      <c r="E7" s="48">
        <v>125</v>
      </c>
      <c r="F7" s="27">
        <v>25</v>
      </c>
      <c r="G7" s="37">
        <v>-40</v>
      </c>
      <c r="H7" s="88" t="s">
        <v>48</v>
      </c>
      <c r="I7" s="36" t="s">
        <v>49</v>
      </c>
      <c r="J7" s="84" t="s">
        <v>49</v>
      </c>
      <c r="K7" s="83" t="s">
        <v>49</v>
      </c>
    </row>
    <row r="8" spans="2:12" ht="30" x14ac:dyDescent="0.25">
      <c r="B8" s="1374" t="s">
        <v>63</v>
      </c>
      <c r="C8" s="104" t="s">
        <v>1496</v>
      </c>
      <c r="D8" s="597" t="s">
        <v>1160</v>
      </c>
      <c r="E8" s="49">
        <v>0.52</v>
      </c>
      <c r="F8" s="30">
        <v>0.52</v>
      </c>
      <c r="G8" s="38">
        <v>0.52</v>
      </c>
      <c r="H8" s="70" t="s">
        <v>90</v>
      </c>
      <c r="I8" s="1404" t="s">
        <v>91</v>
      </c>
      <c r="J8" s="1599" t="s">
        <v>92</v>
      </c>
      <c r="K8" s="1596" t="s">
        <v>93</v>
      </c>
      <c r="L8" s="132" t="s">
        <v>288</v>
      </c>
    </row>
    <row r="9" spans="2:12" ht="30" x14ac:dyDescent="0.25">
      <c r="B9" s="1375"/>
      <c r="C9" s="104" t="s">
        <v>1497</v>
      </c>
      <c r="D9" s="597" t="s">
        <v>1160</v>
      </c>
      <c r="E9" s="49">
        <v>0.52</v>
      </c>
      <c r="F9" s="30">
        <v>0.52</v>
      </c>
      <c r="G9" s="38">
        <v>0.52</v>
      </c>
      <c r="H9" s="70" t="s">
        <v>90</v>
      </c>
      <c r="I9" s="1408"/>
      <c r="J9" s="1600"/>
      <c r="K9" s="1597"/>
      <c r="L9" s="79" t="s">
        <v>289</v>
      </c>
    </row>
    <row r="10" spans="2:12" ht="30.75" thickBot="1" x14ac:dyDescent="0.3">
      <c r="B10" s="1376"/>
      <c r="C10" s="104" t="s">
        <v>1498</v>
      </c>
      <c r="D10" s="597" t="s">
        <v>1160</v>
      </c>
      <c r="E10" s="49">
        <v>0.52</v>
      </c>
      <c r="F10" s="30">
        <v>0.52</v>
      </c>
      <c r="G10" s="38">
        <v>0.52</v>
      </c>
      <c r="H10" s="70" t="s">
        <v>90</v>
      </c>
      <c r="I10" s="1405"/>
      <c r="J10" s="1601"/>
      <c r="K10" s="1598"/>
      <c r="L10" s="133" t="s">
        <v>290</v>
      </c>
    </row>
    <row r="11" spans="2:12" ht="15.75" thickBot="1" x14ac:dyDescent="0.3">
      <c r="B11" s="43" t="s">
        <v>60</v>
      </c>
      <c r="C11" s="47" t="s">
        <v>49</v>
      </c>
      <c r="D11" s="26" t="s">
        <v>49</v>
      </c>
      <c r="E11" s="51" t="s">
        <v>372</v>
      </c>
      <c r="F11" s="29"/>
      <c r="G11" s="41"/>
      <c r="H11" s="47" t="s">
        <v>49</v>
      </c>
      <c r="I11" s="40" t="s">
        <v>49</v>
      </c>
      <c r="J11" s="86" t="s">
        <v>49</v>
      </c>
      <c r="K11" s="81" t="s">
        <v>49</v>
      </c>
    </row>
    <row r="12" spans="2:12" x14ac:dyDescent="0.25">
      <c r="B12" t="s">
        <v>58</v>
      </c>
    </row>
    <row r="13" spans="2:12" x14ac:dyDescent="0.25">
      <c r="B13" t="s">
        <v>50</v>
      </c>
    </row>
    <row r="15" spans="2:12" x14ac:dyDescent="0.25">
      <c r="B15" s="17" t="s">
        <v>822</v>
      </c>
      <c r="C15" t="s">
        <v>2079</v>
      </c>
      <c r="F15" s="60" t="s">
        <v>2081</v>
      </c>
      <c r="G15" s="60"/>
      <c r="H15" s="60"/>
      <c r="I15" s="60"/>
    </row>
    <row r="16" spans="2:12" x14ac:dyDescent="0.25">
      <c r="C16" t="s">
        <v>2080</v>
      </c>
    </row>
    <row r="18" spans="2:11" x14ac:dyDescent="0.25">
      <c r="B18" s="17" t="s">
        <v>51</v>
      </c>
    </row>
    <row r="19" spans="2:11" x14ac:dyDescent="0.25">
      <c r="C19" s="1" t="s">
        <v>1104</v>
      </c>
      <c r="D19" s="18"/>
    </row>
    <row r="21" spans="2:11" x14ac:dyDescent="0.25">
      <c r="B21" s="17" t="s">
        <v>53</v>
      </c>
    </row>
    <row r="22" spans="2:11" x14ac:dyDescent="0.25">
      <c r="C22" s="1" t="s">
        <v>88</v>
      </c>
      <c r="D22" s="18"/>
    </row>
    <row r="24" spans="2:11" x14ac:dyDescent="0.25">
      <c r="B24" s="17" t="s">
        <v>633</v>
      </c>
      <c r="C24" s="1"/>
    </row>
    <row r="25" spans="2:11" ht="78.75" customHeight="1" x14ac:dyDescent="0.25">
      <c r="C25" s="1500" t="s">
        <v>1161</v>
      </c>
      <c r="D25" s="1500"/>
      <c r="E25" s="1500"/>
      <c r="F25" s="1500"/>
      <c r="G25" s="1500"/>
    </row>
    <row r="27" spans="2:11" x14ac:dyDescent="0.25">
      <c r="B27" s="17" t="s">
        <v>55</v>
      </c>
      <c r="K27" t="s">
        <v>75</v>
      </c>
    </row>
    <row r="28" spans="2:11" x14ac:dyDescent="0.25">
      <c r="C28" t="s">
        <v>89</v>
      </c>
      <c r="K28" t="s">
        <v>76</v>
      </c>
    </row>
    <row r="29" spans="2:11" x14ac:dyDescent="0.25">
      <c r="C29" s="125" t="s">
        <v>98</v>
      </c>
      <c r="K29" t="s">
        <v>77</v>
      </c>
    </row>
    <row r="30" spans="2:11" x14ac:dyDescent="0.25">
      <c r="C30" s="583" t="s">
        <v>1649</v>
      </c>
      <c r="K30" t="s">
        <v>78</v>
      </c>
    </row>
    <row r="31" spans="2:11" x14ac:dyDescent="0.25">
      <c r="C31" s="125" t="str">
        <f>"Select the trim code to get the voltage the closest to "&amp;E8&amp;"V"</f>
        <v>Select the trim code to get the voltage the closest to 0.52V</v>
      </c>
      <c r="K31" t="s">
        <v>79</v>
      </c>
    </row>
    <row r="33" spans="2:4" x14ac:dyDescent="0.25">
      <c r="B33" s="17" t="s">
        <v>1174</v>
      </c>
    </row>
    <row r="34" spans="2:4" x14ac:dyDescent="0.25">
      <c r="C34" t="str">
        <f>"vd_0v45_vga voltage measured on trimmed parts should be a rectangular distribution centered on "&amp;E8&amp;"V +/-2.5%"</f>
        <v>vd_0v45_vga voltage measured on trimmed parts should be a rectangular distribution centered on 0.52V +/-2.5%</v>
      </c>
    </row>
    <row r="35" spans="2:4" x14ac:dyDescent="0.25">
      <c r="C35" t="s">
        <v>97</v>
      </c>
    </row>
    <row r="37" spans="2:4" x14ac:dyDescent="0.25">
      <c r="B37" s="17" t="s">
        <v>56</v>
      </c>
    </row>
    <row r="38" spans="2:4" x14ac:dyDescent="0.25">
      <c r="C38" s="1" t="s">
        <v>157</v>
      </c>
      <c r="D38" s="18"/>
    </row>
    <row r="39" spans="2:4" x14ac:dyDescent="0.25">
      <c r="C39" t="s">
        <v>686</v>
      </c>
    </row>
  </sheetData>
  <mergeCells count="6">
    <mergeCell ref="K8:K10"/>
    <mergeCell ref="C25:G25"/>
    <mergeCell ref="E6:G6"/>
    <mergeCell ref="B8:B10"/>
    <mergeCell ref="I8:I10"/>
    <mergeCell ref="J8:J10"/>
  </mergeCells>
  <hyperlinks>
    <hyperlink ref="B1" location="'RFE SOC FuseMap'!A1" display="RFE/SOC FuseMap" xr:uid="{48CF7933-8D9E-4BF3-9207-68879A3405F4}"/>
  </hyperlinks>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9411E-EDFF-4870-B6C8-A28FCFD5ADB0}">
  <dimension ref="B1:K42"/>
  <sheetViews>
    <sheetView zoomScale="70" zoomScaleNormal="70"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 min="10" max="10" width="22.140625" bestFit="1" customWidth="1"/>
    <col min="11" max="11" width="29.85546875" bestFit="1" customWidth="1"/>
  </cols>
  <sheetData>
    <row r="1" spans="2:11" x14ac:dyDescent="0.25">
      <c r="B1" s="16" t="s">
        <v>1055</v>
      </c>
    </row>
    <row r="2" spans="2:11" ht="15.75" thickBot="1" x14ac:dyDescent="0.3">
      <c r="E2" s="949"/>
      <c r="F2" s="949"/>
      <c r="G2" s="949"/>
    </row>
    <row r="3" spans="2:11" x14ac:dyDescent="0.25">
      <c r="B3" s="687" t="s">
        <v>0</v>
      </c>
      <c r="C3" s="20" t="s">
        <v>35</v>
      </c>
      <c r="D3" s="53"/>
      <c r="E3" s="949"/>
      <c r="F3" s="949"/>
      <c r="G3" s="949"/>
    </row>
    <row r="4" spans="2:11" ht="15.75" thickBot="1" x14ac:dyDescent="0.3">
      <c r="B4" s="688" t="s">
        <v>1</v>
      </c>
      <c r="C4" s="23" t="s">
        <v>137</v>
      </c>
      <c r="D4" s="53"/>
      <c r="E4" s="949"/>
      <c r="F4" s="949"/>
      <c r="G4" s="949"/>
    </row>
    <row r="5" spans="2:11" ht="15.75" thickBot="1" x14ac:dyDescent="0.3"/>
    <row r="6" spans="2:11" ht="45.75" thickBot="1" x14ac:dyDescent="0.3">
      <c r="D6" s="52" t="s">
        <v>666</v>
      </c>
      <c r="E6" s="1392" t="s">
        <v>46</v>
      </c>
      <c r="F6" s="1394"/>
      <c r="G6" s="1393"/>
      <c r="H6" s="52" t="s">
        <v>61</v>
      </c>
      <c r="I6" s="696" t="s">
        <v>94</v>
      </c>
      <c r="J6" s="697" t="s">
        <v>96</v>
      </c>
      <c r="K6" s="698" t="s">
        <v>95</v>
      </c>
    </row>
    <row r="7" spans="2:11" x14ac:dyDescent="0.25">
      <c r="B7" s="42" t="s">
        <v>59</v>
      </c>
      <c r="C7" s="45" t="s">
        <v>49</v>
      </c>
      <c r="D7" s="45" t="s">
        <v>49</v>
      </c>
      <c r="E7" s="48">
        <v>125</v>
      </c>
      <c r="F7" s="27">
        <v>25</v>
      </c>
      <c r="G7" s="37">
        <v>-40</v>
      </c>
      <c r="H7" s="33" t="s">
        <v>48</v>
      </c>
      <c r="I7" s="36" t="s">
        <v>49</v>
      </c>
      <c r="J7" s="84" t="s">
        <v>49</v>
      </c>
      <c r="K7" s="83" t="s">
        <v>49</v>
      </c>
    </row>
    <row r="8" spans="2:11" ht="45" x14ac:dyDescent="0.25">
      <c r="B8" s="695" t="s">
        <v>63</v>
      </c>
      <c r="C8" s="1087" t="s">
        <v>2075</v>
      </c>
      <c r="D8" s="984" t="s">
        <v>2076</v>
      </c>
      <c r="E8" s="49">
        <v>-19</v>
      </c>
      <c r="F8" s="30">
        <v>-19.5</v>
      </c>
      <c r="G8" s="1085" t="s">
        <v>2077</v>
      </c>
      <c r="H8" s="34" t="s">
        <v>1317</v>
      </c>
      <c r="I8" s="826" t="s">
        <v>137</v>
      </c>
      <c r="J8" s="826" t="s">
        <v>2074</v>
      </c>
      <c r="K8" s="336" t="s">
        <v>2083</v>
      </c>
    </row>
    <row r="9" spans="2:11" ht="15.75" thickBot="1" x14ac:dyDescent="0.3">
      <c r="B9" s="43" t="s">
        <v>60</v>
      </c>
      <c r="C9" s="47" t="s">
        <v>49</v>
      </c>
      <c r="D9" s="47" t="s">
        <v>49</v>
      </c>
      <c r="E9" s="51" t="s">
        <v>372</v>
      </c>
      <c r="F9" s="29"/>
      <c r="G9" s="41"/>
      <c r="H9" s="35" t="s">
        <v>49</v>
      </c>
      <c r="I9" s="40" t="s">
        <v>49</v>
      </c>
      <c r="J9" s="86" t="s">
        <v>49</v>
      </c>
      <c r="K9" s="81" t="s">
        <v>49</v>
      </c>
    </row>
    <row r="10" spans="2:11" x14ac:dyDescent="0.25">
      <c r="B10" t="s">
        <v>58</v>
      </c>
    </row>
    <row r="11" spans="2:11" x14ac:dyDescent="0.25">
      <c r="B11" t="s">
        <v>50</v>
      </c>
    </row>
    <row r="13" spans="2:11" x14ac:dyDescent="0.25">
      <c r="B13" s="17" t="s">
        <v>822</v>
      </c>
      <c r="I13" s="949"/>
    </row>
    <row r="14" spans="2:11" x14ac:dyDescent="0.25">
      <c r="B14" s="17"/>
      <c r="C14" t="s">
        <v>1278</v>
      </c>
      <c r="I14" s="949"/>
    </row>
    <row r="15" spans="2:11" x14ac:dyDescent="0.25">
      <c r="B15" s="17" t="s">
        <v>51</v>
      </c>
      <c r="J15" s="949"/>
      <c r="K15" s="949"/>
    </row>
    <row r="16" spans="2:11" x14ac:dyDescent="0.25">
      <c r="C16" t="s">
        <v>1318</v>
      </c>
      <c r="D16" s="18"/>
      <c r="I16" s="949"/>
    </row>
    <row r="17" spans="2:10" x14ac:dyDescent="0.25">
      <c r="C17" t="s">
        <v>1319</v>
      </c>
    </row>
    <row r="19" spans="2:10" x14ac:dyDescent="0.25">
      <c r="B19" s="17" t="s">
        <v>53</v>
      </c>
    </row>
    <row r="20" spans="2:10" ht="15" customHeight="1" x14ac:dyDescent="0.25">
      <c r="C20" t="s">
        <v>2084</v>
      </c>
      <c r="D20" s="18"/>
      <c r="I20" s="1602" t="s">
        <v>2085</v>
      </c>
      <c r="J20" s="1602"/>
    </row>
    <row r="21" spans="2:10" x14ac:dyDescent="0.25">
      <c r="C21" t="s">
        <v>1320</v>
      </c>
      <c r="D21" s="18"/>
      <c r="I21" s="1602"/>
      <c r="J21" s="1602"/>
    </row>
    <row r="22" spans="2:10" x14ac:dyDescent="0.25">
      <c r="C22" t="s">
        <v>1321</v>
      </c>
      <c r="I22" s="1602"/>
      <c r="J22" s="1602"/>
    </row>
    <row r="24" spans="2:10" x14ac:dyDescent="0.25">
      <c r="B24" s="17" t="s">
        <v>633</v>
      </c>
      <c r="C24" s="1"/>
    </row>
    <row r="25" spans="2:10" ht="30" customHeight="1" x14ac:dyDescent="0.25">
      <c r="C25" t="s">
        <v>1324</v>
      </c>
    </row>
    <row r="27" spans="2:10" x14ac:dyDescent="0.25">
      <c r="B27" s="17" t="s">
        <v>55</v>
      </c>
    </row>
    <row r="28" spans="2:10" x14ac:dyDescent="0.25">
      <c r="B28" s="17"/>
      <c r="C28" t="s">
        <v>1322</v>
      </c>
    </row>
    <row r="29" spans="2:10" ht="31.5" customHeight="1" x14ac:dyDescent="0.25">
      <c r="B29" s="17"/>
      <c r="C29" s="1411" t="s">
        <v>2086</v>
      </c>
      <c r="D29" s="1411"/>
      <c r="E29" s="1411"/>
      <c r="F29" s="1411"/>
      <c r="G29" s="1411"/>
      <c r="H29" s="1411"/>
      <c r="I29" s="1411"/>
    </row>
    <row r="30" spans="2:10" x14ac:dyDescent="0.25">
      <c r="B30" s="17"/>
      <c r="C30" t="s">
        <v>1326</v>
      </c>
    </row>
    <row r="31" spans="2:10" x14ac:dyDescent="0.25">
      <c r="B31" s="17"/>
      <c r="C31" s="125" t="s">
        <v>1327</v>
      </c>
    </row>
    <row r="32" spans="2:10" x14ac:dyDescent="0.25">
      <c r="B32" s="17"/>
      <c r="C32" s="125" t="s">
        <v>1952</v>
      </c>
    </row>
    <row r="33" spans="2:4" x14ac:dyDescent="0.25">
      <c r="B33" s="17"/>
      <c r="C33" t="s">
        <v>1323</v>
      </c>
    </row>
    <row r="34" spans="2:4" x14ac:dyDescent="0.25">
      <c r="C34" t="str">
        <f>"On the average, select the best trim code to get a magnitude of "&amp;E8&amp;H8</f>
        <v>On the average, select the best trim code to get a magnitude of -19dBV</v>
      </c>
    </row>
    <row r="36" spans="2:4" x14ac:dyDescent="0.25">
      <c r="B36" s="17" t="s">
        <v>1174</v>
      </c>
    </row>
    <row r="37" spans="2:4" x14ac:dyDescent="0.25">
      <c r="C37" t="str">
        <f>"DC signal magnitude distribution centered on "&amp;E8&amp;H8</f>
        <v>DC signal magnitude distribution centered on -19dBV</v>
      </c>
    </row>
    <row r="38" spans="2:4" x14ac:dyDescent="0.25">
      <c r="C38" t="s">
        <v>2082</v>
      </c>
    </row>
    <row r="39" spans="2:4" x14ac:dyDescent="0.25">
      <c r="C39" t="s">
        <v>1325</v>
      </c>
    </row>
    <row r="41" spans="2:4" x14ac:dyDescent="0.25">
      <c r="B41" s="17" t="s">
        <v>56</v>
      </c>
    </row>
    <row r="42" spans="2:4" x14ac:dyDescent="0.25">
      <c r="C42" t="s">
        <v>88</v>
      </c>
      <c r="D42" s="18"/>
    </row>
  </sheetData>
  <mergeCells count="3">
    <mergeCell ref="E6:G6"/>
    <mergeCell ref="C29:I29"/>
    <mergeCell ref="I20:J22"/>
  </mergeCells>
  <hyperlinks>
    <hyperlink ref="B1" location="'RFE SOC FuseMap'!A1" display="RFE/SOC FuseMap" xr:uid="{FDF617A7-A1C2-404C-9195-6430A65FA014}"/>
  </hyperlinks>
  <pageMargins left="0.7" right="0.7" top="0.75" bottom="0.75" header="0.3" footer="0.3"/>
  <pageSetup paperSize="9" orientation="portrait" verticalDpi="0"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84DF4-A957-4AFE-BE36-2AD8A1B24987}">
  <dimension ref="B1:N47"/>
  <sheetViews>
    <sheetView zoomScale="85" zoomScaleNormal="85"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 min="10" max="10" width="17.7109375" bestFit="1" customWidth="1"/>
    <col min="11" max="11" width="23.140625" bestFit="1" customWidth="1"/>
    <col min="12" max="12" width="21.140625" bestFit="1" customWidth="1"/>
    <col min="14" max="14" width="18.7109375" customWidth="1"/>
    <col min="15" max="15" width="13.42578125" customWidth="1"/>
  </cols>
  <sheetData>
    <row r="1" spans="2:11" x14ac:dyDescent="0.25">
      <c r="B1" s="16" t="s">
        <v>1055</v>
      </c>
    </row>
    <row r="2" spans="2:11" ht="15.75" thickBot="1" x14ac:dyDescent="0.3">
      <c r="E2" s="949"/>
      <c r="F2" s="949"/>
      <c r="G2" s="949"/>
    </row>
    <row r="3" spans="2:11" x14ac:dyDescent="0.25">
      <c r="B3" s="19" t="s">
        <v>0</v>
      </c>
      <c r="C3" s="20" t="s">
        <v>35</v>
      </c>
      <c r="D3" s="53"/>
      <c r="E3" s="949"/>
      <c r="F3" s="949"/>
      <c r="G3" s="949"/>
    </row>
    <row r="4" spans="2:11" ht="15.75" thickBot="1" x14ac:dyDescent="0.3">
      <c r="B4" s="22" t="s">
        <v>1</v>
      </c>
      <c r="C4" s="23" t="s">
        <v>137</v>
      </c>
      <c r="D4" s="53"/>
      <c r="E4" s="949"/>
      <c r="F4" s="949"/>
      <c r="G4" s="949"/>
    </row>
    <row r="5" spans="2:11" ht="15.75" thickBot="1" x14ac:dyDescent="0.3"/>
    <row r="6" spans="2:11" ht="45.75" thickBot="1" x14ac:dyDescent="0.3">
      <c r="D6" s="52" t="s">
        <v>666</v>
      </c>
      <c r="E6" s="1392" t="s">
        <v>46</v>
      </c>
      <c r="F6" s="1394"/>
      <c r="G6" s="1393"/>
      <c r="H6" s="52" t="s">
        <v>61</v>
      </c>
      <c r="I6" s="77" t="s">
        <v>94</v>
      </c>
      <c r="J6" s="78" t="s">
        <v>96</v>
      </c>
      <c r="K6" s="59" t="s">
        <v>95</v>
      </c>
    </row>
    <row r="7" spans="2:11" x14ac:dyDescent="0.25">
      <c r="B7" s="42" t="s">
        <v>59</v>
      </c>
      <c r="C7" s="45" t="s">
        <v>49</v>
      </c>
      <c r="D7" s="90" t="s">
        <v>49</v>
      </c>
      <c r="E7" s="48">
        <v>125</v>
      </c>
      <c r="F7" s="27">
        <v>25</v>
      </c>
      <c r="G7" s="37">
        <v>-40</v>
      </c>
      <c r="H7" s="33" t="s">
        <v>48</v>
      </c>
      <c r="I7" s="36" t="s">
        <v>49</v>
      </c>
      <c r="J7" s="84" t="s">
        <v>49</v>
      </c>
      <c r="K7" s="83" t="s">
        <v>49</v>
      </c>
    </row>
    <row r="8" spans="2:11" ht="47.25" customHeight="1" x14ac:dyDescent="0.25">
      <c r="B8" s="305" t="s">
        <v>63</v>
      </c>
      <c r="C8" s="104" t="s">
        <v>261</v>
      </c>
      <c r="D8" s="137" t="s">
        <v>263</v>
      </c>
      <c r="E8" s="1089" t="s">
        <v>2088</v>
      </c>
      <c r="F8" s="1086">
        <v>-0.5</v>
      </c>
      <c r="G8" s="1085">
        <v>-0.5</v>
      </c>
      <c r="H8" s="34" t="s">
        <v>140</v>
      </c>
      <c r="I8" s="39" t="s">
        <v>137</v>
      </c>
      <c r="J8" s="85" t="s">
        <v>138</v>
      </c>
      <c r="K8" s="79" t="s">
        <v>139</v>
      </c>
    </row>
    <row r="9" spans="2:11" ht="15.75" thickBot="1" x14ac:dyDescent="0.3">
      <c r="B9" s="43" t="s">
        <v>60</v>
      </c>
      <c r="C9" s="47" t="s">
        <v>49</v>
      </c>
      <c r="D9" s="26" t="s">
        <v>49</v>
      </c>
      <c r="E9" s="51" t="s">
        <v>372</v>
      </c>
      <c r="F9" s="29"/>
      <c r="G9" s="41"/>
      <c r="H9" s="35" t="s">
        <v>49</v>
      </c>
      <c r="I9" s="40" t="s">
        <v>49</v>
      </c>
      <c r="J9" s="86" t="s">
        <v>49</v>
      </c>
      <c r="K9" s="81" t="s">
        <v>49</v>
      </c>
    </row>
    <row r="10" spans="2:11" x14ac:dyDescent="0.25">
      <c r="B10" t="s">
        <v>58</v>
      </c>
    </row>
    <row r="11" spans="2:11" x14ac:dyDescent="0.25">
      <c r="B11" t="s">
        <v>50</v>
      </c>
    </row>
    <row r="13" spans="2:11" x14ac:dyDescent="0.25">
      <c r="B13" s="17" t="s">
        <v>822</v>
      </c>
      <c r="C13" t="s">
        <v>252</v>
      </c>
      <c r="I13" s="949"/>
    </row>
    <row r="14" spans="2:11" x14ac:dyDescent="0.25">
      <c r="B14" s="17"/>
      <c r="C14" t="s">
        <v>2078</v>
      </c>
    </row>
    <row r="16" spans="2:11" x14ac:dyDescent="0.25">
      <c r="B16" s="17" t="s">
        <v>51</v>
      </c>
    </row>
    <row r="17" spans="2:14" x14ac:dyDescent="0.25">
      <c r="C17" s="1" t="s">
        <v>1105</v>
      </c>
      <c r="D17" s="18"/>
    </row>
    <row r="19" spans="2:14" x14ac:dyDescent="0.25">
      <c r="B19" s="17" t="s">
        <v>53</v>
      </c>
    </row>
    <row r="20" spans="2:14" x14ac:dyDescent="0.25">
      <c r="C20" s="1" t="s">
        <v>88</v>
      </c>
      <c r="D20" s="18"/>
    </row>
    <row r="22" spans="2:14" x14ac:dyDescent="0.25">
      <c r="B22" s="17" t="s">
        <v>633</v>
      </c>
      <c r="C22" s="1"/>
    </row>
    <row r="23" spans="2:14" ht="48" customHeight="1" x14ac:dyDescent="0.25">
      <c r="C23" s="1500" t="s">
        <v>1123</v>
      </c>
      <c r="D23" s="1500"/>
      <c r="E23" s="1500"/>
      <c r="F23" s="1500"/>
      <c r="G23" s="1500"/>
    </row>
    <row r="25" spans="2:14" x14ac:dyDescent="0.25">
      <c r="B25" s="17" t="s">
        <v>55</v>
      </c>
    </row>
    <row r="26" spans="2:14" x14ac:dyDescent="0.25">
      <c r="C26" t="str">
        <f>"Program the BIST to generate a dual tone at "&amp;M27*0.000001&amp;"MHz and "&amp;L27*0.000001&amp;"MHz with the BBBIST"</f>
        <v>Program the BIST to generate a dual tone at 10MHz and 60MHz with the BBBIST</v>
      </c>
      <c r="K26" s="60" t="s">
        <v>162</v>
      </c>
      <c r="L26" s="726">
        <v>160000000</v>
      </c>
      <c r="M26" s="60" t="s">
        <v>163</v>
      </c>
      <c r="N26" s="60"/>
    </row>
    <row r="27" spans="2:14" x14ac:dyDescent="0.25">
      <c r="D27" t="s">
        <v>158</v>
      </c>
      <c r="K27" s="60" t="s">
        <v>172</v>
      </c>
      <c r="L27" s="726">
        <v>60000000</v>
      </c>
      <c r="M27" s="726">
        <f>L26/M28</f>
        <v>10000000</v>
      </c>
      <c r="N27" s="60" t="s">
        <v>165</v>
      </c>
    </row>
    <row r="28" spans="2:14" x14ac:dyDescent="0.25">
      <c r="C28" t="s">
        <v>1180</v>
      </c>
      <c r="K28" s="60" t="s">
        <v>160</v>
      </c>
      <c r="L28" s="60">
        <f>L26/L27</f>
        <v>2.6666666666666665</v>
      </c>
      <c r="M28" s="60">
        <v>16</v>
      </c>
      <c r="N28" s="60" t="s">
        <v>179</v>
      </c>
    </row>
    <row r="29" spans="2:14" x14ac:dyDescent="0.25">
      <c r="C29" t="s">
        <v>159</v>
      </c>
      <c r="K29" s="60" t="s">
        <v>161</v>
      </c>
      <c r="L29" s="60">
        <v>60</v>
      </c>
      <c r="M29" s="727">
        <f>M27*L31</f>
        <v>10</v>
      </c>
      <c r="N29" s="60" t="s">
        <v>180</v>
      </c>
    </row>
    <row r="30" spans="2:14" x14ac:dyDescent="0.25">
      <c r="D30" t="str">
        <f>"Make a waveform data aquisition on "&amp;L32&amp;" samples at "&amp;L26*0.000001&amp;"MSPS"</f>
        <v>Make a waveform data aquisition on 160 samples at 160MSPS</v>
      </c>
      <c r="K30" s="60" t="s">
        <v>1181</v>
      </c>
      <c r="L30" s="1603">
        <f>L26/L32</f>
        <v>1000000</v>
      </c>
      <c r="M30" s="1603"/>
      <c r="N30" s="60" t="s">
        <v>165</v>
      </c>
    </row>
    <row r="31" spans="2:14" x14ac:dyDescent="0.25">
      <c r="D31" t="s">
        <v>687</v>
      </c>
      <c r="K31" s="60" t="s">
        <v>803</v>
      </c>
      <c r="L31" s="1603">
        <f>L29*L28/L26</f>
        <v>9.9999999999999995E-7</v>
      </c>
      <c r="M31" s="1603"/>
      <c r="N31" s="60" t="s">
        <v>164</v>
      </c>
    </row>
    <row r="32" spans="2:14" x14ac:dyDescent="0.25">
      <c r="D32" t="str">
        <f>"Make an fft to get the bins "&amp;L29&amp;" and "&amp;M29</f>
        <v>Make an fft to get the bins 60 and 10</v>
      </c>
      <c r="K32" s="60" t="s">
        <v>166</v>
      </c>
      <c r="L32" s="1604">
        <f>L31*L26</f>
        <v>160</v>
      </c>
      <c r="M32" s="1604"/>
      <c r="N32" s="60" t="s">
        <v>181</v>
      </c>
    </row>
    <row r="33" spans="2:14" x14ac:dyDescent="0.25">
      <c r="C33" t="e">
        <f>"Choose the closest trim code to get the bin"&amp;L29&amp;" "&amp;-E8&amp;"dB lower than the bin"&amp;M29</f>
        <v>#VALUE!</v>
      </c>
      <c r="K33" s="60"/>
      <c r="L33" s="60"/>
      <c r="M33" s="60"/>
      <c r="N33" s="60"/>
    </row>
    <row r="35" spans="2:14" x14ac:dyDescent="0.25">
      <c r="B35" s="17" t="s">
        <v>1174</v>
      </c>
    </row>
    <row r="36" spans="2:14" x14ac:dyDescent="0.25">
      <c r="C36" t="s">
        <v>167</v>
      </c>
    </row>
    <row r="37" spans="2:14" x14ac:dyDescent="0.25">
      <c r="C37" t="str">
        <f>"Program the BIST to generate a dual tone at "&amp;M27*0.000001&amp;"MHz and "&amp;L27*0.000001&amp;"MHz with the BBBIST"</f>
        <v>Program the BIST to generate a dual tone at 10MHz and 60MHz with the BBBIST</v>
      </c>
    </row>
    <row r="38" spans="2:14" x14ac:dyDescent="0.25">
      <c r="D38" t="s">
        <v>158</v>
      </c>
    </row>
    <row r="39" spans="2:14" x14ac:dyDescent="0.25">
      <c r="C39" t="s">
        <v>168</v>
      </c>
    </row>
    <row r="40" spans="2:14" x14ac:dyDescent="0.25">
      <c r="C40" t="s">
        <v>169</v>
      </c>
    </row>
    <row r="41" spans="2:14" x14ac:dyDescent="0.25">
      <c r="D41" t="str">
        <f>"Make a waveform data aquisition on "&amp;L32&amp;" samples at "&amp;L26*0.000001&amp;"MSPS"</f>
        <v>Make a waveform data aquisition on 160 samples at 160MSPS</v>
      </c>
    </row>
    <row r="42" spans="2:14" x14ac:dyDescent="0.25">
      <c r="D42" t="str">
        <f>"Make an fft to get the bins "&amp;L29&amp;" and "&amp;M29</f>
        <v>Make an fft to get the bins 60 and 10</v>
      </c>
    </row>
    <row r="43" spans="2:14" x14ac:dyDescent="0.25">
      <c r="D43" t="s">
        <v>251</v>
      </c>
    </row>
    <row r="45" spans="2:14" x14ac:dyDescent="0.25">
      <c r="B45" s="17" t="s">
        <v>56</v>
      </c>
    </row>
    <row r="46" spans="2:14" x14ac:dyDescent="0.25">
      <c r="C46" s="1" t="s">
        <v>170</v>
      </c>
      <c r="D46" s="18"/>
    </row>
    <row r="47" spans="2:14" x14ac:dyDescent="0.25">
      <c r="C47" s="1" t="s">
        <v>171</v>
      </c>
    </row>
  </sheetData>
  <mergeCells count="5">
    <mergeCell ref="E6:G6"/>
    <mergeCell ref="L31:M31"/>
    <mergeCell ref="L32:M32"/>
    <mergeCell ref="C23:G23"/>
    <mergeCell ref="L30:M30"/>
  </mergeCells>
  <hyperlinks>
    <hyperlink ref="B1" location="'RFE SOC FuseMap'!A1" display="RFE/SOC FuseMap" xr:uid="{1A8216A1-1E91-4AA1-8B89-0E0B7B905F74}"/>
  </hyperlinks>
  <pageMargins left="0.7" right="0.7" top="0.75" bottom="0.75" header="0.3" footer="0.3"/>
  <pageSetup paperSize="9" orientation="portrait" verticalDpi="0"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640A6-B011-42CF-AB85-014706FF7B11}">
  <dimension ref="B1:K28"/>
  <sheetViews>
    <sheetView workbookViewId="0">
      <selection activeCell="G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s>
  <sheetData>
    <row r="1" spans="2:11" x14ac:dyDescent="0.25">
      <c r="B1" s="16" t="s">
        <v>1055</v>
      </c>
    </row>
    <row r="2" spans="2:11" ht="15.75" thickBot="1" x14ac:dyDescent="0.3">
      <c r="E2" s="949"/>
      <c r="F2" s="949"/>
      <c r="G2" s="949"/>
    </row>
    <row r="3" spans="2:11" x14ac:dyDescent="0.25">
      <c r="B3" s="19" t="s">
        <v>0</v>
      </c>
      <c r="C3" s="20" t="s">
        <v>72</v>
      </c>
      <c r="D3" s="53"/>
      <c r="E3" s="949"/>
      <c r="F3" s="949"/>
      <c r="G3" s="949"/>
    </row>
    <row r="4" spans="2:11" ht="15.75" thickBot="1" x14ac:dyDescent="0.3">
      <c r="B4" s="22" t="s">
        <v>1</v>
      </c>
      <c r="C4" s="23" t="s">
        <v>72</v>
      </c>
      <c r="D4" s="53"/>
      <c r="E4" s="949"/>
      <c r="F4" s="949"/>
      <c r="G4" s="949"/>
    </row>
    <row r="5" spans="2:11" ht="15.75" thickBot="1" x14ac:dyDescent="0.3"/>
    <row r="6" spans="2:11" ht="45.75" thickBot="1" x14ac:dyDescent="0.3">
      <c r="D6" s="52" t="s">
        <v>666</v>
      </c>
      <c r="E6" s="1365" t="s">
        <v>46</v>
      </c>
      <c r="F6" s="1366"/>
      <c r="G6" s="1367"/>
      <c r="H6" s="52" t="s">
        <v>61</v>
      </c>
      <c r="I6" s="77" t="s">
        <v>94</v>
      </c>
      <c r="J6" s="78" t="s">
        <v>96</v>
      </c>
      <c r="K6" s="59" t="s">
        <v>95</v>
      </c>
    </row>
    <row r="7" spans="2:11" x14ac:dyDescent="0.25">
      <c r="B7" s="42" t="s">
        <v>59</v>
      </c>
      <c r="C7" s="45" t="s">
        <v>49</v>
      </c>
      <c r="D7" s="45" t="s">
        <v>49</v>
      </c>
      <c r="E7" s="48">
        <v>125</v>
      </c>
      <c r="F7" s="27">
        <v>25</v>
      </c>
      <c r="G7" s="37">
        <v>-40</v>
      </c>
      <c r="H7" s="33" t="s">
        <v>48</v>
      </c>
      <c r="I7" s="36" t="s">
        <v>49</v>
      </c>
      <c r="J7" s="84" t="s">
        <v>49</v>
      </c>
      <c r="K7" s="83" t="s">
        <v>49</v>
      </c>
    </row>
    <row r="8" spans="2:11" ht="30" x14ac:dyDescent="0.25">
      <c r="B8" s="218" t="s">
        <v>63</v>
      </c>
      <c r="C8" s="46"/>
      <c r="D8" s="54" t="s">
        <v>71</v>
      </c>
      <c r="E8" s="199">
        <v>0</v>
      </c>
      <c r="F8" s="200">
        <v>0</v>
      </c>
      <c r="G8" s="201">
        <v>0</v>
      </c>
      <c r="H8" s="34" t="s">
        <v>141</v>
      </c>
      <c r="I8" s="39" t="s">
        <v>72</v>
      </c>
      <c r="J8" s="85" t="s">
        <v>72</v>
      </c>
      <c r="K8" s="79" t="s">
        <v>72</v>
      </c>
    </row>
    <row r="9" spans="2:11" ht="15.75" thickBot="1" x14ac:dyDescent="0.3">
      <c r="B9" s="43" t="s">
        <v>60</v>
      </c>
      <c r="C9" s="47" t="s">
        <v>49</v>
      </c>
      <c r="D9" s="47" t="s">
        <v>49</v>
      </c>
      <c r="E9" s="51" t="s">
        <v>372</v>
      </c>
      <c r="F9" s="29"/>
      <c r="G9" s="41"/>
      <c r="H9" s="35" t="s">
        <v>49</v>
      </c>
      <c r="I9" s="40" t="s">
        <v>49</v>
      </c>
      <c r="J9" s="86" t="s">
        <v>49</v>
      </c>
      <c r="K9" s="81" t="s">
        <v>49</v>
      </c>
    </row>
    <row r="10" spans="2:11" x14ac:dyDescent="0.25">
      <c r="B10" t="s">
        <v>58</v>
      </c>
    </row>
    <row r="11" spans="2:11" x14ac:dyDescent="0.25">
      <c r="B11" t="s">
        <v>50</v>
      </c>
    </row>
    <row r="13" spans="2:11" x14ac:dyDescent="0.25">
      <c r="B13" s="17" t="s">
        <v>822</v>
      </c>
      <c r="C13" t="s">
        <v>72</v>
      </c>
    </row>
    <row r="15" spans="2:11" x14ac:dyDescent="0.25">
      <c r="B15" s="17" t="s">
        <v>51</v>
      </c>
    </row>
    <row r="16" spans="2:11" x14ac:dyDescent="0.25">
      <c r="C16" s="1" t="s">
        <v>72</v>
      </c>
      <c r="D16" s="18"/>
    </row>
    <row r="18" spans="2:4" x14ac:dyDescent="0.25">
      <c r="B18" s="17" t="s">
        <v>53</v>
      </c>
    </row>
    <row r="19" spans="2:4" x14ac:dyDescent="0.25">
      <c r="C19" s="1" t="s">
        <v>72</v>
      </c>
      <c r="D19" s="18"/>
    </row>
    <row r="21" spans="2:4" x14ac:dyDescent="0.25">
      <c r="B21" s="17" t="s">
        <v>55</v>
      </c>
    </row>
    <row r="22" spans="2:4" x14ac:dyDescent="0.25">
      <c r="C22" t="s">
        <v>568</v>
      </c>
    </row>
    <row r="24" spans="2:4" x14ac:dyDescent="0.25">
      <c r="B24" s="17" t="s">
        <v>1174</v>
      </c>
    </row>
    <row r="25" spans="2:4" x14ac:dyDescent="0.25">
      <c r="C25" t="s">
        <v>73</v>
      </c>
    </row>
    <row r="27" spans="2:4" x14ac:dyDescent="0.25">
      <c r="B27" s="17" t="s">
        <v>56</v>
      </c>
    </row>
    <row r="28" spans="2:4" x14ac:dyDescent="0.25">
      <c r="C28" s="66" t="s">
        <v>72</v>
      </c>
      <c r="D28" s="18"/>
    </row>
  </sheetData>
  <mergeCells count="1">
    <mergeCell ref="E6:G6"/>
  </mergeCells>
  <hyperlinks>
    <hyperlink ref="B1" location="'RFE SOC FuseMap'!A1" display="RFE/SOC FuseMap" xr:uid="{CA3C9BDB-9A00-4366-8C2B-F9809E743A2E}"/>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7ED87-E6F9-4CFA-A1FA-2E87C3E37968}">
  <sheetPr>
    <tabColor theme="6" tint="0.39997558519241921"/>
  </sheetPr>
  <dimension ref="B1:K31"/>
  <sheetViews>
    <sheetView workbookViewId="0">
      <selection activeCell="B1" sqref="B1"/>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s>
  <sheetData>
    <row r="1" spans="2:11" x14ac:dyDescent="0.25">
      <c r="B1" s="16" t="s">
        <v>1055</v>
      </c>
    </row>
    <row r="2" spans="2:11" ht="15.75" thickBot="1" x14ac:dyDescent="0.3">
      <c r="E2" s="949"/>
      <c r="F2" s="949"/>
      <c r="G2" s="949"/>
    </row>
    <row r="3" spans="2:11" x14ac:dyDescent="0.25">
      <c r="B3" s="19" t="s">
        <v>0</v>
      </c>
      <c r="C3" s="20"/>
      <c r="D3" s="53"/>
      <c r="E3" s="949"/>
      <c r="F3" s="949"/>
      <c r="G3" s="949"/>
    </row>
    <row r="4" spans="2:11" ht="15.75" thickBot="1" x14ac:dyDescent="0.3">
      <c r="B4" s="22" t="s">
        <v>1</v>
      </c>
      <c r="C4" s="23"/>
      <c r="D4" s="53"/>
      <c r="E4" s="949"/>
      <c r="F4" s="949"/>
      <c r="G4" s="949"/>
    </row>
    <row r="5" spans="2:11" ht="15.75" thickBot="1" x14ac:dyDescent="0.3"/>
    <row r="6" spans="2:11" ht="45.75" thickBot="1" x14ac:dyDescent="0.3">
      <c r="D6" s="52" t="s">
        <v>666</v>
      </c>
      <c r="E6" s="1365" t="s">
        <v>46</v>
      </c>
      <c r="F6" s="1366"/>
      <c r="G6" s="1367"/>
      <c r="H6" s="52" t="s">
        <v>61</v>
      </c>
      <c r="I6" s="77" t="s">
        <v>94</v>
      </c>
      <c r="J6" s="78" t="s">
        <v>96</v>
      </c>
      <c r="K6" s="59" t="s">
        <v>95</v>
      </c>
    </row>
    <row r="7" spans="2:11" x14ac:dyDescent="0.25">
      <c r="B7" s="42" t="s">
        <v>59</v>
      </c>
      <c r="C7" s="45" t="s">
        <v>49</v>
      </c>
      <c r="D7" s="45" t="s">
        <v>49</v>
      </c>
      <c r="E7" s="48">
        <v>125</v>
      </c>
      <c r="F7" s="27">
        <v>25</v>
      </c>
      <c r="G7" s="37">
        <v>-40</v>
      </c>
      <c r="H7" s="33" t="s">
        <v>48</v>
      </c>
      <c r="I7" s="36" t="s">
        <v>49</v>
      </c>
      <c r="J7" s="84" t="s">
        <v>49</v>
      </c>
      <c r="K7" s="83" t="s">
        <v>49</v>
      </c>
    </row>
    <row r="8" spans="2:11" ht="30" x14ac:dyDescent="0.25">
      <c r="B8" s="475" t="s">
        <v>63</v>
      </c>
      <c r="C8" s="46"/>
      <c r="D8" s="54" t="s">
        <v>64</v>
      </c>
      <c r="E8" s="49"/>
      <c r="F8" s="30"/>
      <c r="G8" s="38"/>
      <c r="H8" s="34" t="s">
        <v>62</v>
      </c>
      <c r="I8" s="39"/>
      <c r="J8" s="85"/>
      <c r="K8" s="79"/>
    </row>
    <row r="9" spans="2:11" ht="15.75" thickBot="1" x14ac:dyDescent="0.3">
      <c r="B9" s="43" t="s">
        <v>60</v>
      </c>
      <c r="C9" s="47" t="s">
        <v>49</v>
      </c>
      <c r="D9" s="47" t="s">
        <v>49</v>
      </c>
      <c r="E9" s="51" t="s">
        <v>372</v>
      </c>
      <c r="F9" s="29"/>
      <c r="G9" s="41"/>
      <c r="H9" s="35" t="s">
        <v>49</v>
      </c>
      <c r="I9" s="40" t="s">
        <v>49</v>
      </c>
      <c r="J9" s="86" t="s">
        <v>49</v>
      </c>
      <c r="K9" s="81" t="s">
        <v>49</v>
      </c>
    </row>
    <row r="10" spans="2:11" x14ac:dyDescent="0.25">
      <c r="B10" t="s">
        <v>58</v>
      </c>
    </row>
    <row r="11" spans="2:11" x14ac:dyDescent="0.25">
      <c r="B11" t="s">
        <v>50</v>
      </c>
    </row>
    <row r="13" spans="2:11" x14ac:dyDescent="0.25">
      <c r="B13" s="17" t="s">
        <v>822</v>
      </c>
    </row>
    <row r="14" spans="2:11" x14ac:dyDescent="0.25">
      <c r="B14" s="17"/>
    </row>
    <row r="15" spans="2:11" x14ac:dyDescent="0.25">
      <c r="B15" s="17" t="s">
        <v>51</v>
      </c>
    </row>
    <row r="16" spans="2:11" x14ac:dyDescent="0.25">
      <c r="C16" s="18" t="s">
        <v>52</v>
      </c>
      <c r="D16" s="18"/>
    </row>
    <row r="18" spans="2:7" x14ac:dyDescent="0.25">
      <c r="B18" s="17" t="s">
        <v>53</v>
      </c>
    </row>
    <row r="19" spans="2:7" x14ac:dyDescent="0.25">
      <c r="C19" s="18" t="s">
        <v>54</v>
      </c>
      <c r="D19" s="18"/>
    </row>
    <row r="21" spans="2:7" x14ac:dyDescent="0.25">
      <c r="B21" s="17" t="s">
        <v>633</v>
      </c>
      <c r="C21" s="1"/>
    </row>
    <row r="22" spans="2:7" ht="30" customHeight="1" x14ac:dyDescent="0.25">
      <c r="C22" s="1536" t="s">
        <v>631</v>
      </c>
      <c r="D22" s="1536"/>
      <c r="E22" s="1536"/>
      <c r="F22" s="1536"/>
      <c r="G22" s="1536"/>
    </row>
    <row r="24" spans="2:7" x14ac:dyDescent="0.25">
      <c r="B24" s="17" t="s">
        <v>55</v>
      </c>
    </row>
    <row r="27" spans="2:7" x14ac:dyDescent="0.25">
      <c r="B27" s="17" t="s">
        <v>1174</v>
      </c>
    </row>
    <row r="30" spans="2:7" x14ac:dyDescent="0.25">
      <c r="B30" s="17" t="s">
        <v>56</v>
      </c>
    </row>
    <row r="31" spans="2:7" x14ac:dyDescent="0.25">
      <c r="C31" s="18" t="s">
        <v>57</v>
      </c>
      <c r="D31" s="18"/>
    </row>
  </sheetData>
  <mergeCells count="2">
    <mergeCell ref="E6:G6"/>
    <mergeCell ref="C22:G22"/>
  </mergeCells>
  <hyperlinks>
    <hyperlink ref="B1" location="'RFE SOC FuseMap'!A1" display="RFE/SOC FuseMap" xr:uid="{86710B35-A721-4DF3-8ED3-E0433D2B1D36}"/>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21A49-8ECA-418F-8DA8-C5A6AA5DD18F}">
  <sheetPr>
    <tabColor theme="5" tint="0.39997558519241921"/>
  </sheetPr>
  <dimension ref="A1:Q89"/>
  <sheetViews>
    <sheetView workbookViewId="0">
      <pane xSplit="2" ySplit="9" topLeftCell="C10" activePane="bottomRight" state="frozen"/>
      <selection pane="topRight" activeCell="C1" sqref="C1"/>
      <selection pane="bottomLeft" activeCell="A14" sqref="A14"/>
      <selection pane="bottomRight" activeCell="E17" sqref="E17"/>
    </sheetView>
  </sheetViews>
  <sheetFormatPr defaultRowHeight="15" x14ac:dyDescent="0.25"/>
  <cols>
    <col min="1" max="1" width="10.140625" customWidth="1"/>
    <col min="2" max="2" width="7.28515625" customWidth="1"/>
    <col min="3" max="3" width="30.140625" bestFit="1" customWidth="1"/>
    <col min="4" max="4" width="1.42578125" customWidth="1"/>
    <col min="5" max="7" width="30.5703125" customWidth="1"/>
    <col min="8" max="8" width="15.85546875" customWidth="1"/>
    <col min="10" max="10" width="9.140625" style="510"/>
    <col min="11" max="11" width="13.7109375" style="510" customWidth="1"/>
    <col min="12" max="12" width="9.140625" style="510"/>
    <col min="13" max="13" width="16" style="510" customWidth="1"/>
    <col min="14" max="17" width="9.140625" style="510"/>
  </cols>
  <sheetData>
    <row r="1" spans="1:17" ht="36" customHeight="1" x14ac:dyDescent="0.25">
      <c r="A1" s="1133" t="s">
        <v>704</v>
      </c>
      <c r="B1" s="1133"/>
      <c r="C1" s="1133"/>
      <c r="D1" s="1133"/>
      <c r="E1" s="1133"/>
      <c r="F1" s="1133"/>
      <c r="G1" s="1133"/>
      <c r="H1" s="1133"/>
      <c r="I1" s="1133"/>
    </row>
    <row r="2" spans="1:17" x14ac:dyDescent="0.25">
      <c r="A2" s="510"/>
      <c r="B2" s="510"/>
      <c r="C2" s="510"/>
      <c r="D2" s="510"/>
      <c r="E2" s="510"/>
      <c r="F2" s="510"/>
      <c r="G2" s="510"/>
      <c r="H2" s="510"/>
      <c r="I2" s="510"/>
      <c r="K2" s="1045" t="s">
        <v>1988</v>
      </c>
    </row>
    <row r="3" spans="1:17" x14ac:dyDescent="0.25">
      <c r="A3" s="510"/>
      <c r="B3" s="510"/>
      <c r="C3" s="1135" t="s">
        <v>1063</v>
      </c>
      <c r="D3" s="1135"/>
      <c r="E3" s="1135"/>
      <c r="F3" s="1135"/>
      <c r="G3" s="1135"/>
      <c r="H3" s="510"/>
      <c r="I3" s="510"/>
      <c r="K3" s="495" t="s">
        <v>368</v>
      </c>
    </row>
    <row r="4" spans="1:17" x14ac:dyDescent="0.25">
      <c r="A4" s="510"/>
      <c r="B4" s="510"/>
      <c r="C4" s="1346" t="s">
        <v>1166</v>
      </c>
      <c r="D4" s="1346"/>
      <c r="E4" s="1346"/>
      <c r="F4" s="1346"/>
      <c r="G4" s="1346"/>
      <c r="H4" s="510"/>
      <c r="I4" s="510"/>
      <c r="K4" s="494" t="s">
        <v>369</v>
      </c>
    </row>
    <row r="5" spans="1:17" ht="45.75" customHeight="1" x14ac:dyDescent="0.25">
      <c r="A5" s="510"/>
      <c r="B5" s="510"/>
      <c r="C5" s="1132" t="s">
        <v>1065</v>
      </c>
      <c r="D5" s="1132"/>
      <c r="E5" s="1132"/>
      <c r="F5" s="1132"/>
      <c r="G5" s="1132"/>
      <c r="H5" s="510"/>
      <c r="I5" s="510"/>
    </row>
    <row r="6" spans="1:17" x14ac:dyDescent="0.25">
      <c r="A6" s="510"/>
      <c r="B6" s="510"/>
      <c r="C6" s="510" t="s">
        <v>1987</v>
      </c>
      <c r="D6" s="510"/>
      <c r="E6" s="510"/>
      <c r="F6" s="510"/>
      <c r="G6" s="510"/>
      <c r="H6" s="510"/>
      <c r="I6" s="510"/>
    </row>
    <row r="7" spans="1:17" ht="15.75" thickBot="1" x14ac:dyDescent="0.3">
      <c r="A7" s="510"/>
      <c r="B7" s="510"/>
      <c r="C7" s="510"/>
      <c r="D7" s="510"/>
      <c r="E7" s="510"/>
      <c r="F7" s="510"/>
      <c r="G7" s="510"/>
      <c r="H7" s="510"/>
      <c r="I7" s="510"/>
    </row>
    <row r="8" spans="1:17" x14ac:dyDescent="0.25">
      <c r="A8" s="510"/>
      <c r="B8" s="1339" t="s">
        <v>1045</v>
      </c>
      <c r="C8" s="1340"/>
      <c r="D8" s="511"/>
      <c r="E8" s="1341" t="s">
        <v>51</v>
      </c>
      <c r="F8" s="1342"/>
      <c r="G8" s="1343"/>
      <c r="H8" s="510"/>
      <c r="I8" s="510"/>
    </row>
    <row r="9" spans="1:17" ht="15.75" thickBot="1" x14ac:dyDescent="0.3">
      <c r="A9" s="510"/>
      <c r="B9" s="506" t="s">
        <v>1046</v>
      </c>
      <c r="C9" s="499" t="s">
        <v>1047</v>
      </c>
      <c r="D9" s="512"/>
      <c r="E9" s="1344"/>
      <c r="F9" s="1203"/>
      <c r="G9" s="1345"/>
      <c r="H9" s="510"/>
      <c r="I9" s="510"/>
    </row>
    <row r="10" spans="1:17" x14ac:dyDescent="0.25">
      <c r="A10" s="510"/>
      <c r="B10" s="691">
        <v>1</v>
      </c>
      <c r="C10" s="491" t="s">
        <v>932</v>
      </c>
      <c r="D10" s="507"/>
      <c r="E10" s="563"/>
      <c r="F10" s="559"/>
      <c r="G10" s="564"/>
      <c r="H10" s="510"/>
      <c r="I10" s="510"/>
    </row>
    <row r="11" spans="1:17" x14ac:dyDescent="0.25">
      <c r="A11" s="510"/>
      <c r="B11" s="686">
        <v>2</v>
      </c>
      <c r="C11" s="497" t="s">
        <v>336</v>
      </c>
      <c r="D11" s="507"/>
      <c r="E11" s="507"/>
      <c r="F11" s="508"/>
      <c r="G11" s="509"/>
      <c r="H11" s="510"/>
      <c r="I11" s="510"/>
    </row>
    <row r="12" spans="1:17" x14ac:dyDescent="0.25">
      <c r="A12" s="510"/>
      <c r="B12" s="686">
        <v>3</v>
      </c>
      <c r="C12" s="497" t="s">
        <v>875</v>
      </c>
      <c r="D12" s="507"/>
      <c r="E12" s="507"/>
      <c r="F12" s="508"/>
      <c r="G12" s="509"/>
      <c r="H12" s="510"/>
      <c r="I12" s="510"/>
    </row>
    <row r="13" spans="1:17" x14ac:dyDescent="0.25">
      <c r="A13" s="510"/>
      <c r="B13" s="686">
        <v>4</v>
      </c>
      <c r="C13" s="497" t="s">
        <v>990</v>
      </c>
      <c r="D13" s="507"/>
      <c r="E13" s="507"/>
      <c r="F13" s="508"/>
      <c r="G13" s="509"/>
      <c r="H13" s="510"/>
      <c r="I13" s="510"/>
    </row>
    <row r="14" spans="1:17" x14ac:dyDescent="0.25">
      <c r="A14" s="510"/>
      <c r="B14" s="1030">
        <v>5</v>
      </c>
      <c r="C14" s="497" t="s">
        <v>351</v>
      </c>
      <c r="D14" s="507"/>
      <c r="E14" s="507"/>
      <c r="F14" s="508"/>
      <c r="G14" s="509"/>
      <c r="H14" s="510"/>
      <c r="I14" s="510"/>
    </row>
    <row r="15" spans="1:17" s="949" customFormat="1" x14ac:dyDescent="0.25">
      <c r="A15" s="510"/>
      <c r="B15" s="1030">
        <v>6</v>
      </c>
      <c r="C15" s="497" t="s">
        <v>997</v>
      </c>
      <c r="D15" s="507"/>
      <c r="E15" s="507"/>
      <c r="F15" s="508"/>
      <c r="G15" s="509"/>
      <c r="H15" s="510"/>
      <c r="I15" s="510"/>
      <c r="J15" s="510"/>
      <c r="K15" s="510"/>
      <c r="L15" s="510"/>
      <c r="M15" s="510"/>
      <c r="N15" s="510"/>
      <c r="O15" s="510"/>
      <c r="P15" s="510"/>
      <c r="Q15" s="510"/>
    </row>
    <row r="16" spans="1:17" x14ac:dyDescent="0.25">
      <c r="A16" s="510"/>
      <c r="B16" s="1030">
        <v>7</v>
      </c>
      <c r="C16" s="497" t="s">
        <v>996</v>
      </c>
      <c r="D16" s="507"/>
      <c r="E16" s="507"/>
      <c r="F16" s="508"/>
      <c r="G16" s="509"/>
      <c r="H16" s="510"/>
      <c r="I16" s="510"/>
    </row>
    <row r="17" spans="1:17" x14ac:dyDescent="0.25">
      <c r="A17" s="510"/>
      <c r="B17" s="1030">
        <v>8</v>
      </c>
      <c r="C17" s="497" t="s">
        <v>994</v>
      </c>
      <c r="D17" s="507"/>
      <c r="E17" s="500" t="s">
        <v>996</v>
      </c>
      <c r="F17" s="508"/>
      <c r="G17" s="509"/>
      <c r="H17" s="510"/>
      <c r="I17" s="510"/>
    </row>
    <row r="18" spans="1:17" x14ac:dyDescent="0.25">
      <c r="A18" s="510"/>
      <c r="B18" s="1030">
        <v>9</v>
      </c>
      <c r="C18" s="497" t="s">
        <v>934</v>
      </c>
      <c r="D18" s="507"/>
      <c r="E18" s="500" t="s">
        <v>997</v>
      </c>
      <c r="F18" s="508"/>
      <c r="G18" s="509"/>
      <c r="H18" s="510"/>
      <c r="I18" s="510"/>
    </row>
    <row r="19" spans="1:17" x14ac:dyDescent="0.25">
      <c r="A19" s="510"/>
      <c r="B19" s="1030">
        <v>10</v>
      </c>
      <c r="C19" s="497" t="s">
        <v>933</v>
      </c>
      <c r="D19" s="507"/>
      <c r="E19" s="500" t="s">
        <v>934</v>
      </c>
      <c r="F19" s="508"/>
      <c r="G19" s="509"/>
      <c r="H19" s="510"/>
      <c r="I19" s="510"/>
    </row>
    <row r="20" spans="1:17" x14ac:dyDescent="0.25">
      <c r="A20" s="510"/>
      <c r="B20" s="1030">
        <v>11</v>
      </c>
      <c r="C20" s="497" t="s">
        <v>935</v>
      </c>
      <c r="D20" s="507"/>
      <c r="E20" s="500" t="s">
        <v>933</v>
      </c>
      <c r="F20" s="494" t="s">
        <v>997</v>
      </c>
      <c r="G20" s="509"/>
      <c r="H20" s="510"/>
      <c r="I20" s="510"/>
    </row>
    <row r="21" spans="1:17" x14ac:dyDescent="0.25">
      <c r="A21" s="510"/>
      <c r="B21" s="513" t="s">
        <v>49</v>
      </c>
      <c r="C21" s="496" t="s">
        <v>1343</v>
      </c>
      <c r="D21" s="507"/>
      <c r="E21" s="507"/>
      <c r="F21" s="508"/>
      <c r="G21" s="509"/>
      <c r="H21" s="510"/>
      <c r="I21" s="510"/>
    </row>
    <row r="22" spans="1:17" s="949" customFormat="1" x14ac:dyDescent="0.25">
      <c r="A22" s="510"/>
      <c r="B22" s="513">
        <v>12</v>
      </c>
      <c r="C22" s="734" t="s">
        <v>1984</v>
      </c>
      <c r="D22" s="507"/>
      <c r="E22" s="500" t="s">
        <v>997</v>
      </c>
      <c r="F22" s="508"/>
      <c r="G22" s="509"/>
      <c r="H22" s="510"/>
      <c r="I22" s="510"/>
      <c r="J22" s="510"/>
      <c r="K22" s="510"/>
      <c r="L22" s="510"/>
      <c r="M22" s="510"/>
      <c r="N22" s="510"/>
      <c r="O22" s="510"/>
      <c r="P22" s="510"/>
      <c r="Q22" s="510"/>
    </row>
    <row r="23" spans="1:17" x14ac:dyDescent="0.25">
      <c r="A23" s="510"/>
      <c r="B23" s="513">
        <v>13</v>
      </c>
      <c r="C23" s="734" t="s">
        <v>995</v>
      </c>
      <c r="D23" s="507"/>
      <c r="E23" s="500" t="s">
        <v>996</v>
      </c>
      <c r="G23" s="509"/>
      <c r="H23" s="510"/>
      <c r="I23" s="510"/>
    </row>
    <row r="24" spans="1:17" x14ac:dyDescent="0.25">
      <c r="A24" s="510"/>
      <c r="B24" s="513">
        <v>14</v>
      </c>
      <c r="C24" s="497" t="s">
        <v>825</v>
      </c>
      <c r="D24" s="507"/>
      <c r="E24" s="500" t="s">
        <v>1984</v>
      </c>
      <c r="F24" s="494" t="s">
        <v>935</v>
      </c>
      <c r="G24" s="509"/>
      <c r="H24" s="510"/>
      <c r="I24" s="510"/>
    </row>
    <row r="25" spans="1:17" x14ac:dyDescent="0.25">
      <c r="A25" s="510"/>
      <c r="B25" s="513">
        <v>15</v>
      </c>
      <c r="C25" s="492" t="s">
        <v>912</v>
      </c>
      <c r="D25" s="507"/>
      <c r="E25" s="507"/>
      <c r="F25" s="508"/>
      <c r="G25" s="509"/>
      <c r="H25" s="510"/>
      <c r="I25" s="510"/>
    </row>
    <row r="26" spans="1:17" x14ac:dyDescent="0.25">
      <c r="A26" s="510"/>
      <c r="B26" s="513">
        <v>16</v>
      </c>
      <c r="C26" s="492" t="s">
        <v>928</v>
      </c>
      <c r="D26" s="507"/>
      <c r="E26" s="501" t="s">
        <v>912</v>
      </c>
      <c r="F26" s="508"/>
      <c r="G26" s="509"/>
      <c r="H26" s="510"/>
      <c r="I26" s="510"/>
    </row>
    <row r="27" spans="1:17" x14ac:dyDescent="0.25">
      <c r="A27" s="510"/>
      <c r="B27" s="513">
        <v>17</v>
      </c>
      <c r="C27" s="492" t="s">
        <v>914</v>
      </c>
      <c r="D27" s="507"/>
      <c r="E27" s="501" t="s">
        <v>928</v>
      </c>
      <c r="F27" s="508"/>
      <c r="G27" s="509"/>
      <c r="H27" s="510"/>
      <c r="I27" s="510"/>
    </row>
    <row r="28" spans="1:17" x14ac:dyDescent="0.25">
      <c r="A28" s="510"/>
      <c r="B28" s="513" t="s">
        <v>49</v>
      </c>
      <c r="C28" s="496" t="s">
        <v>1054</v>
      </c>
      <c r="D28" s="507"/>
      <c r="E28" s="507"/>
      <c r="F28" s="508"/>
      <c r="G28" s="509"/>
      <c r="H28" s="510"/>
      <c r="I28" s="510"/>
    </row>
    <row r="29" spans="1:17" x14ac:dyDescent="0.25">
      <c r="A29" s="510"/>
      <c r="B29" s="686">
        <v>18</v>
      </c>
      <c r="C29" s="492" t="s">
        <v>913</v>
      </c>
      <c r="D29" s="507"/>
      <c r="E29" s="501" t="s">
        <v>914</v>
      </c>
      <c r="F29" s="508"/>
      <c r="G29" s="509"/>
      <c r="H29" s="510"/>
      <c r="I29" s="510"/>
    </row>
    <row r="30" spans="1:17" x14ac:dyDescent="0.25">
      <c r="A30" s="510"/>
      <c r="B30" s="686">
        <v>19</v>
      </c>
      <c r="C30" s="492" t="s">
        <v>920</v>
      </c>
      <c r="D30" s="507"/>
      <c r="E30" s="501" t="s">
        <v>914</v>
      </c>
      <c r="F30" s="508"/>
      <c r="G30" s="509"/>
      <c r="H30" s="510"/>
      <c r="I30" s="510"/>
    </row>
    <row r="31" spans="1:17" x14ac:dyDescent="0.25">
      <c r="A31" s="510"/>
      <c r="B31" s="1030">
        <v>20</v>
      </c>
      <c r="C31" s="492" t="s">
        <v>921</v>
      </c>
      <c r="D31" s="507"/>
      <c r="E31" s="501" t="s">
        <v>920</v>
      </c>
      <c r="F31" s="495" t="s">
        <v>914</v>
      </c>
      <c r="G31" s="495" t="s">
        <v>913</v>
      </c>
      <c r="H31" s="510"/>
      <c r="I31" s="510"/>
    </row>
    <row r="32" spans="1:17" x14ac:dyDescent="0.25">
      <c r="A32" s="510"/>
      <c r="B32" s="1030">
        <v>21</v>
      </c>
      <c r="C32" s="492" t="s">
        <v>915</v>
      </c>
      <c r="D32" s="507"/>
      <c r="E32" s="501" t="s">
        <v>921</v>
      </c>
      <c r="F32" s="495" t="s">
        <v>913</v>
      </c>
      <c r="G32" s="509"/>
      <c r="H32" s="510"/>
      <c r="I32" s="510"/>
    </row>
    <row r="33" spans="1:9" x14ac:dyDescent="0.25">
      <c r="A33" s="510"/>
      <c r="B33" s="1047">
        <v>22</v>
      </c>
      <c r="C33" s="492" t="s">
        <v>911</v>
      </c>
      <c r="D33" s="507"/>
      <c r="E33" s="501" t="s">
        <v>914</v>
      </c>
      <c r="F33" s="508"/>
      <c r="G33" s="509"/>
      <c r="H33" s="510"/>
      <c r="I33" s="510"/>
    </row>
    <row r="34" spans="1:9" x14ac:dyDescent="0.25">
      <c r="A34" s="510"/>
      <c r="B34" s="1047">
        <v>23</v>
      </c>
      <c r="C34" s="492" t="s">
        <v>906</v>
      </c>
      <c r="D34" s="507"/>
      <c r="E34" s="501" t="s">
        <v>914</v>
      </c>
      <c r="F34" s="508"/>
      <c r="G34" s="509"/>
      <c r="H34" s="510"/>
      <c r="I34" s="510"/>
    </row>
    <row r="35" spans="1:9" x14ac:dyDescent="0.25">
      <c r="A35" s="510"/>
      <c r="B35" s="1047">
        <v>24</v>
      </c>
      <c r="C35" s="492" t="s">
        <v>907</v>
      </c>
      <c r="D35" s="507"/>
      <c r="E35" s="501" t="s">
        <v>906</v>
      </c>
      <c r="F35" s="495" t="s">
        <v>911</v>
      </c>
      <c r="G35" s="509"/>
      <c r="H35" s="510"/>
      <c r="I35" s="510"/>
    </row>
    <row r="36" spans="1:9" x14ac:dyDescent="0.25">
      <c r="A36" s="510"/>
      <c r="B36" s="1047">
        <v>25</v>
      </c>
      <c r="C36" s="492" t="s">
        <v>909</v>
      </c>
      <c r="D36" s="507"/>
      <c r="E36" s="501" t="s">
        <v>914</v>
      </c>
      <c r="F36" s="508"/>
      <c r="G36" s="509"/>
      <c r="H36" s="510"/>
      <c r="I36" s="510"/>
    </row>
    <row r="37" spans="1:9" x14ac:dyDescent="0.25">
      <c r="A37" s="510"/>
      <c r="B37" s="1047">
        <v>26</v>
      </c>
      <c r="C37" s="492" t="s">
        <v>910</v>
      </c>
      <c r="D37" s="507"/>
      <c r="E37" s="501" t="s">
        <v>911</v>
      </c>
      <c r="G37" s="509"/>
      <c r="H37" s="510"/>
      <c r="I37" s="510"/>
    </row>
    <row r="38" spans="1:9" x14ac:dyDescent="0.25">
      <c r="A38" s="510"/>
      <c r="B38" s="1047">
        <v>27</v>
      </c>
      <c r="C38" s="492" t="s">
        <v>908</v>
      </c>
      <c r="D38" s="507"/>
      <c r="E38" s="501" t="s">
        <v>911</v>
      </c>
      <c r="F38" s="508"/>
      <c r="G38" s="509"/>
      <c r="H38" s="510"/>
      <c r="I38" s="510"/>
    </row>
    <row r="39" spans="1:9" x14ac:dyDescent="0.25">
      <c r="A39" s="510"/>
      <c r="B39" s="1104">
        <v>28</v>
      </c>
      <c r="C39" s="492" t="s">
        <v>1308</v>
      </c>
      <c r="D39" s="507"/>
      <c r="E39" s="501" t="s">
        <v>914</v>
      </c>
      <c r="F39" s="495" t="s">
        <v>915</v>
      </c>
      <c r="G39" s="509"/>
      <c r="H39" s="510"/>
      <c r="I39" s="510"/>
    </row>
    <row r="40" spans="1:9" x14ac:dyDescent="0.25">
      <c r="A40" s="510"/>
      <c r="B40" s="1104">
        <v>29</v>
      </c>
      <c r="C40" s="492" t="s">
        <v>1302</v>
      </c>
      <c r="D40" s="507"/>
      <c r="E40" s="501" t="s">
        <v>1308</v>
      </c>
      <c r="F40" s="508"/>
      <c r="G40" s="509"/>
      <c r="H40" s="510"/>
      <c r="I40" s="510"/>
    </row>
    <row r="41" spans="1:9" x14ac:dyDescent="0.25">
      <c r="A41" s="510"/>
      <c r="B41" s="1104">
        <v>30</v>
      </c>
      <c r="C41" s="492" t="s">
        <v>916</v>
      </c>
      <c r="D41" s="507"/>
      <c r="E41" s="501" t="s">
        <v>921</v>
      </c>
      <c r="F41" s="495" t="s">
        <v>913</v>
      </c>
      <c r="G41" s="509"/>
      <c r="H41" s="510"/>
      <c r="I41" s="510"/>
    </row>
    <row r="42" spans="1:9" x14ac:dyDescent="0.25">
      <c r="A42" s="510"/>
      <c r="B42" s="1104">
        <v>31</v>
      </c>
      <c r="C42" s="492" t="s">
        <v>917</v>
      </c>
      <c r="D42" s="507"/>
      <c r="E42" s="501" t="s">
        <v>921</v>
      </c>
      <c r="F42" s="495" t="s">
        <v>913</v>
      </c>
      <c r="G42" s="509"/>
      <c r="H42" s="510"/>
      <c r="I42" s="510"/>
    </row>
    <row r="43" spans="1:9" x14ac:dyDescent="0.25">
      <c r="A43" s="510"/>
      <c r="B43" s="1104">
        <v>32</v>
      </c>
      <c r="C43" s="492" t="s">
        <v>918</v>
      </c>
      <c r="D43" s="507"/>
      <c r="E43" s="501" t="s">
        <v>921</v>
      </c>
      <c r="F43" s="495" t="s">
        <v>913</v>
      </c>
      <c r="G43" s="509"/>
      <c r="H43" s="510"/>
      <c r="I43" s="510"/>
    </row>
    <row r="44" spans="1:9" x14ac:dyDescent="0.25">
      <c r="A44" s="510"/>
      <c r="B44" s="1104">
        <v>33</v>
      </c>
      <c r="C44" s="492" t="s">
        <v>1255</v>
      </c>
      <c r="D44" s="507"/>
      <c r="E44" s="501" t="s">
        <v>921</v>
      </c>
      <c r="F44" s="495" t="s">
        <v>913</v>
      </c>
      <c r="G44" s="509"/>
      <c r="H44" s="510"/>
      <c r="I44" s="510"/>
    </row>
    <row r="45" spans="1:9" x14ac:dyDescent="0.25">
      <c r="A45" s="510"/>
      <c r="B45" s="1104">
        <v>34</v>
      </c>
      <c r="C45" s="492" t="s">
        <v>1254</v>
      </c>
      <c r="D45" s="507"/>
      <c r="E45" s="501" t="s">
        <v>921</v>
      </c>
      <c r="F45" s="495" t="s">
        <v>913</v>
      </c>
      <c r="G45" s="509"/>
      <c r="H45" s="510"/>
      <c r="I45" s="510"/>
    </row>
    <row r="46" spans="1:9" x14ac:dyDescent="0.25">
      <c r="A46" s="510"/>
      <c r="B46" s="1104">
        <v>35</v>
      </c>
      <c r="C46" s="492" t="s">
        <v>919</v>
      </c>
      <c r="D46" s="507"/>
      <c r="E46" s="501" t="s">
        <v>921</v>
      </c>
      <c r="F46" s="495" t="s">
        <v>914</v>
      </c>
      <c r="G46" s="509"/>
      <c r="H46" s="510"/>
      <c r="I46" s="510"/>
    </row>
    <row r="47" spans="1:9" x14ac:dyDescent="0.25">
      <c r="A47" s="510"/>
      <c r="B47" s="1104">
        <v>36</v>
      </c>
      <c r="C47" s="492" t="s">
        <v>870</v>
      </c>
      <c r="D47" s="507"/>
      <c r="E47" s="501" t="s">
        <v>915</v>
      </c>
      <c r="F47" s="495" t="s">
        <v>914</v>
      </c>
      <c r="G47" s="509"/>
      <c r="H47" s="510"/>
      <c r="I47" s="510"/>
    </row>
    <row r="48" spans="1:9" x14ac:dyDescent="0.25">
      <c r="A48" s="510"/>
      <c r="B48" s="1104">
        <v>37</v>
      </c>
      <c r="C48" s="492" t="s">
        <v>931</v>
      </c>
      <c r="D48" s="507"/>
      <c r="E48" s="501" t="s">
        <v>1993</v>
      </c>
      <c r="F48" s="508"/>
      <c r="G48" s="509"/>
      <c r="H48" s="510"/>
      <c r="I48" s="510"/>
    </row>
    <row r="49" spans="1:9" x14ac:dyDescent="0.25">
      <c r="A49" s="510"/>
      <c r="B49" s="1104">
        <v>38</v>
      </c>
      <c r="C49" s="492" t="s">
        <v>930</v>
      </c>
      <c r="D49" s="507"/>
      <c r="E49" s="501" t="s">
        <v>916</v>
      </c>
      <c r="F49" s="495" t="s">
        <v>919</v>
      </c>
      <c r="G49" s="565" t="s">
        <v>906</v>
      </c>
      <c r="H49" s="510"/>
      <c r="I49" s="510"/>
    </row>
    <row r="50" spans="1:9" x14ac:dyDescent="0.25">
      <c r="A50" s="510"/>
      <c r="B50" s="1104">
        <v>39</v>
      </c>
      <c r="C50" s="492" t="s">
        <v>999</v>
      </c>
      <c r="D50" s="507"/>
      <c r="E50" s="501" t="s">
        <v>914</v>
      </c>
      <c r="F50" s="508"/>
      <c r="G50" s="509"/>
      <c r="H50" s="510"/>
      <c r="I50" s="510"/>
    </row>
    <row r="51" spans="1:9" x14ac:dyDescent="0.25">
      <c r="A51" s="510"/>
      <c r="B51" s="1104">
        <v>40</v>
      </c>
      <c r="C51" s="492" t="s">
        <v>1000</v>
      </c>
      <c r="D51" s="507"/>
      <c r="E51" s="501" t="s">
        <v>999</v>
      </c>
      <c r="F51" s="495" t="s">
        <v>913</v>
      </c>
      <c r="G51" s="509"/>
      <c r="H51" s="510"/>
      <c r="I51" s="510"/>
    </row>
    <row r="52" spans="1:9" x14ac:dyDescent="0.25">
      <c r="A52" s="510"/>
      <c r="B52" s="1104">
        <v>41</v>
      </c>
      <c r="C52" s="492" t="s">
        <v>1355</v>
      </c>
      <c r="D52" s="507"/>
      <c r="E52" s="501" t="s">
        <v>1000</v>
      </c>
      <c r="F52" s="495" t="s">
        <v>914</v>
      </c>
      <c r="G52" s="509"/>
      <c r="H52" s="510"/>
      <c r="I52" s="510"/>
    </row>
    <row r="53" spans="1:9" x14ac:dyDescent="0.25">
      <c r="A53" s="510"/>
      <c r="B53" s="1104">
        <v>42</v>
      </c>
      <c r="C53" s="492" t="s">
        <v>1001</v>
      </c>
      <c r="D53" s="507"/>
      <c r="E53" s="501" t="s">
        <v>1000</v>
      </c>
      <c r="F53" s="495" t="s">
        <v>914</v>
      </c>
      <c r="G53" s="509"/>
      <c r="H53" s="510"/>
      <c r="I53" s="510"/>
    </row>
    <row r="54" spans="1:9" x14ac:dyDescent="0.25">
      <c r="A54" s="510"/>
      <c r="B54" s="1104">
        <v>43</v>
      </c>
      <c r="C54" s="492" t="s">
        <v>1002</v>
      </c>
      <c r="D54" s="507"/>
      <c r="E54" s="501" t="s">
        <v>999</v>
      </c>
      <c r="F54" s="893" t="s">
        <v>1000</v>
      </c>
      <c r="G54" s="565" t="s">
        <v>914</v>
      </c>
      <c r="H54" s="510"/>
      <c r="I54" s="510"/>
    </row>
    <row r="55" spans="1:9" x14ac:dyDescent="0.25">
      <c r="A55" s="510"/>
      <c r="B55" s="1104">
        <v>44</v>
      </c>
      <c r="C55" s="492" t="s">
        <v>1003</v>
      </c>
      <c r="D55" s="507"/>
      <c r="E55" s="501" t="s">
        <v>999</v>
      </c>
      <c r="F55" s="495" t="s">
        <v>914</v>
      </c>
      <c r="G55" s="509"/>
      <c r="H55" s="510"/>
      <c r="I55" s="510"/>
    </row>
    <row r="56" spans="1:9" x14ac:dyDescent="0.25">
      <c r="A56" s="510"/>
      <c r="B56" s="1104">
        <v>45</v>
      </c>
      <c r="C56" s="492" t="s">
        <v>1578</v>
      </c>
      <c r="D56" s="507"/>
      <c r="E56" s="501" t="s">
        <v>999</v>
      </c>
      <c r="F56" s="495" t="s">
        <v>913</v>
      </c>
      <c r="G56" s="509"/>
      <c r="H56" s="510"/>
      <c r="I56" s="510"/>
    </row>
    <row r="57" spans="1:9" x14ac:dyDescent="0.25">
      <c r="A57" s="510"/>
      <c r="B57" s="1104">
        <v>46</v>
      </c>
      <c r="C57" s="492" t="s">
        <v>1617</v>
      </c>
      <c r="D57" s="507"/>
      <c r="E57" s="501" t="s">
        <v>999</v>
      </c>
      <c r="F57" s="893" t="s">
        <v>1000</v>
      </c>
      <c r="G57" s="565" t="s">
        <v>914</v>
      </c>
      <c r="H57" s="510"/>
      <c r="I57" s="510"/>
    </row>
    <row r="58" spans="1:9" x14ac:dyDescent="0.25">
      <c r="A58" s="510"/>
      <c r="B58" s="1104">
        <v>47</v>
      </c>
      <c r="C58" s="492" t="s">
        <v>1618</v>
      </c>
      <c r="D58" s="507"/>
      <c r="E58" s="501" t="s">
        <v>999</v>
      </c>
      <c r="F58" s="893" t="s">
        <v>1000</v>
      </c>
      <c r="G58" s="565" t="s">
        <v>914</v>
      </c>
      <c r="H58" s="510"/>
      <c r="I58" s="510"/>
    </row>
    <row r="59" spans="1:9" x14ac:dyDescent="0.25">
      <c r="A59" s="510"/>
      <c r="B59" s="1104">
        <v>48</v>
      </c>
      <c r="C59" s="492" t="s">
        <v>1619</v>
      </c>
      <c r="D59" s="507"/>
      <c r="E59" s="501" t="s">
        <v>1355</v>
      </c>
      <c r="F59" s="508"/>
      <c r="G59" s="509"/>
      <c r="H59" s="510"/>
      <c r="I59" s="510"/>
    </row>
    <row r="60" spans="1:9" x14ac:dyDescent="0.25">
      <c r="A60" s="510"/>
      <c r="B60" s="1104">
        <v>49</v>
      </c>
      <c r="C60" s="492" t="s">
        <v>1616</v>
      </c>
      <c r="D60" s="507"/>
      <c r="E60" s="501" t="s">
        <v>1002</v>
      </c>
      <c r="F60" s="893" t="s">
        <v>1578</v>
      </c>
      <c r="G60" s="565" t="s">
        <v>914</v>
      </c>
      <c r="H60" s="510"/>
      <c r="I60" s="510"/>
    </row>
    <row r="61" spans="1:9" x14ac:dyDescent="0.25">
      <c r="A61" s="510"/>
      <c r="B61" s="1104">
        <v>50</v>
      </c>
      <c r="C61" s="492" t="s">
        <v>1462</v>
      </c>
      <c r="D61" s="507"/>
      <c r="E61" s="507"/>
      <c r="F61" s="508"/>
      <c r="G61" s="509"/>
      <c r="H61" s="510"/>
      <c r="I61" s="510"/>
    </row>
    <row r="62" spans="1:9" x14ac:dyDescent="0.25">
      <c r="A62" s="510"/>
      <c r="B62" s="1104">
        <v>51</v>
      </c>
      <c r="C62" s="492" t="s">
        <v>927</v>
      </c>
      <c r="D62" s="507"/>
      <c r="E62" s="501" t="s">
        <v>921</v>
      </c>
      <c r="F62" s="495" t="s">
        <v>914</v>
      </c>
      <c r="G62" s="509"/>
      <c r="H62" s="510"/>
      <c r="I62" s="510"/>
    </row>
    <row r="63" spans="1:9" x14ac:dyDescent="0.25">
      <c r="A63" s="510"/>
      <c r="B63" s="1104">
        <v>52</v>
      </c>
      <c r="C63" s="492" t="s">
        <v>926</v>
      </c>
      <c r="D63" s="507"/>
      <c r="E63" s="501" t="s">
        <v>927</v>
      </c>
      <c r="F63" s="508"/>
      <c r="G63" s="509"/>
      <c r="H63" s="510"/>
      <c r="I63" s="510"/>
    </row>
    <row r="64" spans="1:9" x14ac:dyDescent="0.25">
      <c r="A64" s="510"/>
      <c r="B64" s="1104">
        <v>53</v>
      </c>
      <c r="C64" s="497" t="s">
        <v>998</v>
      </c>
      <c r="D64" s="507"/>
      <c r="E64" s="500" t="s">
        <v>997</v>
      </c>
      <c r="F64" s="508"/>
      <c r="G64" s="509"/>
      <c r="H64" s="510"/>
      <c r="I64" s="510"/>
    </row>
    <row r="65" spans="1:9" x14ac:dyDescent="0.25">
      <c r="A65" s="510"/>
      <c r="B65" s="1104">
        <v>54</v>
      </c>
      <c r="C65" s="492" t="s">
        <v>922</v>
      </c>
      <c r="D65" s="507"/>
      <c r="E65" s="501" t="s">
        <v>915</v>
      </c>
      <c r="F65" s="508"/>
      <c r="G65" s="509"/>
      <c r="H65" s="510"/>
      <c r="I65" s="510"/>
    </row>
    <row r="66" spans="1:9" x14ac:dyDescent="0.25">
      <c r="A66" s="510"/>
      <c r="B66" s="1104">
        <v>55</v>
      </c>
      <c r="C66" s="492" t="s">
        <v>923</v>
      </c>
      <c r="D66" s="507"/>
      <c r="E66" s="501" t="s">
        <v>915</v>
      </c>
      <c r="F66" s="508"/>
      <c r="G66" s="509"/>
      <c r="H66" s="510"/>
      <c r="I66" s="510"/>
    </row>
    <row r="67" spans="1:9" x14ac:dyDescent="0.25">
      <c r="A67" s="510"/>
      <c r="B67" s="1104">
        <v>56</v>
      </c>
      <c r="C67" s="492" t="s">
        <v>924</v>
      </c>
      <c r="D67" s="507"/>
      <c r="E67" s="501" t="s">
        <v>915</v>
      </c>
      <c r="F67" s="508"/>
      <c r="G67" s="509"/>
      <c r="H67" s="510"/>
      <c r="I67" s="510"/>
    </row>
    <row r="68" spans="1:9" x14ac:dyDescent="0.25">
      <c r="A68" s="510"/>
      <c r="B68" s="1104">
        <v>57</v>
      </c>
      <c r="C68" s="492" t="s">
        <v>925</v>
      </c>
      <c r="D68" s="507"/>
      <c r="E68" s="501" t="s">
        <v>915</v>
      </c>
      <c r="F68" s="508"/>
      <c r="G68" s="509"/>
      <c r="H68" s="510"/>
      <c r="I68" s="510"/>
    </row>
    <row r="69" spans="1:9" x14ac:dyDescent="0.25">
      <c r="A69" s="510"/>
      <c r="B69" s="1104">
        <v>58</v>
      </c>
      <c r="C69" s="492" t="s">
        <v>1383</v>
      </c>
      <c r="D69" s="507"/>
      <c r="E69" s="507"/>
      <c r="F69" s="508"/>
      <c r="G69" s="509"/>
      <c r="H69" s="510"/>
      <c r="I69" s="510"/>
    </row>
    <row r="70" spans="1:9" x14ac:dyDescent="0.25">
      <c r="A70" s="510"/>
      <c r="B70" s="1104">
        <v>59</v>
      </c>
      <c r="C70" s="492" t="s">
        <v>1384</v>
      </c>
      <c r="D70" s="507"/>
      <c r="E70" s="507"/>
      <c r="F70" s="508"/>
      <c r="G70" s="509"/>
      <c r="H70" s="510"/>
      <c r="I70" s="510"/>
    </row>
    <row r="71" spans="1:9" x14ac:dyDescent="0.25">
      <c r="A71" s="510"/>
      <c r="B71" s="1104">
        <v>60</v>
      </c>
      <c r="C71" s="492" t="s">
        <v>1499</v>
      </c>
      <c r="D71" s="507"/>
      <c r="E71" s="501" t="s">
        <v>921</v>
      </c>
      <c r="F71" s="495" t="s">
        <v>1997</v>
      </c>
      <c r="G71" s="509"/>
      <c r="H71" s="510"/>
      <c r="I71" s="510"/>
    </row>
    <row r="72" spans="1:9" x14ac:dyDescent="0.25">
      <c r="A72" s="510"/>
      <c r="B72" s="1104">
        <v>61</v>
      </c>
      <c r="C72" s="728" t="s">
        <v>1230</v>
      </c>
      <c r="D72" s="507"/>
      <c r="E72" s="501" t="s">
        <v>918</v>
      </c>
      <c r="F72" s="495" t="s">
        <v>914</v>
      </c>
      <c r="G72" s="509"/>
      <c r="H72" s="510"/>
      <c r="I72" s="510"/>
    </row>
    <row r="73" spans="1:9" ht="15.75" thickBot="1" x14ac:dyDescent="0.3">
      <c r="A73" s="510"/>
      <c r="B73" s="506">
        <v>62</v>
      </c>
      <c r="C73" s="498" t="s">
        <v>929</v>
      </c>
      <c r="D73" s="562"/>
      <c r="E73" s="502" t="s">
        <v>915</v>
      </c>
      <c r="F73" s="503" t="s">
        <v>918</v>
      </c>
      <c r="G73" s="504" t="s">
        <v>919</v>
      </c>
      <c r="H73" s="510"/>
      <c r="I73" s="510"/>
    </row>
    <row r="74" spans="1:9" s="510" customFormat="1" x14ac:dyDescent="0.25"/>
    <row r="75" spans="1:9" s="510" customFormat="1" x14ac:dyDescent="0.25"/>
    <row r="76" spans="1:9" s="510" customFormat="1" x14ac:dyDescent="0.25"/>
    <row r="77" spans="1:9" s="510" customFormat="1" x14ac:dyDescent="0.25"/>
    <row r="78" spans="1:9" s="510" customFormat="1" x14ac:dyDescent="0.25"/>
    <row r="79" spans="1:9" s="510" customFormat="1" x14ac:dyDescent="0.25"/>
    <row r="80" spans="1:9" s="510" customFormat="1" x14ac:dyDescent="0.25"/>
    <row r="81" s="510" customFormat="1" x14ac:dyDescent="0.25"/>
    <row r="82" s="510" customFormat="1" x14ac:dyDescent="0.25"/>
    <row r="83" s="510" customFormat="1" x14ac:dyDescent="0.25"/>
    <row r="84" s="510" customFormat="1" x14ac:dyDescent="0.25"/>
    <row r="85" s="510" customFormat="1" x14ac:dyDescent="0.25"/>
    <row r="86" s="510" customFormat="1" x14ac:dyDescent="0.25"/>
    <row r="87" s="510" customFormat="1" x14ac:dyDescent="0.25"/>
    <row r="88" s="510" customFormat="1" x14ac:dyDescent="0.25"/>
    <row r="89" s="510" customFormat="1" x14ac:dyDescent="0.25"/>
  </sheetData>
  <mergeCells count="6">
    <mergeCell ref="B8:C8"/>
    <mergeCell ref="E8:G9"/>
    <mergeCell ref="A1:I1"/>
    <mergeCell ref="C3:G3"/>
    <mergeCell ref="C4:G4"/>
    <mergeCell ref="C5:G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3D593-BFDC-4A21-A4E8-746E62D67FD5}">
  <sheetPr>
    <tabColor theme="5" tint="0.39997558519241921"/>
  </sheetPr>
  <dimension ref="A1:R61"/>
  <sheetViews>
    <sheetView workbookViewId="0">
      <selection activeCell="G7" sqref="G7"/>
    </sheetView>
  </sheetViews>
  <sheetFormatPr defaultRowHeight="15" x14ac:dyDescent="0.25"/>
  <cols>
    <col min="1" max="1" width="10.140625" customWidth="1"/>
    <col min="2" max="2" width="7.28515625" customWidth="1"/>
    <col min="3" max="3" width="27.5703125" customWidth="1"/>
    <col min="4" max="4" width="101" customWidth="1"/>
    <col min="5" max="5" width="12.85546875" customWidth="1"/>
    <col min="6" max="6" width="17" customWidth="1"/>
    <col min="7" max="7" width="14" style="510" bestFit="1" customWidth="1"/>
    <col min="8" max="8" width="15.85546875" style="510" customWidth="1"/>
    <col min="9" max="12" width="9.140625" style="510"/>
    <col min="13" max="13" width="16" style="510" customWidth="1"/>
    <col min="14" max="18" width="9.140625" style="510"/>
  </cols>
  <sheetData>
    <row r="1" spans="1:8" ht="36" x14ac:dyDescent="0.25">
      <c r="A1" s="1133" t="s">
        <v>1048</v>
      </c>
      <c r="B1" s="1133"/>
      <c r="C1" s="1133"/>
      <c r="D1" s="1133"/>
      <c r="E1" s="1133"/>
      <c r="F1" s="1133"/>
    </row>
    <row r="2" spans="1:8" s="510" customFormat="1" x14ac:dyDescent="0.25">
      <c r="H2" s="1045" t="s">
        <v>1988</v>
      </c>
    </row>
    <row r="3" spans="1:8" s="510" customFormat="1" x14ac:dyDescent="0.25">
      <c r="B3" s="1135" t="s">
        <v>1049</v>
      </c>
      <c r="C3" s="1135"/>
      <c r="D3" s="1135"/>
      <c r="E3" s="1135"/>
      <c r="F3" s="1135"/>
      <c r="H3" s="495" t="s">
        <v>368</v>
      </c>
    </row>
    <row r="4" spans="1:8" s="510" customFormat="1" x14ac:dyDescent="0.25">
      <c r="B4" s="1135" t="s">
        <v>1056</v>
      </c>
      <c r="C4" s="1135"/>
      <c r="D4" s="1135"/>
      <c r="E4" s="1135"/>
      <c r="F4" s="1135"/>
      <c r="H4" s="494" t="s">
        <v>369</v>
      </c>
    </row>
    <row r="5" spans="1:8" s="510" customFormat="1" x14ac:dyDescent="0.25">
      <c r="B5" s="558"/>
      <c r="C5" s="558"/>
      <c r="D5" s="558"/>
      <c r="E5" s="558"/>
      <c r="F5" s="558"/>
    </row>
    <row r="6" spans="1:8" s="510" customFormat="1" x14ac:dyDescent="0.25">
      <c r="B6" s="1" t="s">
        <v>1106</v>
      </c>
      <c r="C6" s="558"/>
      <c r="D6" s="558"/>
      <c r="E6" s="558"/>
      <c r="F6" s="558"/>
    </row>
    <row r="7" spans="1:8" s="510" customFormat="1" ht="15.75" thickBot="1" x14ac:dyDescent="0.3"/>
    <row r="8" spans="1:8" ht="15.75" thickBot="1" x14ac:dyDescent="0.3">
      <c r="A8" s="510"/>
      <c r="B8" s="1347" t="s">
        <v>1067</v>
      </c>
      <c r="C8" s="1348"/>
      <c r="D8" s="573" t="s">
        <v>1068</v>
      </c>
      <c r="E8" s="510"/>
      <c r="F8" s="510"/>
    </row>
    <row r="9" spans="1:8" x14ac:dyDescent="0.25">
      <c r="A9" s="510"/>
      <c r="B9" s="1333" t="s">
        <v>368</v>
      </c>
      <c r="C9" s="572" t="s">
        <v>8</v>
      </c>
      <c r="D9" s="128" t="s">
        <v>1075</v>
      </c>
      <c r="E9" s="510"/>
      <c r="F9" s="510"/>
    </row>
    <row r="10" spans="1:8" ht="30" x14ac:dyDescent="0.25">
      <c r="A10" s="510"/>
      <c r="B10" s="1315"/>
      <c r="C10" s="566" t="s">
        <v>18</v>
      </c>
      <c r="D10" s="571" t="s">
        <v>1073</v>
      </c>
      <c r="E10" s="510"/>
      <c r="F10" s="510"/>
    </row>
    <row r="11" spans="1:8" ht="15" customHeight="1" x14ac:dyDescent="0.25">
      <c r="A11" s="510"/>
      <c r="B11" s="1315"/>
      <c r="C11" s="567" t="s">
        <v>69</v>
      </c>
      <c r="D11" s="79" t="s">
        <v>1069</v>
      </c>
      <c r="E11" s="510"/>
      <c r="F11" s="510"/>
    </row>
    <row r="12" spans="1:8" x14ac:dyDescent="0.25">
      <c r="A12" s="510"/>
      <c r="B12" s="1315"/>
      <c r="C12" s="566" t="s">
        <v>24</v>
      </c>
      <c r="D12" s="79" t="s">
        <v>1074</v>
      </c>
      <c r="E12" s="510"/>
      <c r="F12" s="510"/>
    </row>
    <row r="13" spans="1:8" ht="30" x14ac:dyDescent="0.25">
      <c r="A13" s="510"/>
      <c r="B13" s="1315"/>
      <c r="C13" s="566" t="s">
        <v>28</v>
      </c>
      <c r="D13" s="571" t="s">
        <v>1072</v>
      </c>
      <c r="E13" s="510"/>
      <c r="F13" s="510"/>
    </row>
    <row r="14" spans="1:8" x14ac:dyDescent="0.25">
      <c r="A14" s="510"/>
      <c r="B14" s="1315"/>
      <c r="C14" s="566" t="s">
        <v>29</v>
      </c>
      <c r="D14" s="79" t="s">
        <v>1163</v>
      </c>
      <c r="E14" s="510"/>
      <c r="F14" s="510"/>
    </row>
    <row r="15" spans="1:8" ht="30" x14ac:dyDescent="0.25">
      <c r="A15" s="510"/>
      <c r="B15" s="1315"/>
      <c r="C15" s="568" t="s">
        <v>265</v>
      </c>
      <c r="D15" s="571" t="s">
        <v>1164</v>
      </c>
      <c r="E15" s="510"/>
      <c r="F15" s="510"/>
    </row>
    <row r="16" spans="1:8" x14ac:dyDescent="0.25">
      <c r="A16" s="510"/>
      <c r="B16" s="1315"/>
      <c r="C16" s="566" t="s">
        <v>33</v>
      </c>
      <c r="D16" s="79" t="s">
        <v>1162</v>
      </c>
      <c r="E16" s="510"/>
      <c r="F16" s="510"/>
    </row>
    <row r="17" spans="1:6" x14ac:dyDescent="0.25">
      <c r="A17" s="510"/>
      <c r="B17" s="1315"/>
      <c r="C17" s="568" t="s">
        <v>34</v>
      </c>
      <c r="D17" s="79" t="s">
        <v>1070</v>
      </c>
      <c r="E17" s="510"/>
      <c r="F17" s="510"/>
    </row>
    <row r="18" spans="1:6" ht="30" x14ac:dyDescent="0.25">
      <c r="A18" s="510"/>
      <c r="B18" s="1315"/>
      <c r="C18" s="568" t="s">
        <v>35</v>
      </c>
      <c r="D18" s="571" t="s">
        <v>1076</v>
      </c>
      <c r="E18" s="510"/>
      <c r="F18" s="510"/>
    </row>
    <row r="19" spans="1:6" x14ac:dyDescent="0.25">
      <c r="A19" s="510"/>
      <c r="B19" s="1315"/>
      <c r="C19" s="566" t="s">
        <v>36</v>
      </c>
      <c r="D19" s="79" t="s">
        <v>1077</v>
      </c>
      <c r="E19" s="510"/>
      <c r="F19" s="510"/>
    </row>
    <row r="20" spans="1:6" ht="30" x14ac:dyDescent="0.25">
      <c r="A20" s="510"/>
      <c r="B20" s="1315"/>
      <c r="C20" s="566" t="s">
        <v>37</v>
      </c>
      <c r="D20" s="571" t="s">
        <v>1078</v>
      </c>
      <c r="E20" s="510"/>
      <c r="F20" s="510"/>
    </row>
    <row r="21" spans="1:6" ht="19.5" customHeight="1" thickBot="1" x14ac:dyDescent="0.3">
      <c r="A21" s="510"/>
      <c r="B21" s="1332"/>
      <c r="C21" s="972" t="s">
        <v>870</v>
      </c>
      <c r="D21" s="93" t="s">
        <v>1099</v>
      </c>
      <c r="E21" s="510"/>
      <c r="F21" s="510"/>
    </row>
    <row r="22" spans="1:6" x14ac:dyDescent="0.25">
      <c r="A22" s="510"/>
      <c r="B22" s="1349" t="s">
        <v>369</v>
      </c>
      <c r="C22" s="574" t="s">
        <v>333</v>
      </c>
      <c r="D22" s="132" t="s">
        <v>1071</v>
      </c>
      <c r="E22" s="510"/>
      <c r="F22" s="510"/>
    </row>
    <row r="23" spans="1:6" x14ac:dyDescent="0.25">
      <c r="A23" s="510"/>
      <c r="B23" s="1200"/>
      <c r="C23" s="569" t="s">
        <v>336</v>
      </c>
      <c r="D23" s="79" t="s">
        <v>1079</v>
      </c>
      <c r="E23" s="510"/>
      <c r="F23" s="510"/>
    </row>
    <row r="24" spans="1:6" x14ac:dyDescent="0.25">
      <c r="A24" s="510"/>
      <c r="B24" s="1200"/>
      <c r="C24" s="569" t="s">
        <v>337</v>
      </c>
      <c r="D24" s="369" t="s">
        <v>1080</v>
      </c>
      <c r="E24" s="510"/>
      <c r="F24" s="510"/>
    </row>
    <row r="25" spans="1:6" x14ac:dyDescent="0.25">
      <c r="A25" s="510"/>
      <c r="B25" s="1200"/>
      <c r="C25" s="569" t="s">
        <v>340</v>
      </c>
      <c r="D25" s="369" t="s">
        <v>1081</v>
      </c>
      <c r="E25" s="510"/>
      <c r="F25" s="510"/>
    </row>
    <row r="26" spans="1:6" x14ac:dyDescent="0.25">
      <c r="A26" s="510"/>
      <c r="B26" s="1200"/>
      <c r="C26" s="569" t="s">
        <v>341</v>
      </c>
      <c r="D26" s="369" t="s">
        <v>1082</v>
      </c>
      <c r="E26" s="510"/>
      <c r="F26" s="510"/>
    </row>
    <row r="27" spans="1:6" x14ac:dyDescent="0.25">
      <c r="A27" s="510"/>
      <c r="B27" s="1200"/>
      <c r="C27" s="569" t="s">
        <v>352</v>
      </c>
      <c r="D27" s="79" t="s">
        <v>88</v>
      </c>
      <c r="E27" s="510"/>
      <c r="F27" s="510"/>
    </row>
    <row r="28" spans="1:6" x14ac:dyDescent="0.25">
      <c r="A28" s="510"/>
      <c r="B28" s="1200"/>
      <c r="C28" s="569" t="s">
        <v>18</v>
      </c>
      <c r="D28" s="79" t="s">
        <v>88</v>
      </c>
      <c r="E28" s="510"/>
      <c r="F28" s="510"/>
    </row>
    <row r="29" spans="1:6" ht="15.75" thickBot="1" x14ac:dyDescent="0.3">
      <c r="A29" s="510"/>
      <c r="B29" s="1350"/>
      <c r="C29" s="570" t="s">
        <v>875</v>
      </c>
      <c r="D29" s="133" t="s">
        <v>88</v>
      </c>
      <c r="E29" s="510"/>
      <c r="F29" s="510"/>
    </row>
    <row r="30" spans="1:6" s="510" customFormat="1" x14ac:dyDescent="0.25"/>
    <row r="31" spans="1:6" s="510" customFormat="1" x14ac:dyDescent="0.25"/>
    <row r="32" spans="1:6" s="510" customFormat="1" x14ac:dyDescent="0.25"/>
    <row r="33" s="510" customFormat="1" x14ac:dyDescent="0.25"/>
    <row r="34" s="510" customFormat="1" x14ac:dyDescent="0.25"/>
    <row r="35" s="510" customFormat="1" x14ac:dyDescent="0.25"/>
    <row r="36" s="510" customFormat="1" x14ac:dyDescent="0.25"/>
    <row r="37" s="510" customFormat="1" x14ac:dyDescent="0.25"/>
    <row r="38" s="510" customFormat="1" x14ac:dyDescent="0.25"/>
    <row r="39" s="510" customFormat="1" x14ac:dyDescent="0.25"/>
    <row r="40" s="510" customFormat="1" x14ac:dyDescent="0.25"/>
    <row r="41" s="510" customFormat="1" x14ac:dyDescent="0.25"/>
    <row r="42" s="510" customFormat="1" x14ac:dyDescent="0.25"/>
    <row r="43" s="510" customFormat="1" x14ac:dyDescent="0.25"/>
    <row r="44" s="510" customFormat="1" x14ac:dyDescent="0.25"/>
    <row r="45" s="510" customFormat="1" x14ac:dyDescent="0.25"/>
    <row r="46" s="510" customFormat="1" x14ac:dyDescent="0.25"/>
    <row r="47" s="510" customFormat="1" x14ac:dyDescent="0.25"/>
    <row r="48" s="510" customFormat="1" x14ac:dyDescent="0.25"/>
    <row r="49" s="510" customFormat="1" x14ac:dyDescent="0.25"/>
    <row r="50" s="510" customFormat="1" x14ac:dyDescent="0.25"/>
    <row r="51" s="510" customFormat="1" x14ac:dyDescent="0.25"/>
    <row r="52" s="510" customFormat="1" x14ac:dyDescent="0.25"/>
    <row r="53" s="510" customFormat="1" x14ac:dyDescent="0.25"/>
    <row r="54" s="510" customFormat="1" x14ac:dyDescent="0.25"/>
    <row r="55" s="510" customFormat="1" x14ac:dyDescent="0.25"/>
    <row r="56" s="510" customFormat="1" x14ac:dyDescent="0.25"/>
    <row r="57" s="510" customFormat="1" x14ac:dyDescent="0.25"/>
    <row r="58" s="510" customFormat="1" x14ac:dyDescent="0.25"/>
    <row r="59" s="510" customFormat="1" x14ac:dyDescent="0.25"/>
    <row r="60" s="510" customFormat="1" x14ac:dyDescent="0.25"/>
    <row r="61" s="510" customFormat="1" x14ac:dyDescent="0.25"/>
  </sheetData>
  <mergeCells count="6">
    <mergeCell ref="B8:C8"/>
    <mergeCell ref="B9:B21"/>
    <mergeCell ref="B22:B29"/>
    <mergeCell ref="A1:F1"/>
    <mergeCell ref="B3:F3"/>
    <mergeCell ref="B4:F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DC9A1-B3AF-43E9-92C6-FC4E96DDED3F}">
  <sheetPr>
    <tabColor theme="6" tint="0.59999389629810485"/>
  </sheetPr>
  <dimension ref="A1:AH22"/>
  <sheetViews>
    <sheetView zoomScale="85" zoomScaleNormal="85" workbookViewId="0">
      <selection activeCell="C12" sqref="C12"/>
    </sheetView>
  </sheetViews>
  <sheetFormatPr defaultRowHeight="15" x14ac:dyDescent="0.25"/>
  <cols>
    <col min="1" max="1" width="20.42578125" customWidth="1"/>
    <col min="2" max="2" width="21.5703125" bestFit="1" customWidth="1"/>
    <col min="3" max="34" width="10.5703125" customWidth="1"/>
  </cols>
  <sheetData>
    <row r="1" spans="1:34" x14ac:dyDescent="0.25">
      <c r="B1" s="16" t="s">
        <v>1055</v>
      </c>
    </row>
    <row r="2" spans="1:34" ht="15.75" thickBot="1" x14ac:dyDescent="0.3">
      <c r="B2" s="16"/>
    </row>
    <row r="3" spans="1:34" ht="15.75" thickBot="1" x14ac:dyDescent="0.3">
      <c r="C3" s="191">
        <v>31</v>
      </c>
      <c r="D3" s="553">
        <v>30</v>
      </c>
      <c r="E3" s="192">
        <v>29</v>
      </c>
      <c r="F3" s="553">
        <v>28</v>
      </c>
      <c r="G3" s="192">
        <v>27</v>
      </c>
      <c r="H3" s="553">
        <v>26</v>
      </c>
      <c r="I3" s="192">
        <v>25</v>
      </c>
      <c r="J3" s="553">
        <v>24</v>
      </c>
      <c r="K3" s="192">
        <v>23</v>
      </c>
      <c r="L3" s="553">
        <v>22</v>
      </c>
      <c r="M3" s="192">
        <v>21</v>
      </c>
      <c r="N3" s="553">
        <v>20</v>
      </c>
      <c r="O3" s="192">
        <v>19</v>
      </c>
      <c r="P3" s="553">
        <v>18</v>
      </c>
      <c r="Q3" s="1108">
        <v>17</v>
      </c>
      <c r="R3" s="1109">
        <v>16</v>
      </c>
      <c r="S3" s="192">
        <v>15</v>
      </c>
      <c r="T3" s="553">
        <v>14</v>
      </c>
      <c r="U3" s="192">
        <v>13</v>
      </c>
      <c r="V3" s="553">
        <v>12</v>
      </c>
      <c r="W3" s="192">
        <v>11</v>
      </c>
      <c r="X3" s="553">
        <v>10</v>
      </c>
      <c r="Y3" s="192">
        <v>9</v>
      </c>
      <c r="Z3" s="553">
        <v>8</v>
      </c>
      <c r="AA3" s="192">
        <v>7</v>
      </c>
      <c r="AB3" s="553">
        <v>6</v>
      </c>
      <c r="AC3" s="192">
        <v>5</v>
      </c>
      <c r="AD3" s="553">
        <v>4</v>
      </c>
      <c r="AE3" s="192">
        <v>3</v>
      </c>
      <c r="AF3" s="553">
        <v>2</v>
      </c>
      <c r="AG3" s="192">
        <v>1</v>
      </c>
      <c r="AH3" s="554">
        <v>0</v>
      </c>
    </row>
    <row r="4" spans="1:34" x14ac:dyDescent="0.25">
      <c r="A4" s="433" t="s">
        <v>39</v>
      </c>
      <c r="B4" s="555" t="s">
        <v>45</v>
      </c>
      <c r="C4" s="1363" t="s">
        <v>906</v>
      </c>
      <c r="D4" s="1361"/>
      <c r="E4" s="1361" t="s">
        <v>907</v>
      </c>
      <c r="F4" s="1361"/>
      <c r="G4" s="1361" t="s">
        <v>1462</v>
      </c>
      <c r="H4" s="1361"/>
      <c r="I4" s="1361" t="s">
        <v>908</v>
      </c>
      <c r="J4" s="1361"/>
      <c r="K4" s="1361" t="s">
        <v>909</v>
      </c>
      <c r="L4" s="1361"/>
      <c r="M4" s="1361" t="s">
        <v>910</v>
      </c>
      <c r="N4" s="1361"/>
      <c r="O4" s="1361" t="s">
        <v>911</v>
      </c>
      <c r="P4" s="1361"/>
      <c r="Q4" s="1364"/>
      <c r="R4" s="1364"/>
      <c r="S4" s="1361" t="s">
        <v>912</v>
      </c>
      <c r="T4" s="1361"/>
      <c r="U4" s="1361" t="s">
        <v>913</v>
      </c>
      <c r="V4" s="1361"/>
      <c r="W4" s="1361" t="s">
        <v>914</v>
      </c>
      <c r="X4" s="1361"/>
      <c r="Y4" s="1361" t="s">
        <v>928</v>
      </c>
      <c r="Z4" s="1361"/>
      <c r="AA4" s="1361" t="s">
        <v>915</v>
      </c>
      <c r="AB4" s="1361"/>
      <c r="AC4" s="1361" t="s">
        <v>916</v>
      </c>
      <c r="AD4" s="1361"/>
      <c r="AE4" s="1361" t="s">
        <v>917</v>
      </c>
      <c r="AF4" s="1361"/>
      <c r="AG4" s="1361" t="s">
        <v>918</v>
      </c>
      <c r="AH4" s="1362"/>
    </row>
    <row r="5" spans="1:34" x14ac:dyDescent="0.25">
      <c r="A5" s="433" t="s">
        <v>39</v>
      </c>
      <c r="B5" s="556" t="s">
        <v>44</v>
      </c>
      <c r="C5" s="1351" t="s">
        <v>1255</v>
      </c>
      <c r="D5" s="1352"/>
      <c r="E5" s="1352" t="s">
        <v>1254</v>
      </c>
      <c r="F5" s="1352"/>
      <c r="G5" s="1352" t="s">
        <v>919</v>
      </c>
      <c r="H5" s="1352"/>
      <c r="I5" s="1352" t="s">
        <v>920</v>
      </c>
      <c r="J5" s="1352"/>
      <c r="K5" s="1352" t="s">
        <v>921</v>
      </c>
      <c r="L5" s="1352"/>
      <c r="M5" s="1352" t="s">
        <v>922</v>
      </c>
      <c r="N5" s="1352"/>
      <c r="O5" s="1352" t="s">
        <v>923</v>
      </c>
      <c r="P5" s="1352"/>
      <c r="Q5" s="1352" t="s">
        <v>924</v>
      </c>
      <c r="R5" s="1352"/>
      <c r="S5" s="1352" t="s">
        <v>925</v>
      </c>
      <c r="T5" s="1352"/>
      <c r="U5" s="1352" t="s">
        <v>926</v>
      </c>
      <c r="V5" s="1352"/>
      <c r="W5" s="1352" t="s">
        <v>927</v>
      </c>
      <c r="X5" s="1352"/>
      <c r="Y5" s="1352" t="s">
        <v>1499</v>
      </c>
      <c r="Z5" s="1352"/>
      <c r="AA5" s="1352" t="s">
        <v>929</v>
      </c>
      <c r="AB5" s="1352"/>
      <c r="AC5" s="1352" t="s">
        <v>930</v>
      </c>
      <c r="AD5" s="1352"/>
      <c r="AE5" s="1352" t="s">
        <v>931</v>
      </c>
      <c r="AF5" s="1352"/>
      <c r="AG5" s="1352" t="s">
        <v>932</v>
      </c>
      <c r="AH5" s="1360"/>
    </row>
    <row r="6" spans="1:34" x14ac:dyDescent="0.25">
      <c r="A6" s="433" t="s">
        <v>39</v>
      </c>
      <c r="B6" s="556" t="s">
        <v>43</v>
      </c>
      <c r="C6" s="1351" t="s">
        <v>870</v>
      </c>
      <c r="D6" s="1352"/>
      <c r="E6" s="1352" t="s">
        <v>999</v>
      </c>
      <c r="F6" s="1352"/>
      <c r="G6" s="1352" t="s">
        <v>1000</v>
      </c>
      <c r="H6" s="1352"/>
      <c r="I6" s="1352" t="s">
        <v>1001</v>
      </c>
      <c r="J6" s="1352"/>
      <c r="K6" s="1352" t="s">
        <v>1002</v>
      </c>
      <c r="L6" s="1352"/>
      <c r="M6" s="1352" t="s">
        <v>1003</v>
      </c>
      <c r="N6" s="1352"/>
      <c r="O6" s="1352" t="s">
        <v>1308</v>
      </c>
      <c r="P6" s="1352"/>
      <c r="Q6" s="1352" t="s">
        <v>1302</v>
      </c>
      <c r="R6" s="1352"/>
      <c r="S6" s="1352" t="s">
        <v>1230</v>
      </c>
      <c r="T6" s="1352"/>
      <c r="U6" s="1352" t="s">
        <v>1355</v>
      </c>
      <c r="V6" s="1352"/>
      <c r="W6" s="1352" t="s">
        <v>1384</v>
      </c>
      <c r="X6" s="1352"/>
      <c r="Y6" s="1352" t="s">
        <v>1383</v>
      </c>
      <c r="Z6" s="1352"/>
      <c r="AA6" s="1357"/>
      <c r="AB6" s="1357"/>
      <c r="AC6" s="1352" t="s">
        <v>1578</v>
      </c>
      <c r="AD6" s="1352"/>
      <c r="AE6" s="1352" t="s">
        <v>1616</v>
      </c>
      <c r="AF6" s="1352"/>
      <c r="AG6" s="1352" t="s">
        <v>1617</v>
      </c>
      <c r="AH6" s="1360"/>
    </row>
    <row r="7" spans="1:34" x14ac:dyDescent="0.25">
      <c r="A7" s="433" t="s">
        <v>39</v>
      </c>
      <c r="B7" s="556" t="s">
        <v>42</v>
      </c>
      <c r="C7" s="1351" t="s">
        <v>1618</v>
      </c>
      <c r="D7" s="1352"/>
      <c r="E7" s="1352" t="s">
        <v>1619</v>
      </c>
      <c r="F7" s="1352"/>
      <c r="G7" s="1357"/>
      <c r="H7" s="1357"/>
      <c r="I7" s="1357"/>
      <c r="J7" s="1357"/>
      <c r="K7" s="1357"/>
      <c r="L7" s="1357"/>
      <c r="M7" s="1357"/>
      <c r="N7" s="1357"/>
      <c r="O7" s="1357"/>
      <c r="P7" s="1357"/>
      <c r="Q7" s="1357"/>
      <c r="R7" s="1357"/>
      <c r="S7" s="1357"/>
      <c r="T7" s="1357"/>
      <c r="U7" s="1357"/>
      <c r="V7" s="1357"/>
      <c r="W7" s="1357"/>
      <c r="X7" s="1357"/>
      <c r="Y7" s="1357"/>
      <c r="Z7" s="1357"/>
      <c r="AA7" s="1357"/>
      <c r="AB7" s="1357"/>
      <c r="AC7" s="1357"/>
      <c r="AD7" s="1357"/>
      <c r="AE7" s="1357"/>
      <c r="AF7" s="1357"/>
      <c r="AG7" s="1357"/>
      <c r="AH7" s="1358"/>
    </row>
    <row r="8" spans="1:34" x14ac:dyDescent="0.25">
      <c r="A8" s="433" t="s">
        <v>39</v>
      </c>
      <c r="B8" s="556" t="s">
        <v>41</v>
      </c>
      <c r="C8" s="1359"/>
      <c r="D8" s="1357"/>
      <c r="E8" s="1357"/>
      <c r="F8" s="1357"/>
      <c r="G8" s="1357"/>
      <c r="H8" s="1357"/>
      <c r="I8" s="1357"/>
      <c r="J8" s="1357"/>
      <c r="K8" s="1357"/>
      <c r="L8" s="1357"/>
      <c r="M8" s="1357"/>
      <c r="N8" s="1357"/>
      <c r="O8" s="1357"/>
      <c r="P8" s="1357"/>
      <c r="Q8" s="1357"/>
      <c r="R8" s="1357"/>
      <c r="S8" s="1357"/>
      <c r="T8" s="1357"/>
      <c r="U8" s="1357"/>
      <c r="V8" s="1357"/>
      <c r="W8" s="1357"/>
      <c r="X8" s="1357"/>
      <c r="Y8" s="1357"/>
      <c r="Z8" s="1357"/>
      <c r="AA8" s="1357"/>
      <c r="AB8" s="1357"/>
      <c r="AC8" s="1357"/>
      <c r="AD8" s="1357"/>
      <c r="AE8" s="1357"/>
      <c r="AF8" s="1357"/>
      <c r="AG8" s="1357"/>
      <c r="AH8" s="1358"/>
    </row>
    <row r="9" spans="1:34" ht="15.75" thickBot="1" x14ac:dyDescent="0.3">
      <c r="A9" s="433" t="s">
        <v>39</v>
      </c>
      <c r="B9" s="557" t="s">
        <v>40</v>
      </c>
      <c r="C9" s="1355"/>
      <c r="D9" s="1356"/>
      <c r="E9" s="1356"/>
      <c r="F9" s="1356"/>
      <c r="G9" s="1353" t="s">
        <v>1984</v>
      </c>
      <c r="H9" s="1353"/>
      <c r="I9" s="1353" t="s">
        <v>875</v>
      </c>
      <c r="J9" s="1353"/>
      <c r="K9" s="1353" t="s">
        <v>990</v>
      </c>
      <c r="L9" s="1353"/>
      <c r="M9" s="1353" t="s">
        <v>351</v>
      </c>
      <c r="N9" s="1353"/>
      <c r="O9" s="1353" t="s">
        <v>994</v>
      </c>
      <c r="P9" s="1353"/>
      <c r="Q9" s="1353" t="s">
        <v>995</v>
      </c>
      <c r="R9" s="1353"/>
      <c r="S9" s="1353" t="s">
        <v>996</v>
      </c>
      <c r="T9" s="1353"/>
      <c r="U9" s="1353" t="s">
        <v>997</v>
      </c>
      <c r="V9" s="1353"/>
      <c r="W9" s="1353" t="s">
        <v>825</v>
      </c>
      <c r="X9" s="1353"/>
      <c r="Y9" s="1353" t="s">
        <v>998</v>
      </c>
      <c r="Z9" s="1353"/>
      <c r="AA9" s="1353" t="s">
        <v>336</v>
      </c>
      <c r="AB9" s="1353"/>
      <c r="AC9" s="1353" t="s">
        <v>935</v>
      </c>
      <c r="AD9" s="1353"/>
      <c r="AE9" s="1353" t="s">
        <v>934</v>
      </c>
      <c r="AF9" s="1353"/>
      <c r="AG9" s="1353" t="s">
        <v>933</v>
      </c>
      <c r="AH9" s="1354"/>
    </row>
    <row r="11" spans="1:34" x14ac:dyDescent="0.25">
      <c r="C11" s="437" t="s">
        <v>285</v>
      </c>
    </row>
    <row r="12" spans="1:34" x14ac:dyDescent="0.25">
      <c r="C12" s="135" t="s">
        <v>282</v>
      </c>
    </row>
    <row r="13" spans="1:34" x14ac:dyDescent="0.25">
      <c r="C13" s="135" t="s">
        <v>283</v>
      </c>
    </row>
    <row r="14" spans="1:34" x14ac:dyDescent="0.25">
      <c r="C14" s="125" t="s">
        <v>286</v>
      </c>
    </row>
    <row r="15" spans="1:34" x14ac:dyDescent="0.25">
      <c r="C15" s="125" t="s">
        <v>284</v>
      </c>
    </row>
    <row r="17" spans="2:3" x14ac:dyDescent="0.25">
      <c r="C17" t="s">
        <v>1058</v>
      </c>
    </row>
    <row r="20" spans="2:3" x14ac:dyDescent="0.25">
      <c r="B20" s="1046" t="s">
        <v>1988</v>
      </c>
    </row>
    <row r="21" spans="2:3" x14ac:dyDescent="0.25">
      <c r="B21" s="495" t="s">
        <v>368</v>
      </c>
    </row>
    <row r="22" spans="2:3" x14ac:dyDescent="0.25">
      <c r="B22" s="494" t="s">
        <v>369</v>
      </c>
    </row>
  </sheetData>
  <mergeCells count="96">
    <mergeCell ref="M4:N4"/>
    <mergeCell ref="O4:P4"/>
    <mergeCell ref="Q4:R4"/>
    <mergeCell ref="S4:T4"/>
    <mergeCell ref="U4:V4"/>
    <mergeCell ref="C4:D4"/>
    <mergeCell ref="E4:F4"/>
    <mergeCell ref="G4:H4"/>
    <mergeCell ref="I4:J4"/>
    <mergeCell ref="K4:L4"/>
    <mergeCell ref="C5:D5"/>
    <mergeCell ref="E5:F5"/>
    <mergeCell ref="G5:H5"/>
    <mergeCell ref="I5:J5"/>
    <mergeCell ref="K5:L5"/>
    <mergeCell ref="S5:T5"/>
    <mergeCell ref="AG4:AH4"/>
    <mergeCell ref="U5:V5"/>
    <mergeCell ref="W5:X5"/>
    <mergeCell ref="Y5:Z5"/>
    <mergeCell ref="AA5:AB5"/>
    <mergeCell ref="AC5:AD5"/>
    <mergeCell ref="W4:X4"/>
    <mergeCell ref="Y4:Z4"/>
    <mergeCell ref="AA4:AB4"/>
    <mergeCell ref="AC4:AD4"/>
    <mergeCell ref="AE4:AF4"/>
    <mergeCell ref="AE5:AF5"/>
    <mergeCell ref="K6:L6"/>
    <mergeCell ref="M6:N6"/>
    <mergeCell ref="O6:P6"/>
    <mergeCell ref="AG5:AH5"/>
    <mergeCell ref="Q6:R6"/>
    <mergeCell ref="S6:T6"/>
    <mergeCell ref="AA6:AB6"/>
    <mergeCell ref="AC6:AD6"/>
    <mergeCell ref="AE6:AF6"/>
    <mergeCell ref="AG6:AH6"/>
    <mergeCell ref="U6:V6"/>
    <mergeCell ref="W6:X6"/>
    <mergeCell ref="Y6:Z6"/>
    <mergeCell ref="M5:N5"/>
    <mergeCell ref="O5:P5"/>
    <mergeCell ref="Q5:R5"/>
    <mergeCell ref="AE7:AF7"/>
    <mergeCell ref="AA8:AB8"/>
    <mergeCell ref="AC8:AD8"/>
    <mergeCell ref="AE8:AF8"/>
    <mergeCell ref="Q7:R7"/>
    <mergeCell ref="S7:T7"/>
    <mergeCell ref="Q8:R8"/>
    <mergeCell ref="S8:T8"/>
    <mergeCell ref="U8:V8"/>
    <mergeCell ref="W8:X8"/>
    <mergeCell ref="Y8:Z8"/>
    <mergeCell ref="U7:V7"/>
    <mergeCell ref="W7:X7"/>
    <mergeCell ref="Y7:Z7"/>
    <mergeCell ref="AA7:AB7"/>
    <mergeCell ref="AC7:AD7"/>
    <mergeCell ref="AG8:AH8"/>
    <mergeCell ref="C7:D7"/>
    <mergeCell ref="E7:F7"/>
    <mergeCell ref="G7:H7"/>
    <mergeCell ref="I7:J7"/>
    <mergeCell ref="K7:L7"/>
    <mergeCell ref="M7:N7"/>
    <mergeCell ref="O7:P7"/>
    <mergeCell ref="AG7:AH7"/>
    <mergeCell ref="C8:D8"/>
    <mergeCell ref="E8:F8"/>
    <mergeCell ref="G8:H8"/>
    <mergeCell ref="I8:J8"/>
    <mergeCell ref="K8:L8"/>
    <mergeCell ref="M8:N8"/>
    <mergeCell ref="O8:P8"/>
    <mergeCell ref="AE9:AF9"/>
    <mergeCell ref="AG9:AH9"/>
    <mergeCell ref="C9:D9"/>
    <mergeCell ref="E9:F9"/>
    <mergeCell ref="I9:J9"/>
    <mergeCell ref="M9:N9"/>
    <mergeCell ref="O9:P9"/>
    <mergeCell ref="Q9:R9"/>
    <mergeCell ref="S9:T9"/>
    <mergeCell ref="U9:V9"/>
    <mergeCell ref="W9:X9"/>
    <mergeCell ref="Y9:Z9"/>
    <mergeCell ref="AA9:AB9"/>
    <mergeCell ref="AC9:AD9"/>
    <mergeCell ref="K9:L9"/>
    <mergeCell ref="C6:D6"/>
    <mergeCell ref="E6:F6"/>
    <mergeCell ref="G6:H6"/>
    <mergeCell ref="I6:J6"/>
    <mergeCell ref="G9:H9"/>
  </mergeCells>
  <phoneticPr fontId="7" type="noConversion"/>
  <hyperlinks>
    <hyperlink ref="B1" location="'RFE SOC FuseMap'!A1" display="RFE/SOC FuseMap" xr:uid="{54E83DFB-1237-4A0F-AC04-DCB6E55312A9}"/>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5E2A8-8FF2-4B54-B7BF-1909C9C28BDA}">
  <dimension ref="B1:K28"/>
  <sheetViews>
    <sheetView workbookViewId="0">
      <selection activeCell="E4" sqref="E4: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s>
  <sheetData>
    <row r="1" spans="2:11" x14ac:dyDescent="0.25">
      <c r="B1" s="16" t="s">
        <v>1055</v>
      </c>
    </row>
    <row r="2" spans="2:11" ht="15.75" thickBot="1" x14ac:dyDescent="0.3"/>
    <row r="3" spans="2:11" ht="30" x14ac:dyDescent="0.25">
      <c r="B3" s="303" t="s">
        <v>0</v>
      </c>
      <c r="C3" s="20" t="s">
        <v>72</v>
      </c>
      <c r="D3" s="53"/>
      <c r="E3" s="303" t="s">
        <v>68</v>
      </c>
      <c r="F3" s="304" t="s">
        <v>67</v>
      </c>
      <c r="G3" s="64" t="s">
        <v>70</v>
      </c>
    </row>
    <row r="4" spans="2:11" ht="15.75" thickBot="1" x14ac:dyDescent="0.3">
      <c r="B4" s="22" t="s">
        <v>1</v>
      </c>
      <c r="C4" s="23" t="s">
        <v>72</v>
      </c>
      <c r="D4" s="53"/>
      <c r="E4" s="87" t="s">
        <v>72</v>
      </c>
      <c r="F4" s="74" t="s">
        <v>65</v>
      </c>
      <c r="G4" s="75" t="s">
        <v>72</v>
      </c>
    </row>
    <row r="5" spans="2:11" ht="15.75" thickBot="1" x14ac:dyDescent="0.3"/>
    <row r="6" spans="2:11" ht="45.75" thickBot="1" x14ac:dyDescent="0.3">
      <c r="D6" s="52" t="s">
        <v>666</v>
      </c>
      <c r="E6" s="1365" t="s">
        <v>46</v>
      </c>
      <c r="F6" s="1366"/>
      <c r="G6" s="1367"/>
      <c r="H6" s="52" t="s">
        <v>61</v>
      </c>
      <c r="I6" s="301" t="s">
        <v>94</v>
      </c>
      <c r="J6" s="302" t="s">
        <v>96</v>
      </c>
      <c r="K6" s="300" t="s">
        <v>95</v>
      </c>
    </row>
    <row r="7" spans="2:11" x14ac:dyDescent="0.25">
      <c r="B7" s="42" t="s">
        <v>59</v>
      </c>
      <c r="C7" s="45" t="s">
        <v>49</v>
      </c>
      <c r="D7" s="45" t="s">
        <v>49</v>
      </c>
      <c r="E7" s="48">
        <v>125</v>
      </c>
      <c r="F7" s="27">
        <v>25</v>
      </c>
      <c r="G7" s="37">
        <v>-40</v>
      </c>
      <c r="H7" s="33" t="s">
        <v>48</v>
      </c>
      <c r="I7" s="36" t="s">
        <v>49</v>
      </c>
      <c r="J7" s="84" t="s">
        <v>49</v>
      </c>
      <c r="K7" s="83" t="s">
        <v>49</v>
      </c>
    </row>
    <row r="8" spans="2:11" ht="30" x14ac:dyDescent="0.25">
      <c r="B8" s="305" t="s">
        <v>63</v>
      </c>
      <c r="C8" s="575" t="s">
        <v>1127</v>
      </c>
      <c r="D8" s="434" t="s">
        <v>71</v>
      </c>
      <c r="E8" s="1368" t="s">
        <v>807</v>
      </c>
      <c r="F8" s="1369"/>
      <c r="G8" s="1370"/>
      <c r="H8" s="476"/>
      <c r="I8" s="505" t="s">
        <v>72</v>
      </c>
      <c r="J8" s="206" t="s">
        <v>72</v>
      </c>
      <c r="K8" s="207" t="s">
        <v>72</v>
      </c>
    </row>
    <row r="9" spans="2:11" ht="15.75" thickBot="1" x14ac:dyDescent="0.3">
      <c r="B9" s="43" t="s">
        <v>60</v>
      </c>
      <c r="C9" s="47" t="s">
        <v>49</v>
      </c>
      <c r="D9" s="47" t="s">
        <v>49</v>
      </c>
      <c r="E9" s="51" t="s">
        <v>372</v>
      </c>
      <c r="F9" s="29"/>
      <c r="G9" s="41"/>
      <c r="H9" s="35" t="s">
        <v>49</v>
      </c>
      <c r="I9" s="40" t="s">
        <v>49</v>
      </c>
      <c r="J9" s="86" t="s">
        <v>49</v>
      </c>
      <c r="K9" s="81" t="s">
        <v>49</v>
      </c>
    </row>
    <row r="10" spans="2:11" x14ac:dyDescent="0.25">
      <c r="B10" t="s">
        <v>58</v>
      </c>
    </row>
    <row r="11" spans="2:11" x14ac:dyDescent="0.25">
      <c r="B11" t="s">
        <v>50</v>
      </c>
    </row>
    <row r="13" spans="2:11" x14ac:dyDescent="0.25">
      <c r="B13" s="17" t="s">
        <v>822</v>
      </c>
      <c r="C13" t="s">
        <v>72</v>
      </c>
    </row>
    <row r="14" spans="2:11" x14ac:dyDescent="0.25">
      <c r="B14" s="17"/>
    </row>
    <row r="15" spans="2:11" x14ac:dyDescent="0.25">
      <c r="B15" s="17" t="s">
        <v>51</v>
      </c>
    </row>
    <row r="16" spans="2:11" x14ac:dyDescent="0.25">
      <c r="C16" s="1" t="s">
        <v>72</v>
      </c>
      <c r="D16" s="18"/>
    </row>
    <row r="18" spans="2:7" x14ac:dyDescent="0.25">
      <c r="B18" s="17" t="s">
        <v>53</v>
      </c>
    </row>
    <row r="19" spans="2:7" x14ac:dyDescent="0.25">
      <c r="C19" s="1" t="s">
        <v>72</v>
      </c>
      <c r="D19" s="18"/>
    </row>
    <row r="21" spans="2:7" x14ac:dyDescent="0.25">
      <c r="B21" s="17" t="s">
        <v>55</v>
      </c>
    </row>
    <row r="22" spans="2:7" ht="92.25" customHeight="1" x14ac:dyDescent="0.25">
      <c r="C22" s="1371" t="s">
        <v>1126</v>
      </c>
      <c r="D22" s="1371"/>
      <c r="E22" s="1371"/>
      <c r="F22" s="1371"/>
      <c r="G22" s="1371"/>
    </row>
    <row r="24" spans="2:7" x14ac:dyDescent="0.25">
      <c r="B24" s="17" t="s">
        <v>1174</v>
      </c>
    </row>
    <row r="25" spans="2:7" x14ac:dyDescent="0.25">
      <c r="C25" t="s">
        <v>88</v>
      </c>
    </row>
    <row r="27" spans="2:7" x14ac:dyDescent="0.25">
      <c r="B27" s="17" t="s">
        <v>56</v>
      </c>
    </row>
    <row r="28" spans="2:7" x14ac:dyDescent="0.25">
      <c r="C28" s="18" t="s">
        <v>72</v>
      </c>
      <c r="D28" s="18"/>
    </row>
  </sheetData>
  <mergeCells count="3">
    <mergeCell ref="E6:G6"/>
    <mergeCell ref="E8:G8"/>
    <mergeCell ref="C22:G22"/>
  </mergeCells>
  <hyperlinks>
    <hyperlink ref="B1" location="'RFE SOC FuseMap'!A1" display="RFE/SOC FuseMap" xr:uid="{C86A7738-7F23-4286-8758-6E28E9806112}"/>
  </hyperlink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4ABF3-C8D0-45C7-98A1-F032E52E6AE0}">
  <dimension ref="B1:K34"/>
  <sheetViews>
    <sheetView workbookViewId="0">
      <selection activeCell="G17" sqref="G17"/>
    </sheetView>
  </sheetViews>
  <sheetFormatPr defaultRowHeight="15" x14ac:dyDescent="0.25"/>
  <cols>
    <col min="1" max="1" width="9.140625" style="949"/>
    <col min="2" max="2" width="16.28515625" style="949" customWidth="1"/>
    <col min="3" max="3" width="24.7109375" style="949" customWidth="1"/>
    <col min="4" max="4" width="18.140625" style="949" customWidth="1"/>
    <col min="5" max="5" width="20.5703125" style="949" customWidth="1"/>
    <col min="6" max="6" width="18.85546875" style="949" customWidth="1"/>
    <col min="7" max="7" width="16.5703125" style="949" customWidth="1"/>
    <col min="8" max="8" width="9.140625" style="949"/>
    <col min="9" max="9" width="16.5703125" style="949" bestFit="1" customWidth="1"/>
    <col min="10" max="16384" width="9.140625" style="949"/>
  </cols>
  <sheetData>
    <row r="1" spans="2:11" x14ac:dyDescent="0.25">
      <c r="B1" s="16" t="s">
        <v>1055</v>
      </c>
    </row>
    <row r="2" spans="2:11" ht="15.75" thickBot="1" x14ac:dyDescent="0.3"/>
    <row r="3" spans="2:11" x14ac:dyDescent="0.25">
      <c r="B3" s="992" t="s">
        <v>0</v>
      </c>
      <c r="C3" s="20" t="s">
        <v>72</v>
      </c>
      <c r="D3" s="53"/>
    </row>
    <row r="4" spans="2:11" ht="15.75" thickBot="1" x14ac:dyDescent="0.3">
      <c r="B4" s="993" t="s">
        <v>1</v>
      </c>
      <c r="C4" s="23" t="s">
        <v>72</v>
      </c>
      <c r="D4" s="53"/>
    </row>
    <row r="5" spans="2:11" ht="15.75" thickBot="1" x14ac:dyDescent="0.3"/>
    <row r="6" spans="2:11" ht="45.75" thickBot="1" x14ac:dyDescent="0.3">
      <c r="D6" s="52" t="s">
        <v>666</v>
      </c>
      <c r="E6" s="1365" t="s">
        <v>46</v>
      </c>
      <c r="F6" s="1366"/>
      <c r="G6" s="1367"/>
      <c r="H6" s="52" t="s">
        <v>61</v>
      </c>
      <c r="I6" s="998" t="s">
        <v>94</v>
      </c>
      <c r="J6" s="996" t="s">
        <v>96</v>
      </c>
      <c r="K6" s="997" t="s">
        <v>95</v>
      </c>
    </row>
    <row r="7" spans="2:11" x14ac:dyDescent="0.25">
      <c r="B7" s="42" t="s">
        <v>59</v>
      </c>
      <c r="C7" s="45" t="s">
        <v>49</v>
      </c>
      <c r="D7" s="45" t="s">
        <v>49</v>
      </c>
      <c r="E7" s="48">
        <v>125</v>
      </c>
      <c r="F7" s="27">
        <v>25</v>
      </c>
      <c r="G7" s="37">
        <v>-40</v>
      </c>
      <c r="H7" s="33" t="s">
        <v>48</v>
      </c>
      <c r="I7" s="36" t="s">
        <v>49</v>
      </c>
      <c r="J7" s="84" t="s">
        <v>49</v>
      </c>
      <c r="K7" s="83" t="s">
        <v>49</v>
      </c>
    </row>
    <row r="8" spans="2:11" ht="30" customHeight="1" x14ac:dyDescent="0.25">
      <c r="B8" s="1374" t="s">
        <v>63</v>
      </c>
      <c r="C8" s="316" t="s">
        <v>1943</v>
      </c>
      <c r="D8" s="54" t="s">
        <v>71</v>
      </c>
      <c r="E8" s="1377" t="s">
        <v>72</v>
      </c>
      <c r="F8" s="1378"/>
      <c r="G8" s="1379"/>
      <c r="H8" s="999" t="s">
        <v>72</v>
      </c>
      <c r="I8" s="953" t="s">
        <v>72</v>
      </c>
      <c r="J8" s="85" t="s">
        <v>72</v>
      </c>
      <c r="K8" s="956" t="s">
        <v>72</v>
      </c>
    </row>
    <row r="9" spans="2:11" x14ac:dyDescent="0.25">
      <c r="B9" s="1375"/>
      <c r="C9" s="1025" t="s">
        <v>1944</v>
      </c>
      <c r="D9" s="54" t="s">
        <v>71</v>
      </c>
      <c r="E9" s="1377" t="s">
        <v>72</v>
      </c>
      <c r="F9" s="1378"/>
      <c r="G9" s="1379"/>
      <c r="H9" s="999" t="s">
        <v>72</v>
      </c>
      <c r="I9" s="953" t="s">
        <v>72</v>
      </c>
      <c r="J9" s="85" t="s">
        <v>72</v>
      </c>
      <c r="K9" s="956" t="s">
        <v>72</v>
      </c>
    </row>
    <row r="10" spans="2:11" x14ac:dyDescent="0.25">
      <c r="B10" s="1376"/>
      <c r="C10" s="949" t="s">
        <v>1942</v>
      </c>
      <c r="D10" s="54" t="s">
        <v>71</v>
      </c>
      <c r="E10" s="1377" t="s">
        <v>72</v>
      </c>
      <c r="F10" s="1378"/>
      <c r="G10" s="1379"/>
      <c r="H10" s="999" t="s">
        <v>72</v>
      </c>
      <c r="I10" s="953" t="s">
        <v>72</v>
      </c>
      <c r="J10" s="85" t="s">
        <v>72</v>
      </c>
      <c r="K10" s="956" t="s">
        <v>72</v>
      </c>
    </row>
    <row r="11" spans="2:11" ht="15.75" thickBot="1" x14ac:dyDescent="0.3">
      <c r="B11" s="43" t="s">
        <v>60</v>
      </c>
      <c r="C11" s="47" t="s">
        <v>49</v>
      </c>
      <c r="D11" s="47" t="s">
        <v>49</v>
      </c>
      <c r="E11" s="51" t="s">
        <v>372</v>
      </c>
      <c r="F11" s="29"/>
      <c r="G11" s="41"/>
      <c r="H11" s="35" t="s">
        <v>49</v>
      </c>
      <c r="I11" s="40" t="s">
        <v>49</v>
      </c>
      <c r="J11" s="86" t="s">
        <v>49</v>
      </c>
      <c r="K11" s="81" t="s">
        <v>49</v>
      </c>
    </row>
    <row r="12" spans="2:11" x14ac:dyDescent="0.25">
      <c r="B12" s="949" t="s">
        <v>58</v>
      </c>
    </row>
    <row r="13" spans="2:11" x14ac:dyDescent="0.25">
      <c r="B13" s="949" t="s">
        <v>50</v>
      </c>
    </row>
    <row r="15" spans="2:11" x14ac:dyDescent="0.25">
      <c r="B15" s="17" t="s">
        <v>822</v>
      </c>
    </row>
    <row r="16" spans="2:11" x14ac:dyDescent="0.25">
      <c r="B16" s="17"/>
      <c r="C16" s="949" t="s">
        <v>72</v>
      </c>
    </row>
    <row r="17" spans="2:7" x14ac:dyDescent="0.25">
      <c r="B17" s="17"/>
    </row>
    <row r="18" spans="2:7" x14ac:dyDescent="0.25">
      <c r="B18" s="17" t="s">
        <v>51</v>
      </c>
    </row>
    <row r="19" spans="2:7" x14ac:dyDescent="0.25">
      <c r="C19" s="1" t="s">
        <v>72</v>
      </c>
      <c r="D19" s="950"/>
    </row>
    <row r="20" spans="2:7" x14ac:dyDescent="0.25">
      <c r="C20" s="1"/>
    </row>
    <row r="21" spans="2:7" x14ac:dyDescent="0.25">
      <c r="B21" s="17" t="s">
        <v>53</v>
      </c>
      <c r="C21" s="1"/>
    </row>
    <row r="22" spans="2:7" x14ac:dyDescent="0.25">
      <c r="C22" s="1" t="s">
        <v>72</v>
      </c>
      <c r="D22" s="950"/>
      <c r="F22" s="657"/>
    </row>
    <row r="23" spans="2:7" x14ac:dyDescent="0.25">
      <c r="C23" s="1"/>
    </row>
    <row r="24" spans="2:7" x14ac:dyDescent="0.25">
      <c r="B24" s="17" t="s">
        <v>55</v>
      </c>
      <c r="C24" s="1"/>
    </row>
    <row r="25" spans="2:7" ht="45" customHeight="1" x14ac:dyDescent="0.25">
      <c r="B25" s="17"/>
      <c r="C25" s="1373" t="s">
        <v>1947</v>
      </c>
      <c r="D25" s="1373"/>
      <c r="E25" s="1373"/>
      <c r="F25" s="1373"/>
      <c r="G25" s="1373"/>
    </row>
    <row r="26" spans="2:7" ht="30.75" customHeight="1" x14ac:dyDescent="0.25">
      <c r="B26" s="17"/>
      <c r="C26" s="1372" t="s">
        <v>1948</v>
      </c>
      <c r="D26" s="1372"/>
      <c r="E26" s="1372"/>
      <c r="F26" s="1372"/>
      <c r="G26" s="1372"/>
    </row>
    <row r="27" spans="2:7" ht="30.75" customHeight="1" x14ac:dyDescent="0.25">
      <c r="B27" s="17"/>
      <c r="C27" s="1372" t="s">
        <v>1949</v>
      </c>
      <c r="D27" s="1372"/>
      <c r="E27" s="1372"/>
      <c r="F27" s="1372"/>
      <c r="G27" s="1372"/>
    </row>
    <row r="28" spans="2:7" x14ac:dyDescent="0.25">
      <c r="C28" s="1" t="s">
        <v>1945</v>
      </c>
    </row>
    <row r="29" spans="2:7" x14ac:dyDescent="0.25">
      <c r="C29" s="1"/>
    </row>
    <row r="30" spans="2:7" x14ac:dyDescent="0.25">
      <c r="B30" s="17" t="s">
        <v>1174</v>
      </c>
      <c r="C30" s="1"/>
    </row>
    <row r="31" spans="2:7" x14ac:dyDescent="0.25">
      <c r="C31" s="1" t="s">
        <v>72</v>
      </c>
    </row>
    <row r="32" spans="2:7" x14ac:dyDescent="0.25">
      <c r="C32" s="1"/>
    </row>
    <row r="33" spans="2:4" x14ac:dyDescent="0.25">
      <c r="B33" s="17" t="s">
        <v>56</v>
      </c>
      <c r="C33" s="1"/>
    </row>
    <row r="34" spans="2:4" x14ac:dyDescent="0.25">
      <c r="C34" s="1" t="s">
        <v>72</v>
      </c>
      <c r="D34" s="950"/>
    </row>
  </sheetData>
  <mergeCells count="8">
    <mergeCell ref="C27:G27"/>
    <mergeCell ref="C25:G25"/>
    <mergeCell ref="C26:G26"/>
    <mergeCell ref="B8:B10"/>
    <mergeCell ref="E6:G6"/>
    <mergeCell ref="E8:G8"/>
    <mergeCell ref="E9:G9"/>
    <mergeCell ref="E10:G10"/>
  </mergeCells>
  <hyperlinks>
    <hyperlink ref="B1" location="'RFE SOC FuseMap'!A1" display="RFE/SOC FuseMap" xr:uid="{BDA4A41D-925C-400E-9FC7-57BC9C399AD8}"/>
  </hyperlink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8614D3782527A41A91836E1C6D818CF" ma:contentTypeVersion="14" ma:contentTypeDescription="Create a new document." ma:contentTypeScope="" ma:versionID="f0b1592c27ea8cab7f975e66cc0d0327">
  <xsd:schema xmlns:xsd="http://www.w3.org/2001/XMLSchema" xmlns:xs="http://www.w3.org/2001/XMLSchema" xmlns:p="http://schemas.microsoft.com/office/2006/metadata/properties" xmlns:ns3="f64737c0-48fb-4b7e-8416-b1cef259690b" xmlns:ns4="8c09c3f0-aefa-4df3-b62f-27692bb68839" targetNamespace="http://schemas.microsoft.com/office/2006/metadata/properties" ma:root="true" ma:fieldsID="615a29417e5dfa85670b744324452374" ns3:_="" ns4:_="">
    <xsd:import namespace="f64737c0-48fb-4b7e-8416-b1cef259690b"/>
    <xsd:import namespace="8c09c3f0-aefa-4df3-b62f-27692bb68839"/>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4737c0-48fb-4b7e-8416-b1cef25969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c09c3f0-aefa-4df3-b62f-27692bb6883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A1E90D8-D5A9-4E32-9B22-3A7C7C8594CD}">
  <ds:schemaRefs>
    <ds:schemaRef ds:uri="http://schemas.microsoft.com/sharepoint/v3/contenttype/forms"/>
  </ds:schemaRefs>
</ds:datastoreItem>
</file>

<file path=customXml/itemProps2.xml><?xml version="1.0" encoding="utf-8"?>
<ds:datastoreItem xmlns:ds="http://schemas.openxmlformats.org/officeDocument/2006/customXml" ds:itemID="{A7AE0A57-03F3-4AD5-8A53-6F050C92F1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4737c0-48fb-4b7e-8416-b1cef259690b"/>
    <ds:schemaRef ds:uri="8c09c3f0-aefa-4df3-b62f-27692bb688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4D40213-E0F0-4FE1-9955-C7BFB98CCB2C}">
  <ds:schemaRefs>
    <ds:schemaRef ds:uri="http://purl.org/dc/dcmitype/"/>
    <ds:schemaRef ds:uri="http://www.w3.org/XML/1998/namespace"/>
    <ds:schemaRef ds:uri="f64737c0-48fb-4b7e-8416-b1cef259690b"/>
    <ds:schemaRef ds:uri="http://schemas.microsoft.com/office/infopath/2007/PartnerControls"/>
    <ds:schemaRef ds:uri="http://schemas.microsoft.com/office/2006/documentManagement/types"/>
    <ds:schemaRef ds:uri="http://schemas.openxmlformats.org/package/2006/metadata/core-properties"/>
    <ds:schemaRef ds:uri="8c09c3f0-aefa-4df3-b62f-27692bb68839"/>
    <ds:schemaRef ds:uri="http://schemas.microsoft.com/office/2006/metadata/properties"/>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44</vt:i4>
      </vt:variant>
      <vt:variant>
        <vt:lpstr>Named Ranges</vt:lpstr>
      </vt:variant>
      <vt:variant>
        <vt:i4>11</vt:i4>
      </vt:variant>
    </vt:vector>
  </HeadingPairs>
  <TitlesOfParts>
    <vt:vector size="55" baseType="lpstr">
      <vt:lpstr>Revision History</vt:lpstr>
      <vt:lpstr>General information</vt:lpstr>
      <vt:lpstr>Action List</vt:lpstr>
      <vt:lpstr>RFE SOC FuseMap</vt:lpstr>
      <vt:lpstr>Trim Flow</vt:lpstr>
      <vt:lpstr>Trim State</vt:lpstr>
      <vt:lpstr>TRIM VALID</vt:lpstr>
      <vt:lpstr>RFE OTP Version</vt:lpstr>
      <vt:lpstr>Tracability</vt:lpstr>
      <vt:lpstr>FIRC</vt:lpstr>
      <vt:lpstr>LVDS</vt:lpstr>
      <vt:lpstr>PMC</vt:lpstr>
      <vt:lpstr>Bandgaps</vt:lpstr>
      <vt:lpstr>OVUV GLDO &amp; PMIC</vt:lpstr>
      <vt:lpstr>OVUV HVLDO</vt:lpstr>
      <vt:lpstr>ADC HW ctrl</vt:lpstr>
      <vt:lpstr>ADC OffGain corr</vt:lpstr>
      <vt:lpstr>SOC ATB R</vt:lpstr>
      <vt:lpstr>GPADPLL LDO</vt:lpstr>
      <vt:lpstr>ATB R</vt:lpstr>
      <vt:lpstr>GBIAS V2I</vt:lpstr>
      <vt:lpstr>GBIAS ibias</vt:lpstr>
      <vt:lpstr>PDC LLDO</vt:lpstr>
      <vt:lpstr>MCGEN Iref</vt:lpstr>
      <vt:lpstr>MCGEN FreqDet</vt:lpstr>
      <vt:lpstr>ChirpGen V2I</vt:lpstr>
      <vt:lpstr>ChirpGen RES_OHM</vt:lpstr>
      <vt:lpstr>ChirpGen pgm_vout</vt:lpstr>
      <vt:lpstr>ChirpGen LevelDet</vt:lpstr>
      <vt:lpstr>ChirpGen VtuneDet</vt:lpstr>
      <vt:lpstr>ChirpGen CAL DAC</vt:lpstr>
      <vt:lpstr>ChirpGen KVCO</vt:lpstr>
      <vt:lpstr>ChirpGen RCOsc</vt:lpstr>
      <vt:lpstr>ChirpGen VCO Ibias</vt:lpstr>
      <vt:lpstr>ChirpGen CP</vt:lpstr>
      <vt:lpstr>TSense</vt:lpstr>
      <vt:lpstr>LOx4 Tune Freq</vt:lpstr>
      <vt:lpstr>BE process monitor</vt:lpstr>
      <vt:lpstr>FE process monitor</vt:lpstr>
      <vt:lpstr>TXBiST VdVGA</vt:lpstr>
      <vt:lpstr>BBBiST Gain</vt:lpstr>
      <vt:lpstr>BBBiST C</vt:lpstr>
      <vt:lpstr>Spares</vt:lpstr>
      <vt:lpstr>Template</vt:lpstr>
      <vt:lpstr>TSense!_Hlk32913792</vt:lpstr>
      <vt:lpstr>Authors</vt:lpstr>
      <vt:lpstr>Authors2</vt:lpstr>
      <vt:lpstr>DocumentName</vt:lpstr>
      <vt:lpstr>DocumentRevision</vt:lpstr>
      <vt:lpstr>DocumentStatus</vt:lpstr>
      <vt:lpstr>Header</vt:lpstr>
      <vt:lpstr>lastSaved</vt:lpstr>
      <vt:lpstr>'Revision History'!OptionalSaveLocation</vt:lpstr>
      <vt:lpstr>Organization</vt:lpstr>
      <vt:lpstr>ProjectName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 Poussard</dc:creator>
  <cp:lastModifiedBy>Benoit Poussard</cp:lastModifiedBy>
  <dcterms:created xsi:type="dcterms:W3CDTF">2021-02-09T15:32:39Z</dcterms:created>
  <dcterms:modified xsi:type="dcterms:W3CDTF">2022-08-23T11:05:44Z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0x01010058614D3782527A41A91836E1C6D818CF</vt:lpwstr>
  </property>
</Properties>
</file>