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3b0087d72529a034/Desktop/Vasudha/New folder/Model results and input/Test_Steel/"/>
    </mc:Choice>
  </mc:AlternateContent>
  <xr:revisionPtr revIDLastSave="450" documentId="13_ncr:1_{9B20BFD8-338A-4B58-A955-40D33E7C654B}" xr6:coauthVersionLast="47" xr6:coauthVersionMax="47" xr10:uidLastSave="{697F3A93-71BE-4BF7-A6E9-35E340DA2E46}"/>
  <bookViews>
    <workbookView xWindow="-110" yWindow="-110" windowWidth="19420" windowHeight="10420" tabRatio="901" firstSheet="1" activeTab="2" xr2:uid="{00000000-000D-0000-FFFF-FFFF00000000}"/>
  </bookViews>
  <sheets>
    <sheet name="EnergyBalance" sheetId="133" r:id="rId1"/>
    <sheet name="RES&amp;OBJ" sheetId="135" r:id="rId2"/>
    <sheet name="Pri_fuel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32" l="1"/>
  <c r="G40" i="132"/>
  <c r="G39" i="132"/>
  <c r="G37" i="132"/>
  <c r="C38" i="136"/>
  <c r="I58" i="136"/>
  <c r="J58" i="136"/>
  <c r="K58" i="136"/>
  <c r="I59" i="136"/>
  <c r="J59" i="136"/>
  <c r="K59" i="136"/>
  <c r="H59" i="136"/>
  <c r="H58" i="136"/>
  <c r="C58" i="136"/>
  <c r="D58" i="136"/>
  <c r="D59" i="136"/>
  <c r="B59" i="136"/>
  <c r="B58" i="136"/>
  <c r="M38" i="136"/>
  <c r="M37" i="136"/>
  <c r="D38" i="136"/>
  <c r="D37" i="136"/>
  <c r="C59" i="136"/>
  <c r="B38" i="136"/>
  <c r="C37" i="136"/>
  <c r="B37" i="136"/>
  <c r="I55" i="136"/>
  <c r="J55" i="136"/>
  <c r="K55" i="136"/>
  <c r="I56" i="136"/>
  <c r="J56" i="136"/>
  <c r="K56" i="136"/>
  <c r="H56" i="136"/>
  <c r="H55" i="136"/>
  <c r="I53" i="136"/>
  <c r="J53" i="136"/>
  <c r="K53" i="136"/>
  <c r="H53" i="136"/>
  <c r="I50" i="136"/>
  <c r="J50" i="136"/>
  <c r="K50" i="136"/>
  <c r="I51" i="136"/>
  <c r="J51" i="136"/>
  <c r="K51" i="136"/>
  <c r="H51" i="136"/>
  <c r="H50" i="136"/>
  <c r="H48" i="136"/>
  <c r="I48" i="136"/>
  <c r="J48" i="136"/>
  <c r="K48" i="136"/>
  <c r="I47" i="136"/>
  <c r="J47" i="136"/>
  <c r="K47" i="136"/>
  <c r="H47" i="136"/>
  <c r="H45" i="136"/>
  <c r="I45" i="136"/>
  <c r="J45" i="136"/>
  <c r="K45" i="136"/>
  <c r="I44" i="136"/>
  <c r="J44" i="136"/>
  <c r="K44" i="136"/>
  <c r="H44" i="136"/>
  <c r="L29" i="136"/>
  <c r="M29" i="136" s="1"/>
  <c r="C28" i="136"/>
  <c r="M35" i="136"/>
  <c r="M34" i="136"/>
  <c r="M32" i="136"/>
  <c r="M30" i="136"/>
  <c r="M28" i="136"/>
  <c r="L36" i="136" l="1"/>
  <c r="M36" i="136" s="1"/>
  <c r="I35" i="136"/>
  <c r="D35" i="136"/>
  <c r="D55" i="136" s="1"/>
  <c r="C36" i="136"/>
  <c r="C56" i="136" s="1"/>
  <c r="C35" i="136"/>
  <c r="C55" i="136" s="1"/>
  <c r="B35" i="136"/>
  <c r="B55" i="136" s="1"/>
  <c r="I34" i="136"/>
  <c r="D34" i="136"/>
  <c r="D53" i="136" s="1"/>
  <c r="C34" i="136"/>
  <c r="C53" i="136" s="1"/>
  <c r="B34" i="136"/>
  <c r="B53" i="136" s="1"/>
  <c r="L33" i="136"/>
  <c r="M33" i="136" s="1"/>
  <c r="I32" i="136"/>
  <c r="D32" i="136"/>
  <c r="D50" i="136" s="1"/>
  <c r="C33" i="136"/>
  <c r="C51" i="136" s="1"/>
  <c r="C32" i="136"/>
  <c r="C50" i="136" s="1"/>
  <c r="B32" i="136"/>
  <c r="B50" i="136" s="1"/>
  <c r="L31" i="136"/>
  <c r="M31" i="136" s="1"/>
  <c r="I30" i="136"/>
  <c r="D30" i="136"/>
  <c r="D47" i="136" s="1"/>
  <c r="C31" i="136"/>
  <c r="C48" i="136" s="1"/>
  <c r="C30" i="136"/>
  <c r="C47" i="136" s="1"/>
  <c r="B30" i="136"/>
  <c r="B47" i="136" s="1"/>
  <c r="I42" i="136"/>
  <c r="J42" i="136" s="1"/>
  <c r="K42" i="136" s="1"/>
  <c r="C29" i="136"/>
  <c r="C45" i="136" s="1"/>
  <c r="F2" i="134"/>
  <c r="G2" i="134" s="1"/>
  <c r="H2" i="134" s="1"/>
  <c r="C44" i="136"/>
  <c r="F18" i="132" l="1"/>
  <c r="F19" i="132"/>
  <c r="F20" i="132"/>
  <c r="F21" i="132"/>
  <c r="F17" i="132"/>
  <c r="D41" i="132" l="1"/>
  <c r="D38" i="132"/>
  <c r="D39" i="132"/>
  <c r="D40" i="132"/>
  <c r="D37" i="132"/>
  <c r="E18" i="132"/>
  <c r="E19" i="132"/>
  <c r="E20" i="132"/>
  <c r="E21" i="132"/>
  <c r="E17" i="132"/>
  <c r="B21" i="132"/>
  <c r="B19" i="132"/>
  <c r="B20" i="132"/>
  <c r="B18" i="132"/>
  <c r="H27" i="136"/>
  <c r="I28" i="136"/>
  <c r="K24" i="133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F36" i="132"/>
  <c r="B17" i="132"/>
  <c r="D21" i="132" s="1"/>
  <c r="B41" i="132" s="1"/>
  <c r="D17" i="132" l="1"/>
  <c r="D18" i="132"/>
  <c r="B38" i="132" s="1"/>
  <c r="D19" i="132"/>
  <c r="B39" i="132" s="1"/>
  <c r="D20" i="132"/>
  <c r="D28" i="136"/>
  <c r="D44" i="136" s="1"/>
  <c r="C5" i="134"/>
  <c r="E27" i="136"/>
  <c r="I27" i="136"/>
  <c r="B37" i="132"/>
  <c r="L8" i="133"/>
  <c r="B28" i="136"/>
  <c r="B44" i="136" s="1"/>
  <c r="L21" i="133"/>
  <c r="L24" i="133" s="1"/>
  <c r="H36" i="132"/>
  <c r="D24" i="133"/>
  <c r="B40" i="1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4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4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5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34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4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4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4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71DA3D5C-A82A-4851-8D28-142313A74AE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F42" authorId="2" shapeId="0" xr:uid="{756EE9E2-D61A-4072-A757-1B010FD99FB2}">
      <text>
        <r>
          <rPr>
            <sz val="8"/>
            <color indexed="81"/>
            <rFont val="Tahoma"/>
            <family val="2"/>
          </rPr>
          <t>Allowed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4" authorId="2" shapeId="0" xr:uid="{58579F8E-2DB7-46CC-9FCD-77A097360ACC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45" authorId="2" shapeId="0" xr:uid="{895E61DF-4100-4676-B439-D89A6B3D24C3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47" authorId="2" shapeId="0" xr:uid="{E805DD37-781E-44EE-B001-AE4E7CF96EF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48" authorId="2" shapeId="0" xr:uid="{5D377477-3287-478F-B539-A875FE077FE2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0" authorId="2" shapeId="0" xr:uid="{632CC185-36B7-4727-9EEC-9EE171137D48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1" authorId="2" shapeId="0" xr:uid="{3A7F8944-9654-4C7B-A9FD-36EBE43A012E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3" authorId="2" shapeId="0" xr:uid="{B2F46C9C-9755-4BA2-A768-94E5959BB8E6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5" authorId="2" shapeId="0" xr:uid="{190C0632-30C6-431A-9088-02FEC48C853C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6" authorId="2" shapeId="0" xr:uid="{547E978F-2E67-4F94-95BE-E7484368CE5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8" authorId="2" shapeId="0" xr:uid="{EB664298-8FCA-4EB7-BD8A-774B6BCFE774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G59" authorId="2" shapeId="0" xr:uid="{92E1F9A9-FD13-484E-B1F4-5EBDAFC2A42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</commentList>
</comments>
</file>

<file path=xl/sharedStrings.xml><?xml version="1.0" encoding="utf-8"?>
<sst xmlns="http://schemas.openxmlformats.org/spreadsheetml/2006/main" count="313" uniqueCount="187">
  <si>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</si>
  <si>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</si>
  <si>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</si>
  <si>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</si>
  <si>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</si>
  <si>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</si>
  <si>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</si>
  <si>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</si>
  <si>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</si>
  <si>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</si>
  <si>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</si>
  <si>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</si>
  <si>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</si>
  <si>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</si>
  <si>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</si>
  <si>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</si>
  <si>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</si>
  <si>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</si>
  <si>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</si>
  <si>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</si>
  <si>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</si>
  <si>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</si>
  <si>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</si>
  <si>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</si>
  <si>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</si>
  <si>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</si>
  <si>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</si>
  <si>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</si>
  <si>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</si>
  <si>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</si>
  <si>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</si>
  <si>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</si>
  <si>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</si>
  <si>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</si>
  <si>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</si>
  <si>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</si>
  <si>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</si>
  <si>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</si>
  <si>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</si>
  <si>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</si>
  <si>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</si>
  <si>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</si>
  <si>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</si>
  <si>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</si>
  <si>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</si>
  <si>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</si>
  <si>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</si>
  <si>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</si>
  <si>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</si>
  <si>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</si>
  <si>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</si>
  <si>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</si>
  <si>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</si>
  <si>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</si>
  <si>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</si>
  <si>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</si>
  <si>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</si>
  <si>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</si>
  <si>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</si>
  <si>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</si>
  <si>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</si>
  <si>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</si>
  <si>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</si>
  <si>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</si>
  <si>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</si>
  <si>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</si>
  <si>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</si>
  <si>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</si>
  <si>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</si>
  <si>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</si>
  <si>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</si>
  <si>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</si>
  <si>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</si>
  <si>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</si>
  <si>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</si>
  <si>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</si>
  <si>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</si>
  <si>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</si>
  <si>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</si>
  <si>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</si>
  <si>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</si>
  <si>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</si>
  <si>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</si>
  <si>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</si>
  <si>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</si>
  <si>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</si>
  <si>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</si>
  <si>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</si>
  <si>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</si>
  <si>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</si>
  <si>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</si>
  <si>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</si>
  <si>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</si>
  <si>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PJ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</si>
  <si>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</si>
  <si>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</si>
  <si>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</si>
  <si>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</si>
  <si>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</si>
  <si>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</si>
  <si>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</si>
  <si>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</si>
  <si>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</si>
  <si>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</si>
  <si>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</si>
  <si>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</si>
  <si>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</si>
  <si>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</si>
  <si>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</si>
  <si>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</si>
  <si>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</si>
  <si>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</si>
  <si>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</si>
  <si>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</si>
  <si>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</si>
  <si>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</si>
  <si>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</si>
  <si>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</si>
  <si>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</si>
  <si>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STOCK</t>
  </si>
  <si>
    <t>AFA</t>
  </si>
  <si>
    <t>INVCOST</t>
  </si>
  <si>
    <t>FIXOM</t>
  </si>
  <si>
    <t>LIFE</t>
  </si>
  <si>
    <t>Existing Installed Capacity</t>
  </si>
  <si>
    <t>Efficiency</t>
  </si>
  <si>
    <t>Utilisation Factor</t>
  </si>
  <si>
    <t>Invesctment Cost</t>
  </si>
  <si>
    <t>Fixed O&amp;M Cost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</si>
  <si>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</si>
  <si>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</si>
  <si>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</si>
  <si>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</si>
  <si>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</si>
  <si>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</si>
  <si>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Lifetime</t>
  </si>
  <si>
    <t>Crude Oil</t>
  </si>
  <si>
    <t>Objective Function</t>
  </si>
  <si>
    <t>Run name: DemoS_001</t>
  </si>
  <si>
    <t>_SysCost result table</t>
  </si>
  <si>
    <t>Reference Energy System</t>
  </si>
  <si>
    <t>COACC</t>
  </si>
  <si>
    <t>Coking Coal</t>
  </si>
  <si>
    <t>COANC</t>
  </si>
  <si>
    <t>Non Coking Coal</t>
  </si>
  <si>
    <t>GASNG</t>
  </si>
  <si>
    <t>H2O</t>
  </si>
  <si>
    <t>Hydrogen</t>
  </si>
  <si>
    <t>Electrcity</t>
  </si>
  <si>
    <t>Millon INR</t>
  </si>
  <si>
    <t>IIS</t>
  </si>
  <si>
    <t>Industry - Iron and Steel</t>
  </si>
  <si>
    <t>Mt</t>
  </si>
  <si>
    <t>IISBF01</t>
  </si>
  <si>
    <t>Mt/a</t>
  </si>
  <si>
    <t>CAP2ACT</t>
  </si>
  <si>
    <t>Capacity to Activity Factor</t>
  </si>
  <si>
    <t>Input Share</t>
  </si>
  <si>
    <t>TimeSlice</t>
  </si>
  <si>
    <t>Time slices definition</t>
  </si>
  <si>
    <t>Bound definition</t>
  </si>
  <si>
    <t>Attribute Declaration Column</t>
  </si>
  <si>
    <t>Base Year</t>
  </si>
  <si>
    <t>Data Years</t>
  </si>
  <si>
    <t>IISDC01</t>
  </si>
  <si>
    <t>IISDG01</t>
  </si>
  <si>
    <t>IISSCIF</t>
  </si>
  <si>
    <t>Steel Scrap IF</t>
  </si>
  <si>
    <t>IISDRH2</t>
  </si>
  <si>
    <t>Steel Plant - BF-BOF</t>
  </si>
  <si>
    <t>Steel Plant  - DRI - IF Coal  Based</t>
  </si>
  <si>
    <t>Steel Plant  - DRI - EAF Gas Based</t>
  </si>
  <si>
    <t xml:space="preserve">Steel Plant  - DRI _EAF Hydrogen Based </t>
  </si>
  <si>
    <t>FX</t>
  </si>
  <si>
    <t>BNDACT</t>
  </si>
  <si>
    <t>Input fuel PJ/Million tonnes</t>
  </si>
  <si>
    <t>Thermal for BF_BOF Process</t>
  </si>
  <si>
    <t>PRE</t>
  </si>
  <si>
    <t>FUEBF</t>
  </si>
  <si>
    <t>Dummary processof creating hermal energy from coking coal forBF-BOF</t>
  </si>
  <si>
    <t>Dummary processof creating hermal energy from HYDROGEN forBF-BOF</t>
  </si>
  <si>
    <t>Share-I</t>
  </si>
  <si>
    <t>*INPUT</t>
  </si>
  <si>
    <t>EFF</t>
  </si>
  <si>
    <t>FTEFUEBF-COACC</t>
  </si>
  <si>
    <t>FTEFUEBF-H2O</t>
  </si>
  <si>
    <t>PJ/a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</si>
</sst>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General_)"/>
    <numFmt numFmtId="166" formatCode="\Te\x\t"/>
    <numFmt numFmtId="167" formatCode="0.0000"/>
    <numFmt numFmtId="168" formatCode="0.0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2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2" applyNumberFormat="0" applyAlignment="0" applyProtection="0"/>
    <xf numFmtId="0" fontId="18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/>
    <xf numFmtId="0" fontId="6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4" fillId="5" borderId="0" xfId="3"/>
    <xf numFmtId="0" fontId="19" fillId="10" borderId="0" xfId="6" applyFont="1" applyFill="1"/>
    <xf numFmtId="0" fontId="20" fillId="3" borderId="3" xfId="1" applyFont="1" applyBorder="1" applyAlignment="1">
      <alignment horizontal="center" wrapText="1"/>
    </xf>
    <xf numFmtId="0" fontId="20" fillId="3" borderId="3" xfId="1" applyFont="1" applyBorder="1" applyAlignment="1">
      <alignment horizontal="left" wrapText="1"/>
    </xf>
    <xf numFmtId="0" fontId="20" fillId="3" borderId="1" xfId="1" applyFont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1" fillId="0" borderId="0" xfId="0" applyFont="1"/>
    <xf numFmtId="0" fontId="5" fillId="0" borderId="5" xfId="0" applyFont="1" applyBorder="1"/>
    <xf numFmtId="0" fontId="5" fillId="0" borderId="6" xfId="0" applyFont="1" applyBorder="1"/>
    <xf numFmtId="9" fontId="22" fillId="0" borderId="6" xfId="16" applyFont="1" applyBorder="1" applyAlignment="1"/>
    <xf numFmtId="0" fontId="5" fillId="0" borderId="7" xfId="0" applyFont="1" applyBorder="1"/>
    <xf numFmtId="9" fontId="22" fillId="0" borderId="7" xfId="16" applyFont="1" applyBorder="1" applyAlignment="1"/>
    <xf numFmtId="9" fontId="22" fillId="0" borderId="0" xfId="16" applyFont="1" applyBorder="1" applyAlignment="1"/>
    <xf numFmtId="0" fontId="14" fillId="5" borderId="0" xfId="3" applyAlignment="1">
      <alignment wrapText="1"/>
    </xf>
    <xf numFmtId="0" fontId="4" fillId="0" borderId="0" xfId="0" applyFont="1"/>
    <xf numFmtId="1" fontId="5" fillId="0" borderId="0" xfId="9" applyNumberFormat="1"/>
    <xf numFmtId="0" fontId="5" fillId="0" borderId="8" xfId="0" applyFont="1" applyBorder="1"/>
    <xf numFmtId="0" fontId="4" fillId="0" borderId="2" xfId="0" applyFont="1" applyBorder="1" applyAlignment="1">
      <alignment horizontal="center" wrapText="1"/>
    </xf>
    <xf numFmtId="0" fontId="23" fillId="0" borderId="0" xfId="0" applyFont="1"/>
    <xf numFmtId="0" fontId="19" fillId="10" borderId="0" xfId="6" applyFont="1" applyFill="1" applyAlignment="1">
      <alignment horizontal="left"/>
    </xf>
    <xf numFmtId="1" fontId="0" fillId="11" borderId="0" xfId="0" applyNumberFormat="1" applyFill="1"/>
    <xf numFmtId="1" fontId="4" fillId="11" borderId="0" xfId="0" applyNumberFormat="1" applyFont="1" applyFill="1"/>
    <xf numFmtId="0" fontId="2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3" fillId="12" borderId="0" xfId="0" applyFont="1" applyFill="1"/>
    <xf numFmtId="1" fontId="0" fillId="13" borderId="0" xfId="0" applyNumberFormat="1" applyFill="1"/>
    <xf numFmtId="1" fontId="4" fillId="13" borderId="0" xfId="0" applyNumberFormat="1" applyFont="1" applyFill="1"/>
    <xf numFmtId="0" fontId="0" fillId="13" borderId="0" xfId="0" applyFill="1"/>
    <xf numFmtId="1" fontId="0" fillId="14" borderId="0" xfId="0" applyNumberFormat="1" applyFill="1"/>
    <xf numFmtId="1" fontId="0" fillId="14" borderId="2" xfId="0" applyNumberFormat="1" applyFill="1" applyBorder="1"/>
    <xf numFmtId="0" fontId="0" fillId="14" borderId="0" xfId="0" applyFill="1"/>
    <xf numFmtId="1" fontId="4" fillId="14" borderId="0" xfId="0" applyNumberFormat="1" applyFont="1" applyFill="1"/>
    <xf numFmtId="1" fontId="4" fillId="14" borderId="2" xfId="0" applyNumberFormat="1" applyFont="1" applyFill="1" applyBorder="1"/>
    <xf numFmtId="1" fontId="17" fillId="8" borderId="0" xfId="7" applyNumberFormat="1" applyBorder="1" applyAlignment="1"/>
    <xf numFmtId="1" fontId="15" fillId="6" borderId="4" xfId="4" applyNumberFormat="1" applyBorder="1" applyAlignment="1">
      <alignment horizontal="right"/>
    </xf>
    <xf numFmtId="1" fontId="17" fillId="8" borderId="4" xfId="7" applyNumberFormat="1" applyBorder="1" applyAlignment="1"/>
    <xf numFmtId="1" fontId="15" fillId="6" borderId="9" xfId="4" applyNumberFormat="1" applyBorder="1" applyAlignment="1">
      <alignment horizontal="right"/>
    </xf>
    <xf numFmtId="165" fontId="15" fillId="6" borderId="5" xfId="4" applyNumberFormat="1" applyBorder="1" applyAlignment="1">
      <alignment horizontal="right" vertical="center"/>
    </xf>
    <xf numFmtId="0" fontId="4" fillId="0" borderId="2" xfId="0" applyFont="1" applyBorder="1"/>
    <xf numFmtId="1" fontId="15" fillId="6" borderId="13" xfId="4" applyNumberFormat="1" applyBorder="1" applyAlignment="1">
      <alignment horizontal="right"/>
    </xf>
    <xf numFmtId="1" fontId="15" fillId="6" borderId="14" xfId="4" applyNumberFormat="1" applyBorder="1" applyAlignment="1">
      <alignment horizontal="right"/>
    </xf>
    <xf numFmtId="165" fontId="10" fillId="13" borderId="6" xfId="0" applyNumberFormat="1" applyFont="1" applyFill="1" applyBorder="1" applyAlignment="1">
      <alignment horizontal="left" vertical="center"/>
    </xf>
    <xf numFmtId="165" fontId="10" fillId="13" borderId="10" xfId="0" applyNumberFormat="1" applyFont="1" applyFill="1" applyBorder="1" applyAlignment="1">
      <alignment horizontal="left" vertical="center"/>
    </xf>
    <xf numFmtId="165" fontId="10" fillId="14" borderId="6" xfId="0" applyNumberFormat="1" applyFont="1" applyFill="1" applyBorder="1" applyAlignment="1">
      <alignment horizontal="left" vertical="center"/>
    </xf>
    <xf numFmtId="165" fontId="10" fillId="14" borderId="10" xfId="0" applyNumberFormat="1" applyFont="1" applyFill="1" applyBorder="1" applyAlignment="1">
      <alignment horizontal="left" vertical="center"/>
    </xf>
    <xf numFmtId="165" fontId="10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5" fillId="13" borderId="0" xfId="8" applyFont="1" applyFill="1"/>
    <xf numFmtId="2" fontId="5" fillId="13" borderId="0" xfId="0" applyNumberFormat="1" applyFont="1" applyFill="1"/>
    <xf numFmtId="0" fontId="24" fillId="0" borderId="0" xfId="0" applyFont="1"/>
    <xf numFmtId="0" fontId="4" fillId="16" borderId="0" xfId="0" applyFont="1" applyFill="1"/>
    <xf numFmtId="1" fontId="5" fillId="15" borderId="0" xfId="8" applyNumberFormat="1" applyFont="1" applyFill="1"/>
    <xf numFmtId="0" fontId="19" fillId="10" borderId="0" xfId="6" applyFont="1" applyFill="1" applyAlignment="1">
      <alignment wrapText="1"/>
    </xf>
    <xf numFmtId="0" fontId="5" fillId="0" borderId="0" xfId="11" applyAlignment="1">
      <alignment horizontal="left"/>
    </xf>
    <xf numFmtId="0" fontId="5" fillId="0" borderId="0" xfId="11" applyAlignment="1">
      <alignment horizontal="right"/>
    </xf>
    <xf numFmtId="0" fontId="22" fillId="0" borderId="0" xfId="0" applyFont="1"/>
    <xf numFmtId="0" fontId="4" fillId="2" borderId="1" xfId="11" applyFont="1" applyFill="1" applyBorder="1" applyAlignment="1">
      <alignment horizontal="left" vertical="center"/>
    </xf>
    <xf numFmtId="0" fontId="20" fillId="3" borderId="11" xfId="1" applyFont="1" applyBorder="1" applyAlignment="1">
      <alignment horizontal="center" wrapText="1"/>
    </xf>
    <xf numFmtId="2" fontId="0" fillId="0" borderId="0" xfId="0" applyNumberFormat="1"/>
    <xf numFmtId="0" fontId="14" fillId="4" borderId="0" xfId="2"/>
    <xf numFmtId="0" fontId="0" fillId="0" borderId="4" xfId="0" applyBorder="1"/>
    <xf numFmtId="1" fontId="17" fillId="8" borderId="1" xfId="7" applyNumberFormat="1" applyBorder="1" applyAlignment="1"/>
    <xf numFmtId="1" fontId="15" fillId="6" borderId="15" xfId="4" applyNumberFormat="1" applyBorder="1" applyAlignment="1">
      <alignment horizontal="right"/>
    </xf>
    <xf numFmtId="165" fontId="9" fillId="0" borderId="5" xfId="0" applyNumberFormat="1" applyFont="1" applyBorder="1" applyAlignment="1">
      <alignment horizontal="left" vertical="center"/>
    </xf>
    <xf numFmtId="165" fontId="10" fillId="11" borderId="10" xfId="0" applyNumberFormat="1" applyFont="1" applyFill="1" applyBorder="1" applyAlignment="1">
      <alignment horizontal="left" vertical="center"/>
    </xf>
    <xf numFmtId="165" fontId="9" fillId="0" borderId="7" xfId="0" applyNumberFormat="1" applyFont="1" applyBorder="1" applyAlignment="1">
      <alignment horizontal="left" vertical="center"/>
    </xf>
    <xf numFmtId="0" fontId="20" fillId="3" borderId="4" xfId="1" applyFont="1" applyBorder="1" applyAlignment="1">
      <alignment horizontal="left" wrapText="1"/>
    </xf>
    <xf numFmtId="0" fontId="4" fillId="2" borderId="1" xfId="11" applyFont="1" applyFill="1" applyBorder="1" applyAlignment="1">
      <alignment horizontal="left" vertical="center" wrapText="1"/>
    </xf>
    <xf numFmtId="1" fontId="5" fillId="13" borderId="0" xfId="8" applyNumberFormat="1" applyFont="1" applyFill="1"/>
    <xf numFmtId="0" fontId="4" fillId="2" borderId="1" xfId="0" applyFont="1" applyFill="1" applyBorder="1" applyAlignment="1">
      <alignment horizontal="center"/>
    </xf>
    <xf numFmtId="166" fontId="6" fillId="0" borderId="0" xfId="0" applyNumberFormat="1" applyFont="1"/>
    <xf numFmtId="166" fontId="5" fillId="0" borderId="0" xfId="0" applyNumberFormat="1" applyFont="1"/>
    <xf numFmtId="166" fontId="4" fillId="2" borderId="1" xfId="0" applyNumberFormat="1" applyFont="1" applyFill="1" applyBorder="1" applyAlignment="1">
      <alignment horizontal="left"/>
    </xf>
    <xf numFmtId="166" fontId="4" fillId="2" borderId="4" xfId="0" applyNumberFormat="1" applyFont="1" applyFill="1" applyBorder="1" applyAlignment="1">
      <alignment horizontal="left"/>
    </xf>
    <xf numFmtId="166" fontId="20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0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26" fillId="0" borderId="0" xfId="0" applyFont="1"/>
    <xf numFmtId="166" fontId="2" fillId="0" borderId="0" xfId="0" applyNumberFormat="1" applyFont="1"/>
    <xf numFmtId="0" fontId="0" fillId="17" borderId="0" xfId="0" applyFill="1"/>
    <xf numFmtId="0" fontId="4" fillId="2" borderId="1" xfId="23" applyFont="1" applyFill="1" applyBorder="1" applyAlignment="1">
      <alignment vertical="center"/>
    </xf>
    <xf numFmtId="0" fontId="2" fillId="18" borderId="0" xfId="23" applyFill="1" applyAlignment="1">
      <alignment horizontal="left" wrapText="1"/>
    </xf>
    <xf numFmtId="0" fontId="2" fillId="17" borderId="0" xfId="0" applyFont="1" applyFill="1" applyAlignment="1">
      <alignment horizontal="center"/>
    </xf>
    <xf numFmtId="0" fontId="4" fillId="2" borderId="1" xfId="23" applyFont="1" applyFill="1" applyBorder="1" applyAlignment="1">
      <alignment horizontal="left" vertical="center"/>
    </xf>
    <xf numFmtId="0" fontId="2" fillId="18" borderId="3" xfId="23" applyFill="1" applyBorder="1" applyAlignment="1">
      <alignment horizontal="center" wrapText="1"/>
    </xf>
    <xf numFmtId="0" fontId="6" fillId="0" borderId="0" xfId="26" applyFont="1" applyAlignment="1">
      <alignment horizontal="left"/>
    </xf>
    <xf numFmtId="1" fontId="2" fillId="0" borderId="0" xfId="0" applyNumberFormat="1" applyFont="1"/>
    <xf numFmtId="167" fontId="0" fillId="0" borderId="0" xfId="0" applyNumberFormat="1"/>
    <xf numFmtId="0" fontId="0" fillId="19" borderId="0" xfId="0" applyFill="1"/>
    <xf numFmtId="0" fontId="4" fillId="19" borderId="5" xfId="23" applyFont="1" applyFill="1" applyBorder="1" applyAlignment="1">
      <alignment horizontal="left" vertical="center" wrapText="1"/>
    </xf>
    <xf numFmtId="167" fontId="0" fillId="19" borderId="0" xfId="0" applyNumberFormat="1" applyFill="1"/>
    <xf numFmtId="167" fontId="2" fillId="20" borderId="5" xfId="0" applyNumberFormat="1" applyFont="1" applyFill="1" applyBorder="1"/>
    <xf numFmtId="0" fontId="2" fillId="20" borderId="5" xfId="0" applyFont="1" applyFill="1" applyBorder="1"/>
    <xf numFmtId="2" fontId="0" fillId="20" borderId="0" xfId="0" applyNumberFormat="1" applyFill="1"/>
    <xf numFmtId="168" fontId="0" fillId="0" borderId="0" xfId="0" applyNumberFormat="1"/>
    <xf numFmtId="0" fontId="2" fillId="0" borderId="0" xfId="0" applyFont="1"/>
    <xf numFmtId="2" fontId="2" fillId="13" borderId="0" xfId="0" applyNumberFormat="1" applyFont="1" applyFill="1"/>
    <xf numFmtId="2" fontId="2" fillId="0" borderId="0" xfId="0" applyNumberFormat="1" applyFont="1"/>
  </cellXfs>
  <cellStyles count="33">
    <cellStyle name="20% - Accent5" xfId="1" builtinId="46"/>
    <cellStyle name="20% - Accent5 2" xfId="21" xr:uid="{31757489-FEFA-449A-A288-159658577717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8" xfId="13" xr:uid="{00000000-0005-0000-0000-00000D000000}"/>
    <cellStyle name="Normal 8 2" xfId="27" xr:uid="{5BD2B853-133D-4D16-BC10-146423763DB9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46</xdr:row>
      <xdr:rowOff>101600</xdr:rowOff>
    </xdr:from>
    <xdr:to>
      <xdr:col>14</xdr:col>
      <xdr:colOff>181559</xdr:colOff>
      <xdr:row>53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654800" y="8655050"/>
          <a:ext cx="4486859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941704</xdr:colOff>
      <xdr:row>63</xdr:row>
      <xdr:rowOff>24130</xdr:rowOff>
    </xdr:from>
    <xdr:to>
      <xdr:col>17</xdr:col>
      <xdr:colOff>25504</xdr:colOff>
      <xdr:row>68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13762354" y="10952480"/>
          <a:ext cx="7148300" cy="7981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10</xdr:row>
      <xdr:rowOff>144780</xdr:rowOff>
    </xdr:from>
    <xdr:to>
      <xdr:col>4</xdr:col>
      <xdr:colOff>512435</xdr:colOff>
      <xdr:row>14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zoomScale="90" zoomScaleNormal="90" workbookViewId="0">
      <selection activeCell="F4" sqref="F4"/>
    </sheetView>
  </sheetViews>
  <sheetFormatPr defaultRowHeight="12.5" x14ac:dyDescent="0.25"/>
  <cols>
    <col min="1" max="1" width="3" bestFit="1" customWidth="1"/>
    <col min="2" max="2" width="5.453125" bestFit="1" customWidth="1"/>
    <col min="3" max="3" width="40.1796875" bestFit="1" customWidth="1"/>
    <col min="4" max="5" width="13.26953125" customWidth="1"/>
    <col min="6" max="6" width="15.453125" customWidth="1"/>
    <col min="7" max="11" width="13.26953125" customWidth="1"/>
    <col min="12" max="12" width="10.54296875" customWidth="1"/>
    <col min="13" max="13" width="10.81640625" customWidth="1"/>
    <col min="14" max="14" width="15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2:19" ht="13" x14ac:dyDescent="0.3">
      <c r="P1" s="15" t="s">
        <v>106</v>
      </c>
      <c r="Q1" s="1" t="s">
        <v>107</v>
      </c>
      <c r="R1" s="1" t="s">
        <v>108</v>
      </c>
      <c r="S1" s="1" t="s">
        <v>109</v>
      </c>
    </row>
    <row r="2" spans="2:19" ht="15.5" x14ac:dyDescent="0.35">
      <c r="D2" s="31" t="s">
        <v>46</v>
      </c>
      <c r="E2" s="31" t="s">
        <v>47</v>
      </c>
      <c r="F2" s="31" t="s">
        <v>48</v>
      </c>
      <c r="G2" s="31" t="s">
        <v>49</v>
      </c>
      <c r="H2" s="31" t="s">
        <v>50</v>
      </c>
      <c r="I2" s="31" t="s">
        <v>51</v>
      </c>
      <c r="J2" s="31" t="s">
        <v>52</v>
      </c>
      <c r="K2" s="31" t="s">
        <v>53</v>
      </c>
      <c r="L2" s="23"/>
      <c r="Q2" s="28" t="s">
        <v>115</v>
      </c>
      <c r="R2" s="9" t="s">
        <v>93</v>
      </c>
      <c r="S2" s="9" t="s">
        <v>110</v>
      </c>
    </row>
    <row r="3" spans="2:19" ht="26" x14ac:dyDescent="0.3">
      <c r="C3" s="6"/>
      <c r="D3" s="32" t="s">
        <v>54</v>
      </c>
      <c r="E3" s="32" t="s">
        <v>55</v>
      </c>
      <c r="F3" s="32" t="s">
        <v>136</v>
      </c>
      <c r="G3" s="32" t="s">
        <v>56</v>
      </c>
      <c r="H3" s="32" t="s">
        <v>57</v>
      </c>
      <c r="I3" s="32" t="s">
        <v>58</v>
      </c>
      <c r="J3" s="32" t="s">
        <v>59</v>
      </c>
      <c r="K3" s="32" t="s">
        <v>101</v>
      </c>
      <c r="L3" s="26" t="s">
        <v>60</v>
      </c>
    </row>
    <row r="4" spans="2:19" x14ac:dyDescent="0.25">
      <c r="C4" s="73" t="s">
        <v>61</v>
      </c>
      <c r="E4" s="70"/>
      <c r="F4" s="70"/>
      <c r="G4" s="6"/>
      <c r="H4" s="6"/>
      <c r="I4" s="6"/>
      <c r="J4" s="6"/>
      <c r="K4" s="6"/>
      <c r="L4" s="6"/>
    </row>
    <row r="5" spans="2:19" ht="14.5" x14ac:dyDescent="0.35">
      <c r="B5" s="33" t="s">
        <v>62</v>
      </c>
      <c r="C5" s="74" t="s">
        <v>63</v>
      </c>
      <c r="D5" s="71">
        <v>8098.3580000000002</v>
      </c>
      <c r="E5" s="29">
        <v>7899.4970000000003</v>
      </c>
      <c r="F5" s="29">
        <v>5378.5119999999997</v>
      </c>
      <c r="G5" s="29">
        <v>10775.148999999999</v>
      </c>
      <c r="H5" s="29">
        <v>5026.6000000000004</v>
      </c>
      <c r="I5" s="29">
        <v>0</v>
      </c>
      <c r="J5" s="29">
        <v>0</v>
      </c>
      <c r="K5" s="29">
        <v>0</v>
      </c>
      <c r="L5" s="30">
        <f>SUM(D5:K5)</f>
        <v>37178.115999999995</v>
      </c>
      <c r="P5" s="7"/>
    </row>
    <row r="6" spans="2:19" ht="14.5" x14ac:dyDescent="0.35">
      <c r="B6" s="33" t="s">
        <v>64</v>
      </c>
      <c r="C6" s="74" t="s">
        <v>65</v>
      </c>
      <c r="D6" s="42">
        <v>6462.6710000000003</v>
      </c>
      <c r="E6" s="29">
        <v>13291.728999999999</v>
      </c>
      <c r="F6" s="29">
        <v>39959.980000000003</v>
      </c>
      <c r="G6" s="29">
        <v>0</v>
      </c>
      <c r="H6" s="29">
        <v>113.01900000000001</v>
      </c>
      <c r="I6" s="29">
        <v>7.0000000000000001E-3</v>
      </c>
      <c r="J6" s="29">
        <v>0.153</v>
      </c>
      <c r="K6" s="29">
        <v>1167.52</v>
      </c>
      <c r="L6" s="30">
        <f>SUM(D6:K6)</f>
        <v>60995.078999999998</v>
      </c>
    </row>
    <row r="7" spans="2:19" ht="14.5" x14ac:dyDescent="0.35">
      <c r="B7" s="33" t="s">
        <v>66</v>
      </c>
      <c r="C7" s="74" t="s">
        <v>67</v>
      </c>
      <c r="D7" s="42">
        <v>-1147.069</v>
      </c>
      <c r="E7" s="29">
        <v>-2516.3310000000001</v>
      </c>
      <c r="F7" s="29">
        <v>-14830.662</v>
      </c>
      <c r="G7" s="29">
        <v>0</v>
      </c>
      <c r="H7" s="29">
        <v>-72.403999999999996</v>
      </c>
      <c r="I7" s="29">
        <v>0</v>
      </c>
      <c r="J7" s="29">
        <v>-0.129</v>
      </c>
      <c r="K7" s="29">
        <v>-1126.8040000000001</v>
      </c>
      <c r="L7" s="30">
        <f>SUM(D7:K7)</f>
        <v>-19693.399000000001</v>
      </c>
      <c r="P7" s="7"/>
    </row>
    <row r="8" spans="2:19" ht="14.5" x14ac:dyDescent="0.35">
      <c r="B8" s="69" t="s">
        <v>131</v>
      </c>
      <c r="C8" s="46" t="s">
        <v>132</v>
      </c>
      <c r="D8" s="44">
        <f t="shared" ref="D8:L8" si="0">SUM(D5:D7)</f>
        <v>13413.960000000001</v>
      </c>
      <c r="E8" s="48">
        <f t="shared" si="0"/>
        <v>18674.894999999997</v>
      </c>
      <c r="F8" s="48">
        <f t="shared" si="0"/>
        <v>30507.830000000005</v>
      </c>
      <c r="G8" s="48">
        <f t="shared" si="0"/>
        <v>10775.148999999999</v>
      </c>
      <c r="H8" s="48">
        <f t="shared" si="0"/>
        <v>5067.2150000000001</v>
      </c>
      <c r="I8" s="48">
        <f t="shared" si="0"/>
        <v>7.0000000000000001E-3</v>
      </c>
      <c r="J8" s="48">
        <f t="shared" si="0"/>
        <v>2.3999999999999994E-2</v>
      </c>
      <c r="K8" s="48">
        <f t="shared" si="0"/>
        <v>40.715999999999894</v>
      </c>
      <c r="L8" s="49">
        <f t="shared" si="0"/>
        <v>78479.795999999988</v>
      </c>
    </row>
    <row r="9" spans="2:19" ht="13" x14ac:dyDescent="0.3">
      <c r="B9" s="27"/>
      <c r="C9" s="75" t="s">
        <v>68</v>
      </c>
      <c r="D9" s="6"/>
      <c r="E9" s="6"/>
      <c r="F9" s="6"/>
      <c r="G9" s="6"/>
      <c r="H9" s="6"/>
      <c r="I9" s="6"/>
      <c r="J9" s="6"/>
      <c r="K9" s="6"/>
      <c r="L9" s="47"/>
    </row>
    <row r="10" spans="2:19" ht="13" x14ac:dyDescent="0.3">
      <c r="B10" s="33" t="s">
        <v>69</v>
      </c>
      <c r="C10" s="50" t="s">
        <v>70</v>
      </c>
      <c r="D10" s="34">
        <v>-57.637999999999998</v>
      </c>
      <c r="E10" s="34">
        <v>-792.98</v>
      </c>
      <c r="F10" s="34">
        <v>-1848.605</v>
      </c>
      <c r="G10" s="34">
        <v>0</v>
      </c>
      <c r="H10" s="34">
        <v>-4.2830000000000004</v>
      </c>
      <c r="I10" s="34">
        <v>-1.52</v>
      </c>
      <c r="J10" s="34">
        <v>0</v>
      </c>
      <c r="K10" s="34">
        <v>0</v>
      </c>
      <c r="L10" s="35">
        <f>SUM(D10:K10)</f>
        <v>-2705.0259999999998</v>
      </c>
    </row>
    <row r="11" spans="2:19" ht="13" x14ac:dyDescent="0.3">
      <c r="B11" s="33" t="s">
        <v>53</v>
      </c>
      <c r="C11" s="51" t="s">
        <v>71</v>
      </c>
      <c r="D11" s="34">
        <v>-9598.1200000000008</v>
      </c>
      <c r="E11" s="34">
        <v>-5635.5439999999999</v>
      </c>
      <c r="F11" s="34">
        <v>-1224.6089999999999</v>
      </c>
      <c r="G11" s="34">
        <v>-10775.148999999999</v>
      </c>
      <c r="H11" s="34">
        <v>-1255.692</v>
      </c>
      <c r="I11" s="34">
        <v>-32.948999999999998</v>
      </c>
      <c r="J11" s="34">
        <v>1737.559</v>
      </c>
      <c r="K11" s="34">
        <v>11581</v>
      </c>
      <c r="L11" s="35">
        <f>SUM(D11:K11)</f>
        <v>-15203.503999999997</v>
      </c>
    </row>
    <row r="12" spans="2:19" ht="13" x14ac:dyDescent="0.3">
      <c r="B12" s="33" t="s">
        <v>72</v>
      </c>
      <c r="C12" s="51" t="s">
        <v>73</v>
      </c>
      <c r="D12" s="34">
        <v>-161.39599999999999</v>
      </c>
      <c r="E12" s="34">
        <v>-301.30099999999999</v>
      </c>
      <c r="F12" s="34">
        <v>-49.649000000000001</v>
      </c>
      <c r="G12" s="34">
        <v>0</v>
      </c>
      <c r="H12" s="34">
        <v>-140.20699999999999</v>
      </c>
      <c r="I12" s="34">
        <v>-1.569</v>
      </c>
      <c r="J12" s="34">
        <v>658.74300000000005</v>
      </c>
      <c r="K12" s="34">
        <v>0</v>
      </c>
      <c r="L12" s="35">
        <f>SUM(D12:K12)</f>
        <v>4.6210000000000946</v>
      </c>
    </row>
    <row r="13" spans="2:19" ht="13" x14ac:dyDescent="0.3">
      <c r="B13" s="33" t="s">
        <v>74</v>
      </c>
      <c r="C13" s="51" t="s">
        <v>75</v>
      </c>
      <c r="D13" s="34"/>
      <c r="E13" s="34"/>
      <c r="F13" s="34">
        <v>-31736.460999999999</v>
      </c>
      <c r="G13" s="34"/>
      <c r="H13" s="34"/>
      <c r="I13" s="34"/>
      <c r="J13" s="34"/>
      <c r="K13" s="34"/>
      <c r="L13" s="35">
        <f>SUM(D13:K13)</f>
        <v>-31736.460999999999</v>
      </c>
    </row>
    <row r="14" spans="2:19" ht="14.5" x14ac:dyDescent="0.35">
      <c r="B14" s="27"/>
      <c r="C14" s="46" t="s">
        <v>76</v>
      </c>
      <c r="D14" s="72">
        <f t="shared" ref="D14:L14" si="1">SUM(D10:D13)</f>
        <v>-9817.1540000000023</v>
      </c>
      <c r="E14" s="48">
        <f t="shared" si="1"/>
        <v>-6729.8249999999998</v>
      </c>
      <c r="F14" s="48">
        <f t="shared" si="1"/>
        <v>-34859.324000000001</v>
      </c>
      <c r="G14" s="48">
        <f t="shared" si="1"/>
        <v>-10775.148999999999</v>
      </c>
      <c r="H14" s="48">
        <f t="shared" si="1"/>
        <v>-1400.1819999999998</v>
      </c>
      <c r="I14" s="48">
        <f t="shared" si="1"/>
        <v>-36.038000000000004</v>
      </c>
      <c r="J14" s="48">
        <f t="shared" si="1"/>
        <v>2396.3020000000001</v>
      </c>
      <c r="K14" s="48">
        <f t="shared" si="1"/>
        <v>11581</v>
      </c>
      <c r="L14" s="49">
        <f t="shared" si="1"/>
        <v>-49640.369999999995</v>
      </c>
    </row>
    <row r="15" spans="2:19" ht="13" x14ac:dyDescent="0.3">
      <c r="B15" s="27"/>
      <c r="C15" s="75" t="s">
        <v>77</v>
      </c>
      <c r="D15" s="6"/>
      <c r="E15" s="6"/>
      <c r="F15" s="6"/>
      <c r="G15" s="6"/>
      <c r="H15" s="6"/>
      <c r="I15" s="6"/>
      <c r="J15" s="6"/>
      <c r="K15" s="6"/>
      <c r="L15" s="47"/>
    </row>
    <row r="16" spans="2:19" ht="13" x14ac:dyDescent="0.3">
      <c r="B16" s="33" t="s">
        <v>78</v>
      </c>
      <c r="C16" s="52" t="s">
        <v>79</v>
      </c>
      <c r="D16" s="37">
        <v>356.55500000000001</v>
      </c>
      <c r="E16" s="37">
        <v>5159.7929999999997</v>
      </c>
      <c r="F16" s="37">
        <v>2289.2930000000001</v>
      </c>
      <c r="G16" s="37">
        <v>0</v>
      </c>
      <c r="H16" s="37">
        <v>1293.9269999999999</v>
      </c>
      <c r="I16" s="37">
        <v>0</v>
      </c>
      <c r="J16" s="37">
        <v>865.48500000000001</v>
      </c>
      <c r="K16" s="37">
        <v>2871.7420000000002</v>
      </c>
      <c r="L16" s="40">
        <f t="shared" ref="L16:L23" si="2">SUM(D16:K16)</f>
        <v>12836.795</v>
      </c>
    </row>
    <row r="17" spans="2:13" ht="13" x14ac:dyDescent="0.3">
      <c r="B17" s="33" t="s">
        <v>80</v>
      </c>
      <c r="C17" s="53" t="s">
        <v>81</v>
      </c>
      <c r="D17" s="37">
        <v>56.924999999999997</v>
      </c>
      <c r="E17" s="37">
        <v>1751.73</v>
      </c>
      <c r="F17" s="37">
        <v>854.81</v>
      </c>
      <c r="G17" s="37">
        <v>0</v>
      </c>
      <c r="H17" s="37">
        <v>67.406000000000006</v>
      </c>
      <c r="I17" s="37">
        <v>1.2170000000000001</v>
      </c>
      <c r="J17" s="37">
        <v>254.64599999999999</v>
      </c>
      <c r="K17" s="37">
        <v>2527.3910000000001</v>
      </c>
      <c r="L17" s="40">
        <f t="shared" si="2"/>
        <v>5514.125</v>
      </c>
    </row>
    <row r="18" spans="2:13" ht="13" x14ac:dyDescent="0.3">
      <c r="B18" s="33" t="s">
        <v>82</v>
      </c>
      <c r="C18" s="53" t="s">
        <v>83</v>
      </c>
      <c r="D18" s="37">
        <v>1896.9860000000001</v>
      </c>
      <c r="E18" s="37">
        <v>4437.1610000000001</v>
      </c>
      <c r="F18" s="37">
        <v>2016.1110000000001</v>
      </c>
      <c r="G18" s="37">
        <v>0</v>
      </c>
      <c r="H18" s="37">
        <v>721.67100000000005</v>
      </c>
      <c r="I18" s="37">
        <v>117.19199999999999</v>
      </c>
      <c r="J18" s="37">
        <v>633.58299999999997</v>
      </c>
      <c r="K18" s="37">
        <v>4088.444</v>
      </c>
      <c r="L18" s="40">
        <f t="shared" si="2"/>
        <v>13911.147999999999</v>
      </c>
    </row>
    <row r="19" spans="2:13" ht="13" x14ac:dyDescent="0.3">
      <c r="B19" s="33" t="s">
        <v>84</v>
      </c>
      <c r="C19" s="53" t="s">
        <v>85</v>
      </c>
      <c r="D19" s="37">
        <v>44.1</v>
      </c>
      <c r="E19" s="37">
        <v>201.20599999999999</v>
      </c>
      <c r="F19" s="37">
        <v>797.37199999999996</v>
      </c>
      <c r="G19" s="37">
        <v>0</v>
      </c>
      <c r="H19" s="37">
        <v>63.085999999999999</v>
      </c>
      <c r="I19" s="37">
        <v>1E-3</v>
      </c>
      <c r="J19" s="37">
        <v>15.574</v>
      </c>
      <c r="K19" s="37">
        <v>19.386000000000003</v>
      </c>
      <c r="L19" s="40">
        <f t="shared" si="2"/>
        <v>1140.7249999999999</v>
      </c>
    </row>
    <row r="20" spans="2:13" ht="13" x14ac:dyDescent="0.3">
      <c r="B20" s="33" t="s">
        <v>86</v>
      </c>
      <c r="C20" s="53" t="s">
        <v>87</v>
      </c>
      <c r="D20" s="37">
        <v>0.55600000000000005</v>
      </c>
      <c r="E20" s="37">
        <v>21.248999999999999</v>
      </c>
      <c r="F20" s="37">
        <v>14851.249</v>
      </c>
      <c r="G20" s="37">
        <v>0</v>
      </c>
      <c r="H20" s="37">
        <v>130.685</v>
      </c>
      <c r="I20" s="37">
        <v>0</v>
      </c>
      <c r="J20" s="37">
        <v>0</v>
      </c>
      <c r="K20" s="37">
        <v>265.97199999999998</v>
      </c>
      <c r="L20" s="40">
        <f t="shared" si="2"/>
        <v>15269.710999999999</v>
      </c>
    </row>
    <row r="21" spans="2:13" ht="13" x14ac:dyDescent="0.3">
      <c r="B21" s="33" t="s">
        <v>88</v>
      </c>
      <c r="C21" s="54" t="s">
        <v>89</v>
      </c>
      <c r="D21" s="38">
        <f>IF((SUM(D16:D20,D22:D23)-SUM(D10:D12))&gt;D8,0,(D8-SUM(D16:D20,D22:D23)+SUM(D10:D12)))</f>
        <v>1189.2309999999979</v>
      </c>
      <c r="E21" s="38">
        <f>IF((SUM(E16:E20,E22:E23)-SUM(E10:E12))&gt;E8,0,(E8-SUM(E16:E20,E22:E23)+SUM(E10:E12)))</f>
        <v>0</v>
      </c>
      <c r="F21" s="38">
        <v>392.53200000000402</v>
      </c>
      <c r="G21" s="38">
        <f>IF((SUM(G16:G20,G22:G23)-SUM(G10:G12))&gt;G8,0,(G8-SUM(G16:G20,G22:G23)+SUM(G10:G12)))</f>
        <v>0</v>
      </c>
      <c r="H21" s="38">
        <f>IF((SUM(H16:H20,H22:H23)-SUM(H10:H12))&gt;H8,0,(H8-SUM(H16:H20,H22:H23)+SUM(H10:H12)))</f>
        <v>1390.2580000000007</v>
      </c>
      <c r="I21" s="38">
        <f>IF((SUM(I16:I20,I22:I23)-SUM(I10:I12))&gt;I8,0,(I8-SUM(I16:I20,I22:I23)+SUM(I10:I12)))</f>
        <v>0</v>
      </c>
      <c r="J21" s="38">
        <f>IF((SUM(J16:J20,J22:J23)-SUM(J10:J12))&gt;J8,0,(J8-SUM(J16:J20,J22:J23)+SUM(J10:J12)))</f>
        <v>627.03800000000001</v>
      </c>
      <c r="K21" s="38">
        <v>650</v>
      </c>
      <c r="L21" s="41">
        <f t="shared" si="2"/>
        <v>4249.0590000000029</v>
      </c>
    </row>
    <row r="22" spans="2:13" ht="13" x14ac:dyDescent="0.3">
      <c r="B22" s="33" t="s">
        <v>99</v>
      </c>
      <c r="C22" s="53" t="s">
        <v>90</v>
      </c>
      <c r="D22" s="37">
        <v>52.453000000000003</v>
      </c>
      <c r="E22" s="37">
        <v>633.82299999999998</v>
      </c>
      <c r="F22" s="37">
        <v>4072.5079999999998</v>
      </c>
      <c r="G22" s="39"/>
      <c r="H22" s="37">
        <v>0</v>
      </c>
      <c r="I22" s="37">
        <v>0</v>
      </c>
      <c r="J22" s="37">
        <v>0</v>
      </c>
      <c r="K22" s="37">
        <v>0</v>
      </c>
      <c r="L22" s="40">
        <f t="shared" si="2"/>
        <v>4758.7839999999997</v>
      </c>
    </row>
    <row r="23" spans="2:13" ht="13" x14ac:dyDescent="0.3">
      <c r="B23" s="33" t="s">
        <v>100</v>
      </c>
      <c r="C23" s="53" t="s">
        <v>91</v>
      </c>
      <c r="D23" s="37">
        <v>0</v>
      </c>
      <c r="E23" s="37">
        <v>0</v>
      </c>
      <c r="F23" s="37">
        <v>2111.0920000000001</v>
      </c>
      <c r="G23" s="39"/>
      <c r="H23" s="37">
        <v>0</v>
      </c>
      <c r="I23" s="37">
        <v>0</v>
      </c>
      <c r="J23" s="37">
        <v>0</v>
      </c>
      <c r="K23" s="37">
        <v>0</v>
      </c>
      <c r="L23" s="40">
        <f t="shared" si="2"/>
        <v>2111.0920000000001</v>
      </c>
    </row>
    <row r="24" spans="2:13" ht="14.5" x14ac:dyDescent="0.35">
      <c r="B24" s="69" t="s">
        <v>102</v>
      </c>
      <c r="C24" s="46" t="s">
        <v>133</v>
      </c>
      <c r="D24" s="43">
        <f t="shared" ref="D24:L24" si="3">SUM(D16:D23)</f>
        <v>3596.8059999999982</v>
      </c>
      <c r="E24" s="43">
        <f t="shared" si="3"/>
        <v>12204.962</v>
      </c>
      <c r="F24" s="43">
        <f t="shared" si="3"/>
        <v>27384.967000000001</v>
      </c>
      <c r="G24" s="43">
        <f t="shared" si="3"/>
        <v>0</v>
      </c>
      <c r="H24" s="43">
        <f t="shared" si="3"/>
        <v>3667.0330000000004</v>
      </c>
      <c r="I24" s="43">
        <f t="shared" si="3"/>
        <v>118.41</v>
      </c>
      <c r="J24" s="43">
        <f t="shared" si="3"/>
        <v>2396.326</v>
      </c>
      <c r="K24" s="43">
        <f>SUM(K16:K23)</f>
        <v>10422.934999999999</v>
      </c>
      <c r="L24" s="45">
        <f t="shared" si="3"/>
        <v>59791.438999999998</v>
      </c>
    </row>
    <row r="25" spans="2:13" x14ac:dyDescent="0.25">
      <c r="D25" s="7"/>
      <c r="F25" s="7"/>
      <c r="G25" s="7"/>
      <c r="H25" s="7"/>
      <c r="I25" s="7"/>
      <c r="J25" s="7"/>
      <c r="K25" s="7"/>
      <c r="L25" s="7"/>
    </row>
    <row r="26" spans="2:13" x14ac:dyDescent="0.25">
      <c r="D26" s="7"/>
      <c r="F26" s="7"/>
      <c r="G26" s="7"/>
      <c r="H26" s="7"/>
      <c r="I26" s="7"/>
      <c r="J26" s="7"/>
      <c r="K26" s="7"/>
      <c r="L26" s="7"/>
      <c r="M26" s="7"/>
    </row>
    <row r="27" spans="2:13" ht="14.5" x14ac:dyDescent="0.35">
      <c r="C27" s="42" t="s">
        <v>116</v>
      </c>
      <c r="D27" s="42"/>
      <c r="E27" s="42"/>
      <c r="F27" s="7"/>
      <c r="G27" s="7"/>
      <c r="H27" s="7"/>
      <c r="I27" s="7"/>
      <c r="J27" s="7"/>
      <c r="K27" s="7"/>
      <c r="L27" s="7"/>
      <c r="M27" s="7"/>
    </row>
    <row r="28" spans="2:13" x14ac:dyDescent="0.25">
      <c r="D28" s="7"/>
      <c r="F28" s="7"/>
      <c r="G28" s="7"/>
      <c r="H28" s="7"/>
      <c r="I28" s="7"/>
      <c r="J28" s="7"/>
      <c r="K28" s="7"/>
      <c r="L28" s="7"/>
      <c r="M28" s="7"/>
    </row>
    <row r="29" spans="2:13" x14ac:dyDescent="0.25">
      <c r="D29" s="7"/>
      <c r="F29" s="7"/>
      <c r="G29" s="7"/>
      <c r="H29" s="7"/>
      <c r="I29" s="7"/>
      <c r="J29" s="7"/>
      <c r="K29" s="7"/>
      <c r="L29" s="7"/>
      <c r="M29" s="7"/>
    </row>
    <row r="30" spans="2:13" x14ac:dyDescent="0.25">
      <c r="D30" s="7"/>
      <c r="F30" s="7"/>
      <c r="G30" s="7"/>
      <c r="H30" s="7"/>
      <c r="I30" s="7"/>
      <c r="J30" s="7"/>
      <c r="K30" s="7"/>
      <c r="L30" s="7"/>
      <c r="M30" s="7"/>
    </row>
    <row r="31" spans="2:13" x14ac:dyDescent="0.25">
      <c r="D31" s="7"/>
      <c r="F31" s="7"/>
      <c r="G31" s="7"/>
      <c r="H31" s="7"/>
      <c r="I31" s="7"/>
      <c r="J31" s="7"/>
      <c r="K31" s="7"/>
      <c r="L31" s="7"/>
      <c r="M31" s="7"/>
    </row>
    <row r="32" spans="2:13" x14ac:dyDescent="0.25">
      <c r="D32" s="7"/>
      <c r="F32" s="7"/>
      <c r="G32" s="7"/>
      <c r="H32" s="7"/>
      <c r="I32" s="7"/>
      <c r="J32" s="7"/>
      <c r="K32" s="7"/>
      <c r="L32" s="7"/>
      <c r="M32" s="7"/>
    </row>
    <row r="33" spans="3:13" x14ac:dyDescent="0.25">
      <c r="D33" s="7"/>
      <c r="F33" s="7"/>
      <c r="G33" s="7"/>
      <c r="H33" s="7"/>
      <c r="I33" s="7"/>
      <c r="J33" s="7"/>
      <c r="K33" s="7"/>
      <c r="L33" s="7"/>
      <c r="M33" s="7"/>
    </row>
    <row r="34" spans="3:13" x14ac:dyDescent="0.25">
      <c r="D34" s="7"/>
      <c r="F34" s="7"/>
      <c r="G34" s="7"/>
      <c r="H34" s="7"/>
      <c r="I34" s="7"/>
      <c r="J34" s="7"/>
      <c r="K34" s="7"/>
      <c r="L34" s="7"/>
      <c r="M34" s="7"/>
    </row>
    <row r="35" spans="3:13" x14ac:dyDescent="0.25">
      <c r="D35" s="7"/>
      <c r="F35" s="7"/>
      <c r="G35" s="7"/>
      <c r="H35" s="7"/>
      <c r="I35" s="7"/>
      <c r="J35" s="7"/>
      <c r="K35" s="7"/>
      <c r="L35" s="7"/>
      <c r="M35" s="7"/>
    </row>
    <row r="36" spans="3:13" x14ac:dyDescent="0.25">
      <c r="D36" s="16" t="s">
        <v>46</v>
      </c>
      <c r="F36" s="7"/>
      <c r="G36" s="1"/>
      <c r="H36" s="1"/>
      <c r="I36" s="1"/>
      <c r="J36" s="1"/>
      <c r="K36" s="1"/>
      <c r="L36" s="1"/>
      <c r="M36" s="1"/>
    </row>
    <row r="37" spans="3:13" x14ac:dyDescent="0.25">
      <c r="C37" s="17" t="s">
        <v>111</v>
      </c>
      <c r="D37" s="18">
        <v>0.75</v>
      </c>
      <c r="F37" s="7"/>
      <c r="G37" s="21"/>
      <c r="H37" s="21"/>
      <c r="I37" s="21"/>
      <c r="J37" s="21"/>
      <c r="K37" s="21"/>
      <c r="L37" s="21"/>
      <c r="M37" s="21"/>
    </row>
    <row r="38" spans="3:13" x14ac:dyDescent="0.25">
      <c r="C38" s="19" t="s">
        <v>112</v>
      </c>
      <c r="D38" s="20">
        <v>0.25</v>
      </c>
      <c r="F38" s="7"/>
      <c r="G38" s="21"/>
      <c r="H38" s="21"/>
      <c r="I38" s="21"/>
      <c r="J38" s="21"/>
      <c r="K38" s="21"/>
      <c r="L38" s="21"/>
      <c r="M38" s="21"/>
    </row>
    <row r="39" spans="3:13" x14ac:dyDescent="0.25">
      <c r="C39" s="1"/>
      <c r="D39" s="21"/>
      <c r="F39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B15" sqref="B15"/>
    </sheetView>
  </sheetViews>
  <sheetFormatPr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4" max="14" width="5.453125" customWidth="1"/>
  </cols>
  <sheetData>
    <row r="2" spans="2:16" ht="18" x14ac:dyDescent="0.4">
      <c r="B2" s="59" t="s">
        <v>139</v>
      </c>
      <c r="K2" s="59"/>
    </row>
    <row r="3" spans="2:16" ht="18" x14ac:dyDescent="0.4">
      <c r="K3" s="59"/>
    </row>
    <row r="4" spans="2:16" ht="15.5" x14ac:dyDescent="0.35">
      <c r="B4" s="88" t="s">
        <v>137</v>
      </c>
    </row>
    <row r="5" spans="2:16" ht="13" x14ac:dyDescent="0.3">
      <c r="B5" s="23" t="s">
        <v>138</v>
      </c>
    </row>
    <row r="14" spans="2:16" ht="16.5" customHeight="1" x14ac:dyDescent="0.4">
      <c r="B14" s="59" t="s">
        <v>140</v>
      </c>
    </row>
    <row r="16" spans="2:16" ht="13" x14ac:dyDescent="0.3">
      <c r="D16" s="60" t="s">
        <v>134</v>
      </c>
      <c r="E16" s="60"/>
      <c r="F16" s="60"/>
      <c r="G16" s="60"/>
      <c r="H16" s="60"/>
      <c r="I16" s="60"/>
      <c r="J16" s="60"/>
      <c r="K16" s="60"/>
      <c r="L16" s="23"/>
      <c r="M16" s="23"/>
      <c r="N16" s="23"/>
      <c r="O16" s="23"/>
      <c r="P16" s="2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"/>
  <sheetViews>
    <sheetView tabSelected="1" zoomScale="70" zoomScaleNormal="70" workbookViewId="0">
      <selection activeCell="E26" sqref="E26"/>
    </sheetView>
  </sheetViews>
  <sheetFormatPr defaultRowHeight="12.5" x14ac:dyDescent="0.25"/>
  <cols>
    <col min="1" max="1" width="2" customWidth="1"/>
    <col min="2" max="2" width="21.08984375" customWidth="1"/>
    <col min="3" max="3" width="12.26953125" customWidth="1"/>
    <col min="4" max="4" width="17.1796875" bestFit="1" customWidth="1"/>
    <col min="5" max="5" width="19.453125" customWidth="1"/>
    <col min="6" max="6" width="8.26953125" customWidth="1"/>
    <col min="7" max="7" width="13.1796875" bestFit="1" customWidth="1"/>
    <col min="8" max="8" width="8.453125" bestFit="1" customWidth="1"/>
    <col min="9" max="9" width="13.7265625" bestFit="1" customWidth="1"/>
    <col min="10" max="10" width="21.54296875" customWidth="1"/>
    <col min="11" max="11" width="11.7265625" bestFit="1" customWidth="1"/>
    <col min="12" max="12" width="7.1796875" customWidth="1"/>
    <col min="13" max="13" width="23.36328125" customWidth="1"/>
    <col min="14" max="14" width="64.54296875" customWidth="1"/>
    <col min="15" max="15" width="12.90625" customWidth="1"/>
    <col min="16" max="16" width="11.54296875" customWidth="1"/>
    <col min="17" max="17" width="12.81640625" bestFit="1" customWidth="1"/>
    <col min="18" max="18" width="13.26953125" bestFit="1" customWidth="1"/>
    <col min="19" max="19" width="8" bestFit="1" customWidth="1"/>
  </cols>
  <sheetData>
    <row r="1" spans="2:19" ht="14.5" x14ac:dyDescent="0.35">
      <c r="B1" s="22"/>
      <c r="C1" s="22"/>
      <c r="D1" s="22"/>
      <c r="E1" s="22"/>
      <c r="F1" s="14"/>
      <c r="G1" s="22"/>
    </row>
    <row r="2" spans="2:19" ht="13" x14ac:dyDescent="0.3">
      <c r="B2" s="80" t="s">
        <v>14</v>
      </c>
      <c r="C2" s="80"/>
      <c r="D2" s="81"/>
      <c r="E2" s="81"/>
      <c r="F2" s="81"/>
      <c r="G2" s="81"/>
      <c r="H2" s="81"/>
      <c r="I2" s="81"/>
      <c r="J2" s="81"/>
    </row>
    <row r="3" spans="2:19" ht="13" x14ac:dyDescent="0.3">
      <c r="B3" s="82" t="s">
        <v>7</v>
      </c>
      <c r="C3" s="83" t="s">
        <v>30</v>
      </c>
      <c r="D3" s="82" t="s">
        <v>0</v>
      </c>
      <c r="E3" s="82" t="s">
        <v>3</v>
      </c>
      <c r="F3" s="82" t="s">
        <v>4</v>
      </c>
      <c r="G3" s="82" t="s">
        <v>8</v>
      </c>
      <c r="H3" s="82" t="s">
        <v>9</v>
      </c>
      <c r="I3" s="82" t="s">
        <v>10</v>
      </c>
      <c r="J3" s="82" t="s">
        <v>12</v>
      </c>
    </row>
    <row r="4" spans="2:19" ht="21" thickBot="1" x14ac:dyDescent="0.3">
      <c r="B4" s="84" t="s">
        <v>39</v>
      </c>
      <c r="C4" s="84" t="s">
        <v>31</v>
      </c>
      <c r="D4" s="84" t="s">
        <v>26</v>
      </c>
      <c r="E4" s="84" t="s">
        <v>27</v>
      </c>
      <c r="F4" s="84" t="s">
        <v>4</v>
      </c>
      <c r="G4" s="84" t="s">
        <v>42</v>
      </c>
      <c r="H4" s="84" t="s">
        <v>43</v>
      </c>
      <c r="I4" s="84" t="s">
        <v>28</v>
      </c>
      <c r="J4" s="84" t="s">
        <v>29</v>
      </c>
    </row>
    <row r="5" spans="2:19" x14ac:dyDescent="0.25">
      <c r="B5" s="81" t="s">
        <v>92</v>
      </c>
      <c r="C5" s="85"/>
      <c r="D5" s="89" t="s">
        <v>141</v>
      </c>
      <c r="E5" s="89" t="s">
        <v>142</v>
      </c>
      <c r="F5" s="89" t="s">
        <v>93</v>
      </c>
      <c r="G5" s="81"/>
      <c r="H5" s="81"/>
      <c r="I5" s="81"/>
      <c r="J5" s="81"/>
    </row>
    <row r="6" spans="2:19" x14ac:dyDescent="0.25">
      <c r="B6" s="81" t="s">
        <v>92</v>
      </c>
      <c r="C6" s="85"/>
      <c r="D6" s="89" t="s">
        <v>143</v>
      </c>
      <c r="E6" s="89" t="s">
        <v>144</v>
      </c>
      <c r="F6" s="89" t="s">
        <v>93</v>
      </c>
      <c r="G6" s="81"/>
      <c r="H6" s="81"/>
      <c r="I6" s="81"/>
      <c r="J6" s="81"/>
    </row>
    <row r="7" spans="2:19" x14ac:dyDescent="0.25">
      <c r="B7" s="81" t="s">
        <v>92</v>
      </c>
      <c r="C7" s="85"/>
      <c r="D7" s="89" t="s">
        <v>145</v>
      </c>
      <c r="E7" s="89" t="s">
        <v>55</v>
      </c>
      <c r="F7" s="89" t="s">
        <v>93</v>
      </c>
      <c r="G7" s="81"/>
      <c r="H7" s="81"/>
      <c r="I7" s="81"/>
      <c r="J7" s="81"/>
    </row>
    <row r="8" spans="2:19" x14ac:dyDescent="0.25">
      <c r="B8" s="81" t="s">
        <v>92</v>
      </c>
      <c r="C8" s="85"/>
      <c r="D8" s="89" t="s">
        <v>146</v>
      </c>
      <c r="E8" s="89" t="s">
        <v>147</v>
      </c>
      <c r="F8" s="89" t="s">
        <v>93</v>
      </c>
      <c r="G8" s="81"/>
      <c r="H8" s="81"/>
      <c r="I8" s="81"/>
      <c r="J8" s="81"/>
    </row>
    <row r="9" spans="2:19" x14ac:dyDescent="0.25">
      <c r="B9" s="89" t="s">
        <v>92</v>
      </c>
      <c r="C9" s="85"/>
      <c r="D9" s="89" t="s">
        <v>178</v>
      </c>
      <c r="E9" s="89" t="s">
        <v>176</v>
      </c>
      <c r="F9" s="89" t="s">
        <v>93</v>
      </c>
      <c r="G9" s="81"/>
      <c r="H9" s="81"/>
      <c r="I9" s="81"/>
      <c r="J9" s="81"/>
    </row>
    <row r="10" spans="2:19" x14ac:dyDescent="0.25">
      <c r="B10" s="81" t="s">
        <v>92</v>
      </c>
      <c r="C10" s="85"/>
      <c r="D10" s="89" t="s">
        <v>53</v>
      </c>
      <c r="E10" s="89" t="s">
        <v>148</v>
      </c>
      <c r="F10" s="89" t="s">
        <v>93</v>
      </c>
      <c r="G10" s="81"/>
      <c r="H10" s="81"/>
      <c r="I10" s="81"/>
      <c r="J10" s="89" t="s">
        <v>53</v>
      </c>
    </row>
    <row r="12" spans="2:19" x14ac:dyDescent="0.25">
      <c r="K12" s="81"/>
      <c r="L12" s="85"/>
      <c r="M12" s="81"/>
      <c r="N12" s="81"/>
      <c r="O12" s="81"/>
      <c r="P12" s="81"/>
      <c r="Q12" s="81"/>
      <c r="R12" s="81"/>
      <c r="S12" s="81"/>
    </row>
    <row r="13" spans="2:19" ht="13" x14ac:dyDescent="0.3">
      <c r="B13" s="80" t="s">
        <v>15</v>
      </c>
      <c r="C13" s="80"/>
      <c r="D13" s="85"/>
      <c r="E13" s="85"/>
      <c r="F13" s="85"/>
      <c r="G13" s="85"/>
      <c r="H13" s="85"/>
      <c r="I13" s="85"/>
      <c r="J13" s="85"/>
      <c r="K13" s="1"/>
      <c r="M13" s="1"/>
      <c r="N13" s="1"/>
      <c r="O13" s="1"/>
      <c r="P13" s="1"/>
      <c r="Q13" s="1"/>
      <c r="R13" s="1"/>
      <c r="S13" s="1"/>
    </row>
    <row r="14" spans="2:19" ht="13" x14ac:dyDescent="0.3">
      <c r="B14" s="82" t="s">
        <v>11</v>
      </c>
      <c r="C14" s="83" t="s">
        <v>30</v>
      </c>
      <c r="D14" s="82" t="s">
        <v>1</v>
      </c>
      <c r="E14" s="82" t="s">
        <v>2</v>
      </c>
      <c r="F14" s="82" t="s">
        <v>16</v>
      </c>
      <c r="G14" s="82" t="s">
        <v>17</v>
      </c>
      <c r="H14" s="82" t="s">
        <v>18</v>
      </c>
      <c r="I14" s="82" t="s">
        <v>19</v>
      </c>
      <c r="J14" s="82" t="s">
        <v>20</v>
      </c>
    </row>
    <row r="15" spans="2:19" ht="41" thickBot="1" x14ac:dyDescent="0.3">
      <c r="B15" s="84" t="s">
        <v>40</v>
      </c>
      <c r="C15" s="84" t="s">
        <v>31</v>
      </c>
      <c r="D15" s="84" t="s">
        <v>21</v>
      </c>
      <c r="E15" s="84" t="s">
        <v>22</v>
      </c>
      <c r="F15" s="84" t="s">
        <v>23</v>
      </c>
      <c r="G15" s="84" t="s">
        <v>24</v>
      </c>
      <c r="H15" s="84" t="s">
        <v>45</v>
      </c>
      <c r="I15" s="84" t="s">
        <v>44</v>
      </c>
      <c r="J15" s="84" t="s">
        <v>25</v>
      </c>
    </row>
    <row r="16" spans="2:19" ht="13" thickBot="1" x14ac:dyDescent="0.3">
      <c r="B16" s="84" t="s">
        <v>96</v>
      </c>
      <c r="C16" s="86"/>
      <c r="D16" s="86"/>
      <c r="E16" s="86"/>
      <c r="F16" s="86"/>
      <c r="G16" s="86"/>
      <c r="H16" s="86"/>
      <c r="I16" s="86"/>
      <c r="J16" s="86"/>
    </row>
    <row r="17" spans="1:20" x14ac:dyDescent="0.25">
      <c r="B17" s="85" t="str">
        <f>EnergyBalance!$B$6</f>
        <v>IMP</v>
      </c>
      <c r="C17" s="85"/>
      <c r="D17" s="85" t="str">
        <f>$B$17&amp;$D5</f>
        <v>IMPCOACC</v>
      </c>
      <c r="E17" s="87" t="str">
        <f>"Import of "&amp;E5</f>
        <v>Import of Coking Coal</v>
      </c>
      <c r="F17" t="str">
        <f>F5&amp;"/a"</f>
        <v>PJ/a</v>
      </c>
      <c r="G17" s="85"/>
      <c r="H17" s="85"/>
      <c r="I17" s="85"/>
      <c r="J17" s="85"/>
    </row>
    <row r="18" spans="1:20" x14ac:dyDescent="0.25">
      <c r="B18" s="85" t="str">
        <f>EnergyBalance!$B$6</f>
        <v>IMP</v>
      </c>
      <c r="C18" s="85"/>
      <c r="D18" s="85" t="str">
        <f>$B$17&amp;$D6</f>
        <v>IMPCOANC</v>
      </c>
      <c r="E18" s="87" t="str">
        <f>"Import of "&amp;E6</f>
        <v>Import of Non Coking Coal</v>
      </c>
      <c r="F18" t="str">
        <f>F6&amp;"/a"</f>
        <v>PJ/a</v>
      </c>
      <c r="G18" s="85"/>
      <c r="H18" s="85"/>
      <c r="I18" s="85"/>
      <c r="J18" s="85"/>
    </row>
    <row r="19" spans="1:20" x14ac:dyDescent="0.25">
      <c r="B19" s="85" t="str">
        <f>EnergyBalance!$B$6</f>
        <v>IMP</v>
      </c>
      <c r="C19" s="85"/>
      <c r="D19" s="85" t="str">
        <f>$B$17&amp;$D7</f>
        <v>IMPGASNG</v>
      </c>
      <c r="E19" s="87" t="str">
        <f>"Import of "&amp;E7</f>
        <v>Import of Natural Gas</v>
      </c>
      <c r="F19" t="str">
        <f>F7&amp;"/a"</f>
        <v>PJ/a</v>
      </c>
    </row>
    <row r="20" spans="1:20" x14ac:dyDescent="0.25">
      <c r="B20" s="85" t="str">
        <f>EnergyBalance!$B$6</f>
        <v>IMP</v>
      </c>
      <c r="C20" s="85"/>
      <c r="D20" s="85" t="str">
        <f>$B$17&amp;$D8</f>
        <v>IMPH2O</v>
      </c>
      <c r="E20" s="87" t="str">
        <f>"Import of "&amp;E8</f>
        <v>Import of Hydrogen</v>
      </c>
      <c r="F20" t="str">
        <f>F8&amp;"/a"</f>
        <v>PJ/a</v>
      </c>
    </row>
    <row r="21" spans="1:20" x14ac:dyDescent="0.25">
      <c r="B21" s="85" t="str">
        <f>EnergyBalance!$B$6</f>
        <v>IMP</v>
      </c>
      <c r="C21" s="85"/>
      <c r="D21" s="85" t="str">
        <f>$B$17&amp;$D10</f>
        <v>IMPELC</v>
      </c>
      <c r="E21" s="87" t="str">
        <f>"Import of "&amp;E10</f>
        <v>Import of Electrcity</v>
      </c>
      <c r="F21" t="str">
        <f>F10&amp;"/a"</f>
        <v>PJ/a</v>
      </c>
    </row>
    <row r="22" spans="1:20" x14ac:dyDescent="0.25">
      <c r="B22" s="106"/>
      <c r="D22" s="85"/>
      <c r="E22" s="106"/>
    </row>
    <row r="23" spans="1:20" x14ac:dyDescent="0.25">
      <c r="B23" s="106"/>
      <c r="D23" s="85"/>
      <c r="E23" s="106"/>
    </row>
    <row r="29" spans="1:20" s="1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x14ac:dyDescent="0.25">
      <c r="T30" s="1"/>
    </row>
    <row r="31" spans="1:20" x14ac:dyDescent="0.25">
      <c r="A31" s="1"/>
    </row>
    <row r="33" spans="2:8" ht="13" x14ac:dyDescent="0.3">
      <c r="F33" s="5" t="s">
        <v>13</v>
      </c>
      <c r="H33" s="5"/>
    </row>
    <row r="34" spans="2:8" ht="13" x14ac:dyDescent="0.3">
      <c r="B34" s="2" t="s">
        <v>1</v>
      </c>
      <c r="C34" s="13" t="s">
        <v>5</v>
      </c>
      <c r="D34" s="2" t="s">
        <v>6</v>
      </c>
      <c r="E34" s="2" t="s">
        <v>8</v>
      </c>
      <c r="F34" s="79" t="s">
        <v>36</v>
      </c>
      <c r="G34" s="79" t="s">
        <v>37</v>
      </c>
      <c r="H34" s="79" t="s">
        <v>94</v>
      </c>
    </row>
    <row r="35" spans="2:8" ht="31" thickBot="1" x14ac:dyDescent="0.3">
      <c r="B35" s="11" t="s">
        <v>41</v>
      </c>
      <c r="C35" s="11" t="s">
        <v>32</v>
      </c>
      <c r="D35" s="11" t="s">
        <v>33</v>
      </c>
      <c r="E35" s="11"/>
      <c r="F35" s="11" t="s">
        <v>38</v>
      </c>
      <c r="G35" s="11" t="s">
        <v>105</v>
      </c>
      <c r="H35" s="11" t="s">
        <v>104</v>
      </c>
    </row>
    <row r="36" spans="2:8" ht="13" thickBot="1" x14ac:dyDescent="0.3">
      <c r="B36" s="11" t="s">
        <v>103</v>
      </c>
      <c r="C36" s="10"/>
      <c r="D36" s="10"/>
      <c r="E36" s="10"/>
      <c r="F36" s="10" t="e">
        <f>#REF!</f>
        <v>#REF!</v>
      </c>
      <c r="G36" s="10" t="s">
        <v>149</v>
      </c>
      <c r="H36" s="10" t="e">
        <f>#REF!</f>
        <v>#REF!</v>
      </c>
    </row>
    <row r="37" spans="2:8" x14ac:dyDescent="0.25">
      <c r="B37" s="1" t="str">
        <f t="shared" ref="B37:B41" si="0">D17</f>
        <v>IMPCOACC</v>
      </c>
      <c r="C37" s="1"/>
      <c r="D37" s="81" t="str">
        <f>$D5</f>
        <v>COACC</v>
      </c>
      <c r="E37" s="1"/>
      <c r="F37" s="1"/>
      <c r="G37" s="58">
        <f>G38*1.1</f>
        <v>110.00000000000001</v>
      </c>
    </row>
    <row r="38" spans="2:8" x14ac:dyDescent="0.25">
      <c r="B38" s="1" t="str">
        <f t="shared" si="0"/>
        <v>IMPCOANC</v>
      </c>
      <c r="C38" s="1"/>
      <c r="D38" s="81" t="str">
        <f>$D6</f>
        <v>COANC</v>
      </c>
      <c r="E38" s="1"/>
      <c r="F38" s="1"/>
      <c r="G38" s="58">
        <v>100</v>
      </c>
      <c r="H38" s="55"/>
    </row>
    <row r="39" spans="2:8" x14ac:dyDescent="0.25">
      <c r="B39" s="1" t="str">
        <f t="shared" si="0"/>
        <v>IMPGASNG</v>
      </c>
      <c r="C39" s="1"/>
      <c r="D39" s="81" t="str">
        <f>$D7</f>
        <v>GASNG</v>
      </c>
      <c r="E39" s="1"/>
      <c r="F39" s="1"/>
      <c r="G39" s="58">
        <f>G38*1.5</f>
        <v>150</v>
      </c>
      <c r="H39" s="78"/>
    </row>
    <row r="40" spans="2:8" x14ac:dyDescent="0.25">
      <c r="B40" s="1" t="str">
        <f t="shared" si="0"/>
        <v>IMPH2O</v>
      </c>
      <c r="C40" s="1"/>
      <c r="D40" s="81" t="str">
        <f>$D8</f>
        <v>H2O</v>
      </c>
      <c r="E40" s="1"/>
      <c r="F40" s="1"/>
      <c r="G40" s="58">
        <f>G38*6</f>
        <v>600</v>
      </c>
    </row>
    <row r="41" spans="2:8" x14ac:dyDescent="0.25">
      <c r="B41" s="1" t="str">
        <f t="shared" si="0"/>
        <v>IMPELC</v>
      </c>
      <c r="C41" s="1"/>
      <c r="D41" s="81" t="str">
        <f>$D10</f>
        <v>ELC</v>
      </c>
      <c r="E41" s="1"/>
      <c r="F41" s="1"/>
      <c r="G41" s="58">
        <f>G38*4</f>
        <v>400</v>
      </c>
    </row>
    <row r="42" spans="2:8" x14ac:dyDescent="0.25">
      <c r="B42" s="1"/>
      <c r="C42" s="85"/>
      <c r="D42" s="85"/>
      <c r="G42" s="107"/>
    </row>
    <row r="43" spans="2:8" x14ac:dyDescent="0.25">
      <c r="B43" s="1"/>
      <c r="C43" s="85"/>
      <c r="D43" s="85"/>
      <c r="G43" s="107"/>
    </row>
    <row r="46" spans="2:8" x14ac:dyDescent="0.25">
      <c r="B46" s="57"/>
      <c r="C46" s="1" t="s">
        <v>117</v>
      </c>
    </row>
    <row r="47" spans="2:8" x14ac:dyDescent="0.25">
      <c r="B47" s="56"/>
      <c r="C47" s="1" t="s">
        <v>118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3"/>
  <sheetViews>
    <sheetView zoomScale="80" zoomScaleNormal="80" workbookViewId="0">
      <selection activeCell="E22" sqref="E22"/>
    </sheetView>
  </sheetViews>
  <sheetFormatPr defaultRowHeight="12.5" x14ac:dyDescent="0.25"/>
  <cols>
    <col min="1" max="1" width="3" customWidth="1"/>
    <col min="2" max="2" width="23.81640625" customWidth="1"/>
    <col min="3" max="3" width="15" customWidth="1"/>
    <col min="4" max="4" width="13.81640625" bestFit="1" customWidth="1"/>
    <col min="5" max="5" width="64.08984375" customWidth="1"/>
    <col min="6" max="6" width="12.1796875" bestFit="1" customWidth="1"/>
    <col min="7" max="7" width="10.36328125" customWidth="1"/>
    <col min="8" max="8" width="16.08984375" customWidth="1"/>
    <col min="9" max="9" width="14.1796875" customWidth="1"/>
    <col min="10" max="10" width="11" customWidth="1"/>
    <col min="11" max="11" width="14.1796875" customWidth="1"/>
    <col min="12" max="12" width="12.7265625" bestFit="1" customWidth="1"/>
    <col min="13" max="13" width="16" customWidth="1"/>
    <col min="14" max="14" width="11.453125" bestFit="1" customWidth="1"/>
    <col min="15" max="15" width="42.54296875" bestFit="1" customWidth="1"/>
    <col min="16" max="16" width="6.81640625" customWidth="1"/>
    <col min="17" max="17" width="11.7265625" customWidth="1"/>
    <col min="18" max="18" width="13.453125" customWidth="1"/>
    <col min="19" max="19" width="13.81640625" customWidth="1"/>
    <col min="20" max="20" width="8.453125" customWidth="1"/>
  </cols>
  <sheetData>
    <row r="1" spans="2:15" ht="14.5" x14ac:dyDescent="0.35">
      <c r="B1" s="8"/>
      <c r="C1" s="8"/>
      <c r="D1" s="8"/>
      <c r="E1" s="8"/>
      <c r="F1" s="8"/>
      <c r="H1" s="8"/>
    </row>
    <row r="2" spans="2:15" ht="15.5" x14ac:dyDescent="0.35">
      <c r="B2" s="9"/>
      <c r="C2" s="62"/>
      <c r="D2" s="62"/>
      <c r="E2" s="9"/>
      <c r="F2" s="9"/>
      <c r="H2" s="9"/>
    </row>
    <row r="3" spans="2:15" ht="13" x14ac:dyDescent="0.3">
      <c r="B3" s="80" t="s">
        <v>14</v>
      </c>
      <c r="C3" s="80"/>
      <c r="D3" s="81"/>
      <c r="E3" s="81"/>
      <c r="F3" s="81"/>
      <c r="G3" s="81"/>
      <c r="H3" s="81"/>
      <c r="I3" s="81"/>
      <c r="J3" s="81"/>
    </row>
    <row r="4" spans="2:15" ht="13" x14ac:dyDescent="0.3">
      <c r="B4" s="82" t="s">
        <v>7</v>
      </c>
      <c r="C4" s="83" t="s">
        <v>30</v>
      </c>
      <c r="D4" s="82" t="s">
        <v>0</v>
      </c>
      <c r="E4" s="82" t="s">
        <v>3</v>
      </c>
      <c r="F4" s="82" t="s">
        <v>4</v>
      </c>
      <c r="G4" s="82" t="s">
        <v>8</v>
      </c>
      <c r="H4" s="82" t="s">
        <v>9</v>
      </c>
      <c r="I4" s="82" t="s">
        <v>10</v>
      </c>
      <c r="J4" s="82" t="s">
        <v>12</v>
      </c>
    </row>
    <row r="5" spans="2:15" ht="21" thickBot="1" x14ac:dyDescent="0.3">
      <c r="B5" s="84" t="s">
        <v>39</v>
      </c>
      <c r="C5" s="84" t="s">
        <v>31</v>
      </c>
      <c r="D5" s="84" t="s">
        <v>26</v>
      </c>
      <c r="E5" s="84" t="s">
        <v>27</v>
      </c>
      <c r="F5" s="84" t="s">
        <v>4</v>
      </c>
      <c r="G5" s="84" t="s">
        <v>42</v>
      </c>
      <c r="H5" s="84" t="s">
        <v>43</v>
      </c>
      <c r="I5" s="84" t="s">
        <v>28</v>
      </c>
      <c r="J5" s="84" t="s">
        <v>29</v>
      </c>
    </row>
    <row r="6" spans="2:15" x14ac:dyDescent="0.25">
      <c r="B6" s="81" t="s">
        <v>98</v>
      </c>
      <c r="C6" s="85"/>
      <c r="D6" s="81" t="s">
        <v>150</v>
      </c>
      <c r="E6" s="81" t="s">
        <v>151</v>
      </c>
      <c r="F6" s="81" t="s">
        <v>152</v>
      </c>
      <c r="G6" s="81"/>
      <c r="H6" s="81"/>
      <c r="I6" s="81"/>
      <c r="J6" s="81"/>
    </row>
    <row r="9" spans="2:15" ht="13" x14ac:dyDescent="0.3">
      <c r="B9" s="80" t="s">
        <v>15</v>
      </c>
      <c r="C9" s="80"/>
      <c r="D9" s="85"/>
      <c r="E9" s="85"/>
      <c r="F9" s="85"/>
      <c r="G9" s="85"/>
      <c r="H9" s="85"/>
      <c r="I9" s="85"/>
      <c r="J9" s="85"/>
    </row>
    <row r="10" spans="2:15" ht="13" x14ac:dyDescent="0.3">
      <c r="B10" s="82" t="s">
        <v>11</v>
      </c>
      <c r="C10" s="83" t="s">
        <v>30</v>
      </c>
      <c r="D10" s="82" t="s">
        <v>1</v>
      </c>
      <c r="E10" s="82" t="s">
        <v>2</v>
      </c>
      <c r="F10" s="82" t="s">
        <v>16</v>
      </c>
      <c r="G10" s="82" t="s">
        <v>17</v>
      </c>
      <c r="H10" s="82" t="s">
        <v>18</v>
      </c>
      <c r="I10" s="82" t="s">
        <v>19</v>
      </c>
      <c r="J10" s="82" t="s">
        <v>20</v>
      </c>
    </row>
    <row r="11" spans="2:15" ht="21" thickBot="1" x14ac:dyDescent="0.3">
      <c r="B11" s="84" t="s">
        <v>40</v>
      </c>
      <c r="C11" s="84" t="s">
        <v>31</v>
      </c>
      <c r="D11" s="84" t="s">
        <v>21</v>
      </c>
      <c r="E11" s="84" t="s">
        <v>22</v>
      </c>
      <c r="F11" s="84" t="s">
        <v>23</v>
      </c>
      <c r="G11" s="84" t="s">
        <v>24</v>
      </c>
      <c r="H11" s="84" t="s">
        <v>45</v>
      </c>
      <c r="I11" s="84" t="s">
        <v>44</v>
      </c>
      <c r="J11" s="84" t="s">
        <v>25</v>
      </c>
    </row>
    <row r="12" spans="2:15" ht="13" thickBot="1" x14ac:dyDescent="0.3">
      <c r="B12" s="84" t="s">
        <v>96</v>
      </c>
      <c r="C12" s="84"/>
      <c r="D12" s="84"/>
      <c r="E12" s="84"/>
      <c r="F12" s="84"/>
      <c r="G12" s="84"/>
      <c r="H12" s="84"/>
      <c r="I12" s="84"/>
      <c r="J12" s="84"/>
    </row>
    <row r="13" spans="2:15" x14ac:dyDescent="0.25">
      <c r="B13" s="81" t="s">
        <v>130</v>
      </c>
      <c r="C13" s="85"/>
      <c r="D13" s="85" t="s">
        <v>153</v>
      </c>
      <c r="E13" s="89" t="s">
        <v>169</v>
      </c>
      <c r="F13" s="90" t="s">
        <v>152</v>
      </c>
      <c r="G13" s="90" t="s">
        <v>154</v>
      </c>
      <c r="H13" s="85"/>
      <c r="I13" s="85"/>
      <c r="J13" s="85"/>
      <c r="L13" s="1"/>
    </row>
    <row r="14" spans="2:15" x14ac:dyDescent="0.25">
      <c r="D14" t="s">
        <v>164</v>
      </c>
      <c r="E14" s="97" t="s">
        <v>170</v>
      </c>
      <c r="F14" s="90" t="s">
        <v>152</v>
      </c>
      <c r="G14" s="90" t="s">
        <v>154</v>
      </c>
      <c r="I14" s="68"/>
      <c r="O14" s="14"/>
    </row>
    <row r="15" spans="2:15" x14ac:dyDescent="0.25">
      <c r="D15" t="s">
        <v>165</v>
      </c>
      <c r="E15" s="97" t="s">
        <v>171</v>
      </c>
      <c r="F15" s="90" t="s">
        <v>152</v>
      </c>
      <c r="G15" s="90" t="s">
        <v>154</v>
      </c>
      <c r="I15" s="68"/>
      <c r="O15" s="14"/>
    </row>
    <row r="16" spans="2:15" x14ac:dyDescent="0.25">
      <c r="D16" t="s">
        <v>166</v>
      </c>
      <c r="E16" s="7" t="s">
        <v>167</v>
      </c>
      <c r="F16" s="90" t="s">
        <v>152</v>
      </c>
      <c r="G16" s="90" t="s">
        <v>154</v>
      </c>
      <c r="I16" s="68"/>
      <c r="O16" s="14"/>
    </row>
    <row r="17" spans="2:15" x14ac:dyDescent="0.25">
      <c r="D17" t="s">
        <v>168</v>
      </c>
      <c r="E17" s="97" t="s">
        <v>172</v>
      </c>
      <c r="F17" s="90" t="s">
        <v>152</v>
      </c>
      <c r="G17" s="90" t="s">
        <v>154</v>
      </c>
      <c r="I17" s="68"/>
      <c r="O17" s="14"/>
    </row>
    <row r="18" spans="2:15" x14ac:dyDescent="0.25">
      <c r="B18" s="106" t="s">
        <v>177</v>
      </c>
      <c r="D18" t="s">
        <v>184</v>
      </c>
      <c r="E18" s="7" t="s">
        <v>179</v>
      </c>
      <c r="F18" s="108" t="s">
        <v>93</v>
      </c>
      <c r="G18" s="108" t="s">
        <v>186</v>
      </c>
      <c r="I18" s="68"/>
      <c r="O18" s="14"/>
    </row>
    <row r="19" spans="2:15" x14ac:dyDescent="0.25">
      <c r="D19" t="s">
        <v>185</v>
      </c>
      <c r="E19" t="s">
        <v>180</v>
      </c>
      <c r="F19" s="108" t="s">
        <v>93</v>
      </c>
      <c r="G19" s="108" t="s">
        <v>186</v>
      </c>
    </row>
    <row r="21" spans="2:15" x14ac:dyDescent="0.25">
      <c r="I21" s="65"/>
    </row>
    <row r="22" spans="2:15" x14ac:dyDescent="0.25">
      <c r="I22" s="65"/>
    </row>
    <row r="24" spans="2:15" ht="13" x14ac:dyDescent="0.3">
      <c r="D24" s="5" t="s">
        <v>13</v>
      </c>
      <c r="E24" s="5"/>
      <c r="F24" s="5"/>
      <c r="H24" s="5"/>
      <c r="I24" s="63"/>
      <c r="J24" s="64"/>
    </row>
    <row r="25" spans="2:15" ht="13" x14ac:dyDescent="0.25">
      <c r="B25" s="66" t="s">
        <v>1</v>
      </c>
      <c r="C25" s="66" t="s">
        <v>5</v>
      </c>
      <c r="D25" s="66" t="s">
        <v>6</v>
      </c>
      <c r="E25" s="77" t="s">
        <v>119</v>
      </c>
      <c r="F25" s="66" t="s">
        <v>183</v>
      </c>
      <c r="G25" s="66" t="s">
        <v>120</v>
      </c>
      <c r="H25" s="66" t="s">
        <v>121</v>
      </c>
      <c r="I25" s="66" t="s">
        <v>122</v>
      </c>
      <c r="J25" s="77" t="s">
        <v>123</v>
      </c>
      <c r="K25" s="91" t="s">
        <v>155</v>
      </c>
      <c r="L25" s="91" t="s">
        <v>181</v>
      </c>
      <c r="M25" s="91" t="s">
        <v>182</v>
      </c>
    </row>
    <row r="26" spans="2:15" ht="25" x14ac:dyDescent="0.25">
      <c r="B26" s="12" t="s">
        <v>41</v>
      </c>
      <c r="C26" s="12" t="s">
        <v>32</v>
      </c>
      <c r="D26" s="12" t="s">
        <v>33</v>
      </c>
      <c r="E26" s="12" t="s">
        <v>124</v>
      </c>
      <c r="F26" s="12" t="s">
        <v>125</v>
      </c>
      <c r="G26" s="76" t="s">
        <v>126</v>
      </c>
      <c r="H26" s="12" t="s">
        <v>127</v>
      </c>
      <c r="I26" s="12" t="s">
        <v>128</v>
      </c>
      <c r="J26" s="12" t="s">
        <v>135</v>
      </c>
      <c r="K26" s="92" t="s">
        <v>156</v>
      </c>
      <c r="L26" s="92" t="s">
        <v>157</v>
      </c>
      <c r="M26" s="92" t="s">
        <v>175</v>
      </c>
    </row>
    <row r="27" spans="2:15" ht="13" thickBot="1" x14ac:dyDescent="0.3">
      <c r="B27" s="11" t="s">
        <v>103</v>
      </c>
      <c r="C27" s="11"/>
      <c r="D27" s="11"/>
      <c r="E27" s="10" t="str">
        <f>E2&amp;"a"</f>
        <v>a</v>
      </c>
      <c r="F27" s="10"/>
      <c r="G27" s="67"/>
      <c r="H27" s="10" t="str">
        <f>$F$2&amp;"/"&amp;$E$2</f>
        <v>/</v>
      </c>
      <c r="I27" s="10" t="str">
        <f>$F$2&amp;"/"&amp;$E$2&amp;"a"</f>
        <v>/a</v>
      </c>
      <c r="J27" s="10" t="s">
        <v>129</v>
      </c>
    </row>
    <row r="28" spans="2:15" ht="13" x14ac:dyDescent="0.25">
      <c r="B28" s="99" t="str">
        <f>D13</f>
        <v>IISBF01</v>
      </c>
      <c r="C28" s="99" t="str">
        <f>Pri_fuel!D9</f>
        <v>FUEBF</v>
      </c>
      <c r="D28" s="99" t="str">
        <f>$D$6</f>
        <v>IIS</v>
      </c>
      <c r="E28" s="99"/>
      <c r="F28" s="99">
        <v>3.6745522558076303E-2</v>
      </c>
      <c r="G28" s="100">
        <v>1</v>
      </c>
      <c r="H28" s="101">
        <v>100</v>
      </c>
      <c r="I28" s="101">
        <f>H28*0.02</f>
        <v>2</v>
      </c>
      <c r="J28" s="101">
        <v>30</v>
      </c>
      <c r="K28" s="101">
        <v>1</v>
      </c>
      <c r="L28" s="101">
        <v>0.94899666133359406</v>
      </c>
      <c r="M28" s="105">
        <f>(1/F$28)*L28</f>
        <v>25.826184940864692</v>
      </c>
    </row>
    <row r="29" spans="2:15" x14ac:dyDescent="0.25">
      <c r="C29" t="str">
        <f>Pri_fuel!D10</f>
        <v>ELC</v>
      </c>
      <c r="L29" s="98">
        <f>1-L28</f>
        <v>5.100333866640594E-2</v>
      </c>
      <c r="M29" s="105">
        <f>(1/F$28)*L29</f>
        <v>1.3880150591353044</v>
      </c>
    </row>
    <row r="30" spans="2:15" ht="13" x14ac:dyDescent="0.25">
      <c r="B30" s="99" t="str">
        <f>D14</f>
        <v>IISDC01</v>
      </c>
      <c r="C30" s="99" t="str">
        <f>Pri_fuel!D6</f>
        <v>COANC</v>
      </c>
      <c r="D30" s="99" t="str">
        <f>$D$6</f>
        <v>IIS</v>
      </c>
      <c r="E30" s="99"/>
      <c r="F30" s="99">
        <v>3.4120842375356564E-2</v>
      </c>
      <c r="G30" s="100">
        <v>1</v>
      </c>
      <c r="H30" s="101">
        <v>100</v>
      </c>
      <c r="I30" s="101">
        <f>H30*0.02</f>
        <v>2</v>
      </c>
      <c r="J30" s="101">
        <v>30</v>
      </c>
      <c r="K30" s="101">
        <v>1</v>
      </c>
      <c r="L30" s="101">
        <v>0.9018533018988043</v>
      </c>
      <c r="M30" s="105">
        <f>(1/F$30)*L30</f>
        <v>26.431155830729399</v>
      </c>
    </row>
    <row r="31" spans="2:15" x14ac:dyDescent="0.25">
      <c r="C31" t="str">
        <f>Pri_fuel!D10</f>
        <v>ELC</v>
      </c>
      <c r="L31" s="98">
        <f>1-L30</f>
        <v>9.8146698101195695E-2</v>
      </c>
      <c r="M31" s="105">
        <f>(1/F$30)*L31</f>
        <v>2.8764441692706031</v>
      </c>
    </row>
    <row r="32" spans="2:15" ht="13" x14ac:dyDescent="0.25">
      <c r="B32" s="99" t="str">
        <f>D15</f>
        <v>IISDG01</v>
      </c>
      <c r="C32" s="99" t="str">
        <f>Pri_fuel!D7</f>
        <v>GASNG</v>
      </c>
      <c r="D32" s="99" t="str">
        <f>$D$6</f>
        <v>IIS</v>
      </c>
      <c r="E32" s="99"/>
      <c r="F32" s="99">
        <v>3.4120842375356564E-2</v>
      </c>
      <c r="G32" s="100">
        <v>1</v>
      </c>
      <c r="H32" s="101">
        <v>100</v>
      </c>
      <c r="I32" s="101">
        <f>H32*0.02</f>
        <v>2</v>
      </c>
      <c r="J32" s="101">
        <v>30</v>
      </c>
      <c r="K32" s="101">
        <v>1</v>
      </c>
      <c r="L32" s="101">
        <v>0.9018533018988043</v>
      </c>
      <c r="M32" s="105">
        <f>(1/F$32)*L32</f>
        <v>26.431155830729399</v>
      </c>
    </row>
    <row r="33" spans="2:13" x14ac:dyDescent="0.25">
      <c r="C33" t="str">
        <f>Pri_fuel!D10</f>
        <v>ELC</v>
      </c>
      <c r="L33" s="98">
        <f>1-L32</f>
        <v>9.8146698101195695E-2</v>
      </c>
      <c r="M33" s="105">
        <f>(1/F$32)*L33</f>
        <v>2.8764441692706031</v>
      </c>
    </row>
    <row r="34" spans="2:13" ht="13" x14ac:dyDescent="0.25">
      <c r="B34" s="99" t="str">
        <f>D16</f>
        <v>IISSCIF</v>
      </c>
      <c r="C34" s="99" t="str">
        <f>Pri_fuel!D10</f>
        <v>ELC</v>
      </c>
      <c r="D34" s="99" t="str">
        <f>$D$6</f>
        <v>IIS</v>
      </c>
      <c r="E34" s="99"/>
      <c r="F34" s="99">
        <v>0.38443996849781203</v>
      </c>
      <c r="G34" s="100">
        <v>1</v>
      </c>
      <c r="H34" s="101">
        <v>100</v>
      </c>
      <c r="I34" s="101">
        <f>H34*0.02</f>
        <v>2</v>
      </c>
      <c r="J34" s="101">
        <v>30</v>
      </c>
      <c r="K34" s="101">
        <v>1</v>
      </c>
      <c r="L34" s="101">
        <v>1</v>
      </c>
      <c r="M34" s="105">
        <f>(1/F$34)*L34</f>
        <v>2.6011863540293971</v>
      </c>
    </row>
    <row r="35" spans="2:13" ht="13" x14ac:dyDescent="0.25">
      <c r="B35" s="99" t="str">
        <f>D17</f>
        <v>IISDRH2</v>
      </c>
      <c r="C35" s="99" t="str">
        <f>Pri_fuel!D8</f>
        <v>H2O</v>
      </c>
      <c r="D35" s="99" t="str">
        <f>$D$6</f>
        <v>IIS</v>
      </c>
      <c r="E35" s="99"/>
      <c r="F35" s="99">
        <v>3.4120842375356564E-2</v>
      </c>
      <c r="G35" s="100">
        <v>1</v>
      </c>
      <c r="H35" s="101">
        <v>100</v>
      </c>
      <c r="I35" s="101">
        <f>H35*0.02</f>
        <v>2</v>
      </c>
      <c r="J35" s="101">
        <v>30</v>
      </c>
      <c r="K35" s="101">
        <v>1</v>
      </c>
      <c r="L35" s="101">
        <v>0.9018533018988043</v>
      </c>
      <c r="M35" s="105">
        <f>(1/F$35)*L35</f>
        <v>26.431155830729399</v>
      </c>
    </row>
    <row r="36" spans="2:13" x14ac:dyDescent="0.25">
      <c r="C36" t="str">
        <f>Pri_fuel!D10</f>
        <v>ELC</v>
      </c>
      <c r="L36" s="98">
        <f>1-L35</f>
        <v>9.8146698101195695E-2</v>
      </c>
      <c r="M36" s="105">
        <f>(1/F$35)*L36</f>
        <v>2.8764441692706031</v>
      </c>
    </row>
    <row r="37" spans="2:13" x14ac:dyDescent="0.25">
      <c r="B37" t="str">
        <f>D18</f>
        <v>FTEFUEBF-COACC</v>
      </c>
      <c r="C37" t="str">
        <f>Pri_fuel!D5</f>
        <v>COACC</v>
      </c>
      <c r="D37" t="str">
        <f>Pri_fuel!D$9</f>
        <v>FUEBF</v>
      </c>
      <c r="F37" s="99">
        <v>1</v>
      </c>
      <c r="K37" s="101">
        <v>1</v>
      </c>
      <c r="L37" s="101">
        <v>1</v>
      </c>
      <c r="M37" s="105">
        <f t="shared" ref="M37:M38" si="0">(1/F$35)*L37</f>
        <v>29.307600000000001</v>
      </c>
    </row>
    <row r="38" spans="2:13" x14ac:dyDescent="0.25">
      <c r="B38" t="str">
        <f>D19</f>
        <v>FTEFUEBF-H2O</v>
      </c>
      <c r="C38" t="str">
        <f>Pri_fuel!D8</f>
        <v>H2O</v>
      </c>
      <c r="D38" t="str">
        <f>Pri_fuel!D$9</f>
        <v>FUEBF</v>
      </c>
      <c r="F38" s="99">
        <v>1</v>
      </c>
      <c r="K38" s="101">
        <v>1</v>
      </c>
      <c r="L38" s="101">
        <v>1</v>
      </c>
      <c r="M38" s="105">
        <f t="shared" si="0"/>
        <v>29.307600000000001</v>
      </c>
    </row>
    <row r="41" spans="2:13" ht="13" x14ac:dyDescent="0.3">
      <c r="G41" s="96" t="s">
        <v>13</v>
      </c>
    </row>
    <row r="42" spans="2:13" ht="13" x14ac:dyDescent="0.25">
      <c r="B42" s="91" t="s">
        <v>1</v>
      </c>
      <c r="C42" s="91" t="s">
        <v>5</v>
      </c>
      <c r="D42" s="94" t="s">
        <v>6</v>
      </c>
      <c r="E42" s="94" t="s">
        <v>158</v>
      </c>
      <c r="F42" s="94" t="s">
        <v>8</v>
      </c>
      <c r="G42" s="94" t="s">
        <v>95</v>
      </c>
      <c r="H42" s="91">
        <v>2025</v>
      </c>
      <c r="I42" s="91">
        <f>H42+5</f>
        <v>2030</v>
      </c>
      <c r="J42" s="91">
        <f t="shared" ref="J42:K42" si="1">I42+5</f>
        <v>2035</v>
      </c>
      <c r="K42" s="91">
        <f t="shared" si="1"/>
        <v>2040</v>
      </c>
    </row>
    <row r="43" spans="2:13" ht="38" thickBot="1" x14ac:dyDescent="0.3">
      <c r="B43" s="95" t="s">
        <v>41</v>
      </c>
      <c r="C43" s="95" t="s">
        <v>32</v>
      </c>
      <c r="D43" s="95" t="s">
        <v>33</v>
      </c>
      <c r="E43" s="95" t="s">
        <v>159</v>
      </c>
      <c r="F43" s="95" t="s">
        <v>160</v>
      </c>
      <c r="G43" s="95" t="s">
        <v>161</v>
      </c>
      <c r="H43" s="95" t="s">
        <v>162</v>
      </c>
      <c r="I43" s="95" t="s">
        <v>163</v>
      </c>
      <c r="J43" s="95" t="s">
        <v>163</v>
      </c>
      <c r="K43" s="95" t="s">
        <v>163</v>
      </c>
    </row>
    <row r="44" spans="2:13" ht="13" x14ac:dyDescent="0.25">
      <c r="B44" s="99" t="str">
        <f>B28</f>
        <v>IISBF01</v>
      </c>
      <c r="C44" s="99" t="str">
        <f>C28</f>
        <v>FUEBF</v>
      </c>
      <c r="D44" s="99" t="str">
        <f>D28</f>
        <v>IIS</v>
      </c>
      <c r="E44" s="99"/>
      <c r="F44" s="99"/>
      <c r="G44" s="91" t="s">
        <v>181</v>
      </c>
      <c r="H44" s="101">
        <f>$L28</f>
        <v>0.94899666133359406</v>
      </c>
      <c r="I44" s="101">
        <f t="shared" ref="I44:K45" si="2">$L28</f>
        <v>0.94899666133359406</v>
      </c>
      <c r="J44" s="101">
        <f t="shared" si="2"/>
        <v>0.94899666133359406</v>
      </c>
      <c r="K44" s="101">
        <f t="shared" si="2"/>
        <v>0.94899666133359406</v>
      </c>
    </row>
    <row r="45" spans="2:13" ht="13" x14ac:dyDescent="0.25">
      <c r="C45" t="str">
        <f>C29</f>
        <v>ELC</v>
      </c>
      <c r="G45" s="91" t="s">
        <v>181</v>
      </c>
      <c r="H45" s="101">
        <f>$L29</f>
        <v>5.100333866640594E-2</v>
      </c>
      <c r="I45" s="101">
        <f t="shared" si="2"/>
        <v>5.100333866640594E-2</v>
      </c>
      <c r="J45" s="101">
        <f t="shared" si="2"/>
        <v>5.100333866640594E-2</v>
      </c>
      <c r="K45" s="101">
        <f t="shared" si="2"/>
        <v>5.100333866640594E-2</v>
      </c>
    </row>
    <row r="46" spans="2:13" x14ac:dyDescent="0.25">
      <c r="F46" s="102" t="s">
        <v>173</v>
      </c>
      <c r="G46" s="103" t="s">
        <v>174</v>
      </c>
      <c r="H46" s="104">
        <v>77.945935370919514</v>
      </c>
      <c r="I46" s="104">
        <v>112.31078036754613</v>
      </c>
      <c r="J46" s="104">
        <v>161.82641630692623</v>
      </c>
      <c r="K46" s="104">
        <v>233.17253187130331</v>
      </c>
    </row>
    <row r="47" spans="2:13" ht="13" x14ac:dyDescent="0.25">
      <c r="B47" s="99" t="str">
        <f>B30</f>
        <v>IISDC01</v>
      </c>
      <c r="C47" s="99" t="str">
        <f t="shared" ref="C47:D47" si="3">C30</f>
        <v>COANC</v>
      </c>
      <c r="D47" s="99" t="str">
        <f t="shared" si="3"/>
        <v>IIS</v>
      </c>
      <c r="E47" s="99"/>
      <c r="F47" s="99"/>
      <c r="G47" s="91" t="s">
        <v>181</v>
      </c>
      <c r="H47" s="101">
        <f>$L30</f>
        <v>0.9018533018988043</v>
      </c>
      <c r="I47" s="101">
        <f t="shared" ref="I47:K48" si="4">$L30</f>
        <v>0.9018533018988043</v>
      </c>
      <c r="J47" s="101">
        <f t="shared" si="4"/>
        <v>0.9018533018988043</v>
      </c>
      <c r="K47" s="101">
        <f t="shared" si="4"/>
        <v>0.9018533018988043</v>
      </c>
    </row>
    <row r="48" spans="2:13" ht="13" x14ac:dyDescent="0.25">
      <c r="C48" t="str">
        <f t="shared" ref="C48" si="5">C31</f>
        <v>ELC</v>
      </c>
      <c r="G48" s="91" t="s">
        <v>181</v>
      </c>
      <c r="H48" s="101">
        <f>$L31</f>
        <v>9.8146698101195695E-2</v>
      </c>
      <c r="I48" s="101">
        <f t="shared" si="4"/>
        <v>9.8146698101195695E-2</v>
      </c>
      <c r="J48" s="101">
        <f t="shared" si="4"/>
        <v>9.8146698101195695E-2</v>
      </c>
      <c r="K48" s="101">
        <f t="shared" si="4"/>
        <v>9.8146698101195695E-2</v>
      </c>
    </row>
    <row r="49" spans="2:11" x14ac:dyDescent="0.25">
      <c r="F49" s="102" t="s">
        <v>173</v>
      </c>
      <c r="G49" s="103" t="s">
        <v>174</v>
      </c>
      <c r="H49" s="104">
        <v>40.874922826551696</v>
      </c>
      <c r="I49" s="104">
        <v>58.895880308159931</v>
      </c>
      <c r="J49" s="104">
        <v>84.861927005764855</v>
      </c>
      <c r="K49" s="104">
        <v>122.27589803312605</v>
      </c>
    </row>
    <row r="50" spans="2:11" ht="13" x14ac:dyDescent="0.25">
      <c r="B50" s="99" t="str">
        <f t="shared" ref="B50:D50" si="6">B32</f>
        <v>IISDG01</v>
      </c>
      <c r="C50" s="99" t="str">
        <f t="shared" si="6"/>
        <v>GASNG</v>
      </c>
      <c r="D50" s="99" t="str">
        <f t="shared" si="6"/>
        <v>IIS</v>
      </c>
      <c r="E50" s="99"/>
      <c r="F50" s="99"/>
      <c r="G50" s="91" t="s">
        <v>181</v>
      </c>
      <c r="H50" s="101">
        <f>$L32</f>
        <v>0.9018533018988043</v>
      </c>
      <c r="I50" s="101">
        <f t="shared" ref="I50:K50" si="7">$L32</f>
        <v>0.9018533018988043</v>
      </c>
      <c r="J50" s="101">
        <f t="shared" si="7"/>
        <v>0.9018533018988043</v>
      </c>
      <c r="K50" s="101">
        <f t="shared" si="7"/>
        <v>0.9018533018988043</v>
      </c>
    </row>
    <row r="51" spans="2:11" ht="13" x14ac:dyDescent="0.25">
      <c r="C51" t="str">
        <f t="shared" ref="C51" si="8">C33</f>
        <v>ELC</v>
      </c>
      <c r="G51" s="91" t="s">
        <v>181</v>
      </c>
      <c r="H51" s="101">
        <f>$L33</f>
        <v>9.8146698101195695E-2</v>
      </c>
      <c r="I51" s="101">
        <f t="shared" ref="I51:K51" si="9">$L33</f>
        <v>9.8146698101195695E-2</v>
      </c>
      <c r="J51" s="101">
        <f t="shared" si="9"/>
        <v>9.8146698101195695E-2</v>
      </c>
      <c r="K51" s="101">
        <f t="shared" si="9"/>
        <v>9.8146698101195695E-2</v>
      </c>
    </row>
    <row r="52" spans="2:11" x14ac:dyDescent="0.25">
      <c r="F52" s="102" t="s">
        <v>173</v>
      </c>
      <c r="G52" s="103" t="s">
        <v>174</v>
      </c>
      <c r="H52" s="104">
        <v>9.5733371883239489</v>
      </c>
      <c r="I52" s="104">
        <v>13.794035124805879</v>
      </c>
      <c r="J52" s="104">
        <v>19.875556588192296</v>
      </c>
      <c r="K52" s="104">
        <v>28.638302434074259</v>
      </c>
    </row>
    <row r="53" spans="2:11" ht="13" x14ac:dyDescent="0.25">
      <c r="B53" s="99" t="str">
        <f t="shared" ref="B53:D53" si="10">B34</f>
        <v>IISSCIF</v>
      </c>
      <c r="C53" s="99" t="str">
        <f t="shared" si="10"/>
        <v>ELC</v>
      </c>
      <c r="D53" s="99" t="str">
        <f t="shared" si="10"/>
        <v>IIS</v>
      </c>
      <c r="E53" s="99"/>
      <c r="F53" s="99"/>
      <c r="G53" s="91" t="s">
        <v>181</v>
      </c>
      <c r="H53" s="101">
        <f>$L34</f>
        <v>1</v>
      </c>
      <c r="I53" s="101">
        <f t="shared" ref="I53:K53" si="11">$L34</f>
        <v>1</v>
      </c>
      <c r="J53" s="101">
        <f t="shared" si="11"/>
        <v>1</v>
      </c>
      <c r="K53" s="101">
        <f t="shared" si="11"/>
        <v>1</v>
      </c>
    </row>
    <row r="54" spans="2:11" x14ac:dyDescent="0.25">
      <c r="F54" s="102" t="s">
        <v>173</v>
      </c>
      <c r="G54" s="103" t="s">
        <v>174</v>
      </c>
      <c r="H54" s="104">
        <v>38.605050545922715</v>
      </c>
      <c r="I54" s="104">
        <v>55.62526554218185</v>
      </c>
      <c r="J54" s="104">
        <v>80.149361880968613</v>
      </c>
      <c r="K54" s="104">
        <v>115.48565471665144</v>
      </c>
    </row>
    <row r="55" spans="2:11" ht="13" x14ac:dyDescent="0.25">
      <c r="B55" s="99" t="str">
        <f t="shared" ref="B55:D55" si="12">B35</f>
        <v>IISDRH2</v>
      </c>
      <c r="C55" s="99" t="str">
        <f t="shared" si="12"/>
        <v>H2O</v>
      </c>
      <c r="D55" s="99" t="str">
        <f t="shared" si="12"/>
        <v>IIS</v>
      </c>
      <c r="E55" s="99"/>
      <c r="F55" s="99"/>
      <c r="G55" s="91" t="s">
        <v>181</v>
      </c>
      <c r="H55" s="101">
        <f>$L35</f>
        <v>0.9018533018988043</v>
      </c>
      <c r="I55" s="101">
        <f t="shared" ref="I55:K55" si="13">$L35</f>
        <v>0.9018533018988043</v>
      </c>
      <c r="J55" s="101">
        <f t="shared" si="13"/>
        <v>0.9018533018988043</v>
      </c>
      <c r="K55" s="101">
        <f t="shared" si="13"/>
        <v>0.9018533018988043</v>
      </c>
    </row>
    <row r="56" spans="2:11" ht="13" x14ac:dyDescent="0.25">
      <c r="C56" t="str">
        <f t="shared" ref="C56" si="14">C36</f>
        <v>ELC</v>
      </c>
      <c r="G56" s="91" t="s">
        <v>181</v>
      </c>
      <c r="H56" s="101">
        <f>$L36</f>
        <v>9.8146698101195695E-2</v>
      </c>
      <c r="I56" s="101">
        <f t="shared" ref="I56:K56" si="15">$L36</f>
        <v>9.8146698101195695E-2</v>
      </c>
      <c r="J56" s="101">
        <f t="shared" si="15"/>
        <v>9.8146698101195695E-2</v>
      </c>
      <c r="K56" s="101">
        <f t="shared" si="15"/>
        <v>9.8146698101195695E-2</v>
      </c>
    </row>
    <row r="57" spans="2:11" x14ac:dyDescent="0.25">
      <c r="F57" s="102" t="s">
        <v>173</v>
      </c>
      <c r="G57" s="103" t="s">
        <v>174</v>
      </c>
      <c r="H57" s="104">
        <v>0</v>
      </c>
      <c r="I57" s="104">
        <v>0</v>
      </c>
      <c r="J57" s="104">
        <v>0</v>
      </c>
      <c r="K57" s="104">
        <v>0</v>
      </c>
    </row>
    <row r="58" spans="2:11" ht="13" x14ac:dyDescent="0.25">
      <c r="B58" s="99" t="str">
        <f t="shared" ref="B58:D59" si="16">B37</f>
        <v>FTEFUEBF-COACC</v>
      </c>
      <c r="C58" s="99" t="str">
        <f t="shared" si="16"/>
        <v>COACC</v>
      </c>
      <c r="D58" s="99" t="str">
        <f t="shared" si="16"/>
        <v>FUEBF</v>
      </c>
      <c r="E58" s="99"/>
      <c r="F58" s="99"/>
      <c r="G58" s="91" t="s">
        <v>181</v>
      </c>
      <c r="H58" s="101">
        <f>$L37</f>
        <v>1</v>
      </c>
      <c r="I58" s="101">
        <f t="shared" ref="I58:K58" si="17">$L37</f>
        <v>1</v>
      </c>
      <c r="J58" s="101">
        <f t="shared" si="17"/>
        <v>1</v>
      </c>
      <c r="K58" s="101">
        <f t="shared" si="17"/>
        <v>1</v>
      </c>
    </row>
    <row r="59" spans="2:11" ht="13" x14ac:dyDescent="0.25">
      <c r="B59" s="99" t="str">
        <f t="shared" si="16"/>
        <v>FTEFUEBF-H2O</v>
      </c>
      <c r="C59" s="99" t="str">
        <f t="shared" si="16"/>
        <v>H2O</v>
      </c>
      <c r="D59" s="99" t="str">
        <f t="shared" si="16"/>
        <v>FUEBF</v>
      </c>
      <c r="E59" s="99"/>
      <c r="F59" s="99"/>
      <c r="G59" s="91" t="s">
        <v>181</v>
      </c>
      <c r="H59" s="101">
        <f>$L38</f>
        <v>1</v>
      </c>
      <c r="I59" s="101">
        <f t="shared" ref="I59:K59" si="18">$L38</f>
        <v>1</v>
      </c>
      <c r="J59" s="101">
        <f t="shared" si="18"/>
        <v>1</v>
      </c>
      <c r="K59" s="101">
        <f t="shared" si="18"/>
        <v>1</v>
      </c>
    </row>
    <row r="62" spans="2:11" x14ac:dyDescent="0.25">
      <c r="B62" s="36"/>
      <c r="C62" s="1" t="s">
        <v>117</v>
      </c>
    </row>
    <row r="63" spans="2:11" x14ac:dyDescent="0.25">
      <c r="B63" s="56"/>
      <c r="C63" s="1" t="s">
        <v>118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8"/>
  <sheetViews>
    <sheetView workbookViewId="0">
      <selection activeCell="D56" sqref="D56"/>
    </sheetView>
  </sheetViews>
  <sheetFormatPr defaultRowHeight="12.5" x14ac:dyDescent="0.25"/>
  <cols>
    <col min="1" max="1" width="2" bestFit="1" customWidth="1"/>
    <col min="2" max="2" width="11.54296875" bestFit="1" customWidth="1"/>
    <col min="3" max="3" width="25.26953125" bestFit="1" customWidth="1"/>
    <col min="4" max="4" width="10.26953125" bestFit="1" customWidth="1"/>
    <col min="5" max="5" width="10.81640625" bestFit="1" customWidth="1"/>
    <col min="6" max="8" width="12.453125" customWidth="1"/>
    <col min="9" max="9" width="11.453125" bestFit="1" customWidth="1"/>
  </cols>
  <sheetData>
    <row r="1" spans="2:8" ht="13" x14ac:dyDescent="0.3">
      <c r="C1" s="4" t="s">
        <v>13</v>
      </c>
      <c r="D1" s="4"/>
      <c r="E1" s="1"/>
    </row>
    <row r="2" spans="2:8" ht="13" x14ac:dyDescent="0.25">
      <c r="B2" s="3" t="s">
        <v>95</v>
      </c>
      <c r="C2" s="3" t="s">
        <v>0</v>
      </c>
      <c r="D2" s="3" t="s">
        <v>113</v>
      </c>
      <c r="E2" s="3">
        <v>2025</v>
      </c>
      <c r="F2" s="3">
        <f>E2+5</f>
        <v>2030</v>
      </c>
      <c r="G2" s="3">
        <f t="shared" ref="G2:H2" si="0">F2+5</f>
        <v>2035</v>
      </c>
      <c r="H2" s="3">
        <f t="shared" si="0"/>
        <v>2040</v>
      </c>
    </row>
    <row r="3" spans="2:8" x14ac:dyDescent="0.25">
      <c r="B3" s="12" t="s">
        <v>96</v>
      </c>
      <c r="C3" s="12" t="s">
        <v>97</v>
      </c>
      <c r="D3" s="12" t="s">
        <v>114</v>
      </c>
      <c r="E3" s="12" t="s">
        <v>35</v>
      </c>
      <c r="F3" s="12" t="s">
        <v>35</v>
      </c>
      <c r="G3" s="12" t="s">
        <v>35</v>
      </c>
      <c r="H3" s="12" t="s">
        <v>35</v>
      </c>
    </row>
    <row r="4" spans="2:8" ht="13" thickBot="1" x14ac:dyDescent="0.3">
      <c r="B4" s="11" t="s">
        <v>103</v>
      </c>
      <c r="C4" s="11"/>
      <c r="D4" s="11"/>
      <c r="E4" s="11" t="s">
        <v>152</v>
      </c>
      <c r="F4" s="11" t="s">
        <v>152</v>
      </c>
      <c r="G4" s="11" t="s">
        <v>152</v>
      </c>
      <c r="H4" s="11" t="s">
        <v>152</v>
      </c>
    </row>
    <row r="5" spans="2:8" x14ac:dyDescent="0.25">
      <c r="B5" s="25" t="s">
        <v>34</v>
      </c>
      <c r="C5" s="25" t="str">
        <f>DemTechs_TPS!D6</f>
        <v>IIS</v>
      </c>
      <c r="D5" s="93" t="s">
        <v>152</v>
      </c>
      <c r="E5" s="61">
        <v>166.99924593171787</v>
      </c>
      <c r="F5" s="61">
        <v>240.62596134269378</v>
      </c>
      <c r="G5" s="61">
        <v>346.713261781852</v>
      </c>
      <c r="H5" s="61">
        <v>499.57238705515505</v>
      </c>
    </row>
    <row r="7" spans="2:8" x14ac:dyDescent="0.25">
      <c r="G7" s="7"/>
      <c r="H7" s="7"/>
    </row>
    <row r="8" spans="2:8" x14ac:dyDescent="0.25">
      <c r="E8" s="24"/>
    </row>
    <row r="9" spans="2:8" x14ac:dyDescent="0.25">
      <c r="E9" s="7"/>
    </row>
    <row r="11" spans="2:8" x14ac:dyDescent="0.25">
      <c r="E11" s="7"/>
    </row>
    <row r="17" spans="2:3" x14ac:dyDescent="0.25">
      <c r="B17" s="36"/>
      <c r="C17" s="1" t="s">
        <v>117</v>
      </c>
    </row>
    <row r="18" spans="2:3" x14ac:dyDescent="0.25">
      <c r="B18" s="56"/>
      <c r="C18" s="1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Pri_fuel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KUMAR GAURAV</cp:lastModifiedBy>
  <cp:lastPrinted>2004-11-16T14:57:57Z</cp:lastPrinted>
  <dcterms:created xsi:type="dcterms:W3CDTF">2000-12-13T15:53:11Z</dcterms:created>
  <dcterms:modified xsi:type="dcterms:W3CDTF">2025-05-09T13:55:22Z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