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bookViews>
    <workbookView xWindow="-110" yWindow="-110" windowWidth="19420" windowHeight="10420" firstSheet="1" activeTab="1"/>
  </bookViews>
  <sheets>
    <sheet name="EDW_Snowflake_Estimates&amp;Ramp" sheetId="10" r:id="rId1"/>
    <sheet name="EDW_Synapse_Clean" sheetId="9" r:id="rId2"/>
    <sheet name="EDW_Synapse_Estimates&amp;Ramp up" sheetId="5" r:id="rId3"/>
    <sheet name="BVA_Comparison" sheetId="8" r:id="rId4"/>
    <sheet name="On-prem Exadata (Reduced)" sheetId="4" r:id="rId5"/>
    <sheet name="Rogers Existing DBU Consumption" sheetId="2" r:id="rId6"/>
    <sheet name="Ramp Up Plan - Hadoop USD" sheetId="3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5" i="8" l="1"/>
  <c r="C85" i="8"/>
  <c r="D85" i="8"/>
  <c r="E85" i="8"/>
  <c r="F85" i="8"/>
  <c r="B85" i="8"/>
  <c r="N70" i="8"/>
  <c r="N69" i="8"/>
  <c r="N68" i="8"/>
  <c r="F51" i="8"/>
  <c r="AU6" i="9"/>
  <c r="AT6" i="9"/>
  <c r="AS6" i="9"/>
  <c r="B19" i="9" l="1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D35" i="10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E35" i="5"/>
  <c r="G66" i="8"/>
  <c r="G65" i="8"/>
  <c r="G64" i="8"/>
  <c r="G63" i="8"/>
  <c r="G62" i="8"/>
  <c r="G61" i="8"/>
  <c r="G60" i="8"/>
  <c r="F66" i="8"/>
  <c r="E66" i="8"/>
  <c r="D66" i="8"/>
  <c r="C66" i="8"/>
  <c r="B66" i="8"/>
  <c r="F60" i="8"/>
  <c r="E60" i="8"/>
  <c r="D60" i="8"/>
  <c r="C60" i="8"/>
  <c r="B60" i="8"/>
  <c r="AX27" i="10" l="1"/>
  <c r="AS28" i="10"/>
  <c r="AT28" i="10"/>
  <c r="AU28" i="10"/>
  <c r="AV28" i="10"/>
  <c r="AW28" i="10"/>
  <c r="AX28" i="10"/>
  <c r="F49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C80" i="8"/>
  <c r="D80" i="8"/>
  <c r="E80" i="8"/>
  <c r="F80" i="8"/>
  <c r="G80" i="8"/>
  <c r="B80" i="8"/>
  <c r="C75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B75" i="8" s="1"/>
  <c r="C74" i="8"/>
  <c r="D74" i="8"/>
  <c r="D75" i="8" s="1"/>
  <c r="C70" i="8"/>
  <c r="D70" i="8"/>
  <c r="E70" i="8"/>
  <c r="F70" i="8"/>
  <c r="G70" i="8"/>
  <c r="B70" i="8"/>
  <c r="N66" i="8"/>
  <c r="N65" i="8"/>
  <c r="N64" i="8"/>
  <c r="N63" i="8"/>
  <c r="N61" i="8"/>
  <c r="N60" i="8"/>
  <c r="AX19" i="10" l="1"/>
  <c r="AZ16" i="10"/>
  <c r="AX16" i="10"/>
  <c r="AY12" i="10"/>
  <c r="AW13" i="10"/>
  <c r="AW15" i="10"/>
  <c r="AW14" i="10"/>
  <c r="AW12" i="10"/>
  <c r="BA9" i="10"/>
  <c r="AB5" i="9" l="1"/>
  <c r="AB22" i="9" s="1"/>
  <c r="AA4" i="9"/>
  <c r="AR2" i="9" s="1"/>
  <c r="AB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Z2" i="9"/>
  <c r="Z4" i="9" s="1"/>
  <c r="Y2" i="9"/>
  <c r="Y4" i="9" s="1"/>
  <c r="X2" i="9"/>
  <c r="X4" i="9" s="1"/>
  <c r="W2" i="9"/>
  <c r="W4" i="9" s="1"/>
  <c r="V2" i="9"/>
  <c r="V4" i="9" s="1"/>
  <c r="U2" i="9"/>
  <c r="U4" i="9" s="1"/>
  <c r="T2" i="9"/>
  <c r="T4" i="9" s="1"/>
  <c r="S2" i="9"/>
  <c r="S4" i="9" s="1"/>
  <c r="R2" i="9"/>
  <c r="R4" i="9" s="1"/>
  <c r="Q2" i="9"/>
  <c r="Q4" i="9" s="1"/>
  <c r="P2" i="9"/>
  <c r="P4" i="9" s="1"/>
  <c r="AT2" i="9" s="1"/>
  <c r="O2" i="9"/>
  <c r="O4" i="9" s="1"/>
  <c r="N2" i="9"/>
  <c r="N4" i="9" s="1"/>
  <c r="M2" i="9"/>
  <c r="M4" i="9" s="1"/>
  <c r="L2" i="9"/>
  <c r="L4" i="9" s="1"/>
  <c r="K2" i="9"/>
  <c r="K4" i="9" s="1"/>
  <c r="J2" i="9"/>
  <c r="J4" i="9" s="1"/>
  <c r="I2" i="9"/>
  <c r="I4" i="9" s="1"/>
  <c r="H2" i="9"/>
  <c r="H4" i="9" s="1"/>
  <c r="G2" i="9"/>
  <c r="G4" i="9" s="1"/>
  <c r="F2" i="9"/>
  <c r="F4" i="9" s="1"/>
  <c r="E2" i="9"/>
  <c r="E4" i="9" s="1"/>
  <c r="D2" i="9"/>
  <c r="D4" i="9" s="1"/>
  <c r="AS2" i="9" s="1"/>
  <c r="AB5" i="10"/>
  <c r="AB3" i="10" s="1"/>
  <c r="AA4" i="10"/>
  <c r="AR2" i="10" s="1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AB2" i="10"/>
  <c r="AB4" i="10" s="1"/>
  <c r="Z2" i="10"/>
  <c r="Z4" i="10" s="1"/>
  <c r="Y2" i="10"/>
  <c r="Y4" i="10" s="1"/>
  <c r="X2" i="10"/>
  <c r="X4" i="10" s="1"/>
  <c r="W2" i="10"/>
  <c r="W4" i="10" s="1"/>
  <c r="V2" i="10"/>
  <c r="V4" i="10" s="1"/>
  <c r="U2" i="10"/>
  <c r="U4" i="10" s="1"/>
  <c r="T2" i="10"/>
  <c r="T4" i="10" s="1"/>
  <c r="S2" i="10"/>
  <c r="S4" i="10" s="1"/>
  <c r="R2" i="10"/>
  <c r="R4" i="10" s="1"/>
  <c r="Q2" i="10"/>
  <c r="Q4" i="10" s="1"/>
  <c r="P2" i="10"/>
  <c r="P4" i="10" s="1"/>
  <c r="AT2" i="10" s="1"/>
  <c r="O2" i="10"/>
  <c r="O4" i="10" s="1"/>
  <c r="N2" i="10"/>
  <c r="N4" i="10" s="1"/>
  <c r="M2" i="10"/>
  <c r="M4" i="10" s="1"/>
  <c r="L2" i="10"/>
  <c r="L4" i="10" s="1"/>
  <c r="K2" i="10"/>
  <c r="K4" i="10" s="1"/>
  <c r="J2" i="10"/>
  <c r="J4" i="10" s="1"/>
  <c r="I2" i="10"/>
  <c r="I4" i="10" s="1"/>
  <c r="H2" i="10"/>
  <c r="H4" i="10" s="1"/>
  <c r="G2" i="10"/>
  <c r="G4" i="10" s="1"/>
  <c r="F2" i="10"/>
  <c r="F4" i="10" s="1"/>
  <c r="E2" i="10"/>
  <c r="E4" i="10" s="1"/>
  <c r="D2" i="10"/>
  <c r="D4" i="10" s="1"/>
  <c r="AS2" i="10" s="1"/>
  <c r="AC5" i="5"/>
  <c r="C23" i="10"/>
  <c r="D113" i="10"/>
  <c r="F113" i="10" s="1"/>
  <c r="D112" i="10"/>
  <c r="F112" i="10" s="1"/>
  <c r="D105" i="10"/>
  <c r="B104" i="10"/>
  <c r="D104" i="10" s="1"/>
  <c r="B33" i="10"/>
  <c r="B32" i="10"/>
  <c r="B34" i="10" s="1"/>
  <c r="AB29" i="10"/>
  <c r="AB31" i="10" s="1"/>
  <c r="AB33" i="10" s="1"/>
  <c r="AA29" i="10"/>
  <c r="Z29" i="10"/>
  <c r="Z31" i="10" s="1"/>
  <c r="Z33" i="10" s="1"/>
  <c r="Y29" i="10"/>
  <c r="Y30" i="10" s="1"/>
  <c r="Y32" i="10" s="1"/>
  <c r="X29" i="10"/>
  <c r="X30" i="10" s="1"/>
  <c r="X32" i="10" s="1"/>
  <c r="W29" i="10"/>
  <c r="W31" i="10" s="1"/>
  <c r="W33" i="10" s="1"/>
  <c r="V29" i="10"/>
  <c r="V31" i="10" s="1"/>
  <c r="V33" i="10" s="1"/>
  <c r="U29" i="10"/>
  <c r="U30" i="10" s="1"/>
  <c r="U32" i="10" s="1"/>
  <c r="T29" i="10"/>
  <c r="T30" i="10" s="1"/>
  <c r="T32" i="10" s="1"/>
  <c r="S29" i="10"/>
  <c r="S31" i="10" s="1"/>
  <c r="S33" i="10" s="1"/>
  <c r="R29" i="10"/>
  <c r="R31" i="10" s="1"/>
  <c r="R33" i="10" s="1"/>
  <c r="Q29" i="10"/>
  <c r="Q31" i="10" s="1"/>
  <c r="Q33" i="10" s="1"/>
  <c r="P29" i="10"/>
  <c r="P30" i="10" s="1"/>
  <c r="P32" i="10" s="1"/>
  <c r="O29" i="10"/>
  <c r="O30" i="10" s="1"/>
  <c r="O32" i="10" s="1"/>
  <c r="N29" i="10"/>
  <c r="N31" i="10" s="1"/>
  <c r="N33" i="10" s="1"/>
  <c r="M29" i="10"/>
  <c r="M30" i="10" s="1"/>
  <c r="M32" i="10" s="1"/>
  <c r="L29" i="10"/>
  <c r="L31" i="10" s="1"/>
  <c r="L33" i="10" s="1"/>
  <c r="K29" i="10"/>
  <c r="J29" i="10"/>
  <c r="J31" i="10" s="1"/>
  <c r="J33" i="10" s="1"/>
  <c r="I29" i="10"/>
  <c r="I30" i="10" s="1"/>
  <c r="I32" i="10" s="1"/>
  <c r="H29" i="10"/>
  <c r="H30" i="10" s="1"/>
  <c r="H32" i="10" s="1"/>
  <c r="G29" i="10"/>
  <c r="G31" i="10" s="1"/>
  <c r="G33" i="10" s="1"/>
  <c r="F29" i="10"/>
  <c r="F31" i="10" s="1"/>
  <c r="F33" i="10" s="1"/>
  <c r="E29" i="10"/>
  <c r="E30" i="10" s="1"/>
  <c r="E32" i="10" s="1"/>
  <c r="D29" i="10"/>
  <c r="D30" i="10" s="1"/>
  <c r="D32" i="10" s="1"/>
  <c r="B27" i="10"/>
  <c r="B18" i="10"/>
  <c r="B19" i="10" s="1"/>
  <c r="B12" i="10"/>
  <c r="O6" i="10"/>
  <c r="O7" i="10" s="1"/>
  <c r="X6" i="10"/>
  <c r="X7" i="10" s="1"/>
  <c r="T6" i="10"/>
  <c r="T7" i="10" s="1"/>
  <c r="P6" i="10"/>
  <c r="P7" i="10" s="1"/>
  <c r="L6" i="10"/>
  <c r="L7" i="10" s="1"/>
  <c r="H6" i="10"/>
  <c r="H7" i="10" s="1"/>
  <c r="D6" i="10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D113" i="9"/>
  <c r="F113" i="9" s="1"/>
  <c r="D112" i="9"/>
  <c r="F112" i="9" s="1"/>
  <c r="D105" i="9"/>
  <c r="B104" i="9"/>
  <c r="D104" i="9" s="1"/>
  <c r="B33" i="9"/>
  <c r="B32" i="9"/>
  <c r="B34" i="9" s="1"/>
  <c r="AB29" i="9"/>
  <c r="AB30" i="9" s="1"/>
  <c r="AB32" i="9" s="1"/>
  <c r="AA29" i="9"/>
  <c r="AA31" i="9" s="1"/>
  <c r="AA33" i="9" s="1"/>
  <c r="Z29" i="9"/>
  <c r="Z31" i="9" s="1"/>
  <c r="Z33" i="9" s="1"/>
  <c r="Y29" i="9"/>
  <c r="Y31" i="9" s="1"/>
  <c r="Y33" i="9" s="1"/>
  <c r="X29" i="9"/>
  <c r="X31" i="9" s="1"/>
  <c r="X33" i="9" s="1"/>
  <c r="W29" i="9"/>
  <c r="W31" i="9" s="1"/>
  <c r="W33" i="9" s="1"/>
  <c r="V29" i="9"/>
  <c r="V31" i="9" s="1"/>
  <c r="V33" i="9" s="1"/>
  <c r="U29" i="9"/>
  <c r="U30" i="9" s="1"/>
  <c r="U32" i="9" s="1"/>
  <c r="T29" i="9"/>
  <c r="T30" i="9" s="1"/>
  <c r="T32" i="9" s="1"/>
  <c r="S29" i="9"/>
  <c r="S31" i="9" s="1"/>
  <c r="S33" i="9" s="1"/>
  <c r="R29" i="9"/>
  <c r="R31" i="9" s="1"/>
  <c r="R33" i="9" s="1"/>
  <c r="Q29" i="9"/>
  <c r="Q31" i="9" s="1"/>
  <c r="Q33" i="9" s="1"/>
  <c r="P29" i="9"/>
  <c r="P31" i="9" s="1"/>
  <c r="P33" i="9" s="1"/>
  <c r="O29" i="9"/>
  <c r="O31" i="9" s="1"/>
  <c r="O33" i="9" s="1"/>
  <c r="N29" i="9"/>
  <c r="N31" i="9" s="1"/>
  <c r="N33" i="9" s="1"/>
  <c r="M29" i="9"/>
  <c r="L29" i="9"/>
  <c r="L30" i="9" s="1"/>
  <c r="L32" i="9" s="1"/>
  <c r="K29" i="9"/>
  <c r="K31" i="9" s="1"/>
  <c r="K33" i="9" s="1"/>
  <c r="J29" i="9"/>
  <c r="J31" i="9" s="1"/>
  <c r="J33" i="9" s="1"/>
  <c r="I29" i="9"/>
  <c r="I31" i="9" s="1"/>
  <c r="I33" i="9" s="1"/>
  <c r="H29" i="9"/>
  <c r="H31" i="9" s="1"/>
  <c r="H33" i="9" s="1"/>
  <c r="G29" i="9"/>
  <c r="G31" i="9" s="1"/>
  <c r="G33" i="9" s="1"/>
  <c r="F29" i="9"/>
  <c r="F31" i="9" s="1"/>
  <c r="F33" i="9" s="1"/>
  <c r="E29" i="9"/>
  <c r="E30" i="9" s="1"/>
  <c r="E32" i="9" s="1"/>
  <c r="D29" i="9"/>
  <c r="D30" i="9" s="1"/>
  <c r="D32" i="9" s="1"/>
  <c r="B27" i="9"/>
  <c r="AA22" i="9"/>
  <c r="AR5" i="9" s="1"/>
  <c r="Z22" i="9"/>
  <c r="Y22" i="9"/>
  <c r="X22" i="9"/>
  <c r="W22" i="9"/>
  <c r="V22" i="9"/>
  <c r="U22" i="9"/>
  <c r="T22" i="9"/>
  <c r="S22" i="9"/>
  <c r="R22" i="9"/>
  <c r="Q22" i="9"/>
  <c r="P22" i="9"/>
  <c r="AT5" i="9" s="1"/>
  <c r="O22" i="9"/>
  <c r="N22" i="9"/>
  <c r="M22" i="9"/>
  <c r="L22" i="9"/>
  <c r="K22" i="9"/>
  <c r="J22" i="9"/>
  <c r="I22" i="9"/>
  <c r="H22" i="9"/>
  <c r="G22" i="9"/>
  <c r="F22" i="9"/>
  <c r="E22" i="9"/>
  <c r="D22" i="9"/>
  <c r="AS5" i="9" s="1"/>
  <c r="B21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B18" i="9"/>
  <c r="B12" i="9"/>
  <c r="AA6" i="9"/>
  <c r="AA7" i="9" s="1"/>
  <c r="Y6" i="9"/>
  <c r="Y7" i="9" s="1"/>
  <c r="U6" i="9"/>
  <c r="U7" i="9" s="1"/>
  <c r="T6" i="9"/>
  <c r="T7" i="9" s="1"/>
  <c r="R6" i="9"/>
  <c r="R7" i="9" s="1"/>
  <c r="Q6" i="9"/>
  <c r="Q7" i="9" s="1"/>
  <c r="M6" i="9"/>
  <c r="M7" i="9" s="1"/>
  <c r="J6" i="9"/>
  <c r="J7" i="9" s="1"/>
  <c r="I6" i="9"/>
  <c r="I7" i="9" s="1"/>
  <c r="E6" i="9"/>
  <c r="E7" i="9" s="1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S5" i="5" s="1"/>
  <c r="AC22" i="5"/>
  <c r="E22" i="5"/>
  <c r="AB18" i="9" l="1"/>
  <c r="AA18" i="9"/>
  <c r="Y18" i="9"/>
  <c r="W18" i="9"/>
  <c r="U18" i="9"/>
  <c r="T18" i="9"/>
  <c r="Q18" i="9"/>
  <c r="P18" i="9"/>
  <c r="O18" i="9"/>
  <c r="L18" i="9"/>
  <c r="K18" i="9"/>
  <c r="I18" i="9"/>
  <c r="G18" i="9"/>
  <c r="E18" i="9"/>
  <c r="D18" i="9"/>
  <c r="Z21" i="9"/>
  <c r="Y21" i="9"/>
  <c r="X21" i="9"/>
  <c r="V21" i="9"/>
  <c r="U21" i="9"/>
  <c r="T21" i="9"/>
  <c r="R21" i="9"/>
  <c r="Q21" i="9"/>
  <c r="P21" i="9"/>
  <c r="N21" i="9"/>
  <c r="M21" i="9"/>
  <c r="L21" i="9"/>
  <c r="J21" i="9"/>
  <c r="I21" i="9"/>
  <c r="H21" i="9"/>
  <c r="F21" i="9"/>
  <c r="E21" i="9"/>
  <c r="D21" i="9"/>
  <c r="M30" i="9"/>
  <c r="M32" i="9" s="1"/>
  <c r="M31" i="9"/>
  <c r="M33" i="9" s="1"/>
  <c r="AD5" i="5"/>
  <c r="AC3" i="5"/>
  <c r="AC2" i="5"/>
  <c r="AC4" i="5" s="1"/>
  <c r="AB6" i="10"/>
  <c r="AB7" i="10" s="1"/>
  <c r="S6" i="9"/>
  <c r="S7" i="9" s="1"/>
  <c r="Z6" i="9"/>
  <c r="Z7" i="9" s="1"/>
  <c r="AB20" i="9"/>
  <c r="AB21" i="9"/>
  <c r="AB2" i="9"/>
  <c r="AC5" i="9"/>
  <c r="F6" i="9"/>
  <c r="F7" i="9" s="1"/>
  <c r="N6" i="9"/>
  <c r="N7" i="9" s="1"/>
  <c r="I30" i="9"/>
  <c r="I32" i="9" s="1"/>
  <c r="I34" i="9" s="1"/>
  <c r="Y30" i="9"/>
  <c r="Y32" i="9" s="1"/>
  <c r="Y34" i="9" s="1"/>
  <c r="P30" i="9"/>
  <c r="P32" i="9" s="1"/>
  <c r="P34" i="9" s="1"/>
  <c r="D31" i="9"/>
  <c r="D33" i="9" s="1"/>
  <c r="D34" i="9" s="1"/>
  <c r="T31" i="9"/>
  <c r="T33" i="9" s="1"/>
  <c r="T34" i="9" s="1"/>
  <c r="Q30" i="9"/>
  <c r="Q32" i="9" s="1"/>
  <c r="Q34" i="9" s="1"/>
  <c r="E31" i="9"/>
  <c r="E33" i="9" s="1"/>
  <c r="E34" i="9" s="1"/>
  <c r="U31" i="9"/>
  <c r="U33" i="9" s="1"/>
  <c r="U34" i="9" s="1"/>
  <c r="H30" i="9"/>
  <c r="H32" i="9" s="1"/>
  <c r="H34" i="9" s="1"/>
  <c r="X30" i="9"/>
  <c r="X32" i="9" s="1"/>
  <c r="X34" i="9" s="1"/>
  <c r="L31" i="9"/>
  <c r="L33" i="9" s="1"/>
  <c r="L34" i="9" s="1"/>
  <c r="AC5" i="10"/>
  <c r="G30" i="10"/>
  <c r="G32" i="10" s="1"/>
  <c r="G34" i="10" s="1"/>
  <c r="Q30" i="10"/>
  <c r="Q32" i="10" s="1"/>
  <c r="Q34" i="10" s="1"/>
  <c r="H31" i="10"/>
  <c r="H33" i="10" s="1"/>
  <c r="H34" i="10" s="1"/>
  <c r="T31" i="10"/>
  <c r="T33" i="10" s="1"/>
  <c r="T34" i="10" s="1"/>
  <c r="S30" i="10"/>
  <c r="S32" i="10" s="1"/>
  <c r="S34" i="10" s="1"/>
  <c r="I31" i="10"/>
  <c r="I33" i="10" s="1"/>
  <c r="I34" i="10" s="1"/>
  <c r="X31" i="10"/>
  <c r="X33" i="10" s="1"/>
  <c r="X34" i="10" s="1"/>
  <c r="L30" i="10"/>
  <c r="L32" i="10" s="1"/>
  <c r="L34" i="10" s="1"/>
  <c r="M31" i="10"/>
  <c r="M33" i="10" s="1"/>
  <c r="M34" i="10" s="1"/>
  <c r="Y31" i="10"/>
  <c r="Y33" i="10" s="1"/>
  <c r="Y34" i="10" s="1"/>
  <c r="AB30" i="10"/>
  <c r="AB32" i="10" s="1"/>
  <c r="AB34" i="10" s="1"/>
  <c r="D31" i="10"/>
  <c r="D33" i="10" s="1"/>
  <c r="D34" i="10" s="1"/>
  <c r="O31" i="10"/>
  <c r="O33" i="10" s="1"/>
  <c r="O34" i="10" s="1"/>
  <c r="AD2" i="5"/>
  <c r="AD3" i="5"/>
  <c r="AC21" i="9"/>
  <c r="AC20" i="9"/>
  <c r="AB31" i="9"/>
  <c r="AB33" i="9" s="1"/>
  <c r="AB34" i="9" s="1"/>
  <c r="Z20" i="10"/>
  <c r="V20" i="10"/>
  <c r="R20" i="10"/>
  <c r="N20" i="10"/>
  <c r="J20" i="10"/>
  <c r="F20" i="10"/>
  <c r="W20" i="10"/>
  <c r="S20" i="10"/>
  <c r="K20" i="10"/>
  <c r="B22" i="10"/>
  <c r="AC20" i="10"/>
  <c r="Y20" i="10"/>
  <c r="U20" i="10"/>
  <c r="Q20" i="10"/>
  <c r="M20" i="10"/>
  <c r="I20" i="10"/>
  <c r="E20" i="10"/>
  <c r="AA20" i="10"/>
  <c r="O20" i="10"/>
  <c r="G20" i="10"/>
  <c r="B21" i="10"/>
  <c r="AB20" i="10"/>
  <c r="X20" i="10"/>
  <c r="T20" i="10"/>
  <c r="P20" i="10"/>
  <c r="L20" i="10"/>
  <c r="H20" i="10"/>
  <c r="D20" i="10"/>
  <c r="J21" i="10"/>
  <c r="U21" i="10"/>
  <c r="D21" i="10"/>
  <c r="N21" i="10"/>
  <c r="Y21" i="10"/>
  <c r="F22" i="10"/>
  <c r="J22" i="10"/>
  <c r="N22" i="10"/>
  <c r="R22" i="10"/>
  <c r="V22" i="10"/>
  <c r="Z22" i="10"/>
  <c r="E21" i="10"/>
  <c r="P21" i="10"/>
  <c r="Z21" i="10"/>
  <c r="G22" i="10"/>
  <c r="K22" i="10"/>
  <c r="O22" i="10"/>
  <c r="S22" i="10"/>
  <c r="W22" i="10"/>
  <c r="AA22" i="10"/>
  <c r="AR5" i="10" s="1"/>
  <c r="I21" i="10"/>
  <c r="T21" i="10"/>
  <c r="D22" i="10"/>
  <c r="H22" i="10"/>
  <c r="L22" i="10"/>
  <c r="P22" i="10"/>
  <c r="T22" i="10"/>
  <c r="X22" i="10"/>
  <c r="AB22" i="10"/>
  <c r="F21" i="10"/>
  <c r="L21" i="10"/>
  <c r="Q21" i="10"/>
  <c r="V21" i="10"/>
  <c r="AB21" i="10"/>
  <c r="H21" i="10"/>
  <c r="M21" i="10"/>
  <c r="R21" i="10"/>
  <c r="X21" i="10"/>
  <c r="AC21" i="10"/>
  <c r="H8" i="10"/>
  <c r="H11" i="10" s="1"/>
  <c r="H10" i="10"/>
  <c r="P10" i="10"/>
  <c r="P8" i="10"/>
  <c r="P11" i="10" s="1"/>
  <c r="X8" i="10"/>
  <c r="X11" i="10" s="1"/>
  <c r="X10" i="10"/>
  <c r="D7" i="10"/>
  <c r="L8" i="10"/>
  <c r="L11" i="10" s="1"/>
  <c r="L10" i="10"/>
  <c r="T10" i="10"/>
  <c r="T8" i="10"/>
  <c r="T11" i="10" s="1"/>
  <c r="AB8" i="10"/>
  <c r="AB11" i="10" s="1"/>
  <c r="AB10" i="10"/>
  <c r="O10" i="10"/>
  <c r="O8" i="10"/>
  <c r="O11" i="10" s="1"/>
  <c r="S6" i="10"/>
  <c r="S7" i="10" s="1"/>
  <c r="L18" i="10"/>
  <c r="W18" i="10"/>
  <c r="Z18" i="10"/>
  <c r="V18" i="10"/>
  <c r="R18" i="10"/>
  <c r="N18" i="10"/>
  <c r="J18" i="10"/>
  <c r="F18" i="10"/>
  <c r="AA18" i="10"/>
  <c r="U18" i="10"/>
  <c r="P18" i="10"/>
  <c r="K18" i="10"/>
  <c r="E18" i="10"/>
  <c r="Y18" i="10"/>
  <c r="T18" i="10"/>
  <c r="O18" i="10"/>
  <c r="I18" i="10"/>
  <c r="D18" i="10"/>
  <c r="M18" i="10"/>
  <c r="X18" i="10"/>
  <c r="K6" i="10"/>
  <c r="K7" i="10" s="1"/>
  <c r="AA6" i="10"/>
  <c r="AA7" i="10" s="1"/>
  <c r="G18" i="10"/>
  <c r="Q18" i="10"/>
  <c r="AB18" i="10"/>
  <c r="W30" i="10"/>
  <c r="W32" i="10" s="1"/>
  <c r="W34" i="10" s="1"/>
  <c r="G6" i="10"/>
  <c r="G7" i="10" s="1"/>
  <c r="W6" i="10"/>
  <c r="W7" i="10" s="1"/>
  <c r="H18" i="10"/>
  <c r="S18" i="10"/>
  <c r="AC18" i="10"/>
  <c r="K30" i="10"/>
  <c r="K32" i="10" s="1"/>
  <c r="K31" i="10"/>
  <c r="K33" i="10" s="1"/>
  <c r="S27" i="10"/>
  <c r="AA30" i="10"/>
  <c r="AA32" i="10" s="1"/>
  <c r="AA31" i="10"/>
  <c r="AA33" i="10" s="1"/>
  <c r="E31" i="10"/>
  <c r="E33" i="10" s="1"/>
  <c r="E34" i="10" s="1"/>
  <c r="P31" i="10"/>
  <c r="P33" i="10" s="1"/>
  <c r="P34" i="10" s="1"/>
  <c r="U31" i="10"/>
  <c r="U33" i="10" s="1"/>
  <c r="U34" i="10" s="1"/>
  <c r="G21" i="10"/>
  <c r="K21" i="10"/>
  <c r="O21" i="10"/>
  <c r="S21" i="10"/>
  <c r="W21" i="10"/>
  <c r="AA21" i="10"/>
  <c r="F30" i="10"/>
  <c r="F32" i="10" s="1"/>
  <c r="F34" i="10" s="1"/>
  <c r="J30" i="10"/>
  <c r="J32" i="10" s="1"/>
  <c r="J34" i="10" s="1"/>
  <c r="N30" i="10"/>
  <c r="N32" i="10" s="1"/>
  <c r="N34" i="10" s="1"/>
  <c r="R30" i="10"/>
  <c r="R32" i="10" s="1"/>
  <c r="R34" i="10" s="1"/>
  <c r="V30" i="10"/>
  <c r="V32" i="10" s="1"/>
  <c r="V34" i="10" s="1"/>
  <c r="Z30" i="10"/>
  <c r="Z32" i="10" s="1"/>
  <c r="Z34" i="10" s="1"/>
  <c r="V6" i="9"/>
  <c r="V7" i="9" s="1"/>
  <c r="V8" i="9" s="1"/>
  <c r="V11" i="9" s="1"/>
  <c r="D6" i="9"/>
  <c r="D7" i="9" s="1"/>
  <c r="D10" i="9" s="1"/>
  <c r="L6" i="9"/>
  <c r="L7" i="9" s="1"/>
  <c r="L10" i="9" s="1"/>
  <c r="W6" i="9"/>
  <c r="W7" i="9" s="1"/>
  <c r="W10" i="9" s="1"/>
  <c r="G6" i="9"/>
  <c r="G7" i="9" s="1"/>
  <c r="O6" i="9"/>
  <c r="O7" i="9" s="1"/>
  <c r="O10" i="9" s="1"/>
  <c r="K6" i="9"/>
  <c r="K7" i="9" s="1"/>
  <c r="K8" i="9" s="1"/>
  <c r="K11" i="9" s="1"/>
  <c r="H6" i="9"/>
  <c r="H7" i="9" s="1"/>
  <c r="H10" i="9" s="1"/>
  <c r="P6" i="9"/>
  <c r="P7" i="9" s="1"/>
  <c r="S10" i="9"/>
  <c r="S8" i="9"/>
  <c r="S11" i="9" s="1"/>
  <c r="F10" i="9"/>
  <c r="F8" i="9"/>
  <c r="F11" i="9" s="1"/>
  <c r="N10" i="9"/>
  <c r="N8" i="9"/>
  <c r="N11" i="9" s="1"/>
  <c r="T10" i="9"/>
  <c r="T8" i="9"/>
  <c r="T11" i="9" s="1"/>
  <c r="J8" i="9"/>
  <c r="J11" i="9" s="1"/>
  <c r="J10" i="9"/>
  <c r="R10" i="9"/>
  <c r="R8" i="9"/>
  <c r="R11" i="9" s="1"/>
  <c r="Z10" i="9"/>
  <c r="Z8" i="9"/>
  <c r="Z11" i="9" s="1"/>
  <c r="E10" i="9"/>
  <c r="E8" i="9"/>
  <c r="E11" i="9" s="1"/>
  <c r="I10" i="9"/>
  <c r="I8" i="9"/>
  <c r="I11" i="9" s="1"/>
  <c r="M10" i="9"/>
  <c r="M8" i="9"/>
  <c r="M11" i="9" s="1"/>
  <c r="Q10" i="9"/>
  <c r="Q8" i="9"/>
  <c r="Q11" i="9" s="1"/>
  <c r="U10" i="9"/>
  <c r="U8" i="9"/>
  <c r="U11" i="9" s="1"/>
  <c r="Y10" i="9"/>
  <c r="Y8" i="9"/>
  <c r="Y11" i="9" s="1"/>
  <c r="AA10" i="9"/>
  <c r="AA8" i="9"/>
  <c r="AA11" i="9" s="1"/>
  <c r="D8" i="9"/>
  <c r="D11" i="9" s="1"/>
  <c r="P8" i="9"/>
  <c r="P11" i="9" s="1"/>
  <c r="X6" i="9"/>
  <c r="X7" i="9" s="1"/>
  <c r="K10" i="9"/>
  <c r="Z18" i="9"/>
  <c r="V18" i="9"/>
  <c r="R18" i="9"/>
  <c r="N18" i="9"/>
  <c r="J18" i="9"/>
  <c r="F18" i="9"/>
  <c r="H18" i="9"/>
  <c r="M18" i="9"/>
  <c r="S18" i="9"/>
  <c r="X18" i="9"/>
  <c r="AC18" i="9"/>
  <c r="G21" i="9"/>
  <c r="K21" i="9"/>
  <c r="O21" i="9"/>
  <c r="S21" i="9"/>
  <c r="W21" i="9"/>
  <c r="AA21" i="9"/>
  <c r="S27" i="9"/>
  <c r="F30" i="9"/>
  <c r="F32" i="9" s="1"/>
  <c r="F34" i="9" s="1"/>
  <c r="J30" i="9"/>
  <c r="J32" i="9" s="1"/>
  <c r="J34" i="9" s="1"/>
  <c r="N30" i="9"/>
  <c r="N32" i="9" s="1"/>
  <c r="N34" i="9" s="1"/>
  <c r="R30" i="9"/>
  <c r="R32" i="9" s="1"/>
  <c r="R34" i="9" s="1"/>
  <c r="V30" i="9"/>
  <c r="V32" i="9" s="1"/>
  <c r="V34" i="9" s="1"/>
  <c r="Z30" i="9"/>
  <c r="Z32" i="9" s="1"/>
  <c r="Z34" i="9" s="1"/>
  <c r="G30" i="9"/>
  <c r="G32" i="9" s="1"/>
  <c r="G34" i="9" s="1"/>
  <c r="K30" i="9"/>
  <c r="K32" i="9" s="1"/>
  <c r="K34" i="9" s="1"/>
  <c r="O30" i="9"/>
  <c r="O32" i="9" s="1"/>
  <c r="O34" i="9" s="1"/>
  <c r="S30" i="9"/>
  <c r="S32" i="9" s="1"/>
  <c r="S34" i="9" s="1"/>
  <c r="W30" i="9"/>
  <c r="W32" i="9" s="1"/>
  <c r="W34" i="9" s="1"/>
  <c r="AA30" i="9"/>
  <c r="AA32" i="9" s="1"/>
  <c r="AA34" i="9" l="1"/>
  <c r="AR4" i="9"/>
  <c r="AT4" i="9"/>
  <c r="AA34" i="10"/>
  <c r="AT4" i="10" s="1"/>
  <c r="AR4" i="10"/>
  <c r="K34" i="10"/>
  <c r="AS6" i="10"/>
  <c r="AT6" i="10"/>
  <c r="AS4" i="10"/>
  <c r="AE5" i="5"/>
  <c r="AD22" i="5"/>
  <c r="M34" i="9"/>
  <c r="AS4" i="9" s="1"/>
  <c r="AB6" i="9"/>
  <c r="AB7" i="9" s="1"/>
  <c r="AB4" i="9"/>
  <c r="AD5" i="9"/>
  <c r="AC2" i="9"/>
  <c r="AC22" i="9"/>
  <c r="AC3" i="9"/>
  <c r="AC29" i="9"/>
  <c r="V10" i="9"/>
  <c r="X9" i="10"/>
  <c r="X12" i="10" s="1"/>
  <c r="AC29" i="10"/>
  <c r="AD5" i="10"/>
  <c r="AC2" i="10"/>
  <c r="AC3" i="10"/>
  <c r="L9" i="10"/>
  <c r="L12" i="10" s="1"/>
  <c r="H9" i="10"/>
  <c r="H12" i="10" s="1"/>
  <c r="H13" i="10" s="1"/>
  <c r="H14" i="10" s="1"/>
  <c r="AD4" i="5"/>
  <c r="AD21" i="9"/>
  <c r="AD29" i="9"/>
  <c r="AD22" i="9"/>
  <c r="AD20" i="9"/>
  <c r="K9" i="9"/>
  <c r="K12" i="9" s="1"/>
  <c r="K13" i="9" s="1"/>
  <c r="L8" i="9"/>
  <c r="L11" i="9" s="1"/>
  <c r="O8" i="9"/>
  <c r="O11" i="9" s="1"/>
  <c r="S9" i="9"/>
  <c r="S12" i="9" s="1"/>
  <c r="S13" i="9" s="1"/>
  <c r="S14" i="9" s="1"/>
  <c r="Y22" i="10"/>
  <c r="I22" i="10"/>
  <c r="AC22" i="10"/>
  <c r="U22" i="10"/>
  <c r="E22" i="10"/>
  <c r="M22" i="10"/>
  <c r="Q22" i="10"/>
  <c r="AT5" i="10" s="1"/>
  <c r="W8" i="10"/>
  <c r="W11" i="10" s="1"/>
  <c r="W9" i="10"/>
  <c r="W12" i="10" s="1"/>
  <c r="W10" i="10"/>
  <c r="R6" i="10"/>
  <c r="R7" i="10" s="1"/>
  <c r="K10" i="10"/>
  <c r="K8" i="10"/>
  <c r="K11" i="10" s="1"/>
  <c r="Q6" i="10"/>
  <c r="Q7" i="10" s="1"/>
  <c r="D10" i="10"/>
  <c r="D8" i="10"/>
  <c r="D11" i="10" s="1"/>
  <c r="G8" i="10"/>
  <c r="G11" i="10" s="1"/>
  <c r="G10" i="10"/>
  <c r="N6" i="10"/>
  <c r="N7" i="10" s="1"/>
  <c r="M6" i="10"/>
  <c r="M7" i="10" s="1"/>
  <c r="S8" i="10"/>
  <c r="S11" i="10" s="1"/>
  <c r="S10" i="10"/>
  <c r="X13" i="10"/>
  <c r="X14" i="10" s="1"/>
  <c r="Z6" i="10"/>
  <c r="Z7" i="10" s="1"/>
  <c r="J6" i="10"/>
  <c r="J7" i="10" s="1"/>
  <c r="Y6" i="10"/>
  <c r="Y7" i="10" s="1"/>
  <c r="I6" i="10"/>
  <c r="I7" i="10" s="1"/>
  <c r="L13" i="10"/>
  <c r="P9" i="10"/>
  <c r="AC19" i="10"/>
  <c r="Y19" i="10"/>
  <c r="U19" i="10"/>
  <c r="Q19" i="10"/>
  <c r="M19" i="10"/>
  <c r="I19" i="10"/>
  <c r="E19" i="10"/>
  <c r="AA19" i="10"/>
  <c r="AR6" i="10" s="1"/>
  <c r="V19" i="10"/>
  <c r="P19" i="10"/>
  <c r="K19" i="10"/>
  <c r="F19" i="10"/>
  <c r="Z19" i="10"/>
  <c r="T19" i="10"/>
  <c r="O19" i="10"/>
  <c r="J19" i="10"/>
  <c r="D19" i="10"/>
  <c r="X19" i="10"/>
  <c r="N19" i="10"/>
  <c r="W19" i="10"/>
  <c r="L19" i="10"/>
  <c r="AD19" i="10"/>
  <c r="S19" i="10"/>
  <c r="H19" i="10"/>
  <c r="AB19" i="10"/>
  <c r="R19" i="10"/>
  <c r="G19" i="10"/>
  <c r="V6" i="10"/>
  <c r="V7" i="10" s="1"/>
  <c r="F6" i="10"/>
  <c r="F7" i="10" s="1"/>
  <c r="AA10" i="10"/>
  <c r="AA8" i="10"/>
  <c r="AA11" i="10" s="1"/>
  <c r="U6" i="10"/>
  <c r="U7" i="10" s="1"/>
  <c r="E6" i="10"/>
  <c r="O9" i="10"/>
  <c r="O12" i="10" s="1"/>
  <c r="O13" i="10" s="1"/>
  <c r="AB9" i="10"/>
  <c r="AB12" i="10" s="1"/>
  <c r="AB13" i="10" s="1"/>
  <c r="T9" i="10"/>
  <c r="T12" i="10" s="1"/>
  <c r="T13" i="10" s="1"/>
  <c r="T14" i="10" s="1"/>
  <c r="P9" i="9"/>
  <c r="L9" i="9"/>
  <c r="L12" i="9" s="1"/>
  <c r="L13" i="9" s="1"/>
  <c r="L14" i="9" s="1"/>
  <c r="T9" i="9"/>
  <c r="T12" i="9" s="1"/>
  <c r="T13" i="9" s="1"/>
  <c r="T14" i="9" s="1"/>
  <c r="G10" i="9"/>
  <c r="G8" i="9"/>
  <c r="G11" i="9" s="1"/>
  <c r="J9" i="9"/>
  <c r="J12" i="9" s="1"/>
  <c r="J13" i="9" s="1"/>
  <c r="J14" i="9" s="1"/>
  <c r="N9" i="9"/>
  <c r="N12" i="9" s="1"/>
  <c r="N13" i="9" s="1"/>
  <c r="P10" i="9"/>
  <c r="H8" i="9"/>
  <c r="H11" i="9" s="1"/>
  <c r="M9" i="9"/>
  <c r="M12" i="9" s="1"/>
  <c r="M13" i="9" s="1"/>
  <c r="M14" i="9" s="1"/>
  <c r="R9" i="9"/>
  <c r="R12" i="9" s="1"/>
  <c r="R13" i="9" s="1"/>
  <c r="W8" i="9"/>
  <c r="I9" i="9"/>
  <c r="I12" i="9" s="1"/>
  <c r="I13" i="9" s="1"/>
  <c r="I14" i="9" s="1"/>
  <c r="Y9" i="9"/>
  <c r="Y12" i="9" s="1"/>
  <c r="Y13" i="9" s="1"/>
  <c r="Y14" i="9" s="1"/>
  <c r="Z9" i="9"/>
  <c r="Z12" i="9" s="1"/>
  <c r="Z13" i="9" s="1"/>
  <c r="Z14" i="9" s="1"/>
  <c r="F9" i="9"/>
  <c r="F12" i="9" s="1"/>
  <c r="F13" i="9" s="1"/>
  <c r="F14" i="9" s="1"/>
  <c r="K14" i="9"/>
  <c r="D9" i="9"/>
  <c r="D12" i="9" s="1"/>
  <c r="D13" i="9" s="1"/>
  <c r="Q9" i="9"/>
  <c r="Q12" i="9" s="1"/>
  <c r="Q13" i="9" s="1"/>
  <c r="AD19" i="9"/>
  <c r="AD35" i="9" s="1"/>
  <c r="Z19" i="9"/>
  <c r="Z35" i="9" s="1"/>
  <c r="V19" i="9"/>
  <c r="V35" i="9" s="1"/>
  <c r="R19" i="9"/>
  <c r="R35" i="9" s="1"/>
  <c r="N19" i="9"/>
  <c r="N35" i="9" s="1"/>
  <c r="J19" i="9"/>
  <c r="J35" i="9" s="1"/>
  <c r="AC19" i="9"/>
  <c r="AC35" i="9" s="1"/>
  <c r="Y19" i="9"/>
  <c r="Y35" i="9" s="1"/>
  <c r="U19" i="9"/>
  <c r="U35" i="9" s="1"/>
  <c r="Q19" i="9"/>
  <c r="Q35" i="9" s="1"/>
  <c r="M19" i="9"/>
  <c r="M35" i="9" s="1"/>
  <c r="I19" i="9"/>
  <c r="I35" i="9" s="1"/>
  <c r="E19" i="9"/>
  <c r="E35" i="9" s="1"/>
  <c r="AA19" i="9"/>
  <c r="S19" i="9"/>
  <c r="S35" i="9" s="1"/>
  <c r="K19" i="9"/>
  <c r="K35" i="9" s="1"/>
  <c r="D19" i="9"/>
  <c r="D35" i="9" s="1"/>
  <c r="X19" i="9"/>
  <c r="X35" i="9" s="1"/>
  <c r="P19" i="9"/>
  <c r="P35" i="9" s="1"/>
  <c r="H19" i="9"/>
  <c r="H35" i="9" s="1"/>
  <c r="O19" i="9"/>
  <c r="O35" i="9" s="1"/>
  <c r="AB19" i="9"/>
  <c r="AB35" i="9" s="1"/>
  <c r="L19" i="9"/>
  <c r="L35" i="9" s="1"/>
  <c r="W19" i="9"/>
  <c r="W35" i="9" s="1"/>
  <c r="G19" i="9"/>
  <c r="G35" i="9" s="1"/>
  <c r="T19" i="9"/>
  <c r="T35" i="9" s="1"/>
  <c r="F19" i="9"/>
  <c r="F35" i="9" s="1"/>
  <c r="X10" i="9"/>
  <c r="X8" i="9"/>
  <c r="X11" i="9" s="1"/>
  <c r="U9" i="9"/>
  <c r="U12" i="9" s="1"/>
  <c r="U13" i="9" s="1"/>
  <c r="U14" i="9" s="1"/>
  <c r="E9" i="9"/>
  <c r="E12" i="9" s="1"/>
  <c r="E13" i="9" s="1"/>
  <c r="E14" i="9" s="1"/>
  <c r="AA9" i="9"/>
  <c r="AA12" i="9" s="1"/>
  <c r="AA13" i="9" s="1"/>
  <c r="AR3" i="9" s="1"/>
  <c r="V9" i="9"/>
  <c r="V12" i="9" s="1"/>
  <c r="V13" i="9" s="1"/>
  <c r="C32" i="5"/>
  <c r="C33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E29" i="5"/>
  <c r="C27" i="5"/>
  <c r="C21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E20" i="5"/>
  <c r="C18" i="5"/>
  <c r="F18" i="5" s="1"/>
  <c r="AR6" i="9" l="1"/>
  <c r="AR7" i="9" s="1"/>
  <c r="AA35" i="9"/>
  <c r="P12" i="9"/>
  <c r="P13" i="9" s="1"/>
  <c r="AB14" i="10"/>
  <c r="P12" i="10"/>
  <c r="P13" i="10" s="1"/>
  <c r="AS5" i="10"/>
  <c r="AF5" i="5"/>
  <c r="AE3" i="5"/>
  <c r="AE2" i="5"/>
  <c r="AE4" i="5" s="1"/>
  <c r="AE22" i="5"/>
  <c r="AC30" i="9"/>
  <c r="AC32" i="9" s="1"/>
  <c r="AC31" i="9"/>
  <c r="AC33" i="9" s="1"/>
  <c r="AE5" i="9"/>
  <c r="AD2" i="9"/>
  <c r="AD3" i="9"/>
  <c r="AD18" i="9"/>
  <c r="V14" i="9"/>
  <c r="AC6" i="9"/>
  <c r="AC4" i="9"/>
  <c r="AB10" i="9"/>
  <c r="AB8" i="9"/>
  <c r="K9" i="10"/>
  <c r="K12" i="10" s="1"/>
  <c r="AE5" i="10"/>
  <c r="AD2" i="10"/>
  <c r="AD3" i="10"/>
  <c r="AD29" i="10"/>
  <c r="AD20" i="10"/>
  <c r="AD21" i="10"/>
  <c r="AD22" i="10"/>
  <c r="AD18" i="10"/>
  <c r="AC31" i="10"/>
  <c r="AC33" i="10" s="1"/>
  <c r="AC30" i="10"/>
  <c r="AC32" i="10" s="1"/>
  <c r="AC34" i="10" s="1"/>
  <c r="D9" i="10"/>
  <c r="D12" i="10" s="1"/>
  <c r="AC6" i="10"/>
  <c r="AC7" i="10" s="1"/>
  <c r="AC4" i="10"/>
  <c r="AE29" i="9"/>
  <c r="AE18" i="9"/>
  <c r="AE22" i="9"/>
  <c r="AE20" i="9"/>
  <c r="AE21" i="9"/>
  <c r="AE19" i="9"/>
  <c r="AE35" i="9" s="1"/>
  <c r="AD31" i="9"/>
  <c r="AD33" i="9" s="1"/>
  <c r="AD30" i="9"/>
  <c r="AD32" i="9" s="1"/>
  <c r="AD34" i="9" s="1"/>
  <c r="O9" i="9"/>
  <c r="O12" i="9" s="1"/>
  <c r="O13" i="9" s="1"/>
  <c r="AA14" i="9"/>
  <c r="H9" i="9"/>
  <c r="H12" i="9" s="1"/>
  <c r="H13" i="9" s="1"/>
  <c r="H14" i="9" s="1"/>
  <c r="O14" i="10"/>
  <c r="Y10" i="10"/>
  <c r="Y8" i="10"/>
  <c r="Y11" i="10" s="1"/>
  <c r="AA9" i="10"/>
  <c r="AA12" i="10" s="1"/>
  <c r="AA13" i="10" s="1"/>
  <c r="F10" i="10"/>
  <c r="F8" i="10"/>
  <c r="F11" i="10" s="1"/>
  <c r="S9" i="10"/>
  <c r="S12" i="10" s="1"/>
  <c r="N8" i="10"/>
  <c r="N11" i="10" s="1"/>
  <c r="N10" i="10"/>
  <c r="L14" i="10"/>
  <c r="Q10" i="10"/>
  <c r="Q8" i="10"/>
  <c r="Q11" i="10" s="1"/>
  <c r="W13" i="10"/>
  <c r="E7" i="10"/>
  <c r="I10" i="10"/>
  <c r="I8" i="10"/>
  <c r="I11" i="10" s="1"/>
  <c r="J10" i="10"/>
  <c r="J8" i="10"/>
  <c r="J11" i="10" s="1"/>
  <c r="D13" i="10"/>
  <c r="S13" i="10"/>
  <c r="S14" i="10" s="1"/>
  <c r="R8" i="10"/>
  <c r="R11" i="10" s="1"/>
  <c r="R10" i="10"/>
  <c r="V10" i="10"/>
  <c r="V8" i="10"/>
  <c r="V11" i="10" s="1"/>
  <c r="M10" i="10"/>
  <c r="M8" i="10"/>
  <c r="M11" i="10" s="1"/>
  <c r="G9" i="10"/>
  <c r="G12" i="10" s="1"/>
  <c r="G13" i="10" s="1"/>
  <c r="G14" i="10" s="1"/>
  <c r="K13" i="10"/>
  <c r="W14" i="10"/>
  <c r="U10" i="10"/>
  <c r="U8" i="10"/>
  <c r="U11" i="10" s="1"/>
  <c r="Z10" i="10"/>
  <c r="Z8" i="10"/>
  <c r="R14" i="9"/>
  <c r="P14" i="9"/>
  <c r="D14" i="9"/>
  <c r="O14" i="9"/>
  <c r="Q14" i="9"/>
  <c r="X9" i="9"/>
  <c r="X12" i="9" s="1"/>
  <c r="X13" i="9" s="1"/>
  <c r="W11" i="9"/>
  <c r="W9" i="9"/>
  <c r="G9" i="9"/>
  <c r="G12" i="9" s="1"/>
  <c r="G13" i="9" s="1"/>
  <c r="N14" i="9"/>
  <c r="H21" i="5"/>
  <c r="O21" i="5"/>
  <c r="AE21" i="5"/>
  <c r="AA21" i="5"/>
  <c r="K21" i="5"/>
  <c r="W21" i="5"/>
  <c r="S21" i="5"/>
  <c r="AC18" i="5"/>
  <c r="M18" i="5"/>
  <c r="G21" i="5"/>
  <c r="E18" i="5"/>
  <c r="Y18" i="5"/>
  <c r="AD21" i="5"/>
  <c r="Z21" i="5"/>
  <c r="V21" i="5"/>
  <c r="R21" i="5"/>
  <c r="N21" i="5"/>
  <c r="J21" i="5"/>
  <c r="F21" i="5"/>
  <c r="U18" i="5"/>
  <c r="E21" i="5"/>
  <c r="AC21" i="5"/>
  <c r="Y21" i="5"/>
  <c r="U21" i="5"/>
  <c r="Q21" i="5"/>
  <c r="M21" i="5"/>
  <c r="I21" i="5"/>
  <c r="C19" i="5"/>
  <c r="Q18" i="5"/>
  <c r="AF21" i="5"/>
  <c r="AB21" i="5"/>
  <c r="X21" i="5"/>
  <c r="T21" i="5"/>
  <c r="P21" i="5"/>
  <c r="L21" i="5"/>
  <c r="AF18" i="5"/>
  <c r="AB18" i="5"/>
  <c r="X18" i="5"/>
  <c r="T18" i="5"/>
  <c r="P18" i="5"/>
  <c r="L18" i="5"/>
  <c r="H18" i="5"/>
  <c r="I18" i="5"/>
  <c r="AE18" i="5"/>
  <c r="AA18" i="5"/>
  <c r="W18" i="5"/>
  <c r="S18" i="5"/>
  <c r="O18" i="5"/>
  <c r="K18" i="5"/>
  <c r="G18" i="5"/>
  <c r="AD18" i="5"/>
  <c r="Z18" i="5"/>
  <c r="V18" i="5"/>
  <c r="R18" i="5"/>
  <c r="N18" i="5"/>
  <c r="J18" i="5"/>
  <c r="G14" i="9" l="1"/>
  <c r="AS3" i="9"/>
  <c r="W12" i="9"/>
  <c r="AT7" i="9"/>
  <c r="Z11" i="10"/>
  <c r="Z9" i="10"/>
  <c r="Z12" i="10" s="1"/>
  <c r="D14" i="10"/>
  <c r="AA14" i="10"/>
  <c r="AR3" i="10"/>
  <c r="AR7" i="10" s="1"/>
  <c r="AC34" i="9"/>
  <c r="AF22" i="5"/>
  <c r="AG5" i="5"/>
  <c r="AF3" i="5"/>
  <c r="AF2" i="5"/>
  <c r="AF4" i="5" s="1"/>
  <c r="AF29" i="5"/>
  <c r="AF20" i="5"/>
  <c r="P14" i="10"/>
  <c r="AC7" i="9"/>
  <c r="AB11" i="9"/>
  <c r="AB9" i="9"/>
  <c r="AB12" i="9" s="1"/>
  <c r="AB13" i="9" s="1"/>
  <c r="AE3" i="9"/>
  <c r="AF5" i="9"/>
  <c r="AE2" i="9"/>
  <c r="AD4" i="9"/>
  <c r="AD6" i="9"/>
  <c r="AD7" i="9" s="1"/>
  <c r="V9" i="10"/>
  <c r="V12" i="10" s="1"/>
  <c r="R9" i="10"/>
  <c r="R12" i="10" s="1"/>
  <c r="AD4" i="10"/>
  <c r="AD6" i="10"/>
  <c r="J9" i="10"/>
  <c r="J12" i="10" s="1"/>
  <c r="AC8" i="10"/>
  <c r="AC11" i="10" s="1"/>
  <c r="AC10" i="10"/>
  <c r="AC9" i="10"/>
  <c r="AC12" i="10" s="1"/>
  <c r="AE2" i="10"/>
  <c r="AE3" i="10"/>
  <c r="AE29" i="10"/>
  <c r="AF5" i="10"/>
  <c r="AE20" i="10"/>
  <c r="AE18" i="10"/>
  <c r="AE22" i="10"/>
  <c r="AE21" i="10"/>
  <c r="AE19" i="10"/>
  <c r="AD31" i="10"/>
  <c r="AD33" i="10" s="1"/>
  <c r="AD30" i="10"/>
  <c r="AD32" i="10" s="1"/>
  <c r="AD34" i="10" s="1"/>
  <c r="N9" i="10"/>
  <c r="N12" i="10" s="1"/>
  <c r="F9" i="10"/>
  <c r="F12" i="10" s="1"/>
  <c r="K14" i="10"/>
  <c r="AF22" i="9"/>
  <c r="AF20" i="9"/>
  <c r="AF29" i="9"/>
  <c r="AF18" i="9"/>
  <c r="AF21" i="9"/>
  <c r="AF19" i="9"/>
  <c r="AF35" i="9" s="1"/>
  <c r="AE31" i="9"/>
  <c r="AE33" i="9" s="1"/>
  <c r="AE27" i="9"/>
  <c r="AE30" i="9"/>
  <c r="AE32" i="9" s="1"/>
  <c r="AE34" i="9" s="1"/>
  <c r="Q9" i="10"/>
  <c r="Y9" i="10"/>
  <c r="Y12" i="10" s="1"/>
  <c r="Z13" i="10"/>
  <c r="U9" i="10"/>
  <c r="U12" i="10" s="1"/>
  <c r="U13" i="10" s="1"/>
  <c r="J13" i="10"/>
  <c r="I9" i="10"/>
  <c r="I12" i="10" s="1"/>
  <c r="I13" i="10" s="1"/>
  <c r="E10" i="10"/>
  <c r="E8" i="10"/>
  <c r="E11" i="10" s="1"/>
  <c r="N13" i="10"/>
  <c r="F13" i="10"/>
  <c r="Y13" i="10"/>
  <c r="Y14" i="10" s="1"/>
  <c r="M9" i="10"/>
  <c r="M12" i="10" s="1"/>
  <c r="M13" i="10" s="1"/>
  <c r="R13" i="10"/>
  <c r="R14" i="10" s="1"/>
  <c r="Z14" i="10"/>
  <c r="V13" i="10"/>
  <c r="J14" i="10"/>
  <c r="F14" i="10"/>
  <c r="W13" i="9"/>
  <c r="AT3" i="9" s="1"/>
  <c r="X14" i="9"/>
  <c r="AE19" i="5"/>
  <c r="AA19" i="5"/>
  <c r="W19" i="5"/>
  <c r="S19" i="5"/>
  <c r="O19" i="5"/>
  <c r="K19" i="5"/>
  <c r="G19" i="5"/>
  <c r="AD19" i="5"/>
  <c r="Z19" i="5"/>
  <c r="V19" i="5"/>
  <c r="R19" i="5"/>
  <c r="N19" i="5"/>
  <c r="J19" i="5"/>
  <c r="F19" i="5"/>
  <c r="AG19" i="5"/>
  <c r="AC19" i="5"/>
  <c r="Y19" i="5"/>
  <c r="U19" i="5"/>
  <c r="Q19" i="5"/>
  <c r="M19" i="5"/>
  <c r="I19" i="5"/>
  <c r="E19" i="5"/>
  <c r="AF19" i="5"/>
  <c r="AB19" i="5"/>
  <c r="AS6" i="5" s="1"/>
  <c r="X19" i="5"/>
  <c r="T19" i="5"/>
  <c r="P19" i="5"/>
  <c r="L19" i="5"/>
  <c r="H19" i="5"/>
  <c r="E113" i="5"/>
  <c r="G113" i="5" s="1"/>
  <c r="E112" i="5"/>
  <c r="G112" i="5" s="1"/>
  <c r="Q12" i="10" l="1"/>
  <c r="Q13" i="10" s="1"/>
  <c r="AT3" i="10" s="1"/>
  <c r="AT7" i="10"/>
  <c r="AG29" i="5"/>
  <c r="AG20" i="5"/>
  <c r="AG22" i="5"/>
  <c r="AH5" i="5"/>
  <c r="AG3" i="5"/>
  <c r="AG2" i="5"/>
  <c r="AG4" i="5" s="1"/>
  <c r="AG21" i="5"/>
  <c r="AG18" i="5"/>
  <c r="AS7" i="9"/>
  <c r="AE4" i="9"/>
  <c r="AE6" i="9"/>
  <c r="AE7" i="9" s="1"/>
  <c r="AG5" i="9"/>
  <c r="AF2" i="9"/>
  <c r="AF3" i="9"/>
  <c r="AB14" i="9"/>
  <c r="AD8" i="9"/>
  <c r="AD11" i="9" s="1"/>
  <c r="AD10" i="9"/>
  <c r="AC8" i="9"/>
  <c r="AC11" i="9" s="1"/>
  <c r="AC10" i="9"/>
  <c r="AC9" i="9"/>
  <c r="AC12" i="9" s="1"/>
  <c r="AF3" i="10"/>
  <c r="AF29" i="10"/>
  <c r="AG5" i="10"/>
  <c r="AF2" i="10"/>
  <c r="AF20" i="10"/>
  <c r="AF22" i="10"/>
  <c r="AF18" i="10"/>
  <c r="AF21" i="10"/>
  <c r="AF19" i="10"/>
  <c r="AD7" i="10"/>
  <c r="AE30" i="10"/>
  <c r="AE32" i="10" s="1"/>
  <c r="AE27" i="10"/>
  <c r="AE31" i="10"/>
  <c r="AE33" i="10" s="1"/>
  <c r="AC13" i="10"/>
  <c r="AE4" i="10"/>
  <c r="AE6" i="10"/>
  <c r="AE7" i="10" s="1"/>
  <c r="Q14" i="10"/>
  <c r="U14" i="10"/>
  <c r="AF31" i="9"/>
  <c r="AF33" i="9" s="1"/>
  <c r="AF30" i="9"/>
  <c r="AF32" i="9" s="1"/>
  <c r="AF34" i="9" s="1"/>
  <c r="AG22" i="9"/>
  <c r="AG20" i="9"/>
  <c r="AG18" i="9"/>
  <c r="AG29" i="9"/>
  <c r="AG21" i="9"/>
  <c r="AG19" i="9"/>
  <c r="AG35" i="9" s="1"/>
  <c r="I14" i="10"/>
  <c r="M14" i="10"/>
  <c r="V14" i="10"/>
  <c r="E9" i="10"/>
  <c r="E12" i="10" s="1"/>
  <c r="E13" i="10" s="1"/>
  <c r="AS3" i="10" s="1"/>
  <c r="N14" i="10"/>
  <c r="W14" i="9"/>
  <c r="E105" i="5"/>
  <c r="C104" i="5"/>
  <c r="E104" i="5" s="1"/>
  <c r="E31" i="5"/>
  <c r="E33" i="5" s="1"/>
  <c r="E30" i="5"/>
  <c r="E32" i="5" s="1"/>
  <c r="F31" i="5"/>
  <c r="F33" i="5" s="1"/>
  <c r="C12" i="5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D97" i="3"/>
  <c r="B96" i="3"/>
  <c r="D96" i="3" s="1"/>
  <c r="AS7" i="10" l="1"/>
  <c r="AC14" i="10"/>
  <c r="AE34" i="10"/>
  <c r="AH21" i="5"/>
  <c r="AH18" i="5"/>
  <c r="AH22" i="5"/>
  <c r="AI5" i="5"/>
  <c r="AH3" i="5"/>
  <c r="AH2" i="5"/>
  <c r="AH4" i="5" s="1"/>
  <c r="AH20" i="5"/>
  <c r="AH29" i="5"/>
  <c r="AH19" i="5"/>
  <c r="AC13" i="9"/>
  <c r="AF4" i="9"/>
  <c r="AF6" i="9"/>
  <c r="AE10" i="9"/>
  <c r="AE8" i="9"/>
  <c r="AE11" i="9" s="1"/>
  <c r="AE9" i="9"/>
  <c r="AE12" i="9" s="1"/>
  <c r="AE13" i="9" s="1"/>
  <c r="AE14" i="9" s="1"/>
  <c r="AD9" i="9"/>
  <c r="AD12" i="9" s="1"/>
  <c r="AD13" i="9" s="1"/>
  <c r="AD14" i="9" s="1"/>
  <c r="AH5" i="9"/>
  <c r="AG2" i="9"/>
  <c r="AG3" i="9"/>
  <c r="AE10" i="10"/>
  <c r="AE8" i="10"/>
  <c r="AE11" i="10" s="1"/>
  <c r="AE9" i="10"/>
  <c r="AE12" i="10" s="1"/>
  <c r="AF4" i="10"/>
  <c r="AF6" i="10"/>
  <c r="AF7" i="10" s="1"/>
  <c r="AG29" i="10"/>
  <c r="AH5" i="10"/>
  <c r="AG2" i="10"/>
  <c r="AG3" i="10"/>
  <c r="AG22" i="10"/>
  <c r="AG18" i="10"/>
  <c r="AG20" i="10"/>
  <c r="AG21" i="10"/>
  <c r="AG19" i="10"/>
  <c r="AD10" i="10"/>
  <c r="AD8" i="10"/>
  <c r="AF30" i="10"/>
  <c r="AF32" i="10" s="1"/>
  <c r="AF31" i="10"/>
  <c r="AF33" i="10" s="1"/>
  <c r="AH29" i="9"/>
  <c r="AH21" i="9"/>
  <c r="AH22" i="9"/>
  <c r="AH20" i="9"/>
  <c r="AH18" i="9"/>
  <c r="AH19" i="9"/>
  <c r="AH35" i="9" s="1"/>
  <c r="AG31" i="9"/>
  <c r="AG33" i="9" s="1"/>
  <c r="AG30" i="9"/>
  <c r="AG32" i="9" s="1"/>
  <c r="AG34" i="9" s="1"/>
  <c r="E14" i="10"/>
  <c r="AE6" i="5"/>
  <c r="AE7" i="5" s="1"/>
  <c r="AE10" i="5" s="1"/>
  <c r="Y2" i="5"/>
  <c r="U2" i="5"/>
  <c r="Q2" i="5"/>
  <c r="M2" i="5"/>
  <c r="I2" i="5"/>
  <c r="N2" i="5"/>
  <c r="X2" i="5"/>
  <c r="T2" i="5"/>
  <c r="P2" i="5"/>
  <c r="L2" i="5"/>
  <c r="H2" i="5"/>
  <c r="E2" i="5"/>
  <c r="Z2" i="5"/>
  <c r="R2" i="5"/>
  <c r="F2" i="5"/>
  <c r="AA2" i="5"/>
  <c r="W2" i="5"/>
  <c r="S2" i="5"/>
  <c r="O2" i="5"/>
  <c r="K2" i="5"/>
  <c r="G2" i="5"/>
  <c r="V2" i="5"/>
  <c r="J2" i="5"/>
  <c r="AF6" i="5"/>
  <c r="AF7" i="5" s="1"/>
  <c r="AF10" i="5" s="1"/>
  <c r="AD6" i="5"/>
  <c r="AD7" i="5" s="1"/>
  <c r="AD10" i="5" s="1"/>
  <c r="AH6" i="5"/>
  <c r="AH7" i="5" s="1"/>
  <c r="AH8" i="5" s="1"/>
  <c r="AH11" i="5" s="1"/>
  <c r="AE8" i="5"/>
  <c r="AE11" i="5" s="1"/>
  <c r="AG6" i="5"/>
  <c r="AG7" i="5" s="1"/>
  <c r="AC6" i="5"/>
  <c r="AC7" i="5" s="1"/>
  <c r="F30" i="5"/>
  <c r="F32" i="5" s="1"/>
  <c r="D75" i="4"/>
  <c r="D74" i="4"/>
  <c r="D76" i="4"/>
  <c r="C77" i="4"/>
  <c r="B77" i="4"/>
  <c r="A77" i="4"/>
  <c r="B70" i="4"/>
  <c r="AF34" i="10" l="1"/>
  <c r="AD11" i="10"/>
  <c r="AD9" i="10"/>
  <c r="AD12" i="10" s="1"/>
  <c r="AD13" i="10" s="1"/>
  <c r="AI19" i="5"/>
  <c r="AJ5" i="5"/>
  <c r="AI3" i="5"/>
  <c r="AI2" i="5"/>
  <c r="AI22" i="5"/>
  <c r="AI20" i="5"/>
  <c r="AI29" i="5"/>
  <c r="AI21" i="5"/>
  <c r="AI18" i="5"/>
  <c r="AF7" i="9"/>
  <c r="AG4" i="9"/>
  <c r="AG6" i="9"/>
  <c r="AG7" i="9" s="1"/>
  <c r="AI5" i="9"/>
  <c r="AH2" i="9"/>
  <c r="AH3" i="9"/>
  <c r="AC14" i="9"/>
  <c r="AG6" i="10"/>
  <c r="AG7" i="10" s="1"/>
  <c r="AG4" i="10"/>
  <c r="AF10" i="10"/>
  <c r="AF8" i="10"/>
  <c r="AF11" i="10" s="1"/>
  <c r="AI5" i="10"/>
  <c r="AH2" i="10"/>
  <c r="AH3" i="10"/>
  <c r="AH29" i="10"/>
  <c r="AH21" i="10"/>
  <c r="AH18" i="10"/>
  <c r="AH20" i="10"/>
  <c r="AH22" i="10"/>
  <c r="AH19" i="10"/>
  <c r="AG31" i="10"/>
  <c r="AG33" i="10" s="1"/>
  <c r="AG30" i="10"/>
  <c r="AG32" i="10" s="1"/>
  <c r="AG34" i="10" s="1"/>
  <c r="AE13" i="10"/>
  <c r="AE14" i="10" s="1"/>
  <c r="AH10" i="5"/>
  <c r="AD8" i="5"/>
  <c r="AD11" i="5" s="1"/>
  <c r="AH31" i="9"/>
  <c r="AH33" i="9" s="1"/>
  <c r="AH30" i="9"/>
  <c r="AH32" i="9" s="1"/>
  <c r="AH34" i="9" s="1"/>
  <c r="AI29" i="9"/>
  <c r="AI22" i="9"/>
  <c r="AI20" i="9"/>
  <c r="AI21" i="9"/>
  <c r="AI18" i="9"/>
  <c r="AI19" i="9"/>
  <c r="AI35" i="9" s="1"/>
  <c r="AF8" i="5"/>
  <c r="AF11" i="5" s="1"/>
  <c r="G31" i="5"/>
  <c r="G33" i="5" s="1"/>
  <c r="G30" i="5"/>
  <c r="G32" i="5" s="1"/>
  <c r="AE9" i="5"/>
  <c r="AE12" i="5" s="1"/>
  <c r="AE13" i="5" s="1"/>
  <c r="AC10" i="5"/>
  <c r="AC8" i="5"/>
  <c r="AC11" i="5" s="1"/>
  <c r="AG10" i="5"/>
  <c r="AG8" i="5"/>
  <c r="AG11" i="5" s="1"/>
  <c r="AH9" i="5"/>
  <c r="AH12" i="5" s="1"/>
  <c r="AH13" i="5" s="1"/>
  <c r="H30" i="5"/>
  <c r="H32" i="5" s="1"/>
  <c r="H31" i="5"/>
  <c r="H33" i="5" s="1"/>
  <c r="AD9" i="5"/>
  <c r="AD12" i="5" s="1"/>
  <c r="AD13" i="5" s="1"/>
  <c r="D77" i="4"/>
  <c r="G32" i="4"/>
  <c r="F32" i="4"/>
  <c r="E32" i="4"/>
  <c r="I32" i="4" s="1"/>
  <c r="G31" i="4"/>
  <c r="G29" i="4"/>
  <c r="F29" i="4"/>
  <c r="G28" i="4"/>
  <c r="F28" i="4"/>
  <c r="G27" i="4"/>
  <c r="F27" i="4"/>
  <c r="B26" i="4"/>
  <c r="G22" i="4"/>
  <c r="B21" i="4"/>
  <c r="E29" i="4" s="1"/>
  <c r="AI4" i="5" l="1"/>
  <c r="AI6" i="5"/>
  <c r="AI7" i="5" s="1"/>
  <c r="AJ22" i="5"/>
  <c r="AJ2" i="5"/>
  <c r="AK5" i="5"/>
  <c r="AJ3" i="5"/>
  <c r="AJ6" i="5" s="1"/>
  <c r="AJ7" i="5" s="1"/>
  <c r="AJ20" i="5"/>
  <c r="AJ29" i="5"/>
  <c r="AJ21" i="5"/>
  <c r="AJ18" i="5"/>
  <c r="AJ19" i="5"/>
  <c r="AD14" i="10"/>
  <c r="AH4" i="9"/>
  <c r="AH6" i="9"/>
  <c r="AH7" i="9" s="1"/>
  <c r="AI3" i="9"/>
  <c r="AJ5" i="9"/>
  <c r="AI2" i="9"/>
  <c r="AG10" i="9"/>
  <c r="AG8" i="9"/>
  <c r="AG11" i="9" s="1"/>
  <c r="AF8" i="9"/>
  <c r="AF11" i="9" s="1"/>
  <c r="AF10" i="9"/>
  <c r="AF9" i="9"/>
  <c r="AF12" i="9" s="1"/>
  <c r="AF13" i="9" s="1"/>
  <c r="AH6" i="10"/>
  <c r="AH4" i="10"/>
  <c r="AI2" i="10"/>
  <c r="AI3" i="10"/>
  <c r="AI29" i="10"/>
  <c r="AJ5" i="10"/>
  <c r="AI21" i="10"/>
  <c r="AI18" i="10"/>
  <c r="AI20" i="10"/>
  <c r="AI22" i="10"/>
  <c r="AI19" i="10"/>
  <c r="AF9" i="10"/>
  <c r="AF12" i="10" s="1"/>
  <c r="AF13" i="10" s="1"/>
  <c r="AG10" i="10"/>
  <c r="AG8" i="10"/>
  <c r="AG11" i="10" s="1"/>
  <c r="AG9" i="10"/>
  <c r="AG12" i="10" s="1"/>
  <c r="AG13" i="10" s="1"/>
  <c r="AG14" i="10" s="1"/>
  <c r="AH31" i="10"/>
  <c r="AH33" i="10" s="1"/>
  <c r="AH30" i="10"/>
  <c r="AH32" i="10" s="1"/>
  <c r="AH34" i="10" s="1"/>
  <c r="AJ18" i="9"/>
  <c r="AJ22" i="9"/>
  <c r="AJ19" i="9"/>
  <c r="AJ35" i="9" s="1"/>
  <c r="AI31" i="9"/>
  <c r="AI33" i="9" s="1"/>
  <c r="AI30" i="9"/>
  <c r="AI32" i="9" s="1"/>
  <c r="AI34" i="9" s="1"/>
  <c r="AD14" i="5"/>
  <c r="AE14" i="5"/>
  <c r="AH14" i="5"/>
  <c r="AF9" i="5"/>
  <c r="AF12" i="5" s="1"/>
  <c r="AF13" i="5" s="1"/>
  <c r="I31" i="5"/>
  <c r="I33" i="5" s="1"/>
  <c r="I30" i="5"/>
  <c r="I32" i="5" s="1"/>
  <c r="AC9" i="5"/>
  <c r="AC12" i="5" s="1"/>
  <c r="AC13" i="5" s="1"/>
  <c r="AG9" i="5"/>
  <c r="AG12" i="5" s="1"/>
  <c r="AG13" i="5" s="1"/>
  <c r="I27" i="4"/>
  <c r="I31" i="4"/>
  <c r="E33" i="4"/>
  <c r="I29" i="4"/>
  <c r="F30" i="4"/>
  <c r="F33" i="4" s="1"/>
  <c r="E22" i="4"/>
  <c r="G30" i="4"/>
  <c r="G33" i="4" s="1"/>
  <c r="F22" i="4"/>
  <c r="AF14" i="10" l="1"/>
  <c r="AJ8" i="5"/>
  <c r="AJ11" i="5" s="1"/>
  <c r="AJ10" i="5"/>
  <c r="AJ9" i="5"/>
  <c r="AJ12" i="5" s="1"/>
  <c r="AJ13" i="5" s="1"/>
  <c r="AL5" i="5"/>
  <c r="AK3" i="5"/>
  <c r="AK2" i="5"/>
  <c r="AK22" i="5"/>
  <c r="AK29" i="5"/>
  <c r="AK20" i="5"/>
  <c r="AK21" i="5"/>
  <c r="AK18" i="5"/>
  <c r="AK19" i="5"/>
  <c r="AJ4" i="5"/>
  <c r="AI8" i="5"/>
  <c r="AI11" i="5" s="1"/>
  <c r="AI10" i="5"/>
  <c r="AI9" i="5"/>
  <c r="AI12" i="5" s="1"/>
  <c r="AF14" i="9"/>
  <c r="AJ3" i="9"/>
  <c r="AK5" i="9"/>
  <c r="AJ2" i="9"/>
  <c r="AJ29" i="9"/>
  <c r="AJ21" i="9"/>
  <c r="AJ20" i="9"/>
  <c r="AG9" i="9"/>
  <c r="AG12" i="9" s="1"/>
  <c r="AG13" i="9" s="1"/>
  <c r="AH8" i="9"/>
  <c r="AH11" i="9" s="1"/>
  <c r="AH10" i="9"/>
  <c r="AH9" i="9"/>
  <c r="AH12" i="9" s="1"/>
  <c r="AH13" i="9" s="1"/>
  <c r="AH14" i="9" s="1"/>
  <c r="AI4" i="9"/>
  <c r="AI6" i="9"/>
  <c r="AI4" i="10"/>
  <c r="AI6" i="10"/>
  <c r="AI7" i="10" s="1"/>
  <c r="AJ3" i="10"/>
  <c r="AJ29" i="10"/>
  <c r="AK5" i="10"/>
  <c r="AJ2" i="10"/>
  <c r="AJ18" i="10"/>
  <c r="AJ20" i="10"/>
  <c r="AJ21" i="10"/>
  <c r="AJ22" i="10"/>
  <c r="AJ19" i="10"/>
  <c r="AH7" i="10"/>
  <c r="AI30" i="10"/>
  <c r="AI32" i="10" s="1"/>
  <c r="AI31" i="10"/>
  <c r="AI33" i="10" s="1"/>
  <c r="AK22" i="9"/>
  <c r="AK20" i="9"/>
  <c r="AK29" i="9"/>
  <c r="AK21" i="9"/>
  <c r="AK18" i="9"/>
  <c r="AK19" i="9"/>
  <c r="AK35" i="9" s="1"/>
  <c r="AJ30" i="9"/>
  <c r="AJ32" i="9" s="1"/>
  <c r="AJ31" i="9"/>
  <c r="AJ33" i="9" s="1"/>
  <c r="AG14" i="5"/>
  <c r="AC14" i="5"/>
  <c r="AF14" i="5"/>
  <c r="J31" i="5"/>
  <c r="J33" i="5" s="1"/>
  <c r="J30" i="5"/>
  <c r="J32" i="5" s="1"/>
  <c r="I22" i="4"/>
  <c r="I30" i="4"/>
  <c r="I33" i="4" s="1"/>
  <c r="AN25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N23" i="3" s="1"/>
  <c r="D22" i="3"/>
  <c r="D21" i="3"/>
  <c r="E20" i="3"/>
  <c r="B12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 s="1"/>
  <c r="D3" i="3" s="1"/>
  <c r="AM2" i="3"/>
  <c r="AM4" i="3" s="1"/>
  <c r="AL2" i="3"/>
  <c r="AL6" i="3" s="1"/>
  <c r="AL7" i="3" s="1"/>
  <c r="AK2" i="3"/>
  <c r="AJ2" i="3"/>
  <c r="AI2" i="3"/>
  <c r="AH2" i="3"/>
  <c r="AG2" i="3"/>
  <c r="AF2" i="3"/>
  <c r="AE2" i="3"/>
  <c r="AD2" i="3"/>
  <c r="AD6" i="3" s="1"/>
  <c r="AD7" i="3" s="1"/>
  <c r="AC2" i="3"/>
  <c r="AC4" i="3" s="1"/>
  <c r="AB2" i="3"/>
  <c r="AA2" i="3"/>
  <c r="Z2" i="3"/>
  <c r="Z6" i="3" s="1"/>
  <c r="Z7" i="3" s="1"/>
  <c r="Y2" i="3"/>
  <c r="X2" i="3"/>
  <c r="W2" i="3"/>
  <c r="W4" i="3" s="1"/>
  <c r="V2" i="3"/>
  <c r="V6" i="3" s="1"/>
  <c r="V7" i="3" s="1"/>
  <c r="U2" i="3"/>
  <c r="T2" i="3"/>
  <c r="S2" i="3"/>
  <c r="R2" i="3"/>
  <c r="R6" i="3" s="1"/>
  <c r="R7" i="3" s="1"/>
  <c r="Q2" i="3"/>
  <c r="P2" i="3"/>
  <c r="O2" i="3"/>
  <c r="N2" i="3"/>
  <c r="N6" i="3" s="1"/>
  <c r="N7" i="3" s="1"/>
  <c r="M2" i="3"/>
  <c r="M6" i="3" s="1"/>
  <c r="M7" i="3" s="1"/>
  <c r="L2" i="3"/>
  <c r="K2" i="3"/>
  <c r="J2" i="3"/>
  <c r="J6" i="3" s="1"/>
  <c r="J7" i="3" s="1"/>
  <c r="I2" i="3"/>
  <c r="H2" i="3"/>
  <c r="G2" i="3"/>
  <c r="G4" i="3" s="1"/>
  <c r="F2" i="3"/>
  <c r="F6" i="3" s="1"/>
  <c r="F7" i="3" s="1"/>
  <c r="E2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B64" i="2"/>
  <c r="H8" i="2"/>
  <c r="F8" i="2"/>
  <c r="E8" i="2"/>
  <c r="G8" i="2" s="1"/>
  <c r="D8" i="2"/>
  <c r="H7" i="2"/>
  <c r="F7" i="2"/>
  <c r="E7" i="2"/>
  <c r="G7" i="2" s="1"/>
  <c r="D7" i="2"/>
  <c r="H6" i="2"/>
  <c r="F6" i="2"/>
  <c r="E6" i="2"/>
  <c r="D6" i="2"/>
  <c r="H5" i="2"/>
  <c r="F5" i="2"/>
  <c r="E5" i="2"/>
  <c r="G5" i="2" s="1"/>
  <c r="D5" i="2"/>
  <c r="AV4" i="2"/>
  <c r="H4" i="2"/>
  <c r="F4" i="2"/>
  <c r="E4" i="2"/>
  <c r="G4" i="2" s="1"/>
  <c r="D4" i="2"/>
  <c r="M3" i="2"/>
  <c r="N3" i="2" s="1"/>
  <c r="H3" i="2"/>
  <c r="F3" i="2"/>
  <c r="E3" i="2"/>
  <c r="D3" i="2"/>
  <c r="N2" i="2"/>
  <c r="O2" i="2" s="1"/>
  <c r="AJ34" i="9" l="1"/>
  <c r="AI34" i="10"/>
  <c r="AI13" i="5"/>
  <c r="AI14" i="5" s="1"/>
  <c r="AK4" i="5"/>
  <c r="AK6" i="5"/>
  <c r="AK7" i="5" s="1"/>
  <c r="AM5" i="5"/>
  <c r="AL3" i="5"/>
  <c r="AL2" i="5"/>
  <c r="AL22" i="5"/>
  <c r="AL29" i="5"/>
  <c r="AL20" i="5"/>
  <c r="AL21" i="5"/>
  <c r="AL18" i="5"/>
  <c r="AL19" i="5"/>
  <c r="AJ14" i="5"/>
  <c r="AG14" i="9"/>
  <c r="AI7" i="9"/>
  <c r="AJ6" i="9"/>
  <c r="AJ7" i="9" s="1"/>
  <c r="AJ4" i="9"/>
  <c r="AL5" i="9"/>
  <c r="AK2" i="9"/>
  <c r="AK3" i="9"/>
  <c r="AJ4" i="10"/>
  <c r="AJ6" i="10"/>
  <c r="AI8" i="10"/>
  <c r="AI11" i="10" s="1"/>
  <c r="AI10" i="10"/>
  <c r="AI9" i="10"/>
  <c r="AI12" i="10" s="1"/>
  <c r="AK29" i="10"/>
  <c r="AL5" i="10"/>
  <c r="AK2" i="10"/>
  <c r="AK3" i="10"/>
  <c r="AK22" i="10"/>
  <c r="AK20" i="10"/>
  <c r="AK18" i="10"/>
  <c r="AK21" i="10"/>
  <c r="AK19" i="10"/>
  <c r="AH8" i="10"/>
  <c r="AH11" i="10" s="1"/>
  <c r="AH10" i="10"/>
  <c r="AH9" i="10"/>
  <c r="AH12" i="10" s="1"/>
  <c r="AJ30" i="10"/>
  <c r="AJ32" i="10" s="1"/>
  <c r="AJ31" i="10"/>
  <c r="AJ33" i="10" s="1"/>
  <c r="AK30" i="9"/>
  <c r="AK32" i="9" s="1"/>
  <c r="AK31" i="9"/>
  <c r="AK33" i="9" s="1"/>
  <c r="AL29" i="9"/>
  <c r="AL21" i="9"/>
  <c r="AL22" i="9"/>
  <c r="AL20" i="9"/>
  <c r="AL18" i="9"/>
  <c r="AL19" i="9"/>
  <c r="AL35" i="9" s="1"/>
  <c r="G3" i="2"/>
  <c r="H9" i="2"/>
  <c r="G6" i="2"/>
  <c r="H4" i="3"/>
  <c r="H6" i="3"/>
  <c r="H7" i="3" s="1"/>
  <c r="L4" i="3"/>
  <c r="L6" i="3"/>
  <c r="L7" i="3" s="1"/>
  <c r="P4" i="3"/>
  <c r="P6" i="3"/>
  <c r="P7" i="3" s="1"/>
  <c r="T4" i="3"/>
  <c r="T6" i="3"/>
  <c r="T7" i="3" s="1"/>
  <c r="X4" i="3"/>
  <c r="X6" i="3"/>
  <c r="X7" i="3" s="1"/>
  <c r="AB4" i="3"/>
  <c r="AB6" i="3"/>
  <c r="AB7" i="3" s="1"/>
  <c r="AF4" i="3"/>
  <c r="AF6" i="3"/>
  <c r="AF7" i="3" s="1"/>
  <c r="AH6" i="3"/>
  <c r="AH7" i="3" s="1"/>
  <c r="AH4" i="3"/>
  <c r="AJ4" i="3"/>
  <c r="AJ6" i="3"/>
  <c r="AJ7" i="3" s="1"/>
  <c r="R4" i="3"/>
  <c r="S4" i="3"/>
  <c r="AI4" i="3"/>
  <c r="AN24" i="3"/>
  <c r="K30" i="5"/>
  <c r="K32" i="5" s="1"/>
  <c r="K31" i="5"/>
  <c r="K33" i="5" s="1"/>
  <c r="J30" i="4"/>
  <c r="M10" i="3"/>
  <c r="M8" i="3"/>
  <c r="M11" i="3" s="1"/>
  <c r="H8" i="3"/>
  <c r="H11" i="3" s="1"/>
  <c r="H10" i="3"/>
  <c r="H9" i="3"/>
  <c r="H12" i="3" s="1"/>
  <c r="D2" i="3"/>
  <c r="D4" i="3" s="1"/>
  <c r="E6" i="3"/>
  <c r="E7" i="3" s="1"/>
  <c r="E4" i="3"/>
  <c r="I6" i="3"/>
  <c r="I7" i="3" s="1"/>
  <c r="I4" i="3"/>
  <c r="Q6" i="3"/>
  <c r="Q7" i="3" s="1"/>
  <c r="Q4" i="3"/>
  <c r="U6" i="3"/>
  <c r="U7" i="3" s="1"/>
  <c r="U4" i="3"/>
  <c r="Y6" i="3"/>
  <c r="Y7" i="3" s="1"/>
  <c r="Y4" i="3"/>
  <c r="AG6" i="3"/>
  <c r="AG7" i="3" s="1"/>
  <c r="AG4" i="3"/>
  <c r="AK6" i="3"/>
  <c r="AK7" i="3" s="1"/>
  <c r="AK4" i="3"/>
  <c r="R8" i="3"/>
  <c r="R11" i="3" s="1"/>
  <c r="R10" i="3"/>
  <c r="R9" i="3"/>
  <c r="R12" i="3" s="1"/>
  <c r="AC6" i="3"/>
  <c r="AC7" i="3" s="1"/>
  <c r="F8" i="3"/>
  <c r="F11" i="3" s="1"/>
  <c r="F10" i="3"/>
  <c r="F9" i="3"/>
  <c r="J10" i="3"/>
  <c r="J8" i="3"/>
  <c r="J11" i="3" s="1"/>
  <c r="J9" i="3"/>
  <c r="N8" i="3"/>
  <c r="N11" i="3" s="1"/>
  <c r="N10" i="3"/>
  <c r="V8" i="3"/>
  <c r="V11" i="3" s="1"/>
  <c r="V10" i="3"/>
  <c r="V9" i="3"/>
  <c r="Z10" i="3"/>
  <c r="Z8" i="3"/>
  <c r="Z11" i="3" s="1"/>
  <c r="Z9" i="3"/>
  <c r="Z12" i="3" s="1"/>
  <c r="AD8" i="3"/>
  <c r="AD10" i="3"/>
  <c r="AL10" i="3"/>
  <c r="AL8" i="3"/>
  <c r="L10" i="3"/>
  <c r="L8" i="3"/>
  <c r="L11" i="3" s="1"/>
  <c r="T10" i="3"/>
  <c r="T8" i="3"/>
  <c r="T11" i="3" s="1"/>
  <c r="AF10" i="3"/>
  <c r="AF8" i="3"/>
  <c r="AF11" i="3" s="1"/>
  <c r="M4" i="3"/>
  <c r="X8" i="3"/>
  <c r="X11" i="3" s="1"/>
  <c r="X10" i="3"/>
  <c r="X9" i="3"/>
  <c r="X12" i="3" s="1"/>
  <c r="AH8" i="3"/>
  <c r="AH11" i="3" s="1"/>
  <c r="AH10" i="3"/>
  <c r="P2" i="2"/>
  <c r="O3" i="2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P10" i="3"/>
  <c r="P8" i="3"/>
  <c r="P11" i="3" s="1"/>
  <c r="P9" i="3"/>
  <c r="P12" i="3" s="1"/>
  <c r="AB10" i="3"/>
  <c r="AB8" i="3"/>
  <c r="AJ8" i="3"/>
  <c r="AJ11" i="3" s="1"/>
  <c r="AJ10" i="3"/>
  <c r="N4" i="3"/>
  <c r="AD4" i="3"/>
  <c r="E22" i="3"/>
  <c r="F20" i="3"/>
  <c r="G6" i="3"/>
  <c r="G7" i="3" s="1"/>
  <c r="K6" i="3"/>
  <c r="K7" i="3" s="1"/>
  <c r="O6" i="3"/>
  <c r="O7" i="3" s="1"/>
  <c r="S6" i="3"/>
  <c r="S7" i="3" s="1"/>
  <c r="W6" i="3"/>
  <c r="W7" i="3" s="1"/>
  <c r="AA6" i="3"/>
  <c r="AA7" i="3" s="1"/>
  <c r="AE6" i="3"/>
  <c r="AE7" i="3" s="1"/>
  <c r="AI6" i="3"/>
  <c r="AI7" i="3" s="1"/>
  <c r="AM6" i="3"/>
  <c r="AM7" i="3" s="1"/>
  <c r="J4" i="3"/>
  <c r="O4" i="3"/>
  <c r="Z4" i="3"/>
  <c r="AE4" i="3"/>
  <c r="U87" i="2"/>
  <c r="F4" i="3"/>
  <c r="K4" i="3"/>
  <c r="V4" i="3"/>
  <c r="AA4" i="3"/>
  <c r="AL4" i="3"/>
  <c r="V12" i="3"/>
  <c r="F12" i="3"/>
  <c r="J12" i="3"/>
  <c r="E21" i="3"/>
  <c r="AO25" i="3"/>
  <c r="AK34" i="9" l="1"/>
  <c r="AJ34" i="10"/>
  <c r="AL4" i="5"/>
  <c r="AL6" i="5"/>
  <c r="AL7" i="5" s="1"/>
  <c r="AN5" i="5"/>
  <c r="AM3" i="5"/>
  <c r="AM2" i="5"/>
  <c r="AM22" i="5"/>
  <c r="AM20" i="5"/>
  <c r="AM29" i="5"/>
  <c r="AM18" i="5"/>
  <c r="AM21" i="5"/>
  <c r="AM19" i="5"/>
  <c r="AK8" i="5"/>
  <c r="AK10" i="5"/>
  <c r="AI8" i="9"/>
  <c r="AI11" i="9" s="1"/>
  <c r="AI10" i="9"/>
  <c r="AI9" i="9"/>
  <c r="AI12" i="9" s="1"/>
  <c r="AK4" i="9"/>
  <c r="AK6" i="9"/>
  <c r="AK7" i="9" s="1"/>
  <c r="AJ8" i="9"/>
  <c r="AJ11" i="9" s="1"/>
  <c r="AJ10" i="9"/>
  <c r="AJ9" i="9"/>
  <c r="AJ12" i="9" s="1"/>
  <c r="AJ13" i="9" s="1"/>
  <c r="AJ14" i="9" s="1"/>
  <c r="AM5" i="9"/>
  <c r="AM29" i="9" s="1"/>
  <c r="AL2" i="9"/>
  <c r="AL3" i="9"/>
  <c r="AH13" i="10"/>
  <c r="AM5" i="10"/>
  <c r="AL2" i="10"/>
  <c r="AL3" i="10"/>
  <c r="AL29" i="10"/>
  <c r="AL18" i="10"/>
  <c r="AL20" i="10"/>
  <c r="AL22" i="10"/>
  <c r="AL21" i="10"/>
  <c r="AL19" i="10"/>
  <c r="AI13" i="10"/>
  <c r="AK30" i="10"/>
  <c r="AK32" i="10" s="1"/>
  <c r="AK31" i="10"/>
  <c r="AK33" i="10" s="1"/>
  <c r="AJ7" i="10"/>
  <c r="AK4" i="10"/>
  <c r="AK6" i="10"/>
  <c r="AK7" i="10" s="1"/>
  <c r="AI14" i="10"/>
  <c r="AL31" i="9"/>
  <c r="AL33" i="9" s="1"/>
  <c r="AL30" i="9"/>
  <c r="AL32" i="9" s="1"/>
  <c r="AL34" i="9" s="1"/>
  <c r="AM18" i="9"/>
  <c r="AM22" i="9"/>
  <c r="AM20" i="9"/>
  <c r="AM19" i="9"/>
  <c r="AM35" i="9" s="1"/>
  <c r="O88" i="2"/>
  <c r="H88" i="2"/>
  <c r="N88" i="2"/>
  <c r="C88" i="2"/>
  <c r="S88" i="2"/>
  <c r="M88" i="2"/>
  <c r="Q88" i="2"/>
  <c r="AB11" i="3"/>
  <c r="AB9" i="3"/>
  <c r="AB12" i="3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/>
  <c r="AL11" i="3"/>
  <c r="AL9" i="3"/>
  <c r="AL12" i="3" s="1"/>
  <c r="AD11" i="3"/>
  <c r="AD9" i="3"/>
  <c r="AD12" i="3" s="1"/>
  <c r="G9" i="2"/>
  <c r="L30" i="5"/>
  <c r="L32" i="5" s="1"/>
  <c r="L31" i="5"/>
  <c r="L33" i="5" s="1"/>
  <c r="AI10" i="3"/>
  <c r="AI8" i="3"/>
  <c r="AI11" i="3" s="1"/>
  <c r="S10" i="3"/>
  <c r="S8" i="3"/>
  <c r="S11" i="3" s="1"/>
  <c r="G20" i="3"/>
  <c r="F22" i="3"/>
  <c r="F21" i="3"/>
  <c r="AK10" i="3"/>
  <c r="AK8" i="3"/>
  <c r="Y10" i="3"/>
  <c r="Y8" i="3"/>
  <c r="Y11" i="3" s="1"/>
  <c r="Q8" i="3"/>
  <c r="Q11" i="3" s="1"/>
  <c r="Q10" i="3"/>
  <c r="Q9" i="3"/>
  <c r="Q12" i="3" s="1"/>
  <c r="E10" i="3"/>
  <c r="E8" i="3"/>
  <c r="E11" i="3" s="1"/>
  <c r="AE10" i="3"/>
  <c r="AE8" i="3"/>
  <c r="O10" i="3"/>
  <c r="O8" i="3"/>
  <c r="O11" i="3" s="1"/>
  <c r="L9" i="3"/>
  <c r="L12" i="3" s="1"/>
  <c r="L13" i="3" s="1"/>
  <c r="L14" i="3" s="1"/>
  <c r="N9" i="3"/>
  <c r="N12" i="3" s="1"/>
  <c r="N13" i="3" s="1"/>
  <c r="N14" i="3" s="1"/>
  <c r="AN4" i="3"/>
  <c r="D6" i="3"/>
  <c r="D7" i="3" s="1"/>
  <c r="R88" i="2"/>
  <c r="B88" i="2"/>
  <c r="F88" i="2"/>
  <c r="J88" i="2"/>
  <c r="D88" i="2"/>
  <c r="T88" i="2"/>
  <c r="AA10" i="3"/>
  <c r="AA8" i="3"/>
  <c r="AA11" i="3" s="1"/>
  <c r="K10" i="3"/>
  <c r="K8" i="3"/>
  <c r="K11" i="3" s="1"/>
  <c r="I88" i="2"/>
  <c r="AJ9" i="3"/>
  <c r="AJ12" i="3" s="1"/>
  <c r="AJ13" i="3" s="1"/>
  <c r="AJ14" i="3" s="1"/>
  <c r="K88" i="2"/>
  <c r="AV3" i="2"/>
  <c r="AH9" i="3"/>
  <c r="AH12" i="3" s="1"/>
  <c r="AH13" i="3" s="1"/>
  <c r="AH14" i="3" s="1"/>
  <c r="Z13" i="3"/>
  <c r="Z14" i="3" s="1"/>
  <c r="V13" i="3"/>
  <c r="V14" i="3" s="1"/>
  <c r="R13" i="3"/>
  <c r="R14" i="3" s="1"/>
  <c r="AG10" i="3"/>
  <c r="AG8" i="3"/>
  <c r="AG11" i="3" s="1"/>
  <c r="U10" i="3"/>
  <c r="U8" i="3"/>
  <c r="U11" i="3" s="1"/>
  <c r="I10" i="3"/>
  <c r="I8" i="3"/>
  <c r="P88" i="2"/>
  <c r="M9" i="3"/>
  <c r="M12" i="3" s="1"/>
  <c r="M13" i="3" s="1"/>
  <c r="M14" i="3" s="1"/>
  <c r="AM10" i="3"/>
  <c r="AM8" i="3"/>
  <c r="AM11" i="3" s="1"/>
  <c r="W10" i="3"/>
  <c r="W8" i="3"/>
  <c r="W11" i="3" s="1"/>
  <c r="G10" i="3"/>
  <c r="G8" i="3"/>
  <c r="G11" i="3" s="1"/>
  <c r="E88" i="2"/>
  <c r="AB13" i="3"/>
  <c r="AB14" i="3" s="1"/>
  <c r="P13" i="3"/>
  <c r="P14" i="3" s="1"/>
  <c r="G88" i="2"/>
  <c r="X13" i="3"/>
  <c r="X14" i="3" s="1"/>
  <c r="AF9" i="3"/>
  <c r="AF12" i="3" s="1"/>
  <c r="AF13" i="3" s="1"/>
  <c r="AF14" i="3" s="1"/>
  <c r="T9" i="3"/>
  <c r="T12" i="3" s="1"/>
  <c r="T13" i="3" s="1"/>
  <c r="T14" i="3" s="1"/>
  <c r="AL13" i="3"/>
  <c r="AL14" i="3" s="1"/>
  <c r="AD13" i="3"/>
  <c r="AD14" i="3" s="1"/>
  <c r="J13" i="3"/>
  <c r="J14" i="3" s="1"/>
  <c r="F13" i="3"/>
  <c r="F14" i="3" s="1"/>
  <c r="AC8" i="3"/>
  <c r="AC11" i="3" s="1"/>
  <c r="AC10" i="3"/>
  <c r="AC9" i="3"/>
  <c r="AC12" i="3" s="1"/>
  <c r="L88" i="2"/>
  <c r="H13" i="3"/>
  <c r="H14" i="3" s="1"/>
  <c r="AN22" i="9" l="1"/>
  <c r="AU5" i="9"/>
  <c r="AV6" i="9"/>
  <c r="AK34" i="10"/>
  <c r="AK11" i="5"/>
  <c r="AK9" i="5"/>
  <c r="AK12" i="5" s="1"/>
  <c r="AK13" i="5" s="1"/>
  <c r="AK14" i="5" s="1"/>
  <c r="AM4" i="5"/>
  <c r="AM6" i="5"/>
  <c r="AM7" i="5" s="1"/>
  <c r="AN22" i="5"/>
  <c r="AO22" i="5" s="1"/>
  <c r="AN3" i="5"/>
  <c r="AN2" i="5"/>
  <c r="AN20" i="5"/>
  <c r="AN29" i="5"/>
  <c r="AN21" i="5"/>
  <c r="AO21" i="5" s="1"/>
  <c r="AN18" i="5"/>
  <c r="AN19" i="5"/>
  <c r="AO19" i="5" s="1"/>
  <c r="AL10" i="5"/>
  <c r="AL8" i="5"/>
  <c r="AM21" i="9"/>
  <c r="AN21" i="9" s="1"/>
  <c r="AL4" i="9"/>
  <c r="AL6" i="9"/>
  <c r="AL7" i="9" s="1"/>
  <c r="AM3" i="9"/>
  <c r="AM2" i="9"/>
  <c r="AK8" i="9"/>
  <c r="AK11" i="9" s="1"/>
  <c r="AK10" i="9"/>
  <c r="AK9" i="9"/>
  <c r="AK12" i="9" s="1"/>
  <c r="AK13" i="9" s="1"/>
  <c r="AK14" i="9" s="1"/>
  <c r="AI13" i="9"/>
  <c r="AK10" i="10"/>
  <c r="AK8" i="10"/>
  <c r="AK11" i="10" s="1"/>
  <c r="AK9" i="10"/>
  <c r="AK12" i="10" s="1"/>
  <c r="AK13" i="10" s="1"/>
  <c r="AL4" i="10"/>
  <c r="AL6" i="10"/>
  <c r="AL7" i="10" s="1"/>
  <c r="AJ10" i="10"/>
  <c r="AJ8" i="10"/>
  <c r="AJ11" i="10" s="1"/>
  <c r="AJ9" i="10"/>
  <c r="AJ12" i="10" s="1"/>
  <c r="AJ13" i="10" s="1"/>
  <c r="AM2" i="10"/>
  <c r="AM3" i="10"/>
  <c r="AM29" i="10"/>
  <c r="AM18" i="10"/>
  <c r="AU6" i="10" s="1"/>
  <c r="AM20" i="10"/>
  <c r="AM22" i="10"/>
  <c r="AM21" i="10"/>
  <c r="AN21" i="10" s="1"/>
  <c r="AM19" i="10"/>
  <c r="AN19" i="10" s="1"/>
  <c r="AL31" i="10"/>
  <c r="AL33" i="10" s="1"/>
  <c r="AL30" i="10"/>
  <c r="AL32" i="10" s="1"/>
  <c r="AL34" i="10" s="1"/>
  <c r="AH14" i="10"/>
  <c r="AN19" i="9"/>
  <c r="AM31" i="9"/>
  <c r="AM33" i="9" s="1"/>
  <c r="AN33" i="9" s="1"/>
  <c r="AM30" i="9"/>
  <c r="AM32" i="9" s="1"/>
  <c r="I11" i="3"/>
  <c r="I9" i="3"/>
  <c r="I12" i="3" s="1"/>
  <c r="AE11" i="3"/>
  <c r="AE9" i="3"/>
  <c r="AE12" i="3" s="1"/>
  <c r="AK11" i="3"/>
  <c r="AK9" i="3"/>
  <c r="AK12" i="3" s="1"/>
  <c r="M31" i="5"/>
  <c r="M33" i="5" s="1"/>
  <c r="M30" i="5"/>
  <c r="M32" i="5" s="1"/>
  <c r="AM9" i="3"/>
  <c r="AM12" i="3" s="1"/>
  <c r="AM13" i="3" s="1"/>
  <c r="AM14" i="3" s="1"/>
  <c r="AG9" i="3"/>
  <c r="AG12" i="3" s="1"/>
  <c r="AG13" i="3" s="1"/>
  <c r="AG14" i="3" s="1"/>
  <c r="AA9" i="3"/>
  <c r="AA12" i="3" s="1"/>
  <c r="AA13" i="3" s="1"/>
  <c r="AA14" i="3" s="1"/>
  <c r="O9" i="3"/>
  <c r="O12" i="3" s="1"/>
  <c r="O13" i="3" s="1"/>
  <c r="O14" i="3" s="1"/>
  <c r="G22" i="3"/>
  <c r="G21" i="3"/>
  <c r="H20" i="3"/>
  <c r="W9" i="3"/>
  <c r="W12" i="3" s="1"/>
  <c r="W13" i="3" s="1"/>
  <c r="W14" i="3" s="1"/>
  <c r="I13" i="3"/>
  <c r="I14" i="3" s="1"/>
  <c r="U9" i="3"/>
  <c r="U12" i="3" s="1"/>
  <c r="U13" i="3" s="1"/>
  <c r="U14" i="3" s="1"/>
  <c r="K9" i="3"/>
  <c r="K12" i="3" s="1"/>
  <c r="K13" i="3" s="1"/>
  <c r="K14" i="3" s="1"/>
  <c r="AN6" i="3"/>
  <c r="Y9" i="3"/>
  <c r="Y12" i="3" s="1"/>
  <c r="Y13" i="3" s="1"/>
  <c r="Y14" i="3" s="1"/>
  <c r="AI9" i="3"/>
  <c r="AI12" i="3" s="1"/>
  <c r="AI13" i="3" s="1"/>
  <c r="AC13" i="3"/>
  <c r="AC14" i="3" s="1"/>
  <c r="G9" i="3"/>
  <c r="G12" i="3" s="1"/>
  <c r="G13" i="3" s="1"/>
  <c r="G14" i="3" s="1"/>
  <c r="B89" i="2"/>
  <c r="AE13" i="3"/>
  <c r="AE14" i="3" s="1"/>
  <c r="E9" i="3"/>
  <c r="E12" i="3" s="1"/>
  <c r="E13" i="3" s="1"/>
  <c r="E14" i="3" s="1"/>
  <c r="Q13" i="3"/>
  <c r="Q14" i="3" s="1"/>
  <c r="AK13" i="3"/>
  <c r="AK14" i="3" s="1"/>
  <c r="S9" i="3"/>
  <c r="S12" i="3" s="1"/>
  <c r="S13" i="3" s="1"/>
  <c r="S14" i="3" s="1"/>
  <c r="AI14" i="3"/>
  <c r="AW6" i="9" l="1"/>
  <c r="E74" i="8"/>
  <c r="E75" i="8" s="1"/>
  <c r="AN32" i="9"/>
  <c r="AP33" i="9" s="1"/>
  <c r="AM34" i="9"/>
  <c r="AU4" i="9" s="1"/>
  <c r="AN22" i="10"/>
  <c r="AU5" i="10"/>
  <c r="AV6" i="10"/>
  <c r="AW6" i="10" s="1"/>
  <c r="AX6" i="10"/>
  <c r="AJ14" i="10"/>
  <c r="AI14" i="9"/>
  <c r="AL11" i="5"/>
  <c r="AL9" i="5"/>
  <c r="AL12" i="5" s="1"/>
  <c r="AL13" i="5" s="1"/>
  <c r="AL14" i="5" s="1"/>
  <c r="AN4" i="5"/>
  <c r="AN6" i="5"/>
  <c r="AN7" i="5" s="1"/>
  <c r="AM8" i="5"/>
  <c r="AM11" i="5" s="1"/>
  <c r="AM9" i="5"/>
  <c r="AM12" i="5" s="1"/>
  <c r="AM13" i="5" s="1"/>
  <c r="AM10" i="5"/>
  <c r="AM14" i="5" s="1"/>
  <c r="AV5" i="9"/>
  <c r="AW5" i="9" s="1"/>
  <c r="AX5" i="9"/>
  <c r="AL8" i="9"/>
  <c r="AL11" i="9" s="1"/>
  <c r="AL10" i="9"/>
  <c r="AL9" i="9"/>
  <c r="AL12" i="9" s="1"/>
  <c r="AL13" i="9" s="1"/>
  <c r="AM4" i="9"/>
  <c r="AM6" i="9"/>
  <c r="AM31" i="10"/>
  <c r="AM33" i="10" s="1"/>
  <c r="AN33" i="10" s="1"/>
  <c r="AM30" i="10"/>
  <c r="AM32" i="10" s="1"/>
  <c r="AM4" i="10"/>
  <c r="AM6" i="10"/>
  <c r="AL8" i="10"/>
  <c r="AL11" i="10" s="1"/>
  <c r="AL10" i="10"/>
  <c r="AK14" i="10"/>
  <c r="N31" i="5"/>
  <c r="N33" i="5" s="1"/>
  <c r="N30" i="5"/>
  <c r="N32" i="5" s="1"/>
  <c r="D10" i="3"/>
  <c r="D8" i="3"/>
  <c r="H21" i="3"/>
  <c r="H22" i="3"/>
  <c r="I20" i="3"/>
  <c r="F74" i="8" l="1"/>
  <c r="F75" i="8" s="1"/>
  <c r="AX6" i="9"/>
  <c r="G74" i="8" s="1"/>
  <c r="AN4" i="10"/>
  <c r="AU2" i="10"/>
  <c r="AN32" i="10"/>
  <c r="AP33" i="10" s="1"/>
  <c r="AM34" i="10"/>
  <c r="AU4" i="10" s="1"/>
  <c r="AN4" i="9"/>
  <c r="AU2" i="9"/>
  <c r="AL14" i="9"/>
  <c r="AN8" i="5"/>
  <c r="AN10" i="5"/>
  <c r="AV5" i="10"/>
  <c r="AW5" i="10" s="1"/>
  <c r="AX5" i="10"/>
  <c r="AV4" i="9"/>
  <c r="AW4" i="9" s="1"/>
  <c r="AX4" i="9"/>
  <c r="AM7" i="9"/>
  <c r="AN6" i="9"/>
  <c r="AM7" i="10"/>
  <c r="AN6" i="10"/>
  <c r="AL9" i="10"/>
  <c r="AL12" i="10" s="1"/>
  <c r="AL13" i="10" s="1"/>
  <c r="D11" i="3"/>
  <c r="D9" i="3"/>
  <c r="O31" i="5"/>
  <c r="O33" i="5" s="1"/>
  <c r="O30" i="5"/>
  <c r="O32" i="5" s="1"/>
  <c r="I21" i="3"/>
  <c r="I22" i="3"/>
  <c r="J20" i="3"/>
  <c r="AN10" i="3"/>
  <c r="D12" i="3"/>
  <c r="D13" i="3" s="1"/>
  <c r="N67" i="8" l="1"/>
  <c r="G75" i="8"/>
  <c r="F50" i="8" s="1"/>
  <c r="AN11" i="5"/>
  <c r="AN9" i="5"/>
  <c r="AN12" i="5" s="1"/>
  <c r="AN13" i="5" s="1"/>
  <c r="AN14" i="5" s="1"/>
  <c r="AV2" i="9"/>
  <c r="AV4" i="10"/>
  <c r="AW4" i="10" s="1"/>
  <c r="AX4" i="10"/>
  <c r="AV2" i="10"/>
  <c r="AM10" i="9"/>
  <c r="AM8" i="9"/>
  <c r="AM11" i="9" s="1"/>
  <c r="AM9" i="9"/>
  <c r="AM12" i="9" s="1"/>
  <c r="AM13" i="9" s="1"/>
  <c r="AM8" i="10"/>
  <c r="AM11" i="10" s="1"/>
  <c r="AM10" i="10"/>
  <c r="AM9" i="10"/>
  <c r="AM12" i="10" s="1"/>
  <c r="AL14" i="10"/>
  <c r="P31" i="5"/>
  <c r="P33" i="5" s="1"/>
  <c r="P30" i="5"/>
  <c r="P32" i="5" s="1"/>
  <c r="AN13" i="3"/>
  <c r="D14" i="3"/>
  <c r="K20" i="3"/>
  <c r="J22" i="3"/>
  <c r="J21" i="3"/>
  <c r="F53" i="8" l="1"/>
  <c r="AN13" i="9"/>
  <c r="AU3" i="9"/>
  <c r="AW2" i="10"/>
  <c r="AW2" i="9"/>
  <c r="AM14" i="9"/>
  <c r="AN10" i="9"/>
  <c r="AN10" i="10"/>
  <c r="AM13" i="10"/>
  <c r="AU3" i="10" s="1"/>
  <c r="Q31" i="5"/>
  <c r="Q33" i="5" s="1"/>
  <c r="Q30" i="5"/>
  <c r="Q32" i="5" s="1"/>
  <c r="K22" i="3"/>
  <c r="K21" i="3"/>
  <c r="L20" i="3"/>
  <c r="AV3" i="10" l="1"/>
  <c r="AU7" i="10"/>
  <c r="AX2" i="9"/>
  <c r="AX2" i="10"/>
  <c r="AV3" i="9"/>
  <c r="AU7" i="9"/>
  <c r="AM14" i="10"/>
  <c r="AN13" i="10"/>
  <c r="R31" i="5"/>
  <c r="R33" i="5" s="1"/>
  <c r="R30" i="5"/>
  <c r="R32" i="5" s="1"/>
  <c r="M20" i="3"/>
  <c r="L21" i="3"/>
  <c r="L22" i="3"/>
  <c r="AW3" i="9" l="1"/>
  <c r="AV7" i="9"/>
  <c r="AW3" i="10"/>
  <c r="AV7" i="10"/>
  <c r="S30" i="5"/>
  <c r="S32" i="5" s="1"/>
  <c r="S31" i="5"/>
  <c r="S33" i="5" s="1"/>
  <c r="M21" i="3"/>
  <c r="M22" i="3"/>
  <c r="N20" i="3"/>
  <c r="AX3" i="10" l="1"/>
  <c r="AW7" i="10"/>
  <c r="AX7" i="10" s="1"/>
  <c r="AW7" i="9"/>
  <c r="AX7" i="9" s="1"/>
  <c r="AX3" i="9"/>
  <c r="T30" i="5"/>
  <c r="T32" i="5" s="1"/>
  <c r="T27" i="5"/>
  <c r="T31" i="5"/>
  <c r="T33" i="5" s="1"/>
  <c r="O20" i="3"/>
  <c r="N21" i="3"/>
  <c r="N22" i="3"/>
  <c r="U31" i="5" l="1"/>
  <c r="U33" i="5" s="1"/>
  <c r="U30" i="5"/>
  <c r="U32" i="5" s="1"/>
  <c r="O22" i="3"/>
  <c r="O21" i="3"/>
  <c r="P20" i="3"/>
  <c r="V31" i="5" l="1"/>
  <c r="V33" i="5" s="1"/>
  <c r="V30" i="5"/>
  <c r="V32" i="5" s="1"/>
  <c r="P22" i="3"/>
  <c r="Q20" i="3"/>
  <c r="P21" i="3"/>
  <c r="W31" i="5" l="1"/>
  <c r="W33" i="5" s="1"/>
  <c r="W30" i="5"/>
  <c r="W32" i="5" s="1"/>
  <c r="R20" i="3"/>
  <c r="Q22" i="3"/>
  <c r="Q21" i="3"/>
  <c r="X31" i="5" l="1"/>
  <c r="X33" i="5" s="1"/>
  <c r="X30" i="5"/>
  <c r="X32" i="5" s="1"/>
  <c r="S20" i="3"/>
  <c r="R21" i="3"/>
  <c r="R22" i="3"/>
  <c r="Y31" i="5" l="1"/>
  <c r="Y33" i="5" s="1"/>
  <c r="Y30" i="5"/>
  <c r="Y32" i="5" s="1"/>
  <c r="S22" i="3"/>
  <c r="S21" i="3"/>
  <c r="S18" i="3"/>
  <c r="T20" i="3"/>
  <c r="Z31" i="5" l="1"/>
  <c r="Z33" i="5" s="1"/>
  <c r="Z30" i="5"/>
  <c r="Z32" i="5" s="1"/>
  <c r="T21" i="3"/>
  <c r="T22" i="3"/>
  <c r="U20" i="3"/>
  <c r="AA31" i="5" l="1"/>
  <c r="AA33" i="5" s="1"/>
  <c r="AA30" i="5"/>
  <c r="AA32" i="5" s="1"/>
  <c r="U22" i="3"/>
  <c r="V20" i="3"/>
  <c r="U21" i="3"/>
  <c r="AB30" i="5" l="1"/>
  <c r="AB32" i="5" s="1"/>
  <c r="AB31" i="5"/>
  <c r="AB33" i="5" s="1"/>
  <c r="W20" i="3"/>
  <c r="V21" i="3"/>
  <c r="V22" i="3"/>
  <c r="AS4" i="5" l="1"/>
  <c r="AC31" i="5"/>
  <c r="AC33" i="5" s="1"/>
  <c r="AC30" i="5"/>
  <c r="AC32" i="5" s="1"/>
  <c r="W22" i="3"/>
  <c r="W21" i="3"/>
  <c r="X20" i="3"/>
  <c r="AD31" i="5" l="1"/>
  <c r="AD33" i="5" s="1"/>
  <c r="AD30" i="5"/>
  <c r="AD32" i="5" s="1"/>
  <c r="X21" i="3"/>
  <c r="X22" i="3"/>
  <c r="Y20" i="3"/>
  <c r="AE31" i="5" l="1"/>
  <c r="AE33" i="5" s="1"/>
  <c r="AE30" i="5"/>
  <c r="AE32" i="5" s="1"/>
  <c r="Y21" i="3"/>
  <c r="Y22" i="3"/>
  <c r="Z20" i="3"/>
  <c r="AF27" i="5" l="1"/>
  <c r="AF30" i="5"/>
  <c r="AF32" i="5" s="1"/>
  <c r="AF31" i="5"/>
  <c r="AF33" i="5" s="1"/>
  <c r="AA20" i="3"/>
  <c r="Z22" i="3"/>
  <c r="Z21" i="3"/>
  <c r="AG31" i="5" l="1"/>
  <c r="AG33" i="5" s="1"/>
  <c r="AG30" i="5"/>
  <c r="AG32" i="5" s="1"/>
  <c r="AA22" i="3"/>
  <c r="AA21" i="3"/>
  <c r="AB20" i="3"/>
  <c r="AH31" i="5" l="1"/>
  <c r="AH33" i="5" s="1"/>
  <c r="AH30" i="5"/>
  <c r="AH32" i="5" s="1"/>
  <c r="AC20" i="3"/>
  <c r="AB22" i="3"/>
  <c r="AB21" i="3"/>
  <c r="AI31" i="5" l="1"/>
  <c r="AI33" i="5" s="1"/>
  <c r="AI30" i="5"/>
  <c r="AI32" i="5" s="1"/>
  <c r="AC21" i="3"/>
  <c r="AC22" i="3"/>
  <c r="AD20" i="3"/>
  <c r="AJ30" i="5" l="1"/>
  <c r="AJ32" i="5" s="1"/>
  <c r="AJ31" i="5"/>
  <c r="AJ33" i="5" s="1"/>
  <c r="AE20" i="3"/>
  <c r="AD21" i="3"/>
  <c r="AD22" i="3"/>
  <c r="AK31" i="5" l="1"/>
  <c r="AK33" i="5" s="1"/>
  <c r="AK30" i="5"/>
  <c r="AK32" i="5" s="1"/>
  <c r="AE22" i="3"/>
  <c r="AE21" i="3"/>
  <c r="AF20" i="3"/>
  <c r="AE18" i="3"/>
  <c r="AL31" i="5" l="1"/>
  <c r="AL33" i="5" s="1"/>
  <c r="AL30" i="5"/>
  <c r="AL32" i="5" s="1"/>
  <c r="AF22" i="3"/>
  <c r="AG20" i="3"/>
  <c r="AF21" i="3"/>
  <c r="AM31" i="5" l="1"/>
  <c r="AM33" i="5" s="1"/>
  <c r="AM30" i="5"/>
  <c r="AM32" i="5" s="1"/>
  <c r="AH20" i="3"/>
  <c r="AG21" i="3"/>
  <c r="AG22" i="3"/>
  <c r="AN30" i="5" l="1"/>
  <c r="AN32" i="5" s="1"/>
  <c r="AN31" i="5"/>
  <c r="AN33" i="5" s="1"/>
  <c r="AO33" i="5" s="1"/>
  <c r="AI20" i="3"/>
  <c r="AH21" i="3"/>
  <c r="AH22" i="3"/>
  <c r="AO32" i="5" l="1"/>
  <c r="AQ33" i="5" s="1"/>
  <c r="AI22" i="3"/>
  <c r="AI21" i="3"/>
  <c r="AJ20" i="3"/>
  <c r="AJ21" i="3" l="1"/>
  <c r="AJ22" i="3"/>
  <c r="AK20" i="3"/>
  <c r="AK22" i="3" l="1"/>
  <c r="AL20" i="3"/>
  <c r="AK21" i="3"/>
  <c r="AM20" i="3" l="1"/>
  <c r="AL22" i="3"/>
  <c r="AL21" i="3"/>
  <c r="AM22" i="3" l="1"/>
  <c r="AM21" i="3"/>
  <c r="E3" i="5"/>
  <c r="E6" i="5" s="1"/>
  <c r="E4" i="5"/>
  <c r="F3" i="5"/>
  <c r="U3" i="5"/>
  <c r="O3" i="5"/>
  <c r="O4" i="5" s="1"/>
  <c r="I3" i="5"/>
  <c r="M3" i="5"/>
  <c r="M6" i="5" s="1"/>
  <c r="M7" i="5" s="1"/>
  <c r="M4" i="5"/>
  <c r="P3" i="5"/>
  <c r="X3" i="5"/>
  <c r="L3" i="5"/>
  <c r="L6" i="5" s="1"/>
  <c r="L7" i="5" s="1"/>
  <c r="L4" i="5"/>
  <c r="Q3" i="5"/>
  <c r="Q6" i="5" s="1"/>
  <c r="Q7" i="5" s="1"/>
  <c r="Q4" i="5"/>
  <c r="K3" i="5"/>
  <c r="N3" i="5"/>
  <c r="S3" i="5"/>
  <c r="S6" i="5" s="1"/>
  <c r="S7" i="5" s="1"/>
  <c r="S10" i="5" s="1"/>
  <c r="H3" i="5"/>
  <c r="Y3" i="5"/>
  <c r="Y6" i="5" s="1"/>
  <c r="Y7" i="5" s="1"/>
  <c r="Y8" i="5" s="1"/>
  <c r="Y11" i="5" s="1"/>
  <c r="Y4" i="5"/>
  <c r="T3" i="5"/>
  <c r="T6" i="5" s="1"/>
  <c r="T7" i="5" s="1"/>
  <c r="T4" i="5"/>
  <c r="R3" i="5"/>
  <c r="R4" i="5" s="1"/>
  <c r="J3" i="5"/>
  <c r="J6" i="5" s="1"/>
  <c r="J7" i="5" s="1"/>
  <c r="V3" i="5"/>
  <c r="V6" i="5" s="1"/>
  <c r="V7" i="5" s="1"/>
  <c r="AB6" i="5"/>
  <c r="AB7" i="5" s="1"/>
  <c r="AB8" i="5" s="1"/>
  <c r="AB11" i="5" s="1"/>
  <c r="G3" i="5"/>
  <c r="G6" i="5" s="1"/>
  <c r="G7" i="5" s="1"/>
  <c r="G4" i="5"/>
  <c r="W3" i="5"/>
  <c r="W6" i="5" s="1"/>
  <c r="W7" i="5" s="1"/>
  <c r="Z3" i="5"/>
  <c r="Z6" i="5" s="1"/>
  <c r="Z7" i="5" s="1"/>
  <c r="AB4" i="5"/>
  <c r="AS2" i="5" s="1"/>
  <c r="AA3" i="5"/>
  <c r="Z4" i="5" l="1"/>
  <c r="J4" i="5"/>
  <c r="S4" i="5"/>
  <c r="R6" i="5"/>
  <c r="R7" i="5" s="1"/>
  <c r="O6" i="5"/>
  <c r="O7" i="5" s="1"/>
  <c r="V4" i="5"/>
  <c r="W4" i="5"/>
  <c r="AB9" i="5"/>
  <c r="AB12" i="5" s="1"/>
  <c r="AB13" i="5" s="1"/>
  <c r="AS3" i="5" s="1"/>
  <c r="AS7" i="5" s="1"/>
  <c r="W10" i="5"/>
  <c r="W8" i="5"/>
  <c r="W11" i="5" s="1"/>
  <c r="J8" i="5"/>
  <c r="J11" i="5" s="1"/>
  <c r="J10" i="5"/>
  <c r="M8" i="5"/>
  <c r="M11" i="5" s="1"/>
  <c r="M10" i="5"/>
  <c r="V10" i="5"/>
  <c r="V8" i="5"/>
  <c r="V11" i="5" s="1"/>
  <c r="X6" i="5"/>
  <c r="X7" i="5" s="1"/>
  <c r="X4" i="5"/>
  <c r="T10" i="5"/>
  <c r="T8" i="5"/>
  <c r="F4" i="5"/>
  <c r="F6" i="5"/>
  <c r="F7" i="5" s="1"/>
  <c r="E7" i="5"/>
  <c r="Y10" i="5"/>
  <c r="Y9" i="5"/>
  <c r="Y12" i="5" s="1"/>
  <c r="Y13" i="5" s="1"/>
  <c r="R10" i="5"/>
  <c r="R8" i="5"/>
  <c r="R11" i="5" s="1"/>
  <c r="O8" i="5"/>
  <c r="O11" i="5" s="1"/>
  <c r="O10" i="5"/>
  <c r="S8" i="5"/>
  <c r="S11" i="5" s="1"/>
  <c r="S9" i="5"/>
  <c r="S12" i="5" s="1"/>
  <c r="N4" i="5"/>
  <c r="N6" i="5"/>
  <c r="N7" i="5" s="1"/>
  <c r="Q10" i="5"/>
  <c r="Q8" i="5"/>
  <c r="Q11" i="5" s="1"/>
  <c r="P4" i="5"/>
  <c r="P6" i="5"/>
  <c r="P7" i="5" s="1"/>
  <c r="AA4" i="5"/>
  <c r="AA6" i="5"/>
  <c r="AA7" i="5" s="1"/>
  <c r="Z10" i="5"/>
  <c r="G10" i="5"/>
  <c r="H6" i="5"/>
  <c r="H7" i="5" s="1"/>
  <c r="H4" i="5"/>
  <c r="K6" i="5"/>
  <c r="K7" i="5" s="1"/>
  <c r="K4" i="5"/>
  <c r="Z8" i="5"/>
  <c r="Z11" i="5" s="1"/>
  <c r="G8" i="5"/>
  <c r="G11" i="5" s="1"/>
  <c r="I4" i="5"/>
  <c r="I6" i="5"/>
  <c r="I7" i="5" s="1"/>
  <c r="U6" i="5"/>
  <c r="U7" i="5" s="1"/>
  <c r="U4" i="5"/>
  <c r="L10" i="5"/>
  <c r="L8" i="5"/>
  <c r="L11" i="5" s="1"/>
  <c r="AB10" i="5"/>
  <c r="AO4" i="5" l="1"/>
  <c r="K10" i="5"/>
  <c r="K8" i="5"/>
  <c r="K11" i="5" s="1"/>
  <c r="F8" i="5"/>
  <c r="F11" i="5" s="1"/>
  <c r="F10" i="5"/>
  <c r="Q9" i="5"/>
  <c r="Q12" i="5" s="1"/>
  <c r="X8" i="5"/>
  <c r="X11" i="5" s="1"/>
  <c r="X10" i="5"/>
  <c r="V9" i="5"/>
  <c r="V12" i="5" s="1"/>
  <c r="V13" i="5" s="1"/>
  <c r="Q13" i="5"/>
  <c r="I10" i="5"/>
  <c r="I8" i="5"/>
  <c r="I11" i="5" s="1"/>
  <c r="L9" i="5"/>
  <c r="L12" i="5" s="1"/>
  <c r="L13" i="5" s="1"/>
  <c r="H10" i="5"/>
  <c r="H8" i="5"/>
  <c r="H11" i="5" s="1"/>
  <c r="Z9" i="5"/>
  <c r="Z12" i="5" s="1"/>
  <c r="Z13" i="5" s="1"/>
  <c r="P10" i="5"/>
  <c r="P8" i="5"/>
  <c r="P11" i="5" s="1"/>
  <c r="N10" i="5"/>
  <c r="N8" i="5"/>
  <c r="N11" i="5" s="1"/>
  <c r="O9" i="5"/>
  <c r="O12" i="5" s="1"/>
  <c r="O13" i="5" s="1"/>
  <c r="AO6" i="5"/>
  <c r="T11" i="5"/>
  <c r="T9" i="5"/>
  <c r="T12" i="5" s="1"/>
  <c r="J9" i="5"/>
  <c r="J12" i="5" s="1"/>
  <c r="J13" i="5" s="1"/>
  <c r="J14" i="5" s="1"/>
  <c r="W9" i="5"/>
  <c r="W12" i="5" s="1"/>
  <c r="W13" i="5" s="1"/>
  <c r="U8" i="5"/>
  <c r="U11" i="5" s="1"/>
  <c r="U10" i="5"/>
  <c r="S13" i="5"/>
  <c r="Y14" i="5"/>
  <c r="AB14" i="5"/>
  <c r="G9" i="5"/>
  <c r="G12" i="5" s="1"/>
  <c r="G13" i="5" s="1"/>
  <c r="AA8" i="5"/>
  <c r="AA11" i="5" s="1"/>
  <c r="AA10" i="5"/>
  <c r="R9" i="5"/>
  <c r="R12" i="5" s="1"/>
  <c r="R13" i="5" s="1"/>
  <c r="E10" i="5"/>
  <c r="E8" i="5"/>
  <c r="M9" i="5"/>
  <c r="M12" i="5" s="1"/>
  <c r="M13" i="5" s="1"/>
  <c r="E11" i="5" l="1"/>
  <c r="E9" i="5"/>
  <c r="E12" i="5" s="1"/>
  <c r="U9" i="5"/>
  <c r="U12" i="5" s="1"/>
  <c r="AA9" i="5"/>
  <c r="AA12" i="5" s="1"/>
  <c r="X9" i="5"/>
  <c r="X12" i="5" s="1"/>
  <c r="F9" i="5"/>
  <c r="F12" i="5" s="1"/>
  <c r="P9" i="5"/>
  <c r="P12" i="5" s="1"/>
  <c r="P13" i="5" s="1"/>
  <c r="O14" i="5"/>
  <c r="R14" i="5"/>
  <c r="L14" i="5"/>
  <c r="W14" i="5"/>
  <c r="M14" i="5"/>
  <c r="G14" i="5"/>
  <c r="V14" i="5"/>
  <c r="Z14" i="5"/>
  <c r="Q14" i="5"/>
  <c r="I9" i="5"/>
  <c r="I12" i="5" s="1"/>
  <c r="I13" i="5" s="1"/>
  <c r="I14" i="5" s="1"/>
  <c r="AO10" i="5"/>
  <c r="S14" i="5"/>
  <c r="H9" i="5"/>
  <c r="H12" i="5" s="1"/>
  <c r="H13" i="5" s="1"/>
  <c r="K9" i="5"/>
  <c r="K12" i="5" s="1"/>
  <c r="K13" i="5" s="1"/>
  <c r="K14" i="5" s="1"/>
  <c r="T13" i="5"/>
  <c r="E13" i="5"/>
  <c r="E14" i="5" s="1"/>
  <c r="AA13" i="5"/>
  <c r="U13" i="5"/>
  <c r="N9" i="5"/>
  <c r="N12" i="5" s="1"/>
  <c r="N13" i="5" s="1"/>
  <c r="N14" i="5" s="1"/>
  <c r="X13" i="5"/>
  <c r="X14" i="5" s="1"/>
  <c r="F13" i="5"/>
  <c r="P14" i="5" l="1"/>
  <c r="U14" i="5"/>
  <c r="H14" i="5"/>
  <c r="AO13" i="5"/>
  <c r="F14" i="5"/>
  <c r="AA14" i="5"/>
  <c r="T14" i="5"/>
</calcChain>
</file>

<file path=xl/comments1.xml><?xml version="1.0" encoding="utf-8"?>
<comments xmlns="http://schemas.openxmlformats.org/spreadsheetml/2006/main">
  <authors>
    <author>tc={7CE8B477-E837-46A5-A60C-A48CCE3EFA31}</author>
  </authors>
  <commentList>
    <comment ref="AA2" authorId="0" shapeId="0">
      <text>
        <r>
          <rPr>
            <sz val="12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@Kumud Awasthi as discussed, can we tie this to DBU consumption sheet so we are clear on baseline assumptions/sizing
Reply:
    @Anurag Sinha I have highlighted this because I am yet to get this number from MS . Once i get that for Exadata This will show the better picture from Exadata sizing . Currently This number is a placeholder.
Reply:
    ok got it. Thanks!</t>
        </r>
      </text>
    </comment>
  </commentList>
</comments>
</file>

<file path=xl/comments2.xml><?xml version="1.0" encoding="utf-8"?>
<comments xmlns="http://schemas.openxmlformats.org/spreadsheetml/2006/main">
  <authors>
    <author>tc={7EAFEFFC-D143-4F1F-A17D-B2D540125A9F}</author>
  </authors>
  <commentList>
    <comment ref="AA2" authorId="0" shapeId="0">
      <text>
        <r>
          <rPr>
            <sz val="12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@Kumud Awasthi as discussed, can we tie this to DBU consumption sheet so we are clear on baseline assumptions/sizing
Reply:
    @Anurag Sinha I have highlighted this because I am yet to get this number from MS . Once i get that for Exadata This will show the better picture from Exadata sizing . Currently This number is a placeholder.
Reply:
    ok got it. Thanks!</t>
        </r>
      </text>
    </comment>
  </commentList>
</comments>
</file>

<file path=xl/comments3.xml><?xml version="1.0" encoding="utf-8"?>
<comments xmlns="http://schemas.openxmlformats.org/spreadsheetml/2006/main">
  <authors>
    <author>tc={24719338-C567-415B-BBBC-6B344AA41DE8}</author>
  </authors>
  <commentList>
    <comment ref="AB2" authorId="0" shapeId="0">
      <text>
        <r>
          <rPr>
            <sz val="12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@Kumud Awasthi as discussed, can we tie this to DBU consumption sheet so we are clear on baseline assumptions/sizing
Reply:
    @Anurag Sinha I have highlighted this because I am yet to get this number from MS . Once i get that for Exadata This will show the better picture from Exadata sizing . Currently This number is a placeholder.
Reply:
    ok got it. Thanks!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0" authorId="0" shapeId="0">
      <text>
        <r>
          <rPr>
            <sz val="12"/>
            <color rgb="FF000000"/>
            <rFont val="Calibri"/>
            <family val="2"/>
          </rPr>
          <t>We were told that they are licensed for 132 nodes
	-Mladen Kovacevic</t>
        </r>
      </text>
    </comment>
  </commentList>
</comments>
</file>

<file path=xl/sharedStrings.xml><?xml version="1.0" encoding="utf-8"?>
<sst xmlns="http://schemas.openxmlformats.org/spreadsheetml/2006/main" count="679" uniqueCount="303">
  <si>
    <t>Cost (USD)</t>
  </si>
  <si>
    <t>Year 1</t>
  </si>
  <si>
    <t>Year 2</t>
  </si>
  <si>
    <t>Year 3</t>
  </si>
  <si>
    <t>Year 4</t>
  </si>
  <si>
    <t>Year 5</t>
  </si>
  <si>
    <t>Data Analytics (DBUs)</t>
  </si>
  <si>
    <t>Data Analytics</t>
  </si>
  <si>
    <t>Databricks Compute</t>
  </si>
  <si>
    <t>Data Engineering(DBUs)</t>
  </si>
  <si>
    <t>Data Engineering</t>
  </si>
  <si>
    <t>Azure VMs (Hosting Databricks)</t>
  </si>
  <si>
    <t>Databricks Total LIST</t>
  </si>
  <si>
    <t xml:space="preserve">Azure Storage </t>
  </si>
  <si>
    <t>Growth rate</t>
  </si>
  <si>
    <t>Snowflake (X Large Credits)</t>
  </si>
  <si>
    <t>DBU amount (Total DBUs)</t>
  </si>
  <si>
    <t>Databricks Total DBUs</t>
  </si>
  <si>
    <t>Snowflake (Storage)</t>
  </si>
  <si>
    <t>Standard DS4_v2 (8c/28GB - 1.5DBU) (VM Hours/DBU)</t>
  </si>
  <si>
    <t>Yearly Total</t>
  </si>
  <si>
    <t xml:space="preserve">Reserved Instances (Hours) </t>
  </si>
  <si>
    <t>EA Discount (18%)</t>
  </si>
  <si>
    <t>List Price VMs (USD)</t>
  </si>
  <si>
    <t>Azure VMs LIST</t>
  </si>
  <si>
    <t>15 nodes</t>
  </si>
  <si>
    <t>60 Cores /4.5TB</t>
  </si>
  <si>
    <t xml:space="preserve">   - RI VM Price</t>
  </si>
  <si>
    <t>Exadata</t>
  </si>
  <si>
    <t>Azure Synapse</t>
  </si>
  <si>
    <t>cores</t>
  </si>
  <si>
    <t xml:space="preserve">  - EA Discounted VM Price</t>
  </si>
  <si>
    <t>Option</t>
  </si>
  <si>
    <t>DW7500C</t>
  </si>
  <si>
    <t>5TB</t>
  </si>
  <si>
    <t>Discounted price VMs</t>
  </si>
  <si>
    <t>Azure VMs Discounted</t>
  </si>
  <si>
    <t>Raw Data Capacity (TB)</t>
  </si>
  <si>
    <t>% VM savings</t>
  </si>
  <si>
    <t xml:space="preserve">Total CPU Cores (Elastic Vs Consistent) </t>
  </si>
  <si>
    <t>160
(Fixed)</t>
  </si>
  <si>
    <t>155-380 (Elastic)</t>
  </si>
  <si>
    <t>160 Cores</t>
  </si>
  <si>
    <t>EDW Data Lake component</t>
  </si>
  <si>
    <t>200TB (ELA/ODS)</t>
  </si>
  <si>
    <t>Memory (TB)</t>
  </si>
  <si>
    <t>2TB-18</t>
  </si>
  <si>
    <t>EDW synapse component</t>
  </si>
  <si>
    <t>100TB</t>
  </si>
  <si>
    <t>Average RAM per Core (GB)</t>
  </si>
  <si>
    <t>14-48</t>
  </si>
  <si>
    <t>SnowFlake  storage  (1TB/month)</t>
  </si>
  <si>
    <t>SnowFlake  storage  (100TB/month)</t>
  </si>
  <si>
    <t>EA Discount (18%) 3-yr reserved ADLS Gen2 (100 TB) - Hot</t>
  </si>
  <si>
    <t>Status Quo (Exadata) Platform cost</t>
  </si>
  <si>
    <t>Snowflake (PAYG)</t>
  </si>
  <si>
    <t>X Large 16 Core Machine</t>
  </si>
  <si>
    <t>Azure Platform cost</t>
  </si>
  <si>
    <t>EA Discount (16%) 3-yr reserved DW6000c (100 TB) - Hot</t>
  </si>
  <si>
    <t>3-yr reserved X Large (100 TB) - Hot (16%) Discount</t>
  </si>
  <si>
    <t>Azure Platform cost Savings %</t>
  </si>
  <si>
    <t>X Large 16 Core Machine (24*7)</t>
  </si>
  <si>
    <t>PAYG ADLS Gen2 (TB/month)</t>
  </si>
  <si>
    <t>3-yr reserved ADLS Gen2 (400TB) - Hot</t>
  </si>
  <si>
    <t>(Assuming 20 Days Transction logs with 5% daily change )</t>
  </si>
  <si>
    <t>Storage Growth after 1 year</t>
  </si>
  <si>
    <t>Storage Growth after 2 years</t>
  </si>
  <si>
    <t>3-yr reserved ADLS Gen2 (500TB)</t>
  </si>
  <si>
    <t>Setup Cost</t>
  </si>
  <si>
    <t>3-yr reserved ADLS Gen2 (400TB)-Archive</t>
  </si>
  <si>
    <t>Oracle Exadata Annual Maintennace Cost</t>
  </si>
  <si>
    <t>Storage Amount (TB)</t>
  </si>
  <si>
    <t xml:space="preserve">Golden Gate and Platform Details </t>
  </si>
  <si>
    <t>Hot Tier</t>
  </si>
  <si>
    <t>Archive</t>
  </si>
  <si>
    <t>3-yr reserved ADLS Gen2 (240TB) - HOT</t>
  </si>
  <si>
    <t>Data Lake portion of EDW HOT Storage estimates</t>
  </si>
  <si>
    <t>3-yr reserved ADLS Gen2 (160TB) - ARCHIVE</t>
  </si>
  <si>
    <t>Total Azure ADLS Gen2 HOT+ARCHIVE</t>
  </si>
  <si>
    <t>3-yr reserved ADLS Gen2 Total (Hot + Archive )</t>
  </si>
  <si>
    <t xml:space="preserve">Monthly Total </t>
  </si>
  <si>
    <t>EDW</t>
  </si>
  <si>
    <t>300TB</t>
  </si>
  <si>
    <t>200TB</t>
  </si>
  <si>
    <t xml:space="preserve">Data lake and Databrick Delta </t>
  </si>
  <si>
    <t>Synapse</t>
  </si>
  <si>
    <t xml:space="preserve">Databricks </t>
  </si>
  <si>
    <t>Azure VMs</t>
  </si>
  <si>
    <t>Azure Storage</t>
  </si>
  <si>
    <t>Synapse (DWUs)</t>
  </si>
  <si>
    <t>Synapse (Storage)</t>
  </si>
  <si>
    <t>DWU storage  (1TB/month)</t>
  </si>
  <si>
    <t>DWU storage  (100TB/month)</t>
  </si>
  <si>
    <t>DWU Calculation (PAYG)</t>
  </si>
  <si>
    <t xml:space="preserve">DW7500C running 24*7 for a month </t>
  </si>
  <si>
    <t>EA Discount (18%) 3-yr reserved DW6000c (100 TB) - Hot</t>
  </si>
  <si>
    <t>3-yr reserved DW7500c (100 TB) - Hot</t>
  </si>
  <si>
    <t>3-yr reserved ADLS Gen2  Total  - (Hot + ARCHIVE)</t>
  </si>
  <si>
    <t>Ris are coming</t>
  </si>
  <si>
    <t>Old tables are available from Row 2 to Row 45. Pls unhide to see old values</t>
  </si>
  <si>
    <t>Cost Component</t>
  </si>
  <si>
    <t>Migration</t>
  </si>
  <si>
    <t>Total</t>
  </si>
  <si>
    <t>DW Compute Licensing</t>
  </si>
  <si>
    <t>DW Storage Licensing</t>
  </si>
  <si>
    <t>Server HW/SW</t>
  </si>
  <si>
    <t>Networking Hardware</t>
  </si>
  <si>
    <t>Storage (HDD/SDD)</t>
  </si>
  <si>
    <t>Power</t>
  </si>
  <si>
    <t>Facilities / Data Center</t>
  </si>
  <si>
    <t>Data Bandwidth</t>
  </si>
  <si>
    <t>Administration Labor</t>
  </si>
  <si>
    <t>Dev, Test, DR, Other</t>
  </si>
  <si>
    <t>New Comparison</t>
  </si>
  <si>
    <t>On-prem Hadoop Predicted Costs</t>
  </si>
  <si>
    <t>Production</t>
  </si>
  <si>
    <t>Workers</t>
  </si>
  <si>
    <t>Master</t>
  </si>
  <si>
    <t>Edge</t>
  </si>
  <si>
    <t>NiFi</t>
  </si>
  <si>
    <t>QA</t>
  </si>
  <si>
    <t>Dev</t>
  </si>
  <si>
    <t>25% growth rate year-over-year</t>
  </si>
  <si>
    <t>Extra</t>
  </si>
  <si>
    <t>Total Nodes</t>
  </si>
  <si>
    <t>Hardware cost per node</t>
  </si>
  <si>
    <t>Cloudera License per node</t>
  </si>
  <si>
    <t>Informatica BDM per node</t>
  </si>
  <si>
    <t>Net new  only</t>
  </si>
  <si>
    <t>Maintenance costs</t>
  </si>
  <si>
    <t>OS License per node</t>
  </si>
  <si>
    <t>Cost per node</t>
  </si>
  <si>
    <t>2020-21</t>
  </si>
  <si>
    <t>2021-22</t>
  </si>
  <si>
    <t>2022-23</t>
  </si>
  <si>
    <t>3yr Totals</t>
  </si>
  <si>
    <t>Informatica BDM License</t>
  </si>
  <si>
    <t>Install costs for 4-nodes</t>
  </si>
  <si>
    <t>OS License</t>
  </si>
  <si>
    <t>Cloudera License</t>
  </si>
  <si>
    <t>Cloudera new pricing uplift (30% avg)</t>
  </si>
  <si>
    <t>Software only</t>
  </si>
  <si>
    <t>Hardware purchase costs</t>
  </si>
  <si>
    <t>Platform Maintenance costs</t>
  </si>
  <si>
    <t>Add BDM fix 132 nodes</t>
  </si>
  <si>
    <t>8.5M</t>
  </si>
  <si>
    <t>Main and Support</t>
  </si>
  <si>
    <t>Add 24 nodes 2020, add install costs, remove 2023 purchase</t>
  </si>
  <si>
    <t>7.6M</t>
  </si>
  <si>
    <t>Description</t>
  </si>
  <si>
    <t xml:space="preserve">Cloudera Platform Estimates </t>
  </si>
  <si>
    <t>Hadoop Upgrade to latest Cloudera Version .</t>
  </si>
  <si>
    <t>Classify the workload between platforms .</t>
  </si>
  <si>
    <t>Cross platform data Architecture/patterns .</t>
  </si>
  <si>
    <t>Network Bandwidth Uplift</t>
  </si>
  <si>
    <t>Cloud Environment Run Cost</t>
  </si>
  <si>
    <t>year_month</t>
  </si>
  <si>
    <t>automated</t>
  </si>
  <si>
    <t>interactive</t>
  </si>
  <si>
    <t>total dbus</t>
  </si>
  <si>
    <t>cost auto</t>
  </si>
  <si>
    <t>cost inter</t>
  </si>
  <si>
    <t>% inter</t>
  </si>
  <si>
    <t>Growth Rate</t>
  </si>
  <si>
    <t>3% growth</t>
  </si>
  <si>
    <t>No growth</t>
  </si>
  <si>
    <t>workspaceid</t>
  </si>
  <si>
    <t>workspacename</t>
  </si>
  <si>
    <t>create_time</t>
  </si>
  <si>
    <t>subscriptionname</t>
  </si>
  <si>
    <t>projectname</t>
  </si>
  <si>
    <t>azuresubscriptionid</t>
  </si>
  <si>
    <t>cac-prd-inf-dal-dtb</t>
  </si>
  <si>
    <t>INF PROD</t>
  </si>
  <si>
    <t>DAL CAC PROD</t>
  </si>
  <si>
    <t>e479944e-434c-465a-a154-32e05268f875</t>
  </si>
  <si>
    <t>DAL</t>
  </si>
  <si>
    <t>cacmbunpeigniteaimld-databrick</t>
  </si>
  <si>
    <t>MBU NPE</t>
  </si>
  <si>
    <t>NULL</t>
  </si>
  <si>
    <t>2c66afe0-f1c2-45d3-a986-c3941e4afeee</t>
  </si>
  <si>
    <t>MBU</t>
  </si>
  <si>
    <t>cae-npe-mbu-aiml-dtb</t>
  </si>
  <si>
    <t>SURVEY ML NPE</t>
  </si>
  <si>
    <t>cae-prd-inf-dal-dtb</t>
  </si>
  <si>
    <t>DAL CAE PROD</t>
  </si>
  <si>
    <t>cexlab-ce</t>
  </si>
  <si>
    <t>CEX LAB</t>
  </si>
  <si>
    <t>DAL NPE</t>
  </si>
  <si>
    <t>2b9ac1ff-5310-49a7-8f33-c76cd5d6e36d</t>
  </si>
  <si>
    <t>dbr_darsri</t>
  </si>
  <si>
    <t>f3895358-6e32-4045-93d6-6e66dc15fba8</t>
  </si>
  <si>
    <t>DAR</t>
  </si>
  <si>
    <t>mari_caeast</t>
  </si>
  <si>
    <t>9b0615bd-2217-431d-b91d-82028ff9cbd3</t>
  </si>
  <si>
    <t>mazcacdmtdev1308audidtb01</t>
  </si>
  <si>
    <t>046f49cd-89e9-495b-ae8d-a90fc8173ab3</t>
  </si>
  <si>
    <t>DMT1308</t>
  </si>
  <si>
    <t>mazcacdmtdev1484ravedtb01</t>
  </si>
  <si>
    <t>DMT1484</t>
  </si>
  <si>
    <t>mazcacdmtnpe1278icodtb01</t>
  </si>
  <si>
    <t>DMT1278</t>
  </si>
  <si>
    <t>mazcacdmtnpesybaseiqdtb01</t>
  </si>
  <si>
    <t>SYBASE</t>
  </si>
  <si>
    <t>mazcacdmtqa1278icodtb01</t>
  </si>
  <si>
    <t>mazcacdmtqa1308audidtb01</t>
  </si>
  <si>
    <t>mazcacdmtqa1484ravedtb01</t>
  </si>
  <si>
    <t>mazcacnpe1219dtb</t>
  </si>
  <si>
    <t>DMT1219</t>
  </si>
  <si>
    <t>mazcacnpe1278dtb</t>
  </si>
  <si>
    <t>WORKBENCH</t>
  </si>
  <si>
    <t>mazcacnpe1278dtbqa</t>
  </si>
  <si>
    <t>mazcacnpedmtpmaanlytcdb</t>
  </si>
  <si>
    <t>WIFI DIAGNOSTICS - ANALYTICS</t>
  </si>
  <si>
    <t>PMA</t>
  </si>
  <si>
    <t>mazcacnpedmtpmaengdb</t>
  </si>
  <si>
    <t>WIFI DIAGNOSTICS - ENG</t>
  </si>
  <si>
    <t>mazcacprd1277databrick</t>
  </si>
  <si>
    <t>MBU PROD</t>
  </si>
  <si>
    <t>3012686f-67f3-4294-9caf-610f98015115</t>
  </si>
  <si>
    <t>DMT1277</t>
  </si>
  <si>
    <t>mazcacprddmtdardbr</t>
  </si>
  <si>
    <t>b91fac15-9259-48a6-b4cf-a8f4a707834d</t>
  </si>
  <si>
    <t>mazcaeinfnpedaldtb01</t>
  </si>
  <si>
    <t>23f9da48-cf0c-4c73-889a-3b90214fa6af</t>
  </si>
  <si>
    <t>mazcaenpedmtdardb</t>
  </si>
  <si>
    <t>CBU NPE</t>
  </si>
  <si>
    <t>DARWIN</t>
  </si>
  <si>
    <t>bbad3705-bf2b-4e41-a668-38f765169a99</t>
  </si>
  <si>
    <t>mbu-prd-dmt-aiml-databricks</t>
  </si>
  <si>
    <t>SURVEY ML PROD</t>
  </si>
  <si>
    <t>SURVEYML</t>
  </si>
  <si>
    <t>wpaappsdb20190926150908</t>
  </si>
  <si>
    <t>f84a1d75-9f84-4bda-8b6f-53d25c20034a</t>
  </si>
  <si>
    <t>WPA</t>
  </si>
  <si>
    <t>Unique Initiatives using Databricks</t>
  </si>
  <si>
    <t>NULL|1872514825247176</t>
  </si>
  <si>
    <t>DARWIN|940971824433642</t>
  </si>
  <si>
    <t>NULL|7413027761902511</t>
  </si>
  <si>
    <t>DAL NPE|4777200536485549</t>
  </si>
  <si>
    <t>WIFI DIAGNOSTICS - ENG|6027179689644367</t>
  </si>
  <si>
    <t>SURVEY ML NPE|7043580446252525</t>
  </si>
  <si>
    <t>NULL|7549018373711047</t>
  </si>
  <si>
    <t>WIFI DIAGNOSTICS - ANALYTICS|10286671825...</t>
  </si>
  <si>
    <t>NULL|3368235017667434</t>
  </si>
  <si>
    <t>WORKBENCH|8543493403846925</t>
  </si>
  <si>
    <t>SURVEY ML PROD|8930369114490133</t>
  </si>
  <si>
    <t>DAL CAC PROD|2548504380093426</t>
  </si>
  <si>
    <t>NULL|8421768584863870</t>
  </si>
  <si>
    <t>NULL|5058827424778923</t>
  </si>
  <si>
    <t>NULL|778469240783101</t>
  </si>
  <si>
    <t>NULL|57278720915010</t>
  </si>
  <si>
    <t>NULL|3093412228267116</t>
  </si>
  <si>
    <t>NULL|4974680340641718</t>
  </si>
  <si>
    <t>NULL|3743352176355660</t>
  </si>
  <si>
    <t>Standard DS4_v2 (8c/28GB - 1.5DBU) (Hours)</t>
  </si>
  <si>
    <t>3-yr reserved ADLS Gen2 (2PB) - Hot</t>
  </si>
  <si>
    <t>3-yr reserved ADLS Gen2 (2.5PB)</t>
  </si>
  <si>
    <t>Growth</t>
  </si>
  <si>
    <t>3-yr reserved ADLS Gen2 (1PB) - HOT</t>
  </si>
  <si>
    <t>3-yr reserved ADLS Gen2 (1.5PB) - HOT</t>
  </si>
  <si>
    <t>3-yr reserved ADLS Gen2 (1PB) - ARCHIVE</t>
  </si>
  <si>
    <t>30% higher paid people for cloud</t>
  </si>
  <si>
    <t>20M down to 15M (example)</t>
  </si>
  <si>
    <t>(Fixed)</t>
  </si>
  <si>
    <t>Oracle Exadata</t>
  </si>
  <si>
    <t>Oracle Golden gate and Hosted Env Cost</t>
  </si>
  <si>
    <t>Azure Synapse Analytics</t>
  </si>
  <si>
    <t>Snowflake</t>
  </si>
  <si>
    <t>Platform</t>
  </si>
  <si>
    <t>Total Cost</t>
  </si>
  <si>
    <t>Oracle</t>
  </si>
  <si>
    <t>Row Labels</t>
  </si>
  <si>
    <t>Grand Total</t>
  </si>
  <si>
    <t>Sum of Total Cost</t>
  </si>
  <si>
    <t>Column Labels</t>
  </si>
  <si>
    <t>E49-E50</t>
  </si>
  <si>
    <t>The below table is in CAD. Please refer to BVA sheet for USD values</t>
  </si>
  <si>
    <r>
      <rPr>
        <strike/>
        <sz val="7"/>
        <rFont val="Calibri"/>
        <family val="2"/>
      </rPr>
      <t>EA Discount (18%) 3-yr reserved ADLS Gen2 (100 TB) - Hot</t>
    </r>
    <r>
      <rPr>
        <sz val="7"/>
        <rFont val="Calibri"/>
        <family val="2"/>
      </rPr>
      <t xml:space="preserve">
81% Discount for 3 Yr RI ( from Dec 03)</t>
    </r>
  </si>
  <si>
    <t>Total DBU VM Hours (Per Month)</t>
  </si>
  <si>
    <t>Average Number of VMs per hour</t>
  </si>
  <si>
    <t>Average Size of VM</t>
  </si>
  <si>
    <t>Total VM Compute for DBUs</t>
  </si>
  <si>
    <t>80 Cores</t>
  </si>
  <si>
    <t>Total VM Memory for DBUs</t>
  </si>
  <si>
    <t>300 GB</t>
  </si>
  <si>
    <t xml:space="preserve">DW7500c </t>
  </si>
  <si>
    <t>Include 15 Nodes</t>
  </si>
  <si>
    <t>Synapse (Storage)- 3 Yr RI- 81% Disc</t>
  </si>
  <si>
    <t>60 Cores</t>
  </si>
  <si>
    <t xml:space="preserve">Compute size of 15 Nodes </t>
  </si>
  <si>
    <t xml:space="preserve">Memory size of 15 Nodes </t>
  </si>
  <si>
    <t>4.5 TB</t>
  </si>
  <si>
    <t>Databricks</t>
  </si>
  <si>
    <t xml:space="preserve">Compute size of 6 Nodes </t>
  </si>
  <si>
    <t>1 TB</t>
  </si>
  <si>
    <t xml:space="preserve">Memory size of 6 Nodes </t>
  </si>
  <si>
    <t xml:space="preserve">Storage  size of 6 Nodes </t>
  </si>
  <si>
    <t>300 TB</t>
  </si>
  <si>
    <t>Compressed and Uncompressed both</t>
  </si>
  <si>
    <t>Data Integration</t>
  </si>
  <si>
    <t xml:space="preserve">Data serving Layer </t>
  </si>
  <si>
    <t>Data Storage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</si>
</sst>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mmmm\ yyyy"/>
    <numFmt numFmtId="166" formatCode="mmmm&quot; &quot;yyyy"/>
    <numFmt numFmtId="167" formatCode="yyyy\-m"/>
    <numFmt numFmtId="168" formatCode="&quot;$&quot;#,##0"/>
    <numFmt numFmtId="169" formatCode="yyyy\-mm"/>
    <numFmt numFmtId="170" formatCode="m/d/yy\ h:mm"/>
    <numFmt numFmtId="171" formatCode="&quot;$&quot;#,##0.000"/>
    <numFmt numFmtId="172" formatCode="&quot;$&quot;#,##0.0000"/>
    <numFmt numFmtId="173" formatCode="_-[$$-409]* #,##0.00_ ;_-[$$-409]* \-#,##0.00\ ;_-[$$-409]* &quot;-&quot;??_ ;_-@_ "/>
    <numFmt numFmtId="174" formatCode="_-&quot;$&quot;* #,##0_-;\-&quot;$&quot;* #,##0_-;_-&quot;$&quot;* &quot;-&quot;??_-;_-@_-"/>
  </numFmts>
  <fonts count="24">
    <font>
      <sz val="12"/>
      <color rgb="FF000000"/>
      <name val="Calibri"/>
    </font>
    <font>
      <sz val="12"/>
      <name val="Source Sans Pro"/>
      <family val="2"/>
    </font>
    <font>
      <sz val="12"/>
      <color rgb="FF000000"/>
      <name val="Source Sans Pro"/>
      <family val="2"/>
    </font>
    <font>
      <sz val="12"/>
      <name val="Calibri"/>
      <family val="2"/>
    </font>
    <font>
      <b/>
      <sz val="12"/>
      <name val="Calibri"/>
      <family val="2"/>
    </font>
    <font>
      <sz val="7"/>
      <name val="Calibri"/>
      <family val="2"/>
    </font>
    <font>
      <sz val="6"/>
      <name val="Calibri"/>
      <family val="2"/>
    </font>
    <font>
      <b/>
      <sz val="6"/>
      <name val="Calibri"/>
      <family val="2"/>
    </font>
    <font>
      <b/>
      <sz val="7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Segoe UI"/>
      <family val="2"/>
    </font>
    <font>
      <sz val="18"/>
      <name val="Arial"/>
      <family val="2"/>
    </font>
    <font>
      <sz val="9"/>
      <color rgb="FFDA291C"/>
      <name val="Arial"/>
      <family val="2"/>
    </font>
    <font>
      <sz val="8"/>
      <color rgb="FF000000"/>
      <name val="Arial"/>
      <family val="2"/>
    </font>
    <font>
      <sz val="8"/>
      <color rgb="FF414042"/>
      <name val="Arial"/>
      <family val="2"/>
    </font>
    <font>
      <b/>
      <sz val="8"/>
      <color rgb="FF414042"/>
      <name val="Arial"/>
      <family val="2"/>
    </font>
    <font>
      <b/>
      <sz val="8"/>
      <color rgb="FFFFFFFF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C00000"/>
      <name val="Arial"/>
      <family val="2"/>
    </font>
    <font>
      <sz val="8"/>
      <color rgb="FF000000"/>
      <name val="Calibri"/>
      <family val="2"/>
    </font>
    <font>
      <strike/>
      <sz val="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3F5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BE4ED"/>
        <bgColor indexed="64"/>
      </patternFill>
    </fill>
    <fill>
      <patternFill patternType="solid">
        <fgColor rgb="FF74CEE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74CEE0"/>
      </top>
      <bottom style="medium">
        <color rgb="FF74CEE0"/>
      </bottom>
      <diagonal/>
    </border>
    <border>
      <left/>
      <right/>
      <top/>
      <bottom style="thick">
        <color rgb="FFBBE4ED"/>
      </bottom>
      <diagonal/>
    </border>
    <border>
      <left/>
      <right style="thick">
        <color rgb="FFBFBFBF"/>
      </right>
      <top/>
      <bottom style="thick">
        <color rgb="FFBBE4ED"/>
      </bottom>
      <diagonal/>
    </border>
    <border>
      <left style="thick">
        <color rgb="FFBFBFBF"/>
      </left>
      <right/>
      <top/>
      <bottom style="thick">
        <color rgb="FFBBE4ED"/>
      </bottom>
      <diagonal/>
    </border>
    <border>
      <left/>
      <right/>
      <top style="thick">
        <color rgb="FFBBE4ED"/>
      </top>
      <bottom style="medium">
        <color rgb="FFBFBFBF"/>
      </bottom>
      <diagonal/>
    </border>
    <border>
      <left/>
      <right style="thick">
        <color rgb="FFBFBFBF"/>
      </right>
      <top style="thick">
        <color rgb="FFBBE4ED"/>
      </top>
      <bottom style="medium">
        <color rgb="FFBFBFBF"/>
      </bottom>
      <diagonal/>
    </border>
    <border>
      <left style="thick">
        <color rgb="FFBFBFBF"/>
      </left>
      <right/>
      <top style="thick">
        <color rgb="FFBBE4ED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414042"/>
      </left>
      <right style="medium">
        <color rgb="FF414042"/>
      </right>
      <top style="medium">
        <color rgb="FF414042"/>
      </top>
      <bottom style="medium">
        <color rgb="FF414042"/>
      </bottom>
      <diagonal/>
    </border>
    <border>
      <left style="medium">
        <color rgb="FF414042"/>
      </left>
      <right style="medium">
        <color rgb="FF414042"/>
      </right>
      <top style="medium">
        <color rgb="FF414042"/>
      </top>
      <bottom/>
      <diagonal/>
    </border>
    <border>
      <left style="medium">
        <color rgb="FF414042"/>
      </left>
      <right style="medium">
        <color rgb="FF414042"/>
      </right>
      <top/>
      <bottom style="medium">
        <color rgb="FF414042"/>
      </bottom>
      <diagonal/>
    </border>
    <border>
      <left/>
      <right/>
      <top/>
      <bottom style="medium">
        <color rgb="FFBFBFBF"/>
      </bottom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159">
    <xf numFmtId="0" fontId="0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/>
    <xf numFmtId="0" fontId="1" fillId="0" borderId="0" xfId="0" applyFont="1"/>
    <xf numFmtId="167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168" fontId="2" fillId="0" borderId="0" xfId="0" applyNumberFormat="1" applyFont="1" applyAlignment="1"/>
    <xf numFmtId="168" fontId="1" fillId="0" borderId="0" xfId="0" applyNumberFormat="1" applyFont="1"/>
    <xf numFmtId="9" fontId="1" fillId="0" borderId="0" xfId="0" applyNumberFormat="1" applyFont="1"/>
    <xf numFmtId="168" fontId="1" fillId="0" borderId="0" xfId="0" applyNumberFormat="1" applyFont="1" applyAlignment="1"/>
    <xf numFmtId="0" fontId="3" fillId="0" borderId="0" xfId="0" applyFont="1" applyAlignment="1"/>
    <xf numFmtId="169" fontId="2" fillId="0" borderId="0" xfId="0" applyNumberFormat="1" applyFont="1" applyAlignment="1"/>
    <xf numFmtId="168" fontId="3" fillId="0" borderId="0" xfId="0" applyNumberFormat="1" applyFont="1" applyAlignment="1"/>
    <xf numFmtId="168" fontId="3" fillId="0" borderId="0" xfId="0" applyNumberFormat="1" applyFont="1"/>
    <xf numFmtId="168" fontId="3" fillId="0" borderId="1" xfId="0" applyNumberFormat="1" applyFont="1" applyBorder="1" applyAlignment="1"/>
    <xf numFmtId="11" fontId="0" fillId="0" borderId="0" xfId="0" applyNumberFormat="1" applyFont="1" applyAlignment="1">
      <alignment horizontal="right"/>
    </xf>
    <xf numFmtId="170" fontId="0" fillId="0" borderId="0" xfId="0" applyNumberFormat="1" applyFont="1" applyAlignment="1">
      <alignment horizontal="right"/>
    </xf>
    <xf numFmtId="165" fontId="3" fillId="0" borderId="0" xfId="0" applyNumberFormat="1" applyFont="1" applyAlignment="1">
      <alignment textRotation="90"/>
    </xf>
    <xf numFmtId="0" fontId="3" fillId="0" borderId="0" xfId="0" applyFont="1" applyAlignment="1">
      <alignment wrapText="1"/>
    </xf>
    <xf numFmtId="0" fontId="5" fillId="0" borderId="0" xfId="0" applyFont="1" applyAlignment="1"/>
    <xf numFmtId="171" fontId="5" fillId="0" borderId="0" xfId="0" applyNumberFormat="1" applyFont="1" applyAlignment="1"/>
    <xf numFmtId="1" fontId="5" fillId="0" borderId="0" xfId="0" applyNumberFormat="1" applyFont="1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164" fontId="6" fillId="0" borderId="0" xfId="0" applyNumberFormat="1" applyFont="1"/>
    <xf numFmtId="168" fontId="7" fillId="0" borderId="0" xfId="0" applyNumberFormat="1" applyFont="1"/>
    <xf numFmtId="0" fontId="7" fillId="0" borderId="0" xfId="0" applyFont="1" applyAlignment="1"/>
    <xf numFmtId="9" fontId="5" fillId="0" borderId="0" xfId="0" applyNumberFormat="1" applyFont="1" applyAlignment="1"/>
    <xf numFmtId="0" fontId="8" fillId="0" borderId="0" xfId="0" applyFont="1"/>
    <xf numFmtId="167" fontId="0" fillId="0" borderId="0" xfId="0" applyNumberFormat="1" applyFont="1" applyAlignment="1"/>
    <xf numFmtId="0" fontId="0" fillId="0" borderId="0" xfId="0" applyFont="1" applyAlignment="1">
      <alignment horizontal="right"/>
    </xf>
    <xf numFmtId="3" fontId="7" fillId="0" borderId="0" xfId="0" applyNumberFormat="1" applyFont="1"/>
    <xf numFmtId="0" fontId="8" fillId="0" borderId="0" xfId="0" applyFont="1" applyAlignment="1"/>
    <xf numFmtId="169" fontId="0" fillId="0" borderId="0" xfId="0" applyNumberFormat="1" applyFont="1" applyAlignment="1"/>
    <xf numFmtId="1" fontId="1" fillId="0" borderId="0" xfId="0" applyNumberFormat="1" applyFont="1"/>
    <xf numFmtId="172" fontId="5" fillId="0" borderId="0" xfId="0" applyNumberFormat="1" applyFont="1" applyAlignment="1"/>
    <xf numFmtId="168" fontId="8" fillId="0" borderId="0" xfId="0" applyNumberFormat="1" applyFont="1"/>
    <xf numFmtId="168" fontId="5" fillId="0" borderId="0" xfId="0" applyNumberFormat="1" applyFont="1"/>
    <xf numFmtId="172" fontId="5" fillId="0" borderId="0" xfId="0" applyNumberFormat="1" applyFont="1"/>
    <xf numFmtId="168" fontId="5" fillId="0" borderId="1" xfId="0" applyNumberFormat="1" applyFont="1" applyBorder="1"/>
    <xf numFmtId="9" fontId="5" fillId="0" borderId="0" xfId="0" applyNumberFormat="1" applyFont="1"/>
    <xf numFmtId="164" fontId="5" fillId="0" borderId="0" xfId="0" applyNumberFormat="1" applyFont="1" applyAlignment="1"/>
    <xf numFmtId="9" fontId="3" fillId="0" borderId="0" xfId="0" applyNumberFormat="1" applyFont="1" applyAlignment="1"/>
    <xf numFmtId="168" fontId="5" fillId="0" borderId="0" xfId="0" applyNumberFormat="1" applyFont="1" applyAlignment="1"/>
    <xf numFmtId="1" fontId="5" fillId="0" borderId="0" xfId="0" applyNumberFormat="1" applyFont="1" applyAlignment="1"/>
    <xf numFmtId="4" fontId="5" fillId="0" borderId="0" xfId="0" applyNumberFormat="1" applyFont="1" applyAlignment="1"/>
    <xf numFmtId="4" fontId="5" fillId="0" borderId="2" xfId="0" applyNumberFormat="1" applyFont="1" applyBorder="1"/>
    <xf numFmtId="4" fontId="5" fillId="0" borderId="3" xfId="0" applyNumberFormat="1" applyFont="1" applyBorder="1"/>
    <xf numFmtId="4" fontId="5" fillId="0" borderId="4" xfId="0" applyNumberFormat="1" applyFont="1" applyBorder="1"/>
    <xf numFmtId="3" fontId="8" fillId="0" borderId="5" xfId="0" applyNumberFormat="1" applyFont="1" applyBorder="1" applyAlignment="1"/>
    <xf numFmtId="0" fontId="0" fillId="0" borderId="0" xfId="0" applyFont="1" applyAlignment="1">
      <alignment wrapText="1"/>
    </xf>
    <xf numFmtId="0" fontId="0" fillId="0" borderId="6" xfId="0" applyFont="1" applyBorder="1" applyAlignment="1"/>
    <xf numFmtId="0" fontId="3" fillId="0" borderId="6" xfId="0" applyFont="1" applyBorder="1" applyAlignment="1"/>
    <xf numFmtId="168" fontId="3" fillId="0" borderId="6" xfId="0" applyNumberFormat="1" applyFont="1" applyBorder="1" applyAlignment="1"/>
    <xf numFmtId="168" fontId="3" fillId="0" borderId="6" xfId="0" applyNumberFormat="1" applyFont="1" applyBorder="1"/>
    <xf numFmtId="0" fontId="4" fillId="2" borderId="6" xfId="0" applyFont="1" applyFill="1" applyBorder="1" applyAlignment="1"/>
    <xf numFmtId="168" fontId="4" fillId="2" borderId="6" xfId="0" applyNumberFormat="1" applyFont="1" applyFill="1" applyBorder="1"/>
    <xf numFmtId="0" fontId="4" fillId="2" borderId="6" xfId="0" applyFont="1" applyFill="1" applyBorder="1"/>
    <xf numFmtId="0" fontId="3" fillId="0" borderId="7" xfId="0" applyFont="1" applyFill="1" applyBorder="1" applyAlignment="1"/>
    <xf numFmtId="3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>
      <alignment horizontal="left" vertical="center" indent="1"/>
    </xf>
    <xf numFmtId="0" fontId="11" fillId="0" borderId="0" xfId="0" applyFont="1" applyAlignment="1"/>
    <xf numFmtId="3" fontId="10" fillId="0" borderId="0" xfId="0" applyNumberFormat="1" applyFont="1" applyAlignment="1"/>
    <xf numFmtId="8" fontId="0" fillId="0" borderId="0" xfId="0" applyNumberFormat="1" applyFont="1" applyAlignment="1"/>
    <xf numFmtId="8" fontId="12" fillId="3" borderId="8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5" fillId="0" borderId="0" xfId="0" applyFont="1" applyAlignment="1">
      <alignment horizontal="left" indent="1"/>
    </xf>
    <xf numFmtId="171" fontId="0" fillId="0" borderId="0" xfId="0" applyNumberFormat="1" applyFont="1" applyAlignment="1"/>
    <xf numFmtId="164" fontId="5" fillId="0" borderId="0" xfId="0" applyNumberFormat="1" applyFont="1"/>
    <xf numFmtId="164" fontId="8" fillId="0" borderId="0" xfId="0" applyNumberFormat="1" applyFont="1"/>
    <xf numFmtId="164" fontId="0" fillId="0" borderId="0" xfId="0" applyNumberFormat="1" applyFont="1" applyAlignment="1"/>
    <xf numFmtId="0" fontId="10" fillId="0" borderId="0" xfId="0" applyFont="1" applyAlignment="1"/>
    <xf numFmtId="9" fontId="0" fillId="0" borderId="0" xfId="0" applyNumberFormat="1" applyFont="1" applyAlignment="1"/>
    <xf numFmtId="1" fontId="5" fillId="4" borderId="0" xfId="0" applyNumberFormat="1" applyFont="1" applyFill="1"/>
    <xf numFmtId="164" fontId="5" fillId="4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14" fillId="0" borderId="9" xfId="0" applyFont="1" applyBorder="1" applyAlignment="1">
      <alignment horizontal="left" wrapText="1" readingOrder="1"/>
    </xf>
    <xf numFmtId="0" fontId="14" fillId="0" borderId="10" xfId="0" applyFont="1" applyBorder="1" applyAlignment="1">
      <alignment horizontal="left" wrapText="1" readingOrder="1"/>
    </xf>
    <xf numFmtId="0" fontId="14" fillId="0" borderId="11" xfId="0" applyFont="1" applyBorder="1" applyAlignment="1">
      <alignment horizontal="left" wrapText="1" readingOrder="1"/>
    </xf>
    <xf numFmtId="0" fontId="15" fillId="5" borderId="12" xfId="0" applyFont="1" applyFill="1" applyBorder="1" applyAlignment="1">
      <alignment horizontal="left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3" fontId="16" fillId="0" borderId="12" xfId="0" applyNumberFormat="1" applyFont="1" applyBorder="1" applyAlignment="1">
      <alignment horizontal="center" vertical="center" wrapText="1" readingOrder="1"/>
    </xf>
    <xf numFmtId="3" fontId="16" fillId="0" borderId="13" xfId="0" applyNumberFormat="1" applyFont="1" applyBorder="1" applyAlignment="1">
      <alignment horizontal="center" vertical="center" wrapText="1" readingOrder="1"/>
    </xf>
    <xf numFmtId="3" fontId="17" fillId="0" borderId="14" xfId="0" applyNumberFormat="1" applyFont="1" applyBorder="1" applyAlignment="1">
      <alignment horizontal="center" vertical="center" wrapText="1" readingOrder="1"/>
    </xf>
    <xf numFmtId="0" fontId="15" fillId="5" borderId="15" xfId="0" applyFont="1" applyFill="1" applyBorder="1" applyAlignment="1">
      <alignment horizontal="left" vertical="center" wrapText="1" readingOrder="1"/>
    </xf>
    <xf numFmtId="0" fontId="16" fillId="0" borderId="15" xfId="0" applyFont="1" applyBorder="1" applyAlignment="1">
      <alignment horizontal="center" vertical="center" wrapText="1" readingOrder="1"/>
    </xf>
    <xf numFmtId="0" fontId="16" fillId="0" borderId="16" xfId="0" applyFont="1" applyBorder="1" applyAlignment="1">
      <alignment horizontal="center" vertical="center" wrapText="1" readingOrder="1"/>
    </xf>
    <xf numFmtId="0" fontId="17" fillId="0" borderId="17" xfId="0" applyFont="1" applyBorder="1" applyAlignment="1">
      <alignment horizontal="center" vertical="center" wrapText="1" readingOrder="1"/>
    </xf>
    <xf numFmtId="3" fontId="16" fillId="0" borderId="15" xfId="0" applyNumberFormat="1" applyFont="1" applyBorder="1" applyAlignment="1">
      <alignment horizontal="center" vertical="center" wrapText="1" readingOrder="1"/>
    </xf>
    <xf numFmtId="3" fontId="16" fillId="0" borderId="16" xfId="0" applyNumberFormat="1" applyFont="1" applyBorder="1" applyAlignment="1">
      <alignment horizontal="center" vertical="center" wrapText="1" readingOrder="1"/>
    </xf>
    <xf numFmtId="3" fontId="17" fillId="0" borderId="17" xfId="0" applyNumberFormat="1" applyFont="1" applyBorder="1" applyAlignment="1">
      <alignment horizontal="center" vertical="center" wrapText="1" readingOrder="1"/>
    </xf>
    <xf numFmtId="0" fontId="18" fillId="6" borderId="15" xfId="0" applyFont="1" applyFill="1" applyBorder="1" applyAlignment="1">
      <alignment horizontal="left" vertical="center" wrapText="1" readingOrder="1"/>
    </xf>
    <xf numFmtId="0" fontId="17" fillId="6" borderId="15" xfId="0" applyFont="1" applyFill="1" applyBorder="1" applyAlignment="1">
      <alignment horizontal="center" vertical="center" wrapText="1" readingOrder="1"/>
    </xf>
    <xf numFmtId="3" fontId="17" fillId="6" borderId="15" xfId="0" applyNumberFormat="1" applyFont="1" applyFill="1" applyBorder="1" applyAlignment="1">
      <alignment horizontal="center" vertical="center" wrapText="1" readingOrder="1"/>
    </xf>
    <xf numFmtId="3" fontId="17" fillId="6" borderId="16" xfId="0" applyNumberFormat="1" applyFont="1" applyFill="1" applyBorder="1" applyAlignment="1">
      <alignment horizontal="center" vertical="center" wrapText="1" readingOrder="1"/>
    </xf>
    <xf numFmtId="3" fontId="17" fillId="6" borderId="17" xfId="0" applyNumberFormat="1" applyFont="1" applyFill="1" applyBorder="1" applyAlignment="1">
      <alignment horizontal="center" vertical="center" wrapText="1" readingOrder="1"/>
    </xf>
    <xf numFmtId="1" fontId="5" fillId="0" borderId="6" xfId="0" applyNumberFormat="1" applyFont="1" applyBorder="1"/>
    <xf numFmtId="164" fontId="6" fillId="0" borderId="6" xfId="0" applyNumberFormat="1" applyFont="1" applyBorder="1"/>
    <xf numFmtId="164" fontId="5" fillId="0" borderId="6" xfId="0" applyNumberFormat="1" applyFont="1" applyBorder="1" applyAlignment="1"/>
    <xf numFmtId="9" fontId="5" fillId="0" borderId="6" xfId="0" applyNumberFormat="1" applyFont="1" applyBorder="1" applyAlignment="1"/>
    <xf numFmtId="1" fontId="5" fillId="0" borderId="6" xfId="0" applyNumberFormat="1" applyFont="1" applyBorder="1" applyAlignment="1"/>
    <xf numFmtId="173" fontId="0" fillId="0" borderId="0" xfId="0" applyNumberFormat="1"/>
    <xf numFmtId="164" fontId="5" fillId="0" borderId="0" xfId="0" applyNumberFormat="1" applyFont="1" applyFill="1" applyAlignment="1"/>
    <xf numFmtId="164" fontId="5" fillId="0" borderId="0" xfId="0" applyNumberFormat="1" applyFont="1" applyFill="1"/>
    <xf numFmtId="1" fontId="5" fillId="0" borderId="0" xfId="0" applyNumberFormat="1" applyFont="1" applyFill="1"/>
    <xf numFmtId="4" fontId="0" fillId="0" borderId="0" xfId="0" applyNumberFormat="1" applyFont="1" applyAlignment="1"/>
    <xf numFmtId="0" fontId="13" fillId="7" borderId="18" xfId="0" applyFont="1" applyFill="1" applyBorder="1" applyAlignment="1">
      <alignment vertical="center" wrapText="1"/>
    </xf>
    <xf numFmtId="0" fontId="14" fillId="7" borderId="18" xfId="0" applyFont="1" applyFill="1" applyBorder="1" applyAlignment="1">
      <alignment horizontal="center" vertical="center" wrapText="1" readingOrder="1"/>
    </xf>
    <xf numFmtId="0" fontId="16" fillId="5" borderId="18" xfId="0" applyFont="1" applyFill="1" applyBorder="1" applyAlignment="1">
      <alignment horizontal="left" vertical="center" wrapText="1" readingOrder="1"/>
    </xf>
    <xf numFmtId="0" fontId="16" fillId="0" borderId="18" xfId="0" applyFont="1" applyBorder="1" applyAlignment="1">
      <alignment horizontal="center" vertical="center" wrapText="1" readingOrder="1"/>
    </xf>
    <xf numFmtId="0" fontId="13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 readingOrder="1"/>
    </xf>
    <xf numFmtId="0" fontId="19" fillId="5" borderId="15" xfId="0" applyFont="1" applyFill="1" applyBorder="1" applyAlignment="1">
      <alignment horizontal="left" wrapText="1" readingOrder="1"/>
    </xf>
    <xf numFmtId="3" fontId="19" fillId="0" borderId="15" xfId="0" applyNumberFormat="1" applyFont="1" applyBorder="1" applyAlignment="1">
      <alignment horizontal="right" wrapText="1" readingOrder="1"/>
    </xf>
    <xf numFmtId="0" fontId="19" fillId="0" borderId="15" xfId="0" applyFont="1" applyBorder="1" applyAlignment="1">
      <alignment horizontal="right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6" fillId="0" borderId="20" xfId="0" applyFont="1" applyBorder="1" applyAlignment="1">
      <alignment horizontal="center" vertical="center" wrapText="1" readingOrder="1"/>
    </xf>
    <xf numFmtId="16" fontId="16" fillId="0" borderId="18" xfId="0" applyNumberFormat="1" applyFont="1" applyBorder="1" applyAlignment="1">
      <alignment horizontal="center" vertical="center" wrapText="1" readingOrder="1"/>
    </xf>
    <xf numFmtId="6" fontId="15" fillId="0" borderId="18" xfId="0" applyNumberFormat="1" applyFont="1" applyBorder="1" applyAlignment="1">
      <alignment horizontal="left" vertical="center" wrapText="1" readingOrder="1"/>
    </xf>
    <xf numFmtId="10" fontId="16" fillId="0" borderId="18" xfId="0" applyNumberFormat="1" applyFont="1" applyBorder="1" applyAlignment="1">
      <alignment horizontal="center" vertical="center" wrapText="1" readingOrder="1"/>
    </xf>
    <xf numFmtId="0" fontId="16" fillId="5" borderId="0" xfId="0" applyFont="1" applyFill="1" applyBorder="1" applyAlignment="1">
      <alignment horizontal="left" vertical="center" wrapText="1" readingOrder="1"/>
    </xf>
    <xf numFmtId="0" fontId="14" fillId="0" borderId="21" xfId="0" applyFont="1" applyBorder="1" applyAlignment="1">
      <alignment horizontal="left" wrapText="1" readingOrder="1"/>
    </xf>
    <xf numFmtId="6" fontId="15" fillId="0" borderId="15" xfId="0" applyNumberFormat="1" applyFont="1" applyBorder="1" applyAlignment="1">
      <alignment horizontal="left" vertical="center" wrapText="1" readingOrder="1"/>
    </xf>
    <xf numFmtId="0" fontId="15" fillId="0" borderId="15" xfId="0" applyFont="1" applyBorder="1" applyAlignment="1">
      <alignment horizontal="left" vertical="center" wrapText="1" readingOrder="1"/>
    </xf>
    <xf numFmtId="6" fontId="15" fillId="6" borderId="15" xfId="0" applyNumberFormat="1" applyFont="1" applyFill="1" applyBorder="1" applyAlignment="1">
      <alignment horizontal="left" vertical="center" wrapText="1" readingOrder="1"/>
    </xf>
    <xf numFmtId="6" fontId="15" fillId="0" borderId="12" xfId="0" applyNumberFormat="1" applyFont="1" applyBorder="1" applyAlignment="1">
      <alignment horizontal="left" vertical="center" wrapText="1" readingOrder="1"/>
    </xf>
    <xf numFmtId="6" fontId="15" fillId="0" borderId="16" xfId="0" applyNumberFormat="1" applyFont="1" applyBorder="1" applyAlignment="1">
      <alignment horizontal="left" vertical="center" wrapText="1" readingOrder="1"/>
    </xf>
    <xf numFmtId="6" fontId="15" fillId="0" borderId="17" xfId="0" applyNumberFormat="1" applyFont="1" applyBorder="1" applyAlignment="1">
      <alignment horizontal="left" vertical="center" wrapText="1" readingOrder="1"/>
    </xf>
    <xf numFmtId="6" fontId="15" fillId="6" borderId="17" xfId="0" applyNumberFormat="1" applyFont="1" applyFill="1" applyBorder="1" applyAlignment="1">
      <alignment horizontal="left" vertical="center" wrapText="1" readingOrder="1"/>
    </xf>
    <xf numFmtId="0" fontId="14" fillId="0" borderId="6" xfId="0" applyFont="1" applyBorder="1" applyAlignment="1">
      <alignment horizontal="left" wrapText="1" readingOrder="1"/>
    </xf>
    <xf numFmtId="0" fontId="15" fillId="5" borderId="6" xfId="0" applyFont="1" applyFill="1" applyBorder="1" applyAlignment="1">
      <alignment horizontal="left" vertical="center" wrapText="1" readingOrder="1"/>
    </xf>
    <xf numFmtId="6" fontId="15" fillId="0" borderId="6" xfId="0" applyNumberFormat="1" applyFont="1" applyBorder="1" applyAlignment="1">
      <alignment horizontal="left" vertical="center" wrapText="1" readingOrder="1"/>
    </xf>
    <xf numFmtId="0" fontId="0" fillId="0" borderId="6" xfId="0" applyBorder="1"/>
    <xf numFmtId="0" fontId="22" fillId="0" borderId="0" xfId="0" pivotButton="1" applyFont="1" applyAlignment="1"/>
    <xf numFmtId="0" fontId="22" fillId="0" borderId="0" xfId="0" applyFont="1" applyAlignment="1"/>
    <xf numFmtId="0" fontId="22" fillId="0" borderId="0" xfId="0" applyFont="1" applyAlignment="1">
      <alignment horizontal="left"/>
    </xf>
    <xf numFmtId="174" fontId="22" fillId="0" borderId="0" xfId="0" applyNumberFormat="1" applyFont="1" applyAlignment="1"/>
    <xf numFmtId="165" fontId="3" fillId="0" borderId="6" xfId="0" applyNumberFormat="1" applyFont="1" applyBorder="1" applyAlignment="1">
      <alignment textRotation="90"/>
    </xf>
    <xf numFmtId="174" fontId="5" fillId="0" borderId="6" xfId="1" applyNumberFormat="1" applyFont="1" applyBorder="1"/>
    <xf numFmtId="0" fontId="0" fillId="0" borderId="0" xfId="0" applyFont="1" applyAlignment="1"/>
    <xf numFmtId="0" fontId="5" fillId="0" borderId="0" xfId="0" applyFont="1" applyAlignment="1">
      <alignment horizontal="left" wrapText="1" indent="1"/>
    </xf>
    <xf numFmtId="0" fontId="21" fillId="5" borderId="0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6" fillId="5" borderId="19" xfId="0" applyFont="1" applyFill="1" applyBorder="1" applyAlignment="1">
      <alignment horizontal="left" vertical="center" wrapText="1" readingOrder="1"/>
    </xf>
    <xf numFmtId="0" fontId="16" fillId="5" borderId="20" xfId="0" applyFont="1" applyFill="1" applyBorder="1" applyAlignment="1">
      <alignment horizontal="left" vertical="center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6" fillId="0" borderId="20" xfId="0" applyFont="1" applyBorder="1" applyAlignment="1">
      <alignment horizontal="center" vertical="center" wrapText="1" readingOrder="1"/>
    </xf>
  </cellXfs>
  <cellStyles count="2">
    <cellStyle name="Currency" xfId="1" builtinId="4"/>
    <cellStyle name="Normal" xfId="0" builtinId="0"/>
  </cellStyles>
  <dxfs count="11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7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Pricing (combined Data Analytics + Data Engineering)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'EDW_Snowflake_Estimates&amp;Ramp'!$A$4:$B$4</c:f>
              <c:strCache>
                <c:ptCount val="2"/>
                <c:pt idx="0">
                  <c:v>Cost (USD)</c:v>
                </c:pt>
              </c:strCache>
            </c:strRef>
          </c:tx>
          <c:marker>
            <c:symbol val="none"/>
          </c:marker>
          <c:cat>
            <c:numRef>
              <c:f>'EDW_Snowflake_Estimates&amp;Ramp'!$C$1:$AM$1</c:f>
              <c:numCache>
                <c:formatCode>mmmm\ yyyy</c:formatCode>
                <c:ptCount val="37"/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  <c:pt idx="23">
                  <c:v>44866</c:v>
                </c:pt>
                <c:pt idx="24">
                  <c:v>44896</c:v>
                </c:pt>
                <c:pt idx="25">
                  <c:v>44927</c:v>
                </c:pt>
                <c:pt idx="26">
                  <c:v>44958</c:v>
                </c:pt>
                <c:pt idx="27">
                  <c:v>44986</c:v>
                </c:pt>
                <c:pt idx="28">
                  <c:v>45017</c:v>
                </c:pt>
                <c:pt idx="29">
                  <c:v>45047</c:v>
                </c:pt>
                <c:pt idx="30">
                  <c:v>45078</c:v>
                </c:pt>
                <c:pt idx="31">
                  <c:v>45108</c:v>
                </c:pt>
                <c:pt idx="32">
                  <c:v>45139</c:v>
                </c:pt>
                <c:pt idx="33">
                  <c:v>45170</c:v>
                </c:pt>
                <c:pt idx="34">
                  <c:v>45200</c:v>
                </c:pt>
                <c:pt idx="35">
                  <c:v>45231</c:v>
                </c:pt>
                <c:pt idx="36">
                  <c:v>45261</c:v>
                </c:pt>
              </c:numCache>
            </c:numRef>
          </c:cat>
          <c:val>
            <c:numRef>
              <c:f>'EDW_Snowflake_Estimates&amp;Ramp'!$C$4:$AM$4</c:f>
              <c:numCache>
                <c:formatCode>"$"#,##0.00</c:formatCode>
                <c:ptCount val="37"/>
                <c:pt idx="1">
                  <c:v>1642.5</c:v>
                </c:pt>
                <c:pt idx="2">
                  <c:v>1642.5</c:v>
                </c:pt>
                <c:pt idx="3">
                  <c:v>3285</c:v>
                </c:pt>
                <c:pt idx="4">
                  <c:v>3285</c:v>
                </c:pt>
                <c:pt idx="5">
                  <c:v>3285</c:v>
                </c:pt>
                <c:pt idx="6">
                  <c:v>6570</c:v>
                </c:pt>
                <c:pt idx="7">
                  <c:v>6570</c:v>
                </c:pt>
                <c:pt idx="8">
                  <c:v>6570</c:v>
                </c:pt>
                <c:pt idx="9">
                  <c:v>9855</c:v>
                </c:pt>
                <c:pt idx="10">
                  <c:v>9855</c:v>
                </c:pt>
                <c:pt idx="11">
                  <c:v>9855</c:v>
                </c:pt>
                <c:pt idx="12">
                  <c:v>13140</c:v>
                </c:pt>
                <c:pt idx="13">
                  <c:v>13140</c:v>
                </c:pt>
                <c:pt idx="14">
                  <c:v>13140</c:v>
                </c:pt>
                <c:pt idx="15">
                  <c:v>16425</c:v>
                </c:pt>
                <c:pt idx="16">
                  <c:v>16425</c:v>
                </c:pt>
                <c:pt idx="17">
                  <c:v>16425</c:v>
                </c:pt>
                <c:pt idx="18">
                  <c:v>16425</c:v>
                </c:pt>
                <c:pt idx="19">
                  <c:v>24637.5</c:v>
                </c:pt>
                <c:pt idx="20">
                  <c:v>24637.5</c:v>
                </c:pt>
                <c:pt idx="21">
                  <c:v>24637.5</c:v>
                </c:pt>
                <c:pt idx="22">
                  <c:v>24637.5</c:v>
                </c:pt>
                <c:pt idx="23">
                  <c:v>24637.5</c:v>
                </c:pt>
                <c:pt idx="24">
                  <c:v>32850</c:v>
                </c:pt>
                <c:pt idx="25">
                  <c:v>33507</c:v>
                </c:pt>
                <c:pt idx="26">
                  <c:v>34164</c:v>
                </c:pt>
                <c:pt idx="27">
                  <c:v>34821</c:v>
                </c:pt>
                <c:pt idx="28">
                  <c:v>35478</c:v>
                </c:pt>
                <c:pt idx="29">
                  <c:v>36135</c:v>
                </c:pt>
                <c:pt idx="30">
                  <c:v>36792</c:v>
                </c:pt>
                <c:pt idx="31">
                  <c:v>37449</c:v>
                </c:pt>
                <c:pt idx="32">
                  <c:v>38106</c:v>
                </c:pt>
                <c:pt idx="33">
                  <c:v>38763</c:v>
                </c:pt>
                <c:pt idx="34">
                  <c:v>39420.000000000007</c:v>
                </c:pt>
                <c:pt idx="35">
                  <c:v>40077.000000000007</c:v>
                </c:pt>
                <c:pt idx="36">
                  <c:v>40734.000000000007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8-4A21-BC9D-E82EAE40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87418"/>
        <c:axId val="780936274"/>
      </c:lineChart>
      <c:dateAx>
        <c:axId val="22958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mmmm\ 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0936274"/>
        <c:crosses val="autoZero"/>
        <c:auto val="1"/>
        <c:lblOffset val="100"/>
        <c:baseTimeUnit val="months"/>
      </c:dateAx>
      <c:valAx>
        <c:axId val="780936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Cost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9587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DBU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'Ramp Up Plan - Hadoop USD'!$A$2</c:f>
              <c:strCache>
                <c:ptCount val="1"/>
                <c:pt idx="0">
                  <c:v>Data Analytics (DBUs)</c:v>
                </c:pt>
              </c:strCache>
            </c:strRef>
          </c:tx>
          <c:marker>
            <c:symbol val="none"/>
          </c:marker>
          <c:cat>
            <c:strRef>
              <c:f>'Ramp Up Plan - Hadoop USD'!$B$1:$AM$1</c:f>
              <c:strCache>
                <c:ptCount val="38"/>
                <c:pt idx="0">
                  <c:v>Cost (USD)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  <c:pt idx="13">
                  <c:v>April 2021</c:v>
                </c:pt>
                <c:pt idx="14">
                  <c:v>May 2021</c:v>
                </c:pt>
                <c:pt idx="15">
                  <c:v>June 2021</c:v>
                </c:pt>
                <c:pt idx="16">
                  <c:v>July 2021</c:v>
                </c:pt>
                <c:pt idx="17">
                  <c:v>August 2021</c:v>
                </c:pt>
                <c:pt idx="18">
                  <c:v>September 2021</c:v>
                </c:pt>
                <c:pt idx="19">
                  <c:v>October 2021</c:v>
                </c:pt>
                <c:pt idx="20">
                  <c:v>November 2021</c:v>
                </c:pt>
                <c:pt idx="21">
                  <c:v>December 2021</c:v>
                </c:pt>
                <c:pt idx="22">
                  <c:v>January 2022</c:v>
                </c:pt>
                <c:pt idx="23">
                  <c:v>February 2022</c:v>
                </c:pt>
                <c:pt idx="24">
                  <c:v>March 2022</c:v>
                </c:pt>
                <c:pt idx="25">
                  <c:v>April 2022</c:v>
                </c:pt>
                <c:pt idx="26">
                  <c:v>May 2022</c:v>
                </c:pt>
                <c:pt idx="27">
                  <c:v>June 2022</c:v>
                </c:pt>
                <c:pt idx="28">
                  <c:v>July 2022</c:v>
                </c:pt>
                <c:pt idx="29">
                  <c:v>August 2022</c:v>
                </c:pt>
                <c:pt idx="30">
                  <c:v>September 2022</c:v>
                </c:pt>
                <c:pt idx="31">
                  <c:v>October 2022</c:v>
                </c:pt>
                <c:pt idx="32">
                  <c:v>November 2022</c:v>
                </c:pt>
                <c:pt idx="33">
                  <c:v>December 2022</c:v>
                </c:pt>
                <c:pt idx="34">
                  <c:v>January 2023</c:v>
                </c:pt>
                <c:pt idx="35">
                  <c:v>February 2023</c:v>
                </c:pt>
                <c:pt idx="36">
                  <c:v>March 2023</c:v>
                </c:pt>
                <c:pt idx="37">
                  <c:v>April 2023</c:v>
                </c:pt>
              </c:strCache>
            </c:strRef>
          </c:cat>
          <c:val>
            <c:numRef>
              <c:f>'Ramp Up Plan - Hadoop USD'!$B$2:$AM$2</c:f>
              <c:numCache>
                <c:formatCode>General</c:formatCode>
                <c:ptCount val="38"/>
                <c:pt idx="0" formatCode="&quot;$&quot;#,##0.000">
                  <c:v>0.55000000000000004</c:v>
                </c:pt>
                <c:pt idx="1">
                  <c:v>0</c:v>
                </c:pt>
                <c:pt idx="2" formatCode="0">
                  <c:v>10058.362499999999</c:v>
                </c:pt>
                <c:pt idx="3" formatCode="0">
                  <c:v>20116.724999999999</c:v>
                </c:pt>
                <c:pt idx="4" formatCode="0">
                  <c:v>40233.449999999997</c:v>
                </c:pt>
                <c:pt idx="5" formatCode="0">
                  <c:v>42351</c:v>
                </c:pt>
                <c:pt idx="6" formatCode="0">
                  <c:v>42351</c:v>
                </c:pt>
                <c:pt idx="7" formatCode="0">
                  <c:v>42351</c:v>
                </c:pt>
                <c:pt idx="8" formatCode="0">
                  <c:v>42351</c:v>
                </c:pt>
                <c:pt idx="9" formatCode="0">
                  <c:v>42351</c:v>
                </c:pt>
                <c:pt idx="10" formatCode="0">
                  <c:v>42351</c:v>
                </c:pt>
                <c:pt idx="11" formatCode="0">
                  <c:v>42351</c:v>
                </c:pt>
                <c:pt idx="12" formatCode="0">
                  <c:v>42351</c:v>
                </c:pt>
                <c:pt idx="13" formatCode="0">
                  <c:v>42351</c:v>
                </c:pt>
                <c:pt idx="14" formatCode="0">
                  <c:v>42351</c:v>
                </c:pt>
                <c:pt idx="15" formatCode="0">
                  <c:v>42351</c:v>
                </c:pt>
                <c:pt idx="16" formatCode="0">
                  <c:v>42351</c:v>
                </c:pt>
                <c:pt idx="17" formatCode="0">
                  <c:v>42351</c:v>
                </c:pt>
                <c:pt idx="18" formatCode="0">
                  <c:v>42351</c:v>
                </c:pt>
                <c:pt idx="19" formatCode="0">
                  <c:v>42351</c:v>
                </c:pt>
                <c:pt idx="20" formatCode="0">
                  <c:v>42351</c:v>
                </c:pt>
                <c:pt idx="21" formatCode="0">
                  <c:v>42351</c:v>
                </c:pt>
                <c:pt idx="22" formatCode="0">
                  <c:v>42351</c:v>
                </c:pt>
                <c:pt idx="23" formatCode="0">
                  <c:v>42351</c:v>
                </c:pt>
                <c:pt idx="24" formatCode="0">
                  <c:v>42351</c:v>
                </c:pt>
                <c:pt idx="25" formatCode="0">
                  <c:v>42351</c:v>
                </c:pt>
                <c:pt idx="26" formatCode="0">
                  <c:v>42351</c:v>
                </c:pt>
                <c:pt idx="27" formatCode="0">
                  <c:v>42351</c:v>
                </c:pt>
                <c:pt idx="28" formatCode="0">
                  <c:v>42351</c:v>
                </c:pt>
                <c:pt idx="29" formatCode="0">
                  <c:v>42351</c:v>
                </c:pt>
                <c:pt idx="30" formatCode="0">
                  <c:v>42351</c:v>
                </c:pt>
                <c:pt idx="31" formatCode="0">
                  <c:v>42351</c:v>
                </c:pt>
                <c:pt idx="32" formatCode="0">
                  <c:v>42351</c:v>
                </c:pt>
                <c:pt idx="33" formatCode="0">
                  <c:v>42351</c:v>
                </c:pt>
                <c:pt idx="34" formatCode="0">
                  <c:v>42351</c:v>
                </c:pt>
                <c:pt idx="35" formatCode="0">
                  <c:v>42351</c:v>
                </c:pt>
                <c:pt idx="36" formatCode="0">
                  <c:v>42351</c:v>
                </c:pt>
                <c:pt idx="37" formatCode="0">
                  <c:v>42351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4ADF-935A-4835A928FBBC}"/>
            </c:ext>
          </c:extLst>
        </c:ser>
        <c:ser>
          <c:idx val="1"/>
          <c:order val="1"/>
          <c:tx>
            <c:strRef>
              <c:f>'Ramp Up Plan - Hadoop USD'!$A$3</c:f>
              <c:strCache>
                <c:ptCount val="1"/>
                <c:pt idx="0">
                  <c:v>Data Engineering(DBUs)</c:v>
                </c:pt>
              </c:strCache>
            </c:strRef>
          </c:tx>
          <c:marker>
            <c:symbol val="none"/>
          </c:marker>
          <c:cat>
            <c:strRef>
              <c:f>'Ramp Up Plan - Hadoop USD'!$B$1:$AM$1</c:f>
              <c:strCache>
                <c:ptCount val="38"/>
                <c:pt idx="0">
                  <c:v>Cost (USD)</c:v>
                </c:pt>
                <c:pt idx="2">
                  <c:v>May 2020</c:v>
                </c:pt>
                <c:pt idx="3">
                  <c:v>June 2020</c:v>
                </c:pt>
                <c:pt idx="4">
                  <c:v>July 2020</c:v>
                </c:pt>
                <c:pt idx="5">
                  <c:v>August 2020</c:v>
                </c:pt>
                <c:pt idx="6">
                  <c:v>September 2020</c:v>
                </c:pt>
                <c:pt idx="7">
                  <c:v>October 2020</c:v>
                </c:pt>
                <c:pt idx="8">
                  <c:v>November 2020</c:v>
                </c:pt>
                <c:pt idx="9">
                  <c:v>December 2020</c:v>
                </c:pt>
                <c:pt idx="10">
                  <c:v>January 2021</c:v>
                </c:pt>
                <c:pt idx="11">
                  <c:v>February 2021</c:v>
                </c:pt>
                <c:pt idx="12">
                  <c:v>March 2021</c:v>
                </c:pt>
                <c:pt idx="13">
                  <c:v>April 2021</c:v>
                </c:pt>
                <c:pt idx="14">
                  <c:v>May 2021</c:v>
                </c:pt>
                <c:pt idx="15">
                  <c:v>June 2021</c:v>
                </c:pt>
                <c:pt idx="16">
                  <c:v>July 2021</c:v>
                </c:pt>
                <c:pt idx="17">
                  <c:v>August 2021</c:v>
                </c:pt>
                <c:pt idx="18">
                  <c:v>September 2021</c:v>
                </c:pt>
                <c:pt idx="19">
                  <c:v>October 2021</c:v>
                </c:pt>
                <c:pt idx="20">
                  <c:v>November 2021</c:v>
                </c:pt>
                <c:pt idx="21">
                  <c:v>December 2021</c:v>
                </c:pt>
                <c:pt idx="22">
                  <c:v>January 2022</c:v>
                </c:pt>
                <c:pt idx="23">
                  <c:v>February 2022</c:v>
                </c:pt>
                <c:pt idx="24">
                  <c:v>March 2022</c:v>
                </c:pt>
                <c:pt idx="25">
                  <c:v>April 2022</c:v>
                </c:pt>
                <c:pt idx="26">
                  <c:v>May 2022</c:v>
                </c:pt>
                <c:pt idx="27">
                  <c:v>June 2022</c:v>
                </c:pt>
                <c:pt idx="28">
                  <c:v>July 2022</c:v>
                </c:pt>
                <c:pt idx="29">
                  <c:v>August 2022</c:v>
                </c:pt>
                <c:pt idx="30">
                  <c:v>September 2022</c:v>
                </c:pt>
                <c:pt idx="31">
                  <c:v>October 2022</c:v>
                </c:pt>
                <c:pt idx="32">
                  <c:v>November 2022</c:v>
                </c:pt>
                <c:pt idx="33">
                  <c:v>December 2022</c:v>
                </c:pt>
                <c:pt idx="34">
                  <c:v>January 2023</c:v>
                </c:pt>
                <c:pt idx="35">
                  <c:v>February 2023</c:v>
                </c:pt>
                <c:pt idx="36">
                  <c:v>March 2023</c:v>
                </c:pt>
                <c:pt idx="37">
                  <c:v>April 2023</c:v>
                </c:pt>
              </c:strCache>
            </c:strRef>
          </c:cat>
          <c:val>
            <c:numRef>
              <c:f>'Ramp Up Plan - Hadoop USD'!$B$3:$AM$3</c:f>
              <c:numCache>
                <c:formatCode>General</c:formatCode>
                <c:ptCount val="38"/>
                <c:pt idx="0" formatCode="&quot;$&quot;#,##0.000">
                  <c:v>0.3</c:v>
                </c:pt>
                <c:pt idx="1">
                  <c:v>0</c:v>
                </c:pt>
                <c:pt idx="2" formatCode="0">
                  <c:v>40233.6875</c:v>
                </c:pt>
                <c:pt idx="3" formatCode="0">
                  <c:v>80467.375</c:v>
                </c:pt>
                <c:pt idx="4" formatCode="0">
                  <c:v>160934.75</c:v>
                </c:pt>
                <c:pt idx="5" formatCode="0">
                  <c:v>169405</c:v>
                </c:pt>
                <c:pt idx="6" formatCode="0">
                  <c:v>169405</c:v>
                </c:pt>
                <c:pt idx="7" formatCode="0">
                  <c:v>169405</c:v>
                </c:pt>
                <c:pt idx="8" formatCode="0">
                  <c:v>169405</c:v>
                </c:pt>
                <c:pt idx="9" formatCode="0">
                  <c:v>169405</c:v>
                </c:pt>
                <c:pt idx="10" formatCode="0">
                  <c:v>169405</c:v>
                </c:pt>
                <c:pt idx="11" formatCode="0">
                  <c:v>169405</c:v>
                </c:pt>
                <c:pt idx="12" formatCode="0">
                  <c:v>169405</c:v>
                </c:pt>
                <c:pt idx="13" formatCode="0">
                  <c:v>169405</c:v>
                </c:pt>
                <c:pt idx="14" formatCode="0">
                  <c:v>169405</c:v>
                </c:pt>
                <c:pt idx="15" formatCode="0">
                  <c:v>169405</c:v>
                </c:pt>
                <c:pt idx="16" formatCode="0">
                  <c:v>169405</c:v>
                </c:pt>
                <c:pt idx="17" formatCode="0">
                  <c:v>169405</c:v>
                </c:pt>
                <c:pt idx="18" formatCode="0">
                  <c:v>169405</c:v>
                </c:pt>
                <c:pt idx="19" formatCode="0">
                  <c:v>169405</c:v>
                </c:pt>
                <c:pt idx="20" formatCode="0">
                  <c:v>169405</c:v>
                </c:pt>
                <c:pt idx="21" formatCode="0">
                  <c:v>169405</c:v>
                </c:pt>
                <c:pt idx="22" formatCode="0">
                  <c:v>169405</c:v>
                </c:pt>
                <c:pt idx="23" formatCode="0">
                  <c:v>169405</c:v>
                </c:pt>
                <c:pt idx="24" formatCode="0">
                  <c:v>169405</c:v>
                </c:pt>
                <c:pt idx="25" formatCode="0">
                  <c:v>169405</c:v>
                </c:pt>
                <c:pt idx="26" formatCode="0">
                  <c:v>169405</c:v>
                </c:pt>
                <c:pt idx="27" formatCode="0">
                  <c:v>169405</c:v>
                </c:pt>
                <c:pt idx="28" formatCode="0">
                  <c:v>169405</c:v>
                </c:pt>
                <c:pt idx="29" formatCode="0">
                  <c:v>169405</c:v>
                </c:pt>
                <c:pt idx="30" formatCode="0">
                  <c:v>169405</c:v>
                </c:pt>
                <c:pt idx="31" formatCode="0">
                  <c:v>169405</c:v>
                </c:pt>
                <c:pt idx="32" formatCode="0">
                  <c:v>169405</c:v>
                </c:pt>
                <c:pt idx="33" formatCode="0">
                  <c:v>169405</c:v>
                </c:pt>
                <c:pt idx="34" formatCode="0">
                  <c:v>169405</c:v>
                </c:pt>
                <c:pt idx="35" formatCode="0">
                  <c:v>169405</c:v>
                </c:pt>
                <c:pt idx="36" formatCode="0">
                  <c:v>169405</c:v>
                </c:pt>
                <c:pt idx="37" formatCode="0">
                  <c:v>169405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4-4ADF-935A-4835A928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66475"/>
        <c:axId val="1264326446"/>
      </c:lineChart>
      <c:catAx>
        <c:axId val="40376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4326446"/>
        <c:crosses val="autoZero"/>
        <c:auto val="1"/>
        <c:lblAlgn val="ctr"/>
        <c:lblOffset val="100"/>
        <c:noMultiLvlLbl val="1"/>
      </c:catAx>
      <c:valAx>
        <c:axId val="126432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DBUs</a:t>
                </a:r>
              </a:p>
            </c:rich>
          </c:tx>
          <c:overlay val="0"/>
        </c:title>
        <c:numFmt formatCode="&quot;$&quot;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37664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DBU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'EDW_Snowflake_Estimates&amp;Ramp'!$A$2</c:f>
              <c:strCache>
                <c:ptCount val="1"/>
                <c:pt idx="0">
                  <c:v>Data Analytics (DBUs)</c:v>
                </c:pt>
              </c:strCache>
            </c:strRef>
          </c:tx>
          <c:marker>
            <c:symbol val="none"/>
          </c:marker>
          <c:cat>
            <c:strRef>
              <c:f>'EDW_Snowflake_Estimates&amp;Ramp'!$B$1:$AM$1</c:f>
              <c:strCache>
                <c:ptCount val="38"/>
                <c:pt idx="0">
                  <c:v>Cost (USD)</c:v>
                </c:pt>
                <c:pt idx="2">
                  <c:v>January 2021</c:v>
                </c:pt>
                <c:pt idx="3">
                  <c:v>February 2021</c:v>
                </c:pt>
                <c:pt idx="4">
                  <c:v>March 2021</c:v>
                </c:pt>
                <c:pt idx="5">
                  <c:v>April 2021</c:v>
                </c:pt>
                <c:pt idx="6">
                  <c:v>May 2021</c:v>
                </c:pt>
                <c:pt idx="7">
                  <c:v>June 2021</c:v>
                </c:pt>
                <c:pt idx="8">
                  <c:v>July 2021</c:v>
                </c:pt>
                <c:pt idx="9">
                  <c:v>August 2021</c:v>
                </c:pt>
                <c:pt idx="10">
                  <c:v>September 2021</c:v>
                </c:pt>
                <c:pt idx="11">
                  <c:v>October 2021</c:v>
                </c:pt>
                <c:pt idx="12">
                  <c:v>November 2021</c:v>
                </c:pt>
                <c:pt idx="13">
                  <c:v>December 2021</c:v>
                </c:pt>
                <c:pt idx="14">
                  <c:v>January 2022</c:v>
                </c:pt>
                <c:pt idx="15">
                  <c:v>February 2022</c:v>
                </c:pt>
                <c:pt idx="16">
                  <c:v>March 2022</c:v>
                </c:pt>
                <c:pt idx="17">
                  <c:v>April 2022</c:v>
                </c:pt>
                <c:pt idx="18">
                  <c:v>May 2022</c:v>
                </c:pt>
                <c:pt idx="19">
                  <c:v>June 2022</c:v>
                </c:pt>
                <c:pt idx="20">
                  <c:v>July 2022</c:v>
                </c:pt>
                <c:pt idx="21">
                  <c:v>August 2022</c:v>
                </c:pt>
                <c:pt idx="22">
                  <c:v>September 2022</c:v>
                </c:pt>
                <c:pt idx="23">
                  <c:v>October 2022</c:v>
                </c:pt>
                <c:pt idx="24">
                  <c:v>November 2022</c:v>
                </c:pt>
                <c:pt idx="25">
                  <c:v>December 2022</c:v>
                </c:pt>
                <c:pt idx="26">
                  <c:v>January 2023</c:v>
                </c:pt>
                <c:pt idx="27">
                  <c:v>February 2023</c:v>
                </c:pt>
                <c:pt idx="28">
                  <c:v>March 2023</c:v>
                </c:pt>
                <c:pt idx="29">
                  <c:v>April 2023</c:v>
                </c:pt>
                <c:pt idx="30">
                  <c:v>May 2023</c:v>
                </c:pt>
                <c:pt idx="31">
                  <c:v>June 2023</c:v>
                </c:pt>
                <c:pt idx="32">
                  <c:v>July 2023</c:v>
                </c:pt>
                <c:pt idx="33">
                  <c:v>August 2023</c:v>
                </c:pt>
                <c:pt idx="34">
                  <c:v>September 2023</c:v>
                </c:pt>
                <c:pt idx="35">
                  <c:v>October 2023</c:v>
                </c:pt>
                <c:pt idx="36">
                  <c:v>November 2023</c:v>
                </c:pt>
                <c:pt idx="37">
                  <c:v>December 2023</c:v>
                </c:pt>
              </c:strCache>
            </c:strRef>
          </c:cat>
          <c:val>
            <c:numRef>
              <c:f>'EDW_Snowflake_Estimates&amp;Ramp'!$B$2:$AM$2</c:f>
              <c:numCache>
                <c:formatCode>General</c:formatCode>
                <c:ptCount val="38"/>
                <c:pt idx="0" formatCode="&quot;$&quot;#,##0.000">
                  <c:v>0.55000000000000004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5-4068-97D4-4F93953FEB56}"/>
            </c:ext>
          </c:extLst>
        </c:ser>
        <c:ser>
          <c:idx val="1"/>
          <c:order val="1"/>
          <c:tx>
            <c:strRef>
              <c:f>'EDW_Snowflake_Estimates&amp;Ramp'!$A$3</c:f>
              <c:strCache>
                <c:ptCount val="1"/>
                <c:pt idx="0">
                  <c:v>Data Engineering(DBUs)</c:v>
                </c:pt>
              </c:strCache>
            </c:strRef>
          </c:tx>
          <c:marker>
            <c:symbol val="none"/>
          </c:marker>
          <c:cat>
            <c:strRef>
              <c:f>'EDW_Snowflake_Estimates&amp;Ramp'!$B$1:$AM$1</c:f>
              <c:strCache>
                <c:ptCount val="38"/>
                <c:pt idx="0">
                  <c:v>Cost (USD)</c:v>
                </c:pt>
                <c:pt idx="2">
                  <c:v>January 2021</c:v>
                </c:pt>
                <c:pt idx="3">
                  <c:v>February 2021</c:v>
                </c:pt>
                <c:pt idx="4">
                  <c:v>March 2021</c:v>
                </c:pt>
                <c:pt idx="5">
                  <c:v>April 2021</c:v>
                </c:pt>
                <c:pt idx="6">
                  <c:v>May 2021</c:v>
                </c:pt>
                <c:pt idx="7">
                  <c:v>June 2021</c:v>
                </c:pt>
                <c:pt idx="8">
                  <c:v>July 2021</c:v>
                </c:pt>
                <c:pt idx="9">
                  <c:v>August 2021</c:v>
                </c:pt>
                <c:pt idx="10">
                  <c:v>September 2021</c:v>
                </c:pt>
                <c:pt idx="11">
                  <c:v>October 2021</c:v>
                </c:pt>
                <c:pt idx="12">
                  <c:v>November 2021</c:v>
                </c:pt>
                <c:pt idx="13">
                  <c:v>December 2021</c:v>
                </c:pt>
                <c:pt idx="14">
                  <c:v>January 2022</c:v>
                </c:pt>
                <c:pt idx="15">
                  <c:v>February 2022</c:v>
                </c:pt>
                <c:pt idx="16">
                  <c:v>March 2022</c:v>
                </c:pt>
                <c:pt idx="17">
                  <c:v>April 2022</c:v>
                </c:pt>
                <c:pt idx="18">
                  <c:v>May 2022</c:v>
                </c:pt>
                <c:pt idx="19">
                  <c:v>June 2022</c:v>
                </c:pt>
                <c:pt idx="20">
                  <c:v>July 2022</c:v>
                </c:pt>
                <c:pt idx="21">
                  <c:v>August 2022</c:v>
                </c:pt>
                <c:pt idx="22">
                  <c:v>September 2022</c:v>
                </c:pt>
                <c:pt idx="23">
                  <c:v>October 2022</c:v>
                </c:pt>
                <c:pt idx="24">
                  <c:v>November 2022</c:v>
                </c:pt>
                <c:pt idx="25">
                  <c:v>December 2022</c:v>
                </c:pt>
                <c:pt idx="26">
                  <c:v>January 2023</c:v>
                </c:pt>
                <c:pt idx="27">
                  <c:v>February 2023</c:v>
                </c:pt>
                <c:pt idx="28">
                  <c:v>March 2023</c:v>
                </c:pt>
                <c:pt idx="29">
                  <c:v>April 2023</c:v>
                </c:pt>
                <c:pt idx="30">
                  <c:v>May 2023</c:v>
                </c:pt>
                <c:pt idx="31">
                  <c:v>June 2023</c:v>
                </c:pt>
                <c:pt idx="32">
                  <c:v>July 2023</c:v>
                </c:pt>
                <c:pt idx="33">
                  <c:v>August 2023</c:v>
                </c:pt>
                <c:pt idx="34">
                  <c:v>September 2023</c:v>
                </c:pt>
                <c:pt idx="35">
                  <c:v>October 2023</c:v>
                </c:pt>
                <c:pt idx="36">
                  <c:v>November 2023</c:v>
                </c:pt>
                <c:pt idx="37">
                  <c:v>December 2023</c:v>
                </c:pt>
              </c:strCache>
            </c:strRef>
          </c:cat>
          <c:val>
            <c:numRef>
              <c:f>'EDW_Snowflake_Estimates&amp;Ramp'!$B$3:$AM$3</c:f>
              <c:numCache>
                <c:formatCode>General</c:formatCode>
                <c:ptCount val="38"/>
                <c:pt idx="0" formatCode="&quot;$&quot;#,##0.000">
                  <c:v>0.3</c:v>
                </c:pt>
                <c:pt idx="1">
                  <c:v>0</c:v>
                </c:pt>
                <c:pt idx="2" formatCode="0">
                  <c:v>5475</c:v>
                </c:pt>
                <c:pt idx="3" formatCode="0">
                  <c:v>5475</c:v>
                </c:pt>
                <c:pt idx="4" formatCode="0">
                  <c:v>10950</c:v>
                </c:pt>
                <c:pt idx="5" formatCode="0">
                  <c:v>10950</c:v>
                </c:pt>
                <c:pt idx="6" formatCode="0">
                  <c:v>10950</c:v>
                </c:pt>
                <c:pt idx="7" formatCode="0">
                  <c:v>21900</c:v>
                </c:pt>
                <c:pt idx="8" formatCode="0">
                  <c:v>21900</c:v>
                </c:pt>
                <c:pt idx="9" formatCode="0">
                  <c:v>21900</c:v>
                </c:pt>
                <c:pt idx="10" formatCode="0">
                  <c:v>32850</c:v>
                </c:pt>
                <c:pt idx="11" formatCode="0">
                  <c:v>32850</c:v>
                </c:pt>
                <c:pt idx="12" formatCode="0">
                  <c:v>32850</c:v>
                </c:pt>
                <c:pt idx="13" formatCode="0">
                  <c:v>43800</c:v>
                </c:pt>
                <c:pt idx="14" formatCode="0">
                  <c:v>43800</c:v>
                </c:pt>
                <c:pt idx="15" formatCode="0">
                  <c:v>43800</c:v>
                </c:pt>
                <c:pt idx="16" formatCode="0">
                  <c:v>54750</c:v>
                </c:pt>
                <c:pt idx="17" formatCode="0">
                  <c:v>54750</c:v>
                </c:pt>
                <c:pt idx="18" formatCode="0">
                  <c:v>54750</c:v>
                </c:pt>
                <c:pt idx="19" formatCode="0">
                  <c:v>54750</c:v>
                </c:pt>
                <c:pt idx="20" formatCode="0">
                  <c:v>82125</c:v>
                </c:pt>
                <c:pt idx="21" formatCode="0">
                  <c:v>82125</c:v>
                </c:pt>
                <c:pt idx="22" formatCode="0">
                  <c:v>82125</c:v>
                </c:pt>
                <c:pt idx="23" formatCode="0">
                  <c:v>82125</c:v>
                </c:pt>
                <c:pt idx="24" formatCode="0">
                  <c:v>82125</c:v>
                </c:pt>
                <c:pt idx="25" formatCode="0">
                  <c:v>109500</c:v>
                </c:pt>
                <c:pt idx="26" formatCode="0">
                  <c:v>111690</c:v>
                </c:pt>
                <c:pt idx="27" formatCode="0">
                  <c:v>113880</c:v>
                </c:pt>
                <c:pt idx="28" formatCode="0">
                  <c:v>116070</c:v>
                </c:pt>
                <c:pt idx="29" formatCode="0">
                  <c:v>118260.00000000001</c:v>
                </c:pt>
                <c:pt idx="30" formatCode="0">
                  <c:v>120450.00000000001</c:v>
                </c:pt>
                <c:pt idx="31" formatCode="0">
                  <c:v>122640.00000000001</c:v>
                </c:pt>
                <c:pt idx="32" formatCode="0">
                  <c:v>124830.00000000001</c:v>
                </c:pt>
                <c:pt idx="33" formatCode="0">
                  <c:v>127020.00000000001</c:v>
                </c:pt>
                <c:pt idx="34" formatCode="0">
                  <c:v>129210.00000000001</c:v>
                </c:pt>
                <c:pt idx="35" formatCode="0">
                  <c:v>131400.00000000003</c:v>
                </c:pt>
                <c:pt idx="36" formatCode="0">
                  <c:v>133590.00000000003</c:v>
                </c:pt>
                <c:pt idx="37" formatCode="0">
                  <c:v>135780.00000000003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068-97D4-4F93953F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66475"/>
        <c:axId val="1264326446"/>
      </c:lineChart>
      <c:catAx>
        <c:axId val="40376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4326446"/>
        <c:crosses val="autoZero"/>
        <c:auto val="1"/>
        <c:lblAlgn val="ctr"/>
        <c:lblOffset val="100"/>
        <c:noMultiLvlLbl val="1"/>
      </c:catAx>
      <c:valAx>
        <c:axId val="126432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DBUs</a:t>
                </a:r>
              </a:p>
            </c:rich>
          </c:tx>
          <c:overlay val="0"/>
        </c:title>
        <c:numFmt formatCode="&quot;$&quot;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37664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Pricing (combined Data Analytics + Data Engineering)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EDW_Synapse_Clean!$A$4:$B$4</c:f>
              <c:strCache>
                <c:ptCount val="2"/>
                <c:pt idx="0">
                  <c:v>Cost (USD)</c:v>
                </c:pt>
              </c:strCache>
            </c:strRef>
          </c:tx>
          <c:marker>
            <c:symbol val="none"/>
          </c:marker>
          <c:cat>
            <c:numRef>
              <c:f>EDW_Synapse_Clean!$C$1:$AM$1</c:f>
              <c:numCache>
                <c:formatCode>mmmm\ yyyy</c:formatCode>
                <c:ptCount val="37"/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  <c:pt idx="23">
                  <c:v>44866</c:v>
                </c:pt>
                <c:pt idx="24">
                  <c:v>44896</c:v>
                </c:pt>
                <c:pt idx="25">
                  <c:v>44927</c:v>
                </c:pt>
                <c:pt idx="26">
                  <c:v>44958</c:v>
                </c:pt>
                <c:pt idx="27">
                  <c:v>44986</c:v>
                </c:pt>
                <c:pt idx="28">
                  <c:v>45017</c:v>
                </c:pt>
                <c:pt idx="29">
                  <c:v>45047</c:v>
                </c:pt>
                <c:pt idx="30">
                  <c:v>45078</c:v>
                </c:pt>
                <c:pt idx="31">
                  <c:v>45108</c:v>
                </c:pt>
                <c:pt idx="32">
                  <c:v>45139</c:v>
                </c:pt>
                <c:pt idx="33">
                  <c:v>45170</c:v>
                </c:pt>
                <c:pt idx="34">
                  <c:v>45200</c:v>
                </c:pt>
                <c:pt idx="35">
                  <c:v>45231</c:v>
                </c:pt>
                <c:pt idx="36">
                  <c:v>45261</c:v>
                </c:pt>
              </c:numCache>
            </c:numRef>
          </c:cat>
          <c:val>
            <c:numRef>
              <c:f>EDW_Synapse_Clean!$C$4:$AM$4</c:f>
              <c:numCache>
                <c:formatCode>"$"#,##0.00</c:formatCode>
                <c:ptCount val="37"/>
                <c:pt idx="1">
                  <c:v>1642.5</c:v>
                </c:pt>
                <c:pt idx="2">
                  <c:v>1642.5</c:v>
                </c:pt>
                <c:pt idx="3">
                  <c:v>3285</c:v>
                </c:pt>
                <c:pt idx="4">
                  <c:v>3285</c:v>
                </c:pt>
                <c:pt idx="5">
                  <c:v>3285</c:v>
                </c:pt>
                <c:pt idx="6">
                  <c:v>6570</c:v>
                </c:pt>
                <c:pt idx="7">
                  <c:v>6570</c:v>
                </c:pt>
                <c:pt idx="8">
                  <c:v>6570</c:v>
                </c:pt>
                <c:pt idx="9">
                  <c:v>9855</c:v>
                </c:pt>
                <c:pt idx="10">
                  <c:v>9855</c:v>
                </c:pt>
                <c:pt idx="11">
                  <c:v>9855</c:v>
                </c:pt>
                <c:pt idx="12">
                  <c:v>13140</c:v>
                </c:pt>
                <c:pt idx="13">
                  <c:v>13140</c:v>
                </c:pt>
                <c:pt idx="14">
                  <c:v>13140</c:v>
                </c:pt>
                <c:pt idx="15">
                  <c:v>16425</c:v>
                </c:pt>
                <c:pt idx="16">
                  <c:v>16425</c:v>
                </c:pt>
                <c:pt idx="17">
                  <c:v>16425</c:v>
                </c:pt>
                <c:pt idx="18">
                  <c:v>16425</c:v>
                </c:pt>
                <c:pt idx="19">
                  <c:v>24637.5</c:v>
                </c:pt>
                <c:pt idx="20">
                  <c:v>24637.5</c:v>
                </c:pt>
                <c:pt idx="21">
                  <c:v>24637.5</c:v>
                </c:pt>
                <c:pt idx="22">
                  <c:v>24637.5</c:v>
                </c:pt>
                <c:pt idx="23">
                  <c:v>24637.5</c:v>
                </c:pt>
                <c:pt idx="24">
                  <c:v>32850</c:v>
                </c:pt>
                <c:pt idx="25">
                  <c:v>33507</c:v>
                </c:pt>
                <c:pt idx="26">
                  <c:v>34164</c:v>
                </c:pt>
                <c:pt idx="27">
                  <c:v>34821</c:v>
                </c:pt>
                <c:pt idx="28">
                  <c:v>35478</c:v>
                </c:pt>
                <c:pt idx="29">
                  <c:v>36135</c:v>
                </c:pt>
                <c:pt idx="30">
                  <c:v>36792</c:v>
                </c:pt>
                <c:pt idx="31">
                  <c:v>37449</c:v>
                </c:pt>
                <c:pt idx="32">
                  <c:v>38106</c:v>
                </c:pt>
                <c:pt idx="33">
                  <c:v>38763</c:v>
                </c:pt>
                <c:pt idx="34">
                  <c:v>39420.000000000007</c:v>
                </c:pt>
                <c:pt idx="35">
                  <c:v>40077.000000000007</c:v>
                </c:pt>
                <c:pt idx="36">
                  <c:v>40734.000000000007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03B-9855-61995609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87418"/>
        <c:axId val="780936274"/>
      </c:lineChart>
      <c:dateAx>
        <c:axId val="22958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</c:title>
        <c:numFmt formatCode="mmmm\ 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0936274"/>
        <c:crosses val="autoZero"/>
        <c:auto val="1"/>
        <c:lblOffset val="100"/>
        <c:baseTimeUnit val="months"/>
      </c:dateAx>
      <c:valAx>
        <c:axId val="780936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Cost</a:t>
                </a:r>
              </a:p>
            </c:rich>
          </c:tx>
          <c:layout/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958741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DBU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EDW_Synapse_Clean!$A$2</c:f>
              <c:strCache>
                <c:ptCount val="1"/>
                <c:pt idx="0">
                  <c:v>Data Analytics (DBUs)</c:v>
                </c:pt>
              </c:strCache>
            </c:strRef>
          </c:tx>
          <c:marker>
            <c:symbol val="none"/>
          </c:marker>
          <c:cat>
            <c:strRef>
              <c:f>EDW_Synapse_Clean!$B$1:$AM$1</c:f>
              <c:strCache>
                <c:ptCount val="38"/>
                <c:pt idx="0">
                  <c:v>Cost (USD)</c:v>
                </c:pt>
                <c:pt idx="2">
                  <c:v>January 2021</c:v>
                </c:pt>
                <c:pt idx="3">
                  <c:v>February 2021</c:v>
                </c:pt>
                <c:pt idx="4">
                  <c:v>March 2021</c:v>
                </c:pt>
                <c:pt idx="5">
                  <c:v>April 2021</c:v>
                </c:pt>
                <c:pt idx="6">
                  <c:v>May 2021</c:v>
                </c:pt>
                <c:pt idx="7">
                  <c:v>June 2021</c:v>
                </c:pt>
                <c:pt idx="8">
                  <c:v>July 2021</c:v>
                </c:pt>
                <c:pt idx="9">
                  <c:v>August 2021</c:v>
                </c:pt>
                <c:pt idx="10">
                  <c:v>September 2021</c:v>
                </c:pt>
                <c:pt idx="11">
                  <c:v>October 2021</c:v>
                </c:pt>
                <c:pt idx="12">
                  <c:v>November 2021</c:v>
                </c:pt>
                <c:pt idx="13">
                  <c:v>December 2021</c:v>
                </c:pt>
                <c:pt idx="14">
                  <c:v>January 2022</c:v>
                </c:pt>
                <c:pt idx="15">
                  <c:v>February 2022</c:v>
                </c:pt>
                <c:pt idx="16">
                  <c:v>March 2022</c:v>
                </c:pt>
                <c:pt idx="17">
                  <c:v>April 2022</c:v>
                </c:pt>
                <c:pt idx="18">
                  <c:v>May 2022</c:v>
                </c:pt>
                <c:pt idx="19">
                  <c:v>June 2022</c:v>
                </c:pt>
                <c:pt idx="20">
                  <c:v>July 2022</c:v>
                </c:pt>
                <c:pt idx="21">
                  <c:v>August 2022</c:v>
                </c:pt>
                <c:pt idx="22">
                  <c:v>September 2022</c:v>
                </c:pt>
                <c:pt idx="23">
                  <c:v>October 2022</c:v>
                </c:pt>
                <c:pt idx="24">
                  <c:v>November 2022</c:v>
                </c:pt>
                <c:pt idx="25">
                  <c:v>December 2022</c:v>
                </c:pt>
                <c:pt idx="26">
                  <c:v>January 2023</c:v>
                </c:pt>
                <c:pt idx="27">
                  <c:v>February 2023</c:v>
                </c:pt>
                <c:pt idx="28">
                  <c:v>March 2023</c:v>
                </c:pt>
                <c:pt idx="29">
                  <c:v>April 2023</c:v>
                </c:pt>
                <c:pt idx="30">
                  <c:v>May 2023</c:v>
                </c:pt>
                <c:pt idx="31">
                  <c:v>June 2023</c:v>
                </c:pt>
                <c:pt idx="32">
                  <c:v>July 2023</c:v>
                </c:pt>
                <c:pt idx="33">
                  <c:v>August 2023</c:v>
                </c:pt>
                <c:pt idx="34">
                  <c:v>September 2023</c:v>
                </c:pt>
                <c:pt idx="35">
                  <c:v>October 2023</c:v>
                </c:pt>
                <c:pt idx="36">
                  <c:v>November 2023</c:v>
                </c:pt>
                <c:pt idx="37">
                  <c:v>December 2023</c:v>
                </c:pt>
              </c:strCache>
            </c:strRef>
          </c:cat>
          <c:val>
            <c:numRef>
              <c:f>EDW_Synapse_Clean!$B$2:$AM$2</c:f>
              <c:numCache>
                <c:formatCode>General</c:formatCode>
                <c:ptCount val="38"/>
                <c:pt idx="0" formatCode="&quot;$&quot;#,##0.000">
                  <c:v>0.55000000000000004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E-4FBE-94A1-01EE91897C90}"/>
            </c:ext>
          </c:extLst>
        </c:ser>
        <c:ser>
          <c:idx val="1"/>
          <c:order val="1"/>
          <c:tx>
            <c:strRef>
              <c:f>EDW_Synapse_Clean!$A$3</c:f>
              <c:strCache>
                <c:ptCount val="1"/>
                <c:pt idx="0">
                  <c:v>Data Engineering(DBUs)</c:v>
                </c:pt>
              </c:strCache>
            </c:strRef>
          </c:tx>
          <c:marker>
            <c:symbol val="none"/>
          </c:marker>
          <c:cat>
            <c:strRef>
              <c:f>EDW_Synapse_Clean!$B$1:$AM$1</c:f>
              <c:strCache>
                <c:ptCount val="38"/>
                <c:pt idx="0">
                  <c:v>Cost (USD)</c:v>
                </c:pt>
                <c:pt idx="2">
                  <c:v>January 2021</c:v>
                </c:pt>
                <c:pt idx="3">
                  <c:v>February 2021</c:v>
                </c:pt>
                <c:pt idx="4">
                  <c:v>March 2021</c:v>
                </c:pt>
                <c:pt idx="5">
                  <c:v>April 2021</c:v>
                </c:pt>
                <c:pt idx="6">
                  <c:v>May 2021</c:v>
                </c:pt>
                <c:pt idx="7">
                  <c:v>June 2021</c:v>
                </c:pt>
                <c:pt idx="8">
                  <c:v>July 2021</c:v>
                </c:pt>
                <c:pt idx="9">
                  <c:v>August 2021</c:v>
                </c:pt>
                <c:pt idx="10">
                  <c:v>September 2021</c:v>
                </c:pt>
                <c:pt idx="11">
                  <c:v>October 2021</c:v>
                </c:pt>
                <c:pt idx="12">
                  <c:v>November 2021</c:v>
                </c:pt>
                <c:pt idx="13">
                  <c:v>December 2021</c:v>
                </c:pt>
                <c:pt idx="14">
                  <c:v>January 2022</c:v>
                </c:pt>
                <c:pt idx="15">
                  <c:v>February 2022</c:v>
                </c:pt>
                <c:pt idx="16">
                  <c:v>March 2022</c:v>
                </c:pt>
                <c:pt idx="17">
                  <c:v>April 2022</c:v>
                </c:pt>
                <c:pt idx="18">
                  <c:v>May 2022</c:v>
                </c:pt>
                <c:pt idx="19">
                  <c:v>June 2022</c:v>
                </c:pt>
                <c:pt idx="20">
                  <c:v>July 2022</c:v>
                </c:pt>
                <c:pt idx="21">
                  <c:v>August 2022</c:v>
                </c:pt>
                <c:pt idx="22">
                  <c:v>September 2022</c:v>
                </c:pt>
                <c:pt idx="23">
                  <c:v>October 2022</c:v>
                </c:pt>
                <c:pt idx="24">
                  <c:v>November 2022</c:v>
                </c:pt>
                <c:pt idx="25">
                  <c:v>December 2022</c:v>
                </c:pt>
                <c:pt idx="26">
                  <c:v>January 2023</c:v>
                </c:pt>
                <c:pt idx="27">
                  <c:v>February 2023</c:v>
                </c:pt>
                <c:pt idx="28">
                  <c:v>March 2023</c:v>
                </c:pt>
                <c:pt idx="29">
                  <c:v>April 2023</c:v>
                </c:pt>
                <c:pt idx="30">
                  <c:v>May 2023</c:v>
                </c:pt>
                <c:pt idx="31">
                  <c:v>June 2023</c:v>
                </c:pt>
                <c:pt idx="32">
                  <c:v>July 2023</c:v>
                </c:pt>
                <c:pt idx="33">
                  <c:v>August 2023</c:v>
                </c:pt>
                <c:pt idx="34">
                  <c:v>September 2023</c:v>
                </c:pt>
                <c:pt idx="35">
                  <c:v>October 2023</c:v>
                </c:pt>
                <c:pt idx="36">
                  <c:v>November 2023</c:v>
                </c:pt>
                <c:pt idx="37">
                  <c:v>December 2023</c:v>
                </c:pt>
              </c:strCache>
            </c:strRef>
          </c:cat>
          <c:val>
            <c:numRef>
              <c:f>EDW_Synapse_Clean!$B$3:$AM$3</c:f>
              <c:numCache>
                <c:formatCode>General</c:formatCode>
                <c:ptCount val="38"/>
                <c:pt idx="0" formatCode="&quot;$&quot;#,##0.000">
                  <c:v>0.3</c:v>
                </c:pt>
                <c:pt idx="1">
                  <c:v>0</c:v>
                </c:pt>
                <c:pt idx="2" formatCode="0">
                  <c:v>5475</c:v>
                </c:pt>
                <c:pt idx="3" formatCode="0">
                  <c:v>5475</c:v>
                </c:pt>
                <c:pt idx="4" formatCode="0">
                  <c:v>10950</c:v>
                </c:pt>
                <c:pt idx="5" formatCode="0">
                  <c:v>10950</c:v>
                </c:pt>
                <c:pt idx="6" formatCode="0">
                  <c:v>10950</c:v>
                </c:pt>
                <c:pt idx="7" formatCode="0">
                  <c:v>21900</c:v>
                </c:pt>
                <c:pt idx="8" formatCode="0">
                  <c:v>21900</c:v>
                </c:pt>
                <c:pt idx="9" formatCode="0">
                  <c:v>21900</c:v>
                </c:pt>
                <c:pt idx="10" formatCode="0">
                  <c:v>32850</c:v>
                </c:pt>
                <c:pt idx="11" formatCode="0">
                  <c:v>32850</c:v>
                </c:pt>
                <c:pt idx="12" formatCode="0">
                  <c:v>32850</c:v>
                </c:pt>
                <c:pt idx="13" formatCode="0">
                  <c:v>43800</c:v>
                </c:pt>
                <c:pt idx="14" formatCode="0">
                  <c:v>43800</c:v>
                </c:pt>
                <c:pt idx="15" formatCode="0">
                  <c:v>43800</c:v>
                </c:pt>
                <c:pt idx="16" formatCode="0">
                  <c:v>54750</c:v>
                </c:pt>
                <c:pt idx="17" formatCode="0">
                  <c:v>54750</c:v>
                </c:pt>
                <c:pt idx="18" formatCode="0">
                  <c:v>54750</c:v>
                </c:pt>
                <c:pt idx="19" formatCode="0">
                  <c:v>54750</c:v>
                </c:pt>
                <c:pt idx="20" formatCode="0">
                  <c:v>82125</c:v>
                </c:pt>
                <c:pt idx="21" formatCode="0">
                  <c:v>82125</c:v>
                </c:pt>
                <c:pt idx="22" formatCode="0">
                  <c:v>82125</c:v>
                </c:pt>
                <c:pt idx="23" formatCode="0">
                  <c:v>82125</c:v>
                </c:pt>
                <c:pt idx="24" formatCode="0">
                  <c:v>82125</c:v>
                </c:pt>
                <c:pt idx="25" formatCode="0">
                  <c:v>109500</c:v>
                </c:pt>
                <c:pt idx="26" formatCode="0">
                  <c:v>111690</c:v>
                </c:pt>
                <c:pt idx="27" formatCode="0">
                  <c:v>113880</c:v>
                </c:pt>
                <c:pt idx="28" formatCode="0">
                  <c:v>116070</c:v>
                </c:pt>
                <c:pt idx="29" formatCode="0">
                  <c:v>118260.00000000001</c:v>
                </c:pt>
                <c:pt idx="30" formatCode="0">
                  <c:v>120450.00000000001</c:v>
                </c:pt>
                <c:pt idx="31" formatCode="0">
                  <c:v>122640.00000000001</c:v>
                </c:pt>
                <c:pt idx="32" formatCode="0">
                  <c:v>124830.00000000001</c:v>
                </c:pt>
                <c:pt idx="33" formatCode="0">
                  <c:v>127020.00000000001</c:v>
                </c:pt>
                <c:pt idx="34" formatCode="0">
                  <c:v>129210.00000000001</c:v>
                </c:pt>
                <c:pt idx="35" formatCode="0">
                  <c:v>131400.00000000003</c:v>
                </c:pt>
                <c:pt idx="36" formatCode="0">
                  <c:v>133590.00000000003</c:v>
                </c:pt>
                <c:pt idx="37" formatCode="0">
                  <c:v>135780.00000000003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E-4FBE-94A1-01EE9189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66475"/>
        <c:axId val="1264326446"/>
      </c:lineChart>
      <c:catAx>
        <c:axId val="40376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4326446"/>
        <c:crosses val="autoZero"/>
        <c:auto val="1"/>
        <c:lblAlgn val="ctr"/>
        <c:lblOffset val="100"/>
        <c:noMultiLvlLbl val="1"/>
      </c:catAx>
      <c:valAx>
        <c:axId val="126432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DBUs</a:t>
                </a:r>
              </a:p>
            </c:rich>
          </c:tx>
          <c:overlay val="0"/>
        </c:title>
        <c:numFmt formatCode="&quot;$&quot;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37664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Pricing (combined Data Analytics + Data Engineering)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'EDW_Synapse_Estimates&amp;Ramp up'!$B$4:$C$4</c:f>
              <c:strCache>
                <c:ptCount val="2"/>
                <c:pt idx="0">
                  <c:v>Cost (USD)</c:v>
                </c:pt>
              </c:strCache>
            </c:strRef>
          </c:tx>
          <c:marker>
            <c:symbol val="none"/>
          </c:marker>
          <c:cat>
            <c:numRef>
              <c:f>'EDW_Synapse_Estimates&amp;Ramp up'!$D$1:$AN$1</c:f>
              <c:numCache>
                <c:formatCode>mmmm\ yyyy</c:formatCode>
                <c:ptCount val="37"/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  <c:pt idx="23">
                  <c:v>44866</c:v>
                </c:pt>
                <c:pt idx="24">
                  <c:v>44896</c:v>
                </c:pt>
                <c:pt idx="25">
                  <c:v>44927</c:v>
                </c:pt>
                <c:pt idx="26">
                  <c:v>44958</c:v>
                </c:pt>
                <c:pt idx="27">
                  <c:v>44986</c:v>
                </c:pt>
                <c:pt idx="28">
                  <c:v>45017</c:v>
                </c:pt>
                <c:pt idx="29">
                  <c:v>45047</c:v>
                </c:pt>
                <c:pt idx="30">
                  <c:v>45078</c:v>
                </c:pt>
                <c:pt idx="31">
                  <c:v>45108</c:v>
                </c:pt>
                <c:pt idx="32">
                  <c:v>45139</c:v>
                </c:pt>
                <c:pt idx="33">
                  <c:v>45170</c:v>
                </c:pt>
                <c:pt idx="34">
                  <c:v>45200</c:v>
                </c:pt>
                <c:pt idx="35">
                  <c:v>45231</c:v>
                </c:pt>
                <c:pt idx="36">
                  <c:v>45261</c:v>
                </c:pt>
              </c:numCache>
            </c:numRef>
          </c:cat>
          <c:val>
            <c:numRef>
              <c:f>'EDW_Synapse_Estimates&amp;Ramp up'!$D$4:$AN$4</c:f>
              <c:numCache>
                <c:formatCode>"$"#,##0.00</c:formatCode>
                <c:ptCount val="37"/>
                <c:pt idx="1">
                  <c:v>1642.5</c:v>
                </c:pt>
                <c:pt idx="2">
                  <c:v>1642.5</c:v>
                </c:pt>
                <c:pt idx="3">
                  <c:v>3285</c:v>
                </c:pt>
                <c:pt idx="4">
                  <c:v>3285</c:v>
                </c:pt>
                <c:pt idx="5">
                  <c:v>3285</c:v>
                </c:pt>
                <c:pt idx="6">
                  <c:v>6570</c:v>
                </c:pt>
                <c:pt idx="7">
                  <c:v>6570</c:v>
                </c:pt>
                <c:pt idx="8">
                  <c:v>6570</c:v>
                </c:pt>
                <c:pt idx="9">
                  <c:v>9855</c:v>
                </c:pt>
                <c:pt idx="10">
                  <c:v>9855</c:v>
                </c:pt>
                <c:pt idx="11">
                  <c:v>9855</c:v>
                </c:pt>
                <c:pt idx="12">
                  <c:v>13140</c:v>
                </c:pt>
                <c:pt idx="13">
                  <c:v>13140</c:v>
                </c:pt>
                <c:pt idx="14">
                  <c:v>13140</c:v>
                </c:pt>
                <c:pt idx="15">
                  <c:v>16425</c:v>
                </c:pt>
                <c:pt idx="16">
                  <c:v>16425</c:v>
                </c:pt>
                <c:pt idx="17">
                  <c:v>16425</c:v>
                </c:pt>
                <c:pt idx="18">
                  <c:v>16425</c:v>
                </c:pt>
                <c:pt idx="19">
                  <c:v>24637.5</c:v>
                </c:pt>
                <c:pt idx="20">
                  <c:v>24637.5</c:v>
                </c:pt>
                <c:pt idx="21">
                  <c:v>24637.5</c:v>
                </c:pt>
                <c:pt idx="22">
                  <c:v>24637.5</c:v>
                </c:pt>
                <c:pt idx="23">
                  <c:v>24637.5</c:v>
                </c:pt>
                <c:pt idx="24">
                  <c:v>32850</c:v>
                </c:pt>
                <c:pt idx="25">
                  <c:v>33507</c:v>
                </c:pt>
                <c:pt idx="26">
                  <c:v>34164</c:v>
                </c:pt>
                <c:pt idx="27">
                  <c:v>34821</c:v>
                </c:pt>
                <c:pt idx="28">
                  <c:v>35478</c:v>
                </c:pt>
                <c:pt idx="29">
                  <c:v>36135</c:v>
                </c:pt>
                <c:pt idx="30">
                  <c:v>36792</c:v>
                </c:pt>
                <c:pt idx="31">
                  <c:v>37449</c:v>
                </c:pt>
                <c:pt idx="32">
                  <c:v>38106</c:v>
                </c:pt>
                <c:pt idx="33">
                  <c:v>38763</c:v>
                </c:pt>
                <c:pt idx="34">
                  <c:v>39420.000000000007</c:v>
                </c:pt>
                <c:pt idx="35">
                  <c:v>40077.000000000007</c:v>
                </c:pt>
                <c:pt idx="36">
                  <c:v>40734.000000000007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A-45FC-BDCA-F24D7788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87418"/>
        <c:axId val="780936274"/>
      </c:lineChart>
      <c:dateAx>
        <c:axId val="22958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mmmm\ 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0936274"/>
        <c:crosses val="autoZero"/>
        <c:auto val="1"/>
        <c:lblOffset val="100"/>
        <c:baseTimeUnit val="months"/>
      </c:dateAx>
      <c:valAx>
        <c:axId val="780936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Cost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9587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DBU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'EDW_Synapse_Estimates&amp;Ramp up'!$B$2</c:f>
              <c:strCache>
                <c:ptCount val="1"/>
                <c:pt idx="0">
                  <c:v>Data Analytics (DBUs)</c:v>
                </c:pt>
              </c:strCache>
            </c:strRef>
          </c:tx>
          <c:marker>
            <c:symbol val="none"/>
          </c:marker>
          <c:cat>
            <c:strRef>
              <c:f>'EDW_Synapse_Estimates&amp;Ramp up'!$C$1:$AN$1</c:f>
              <c:strCache>
                <c:ptCount val="38"/>
                <c:pt idx="0">
                  <c:v>Cost (USD)</c:v>
                </c:pt>
                <c:pt idx="2">
                  <c:v>January 2021</c:v>
                </c:pt>
                <c:pt idx="3">
                  <c:v>February 2021</c:v>
                </c:pt>
                <c:pt idx="4">
                  <c:v>March 2021</c:v>
                </c:pt>
                <c:pt idx="5">
                  <c:v>April 2021</c:v>
                </c:pt>
                <c:pt idx="6">
                  <c:v>May 2021</c:v>
                </c:pt>
                <c:pt idx="7">
                  <c:v>June 2021</c:v>
                </c:pt>
                <c:pt idx="8">
                  <c:v>July 2021</c:v>
                </c:pt>
                <c:pt idx="9">
                  <c:v>August 2021</c:v>
                </c:pt>
                <c:pt idx="10">
                  <c:v>September 2021</c:v>
                </c:pt>
                <c:pt idx="11">
                  <c:v>October 2021</c:v>
                </c:pt>
                <c:pt idx="12">
                  <c:v>November 2021</c:v>
                </c:pt>
                <c:pt idx="13">
                  <c:v>December 2021</c:v>
                </c:pt>
                <c:pt idx="14">
                  <c:v>January 2022</c:v>
                </c:pt>
                <c:pt idx="15">
                  <c:v>February 2022</c:v>
                </c:pt>
                <c:pt idx="16">
                  <c:v>March 2022</c:v>
                </c:pt>
                <c:pt idx="17">
                  <c:v>April 2022</c:v>
                </c:pt>
                <c:pt idx="18">
                  <c:v>May 2022</c:v>
                </c:pt>
                <c:pt idx="19">
                  <c:v>June 2022</c:v>
                </c:pt>
                <c:pt idx="20">
                  <c:v>July 2022</c:v>
                </c:pt>
                <c:pt idx="21">
                  <c:v>August 2022</c:v>
                </c:pt>
                <c:pt idx="22">
                  <c:v>September 2022</c:v>
                </c:pt>
                <c:pt idx="23">
                  <c:v>October 2022</c:v>
                </c:pt>
                <c:pt idx="24">
                  <c:v>November 2022</c:v>
                </c:pt>
                <c:pt idx="25">
                  <c:v>December 2022</c:v>
                </c:pt>
                <c:pt idx="26">
                  <c:v>January 2023</c:v>
                </c:pt>
                <c:pt idx="27">
                  <c:v>February 2023</c:v>
                </c:pt>
                <c:pt idx="28">
                  <c:v>March 2023</c:v>
                </c:pt>
                <c:pt idx="29">
                  <c:v>April 2023</c:v>
                </c:pt>
                <c:pt idx="30">
                  <c:v>May 2023</c:v>
                </c:pt>
                <c:pt idx="31">
                  <c:v>June 2023</c:v>
                </c:pt>
                <c:pt idx="32">
                  <c:v>July 2023</c:v>
                </c:pt>
                <c:pt idx="33">
                  <c:v>August 2023</c:v>
                </c:pt>
                <c:pt idx="34">
                  <c:v>September 2023</c:v>
                </c:pt>
                <c:pt idx="35">
                  <c:v>October 2023</c:v>
                </c:pt>
                <c:pt idx="36">
                  <c:v>November 2023</c:v>
                </c:pt>
                <c:pt idx="37">
                  <c:v>December 2023</c:v>
                </c:pt>
              </c:strCache>
            </c:strRef>
          </c:cat>
          <c:val>
            <c:numRef>
              <c:f>'EDW_Synapse_Estimates&amp;Ramp up'!$C$2:$AN$2</c:f>
              <c:numCache>
                <c:formatCode>General</c:formatCode>
                <c:ptCount val="38"/>
                <c:pt idx="0" formatCode="&quot;$&quot;#,##0.000">
                  <c:v>0.55000000000000004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CF4-A610-0BA2E12BF741}"/>
            </c:ext>
          </c:extLst>
        </c:ser>
        <c:ser>
          <c:idx val="1"/>
          <c:order val="1"/>
          <c:tx>
            <c:strRef>
              <c:f>'EDW_Synapse_Estimates&amp;Ramp up'!$B$3</c:f>
              <c:strCache>
                <c:ptCount val="1"/>
                <c:pt idx="0">
                  <c:v>Data Engineering(DBUs)</c:v>
                </c:pt>
              </c:strCache>
            </c:strRef>
          </c:tx>
          <c:marker>
            <c:symbol val="none"/>
          </c:marker>
          <c:cat>
            <c:strRef>
              <c:f>'EDW_Synapse_Estimates&amp;Ramp up'!$C$1:$AN$1</c:f>
              <c:strCache>
                <c:ptCount val="38"/>
                <c:pt idx="0">
                  <c:v>Cost (USD)</c:v>
                </c:pt>
                <c:pt idx="2">
                  <c:v>January 2021</c:v>
                </c:pt>
                <c:pt idx="3">
                  <c:v>February 2021</c:v>
                </c:pt>
                <c:pt idx="4">
                  <c:v>March 2021</c:v>
                </c:pt>
                <c:pt idx="5">
                  <c:v>April 2021</c:v>
                </c:pt>
                <c:pt idx="6">
                  <c:v>May 2021</c:v>
                </c:pt>
                <c:pt idx="7">
                  <c:v>June 2021</c:v>
                </c:pt>
                <c:pt idx="8">
                  <c:v>July 2021</c:v>
                </c:pt>
                <c:pt idx="9">
                  <c:v>August 2021</c:v>
                </c:pt>
                <c:pt idx="10">
                  <c:v>September 2021</c:v>
                </c:pt>
                <c:pt idx="11">
                  <c:v>October 2021</c:v>
                </c:pt>
                <c:pt idx="12">
                  <c:v>November 2021</c:v>
                </c:pt>
                <c:pt idx="13">
                  <c:v>December 2021</c:v>
                </c:pt>
                <c:pt idx="14">
                  <c:v>January 2022</c:v>
                </c:pt>
                <c:pt idx="15">
                  <c:v>February 2022</c:v>
                </c:pt>
                <c:pt idx="16">
                  <c:v>March 2022</c:v>
                </c:pt>
                <c:pt idx="17">
                  <c:v>April 2022</c:v>
                </c:pt>
                <c:pt idx="18">
                  <c:v>May 2022</c:v>
                </c:pt>
                <c:pt idx="19">
                  <c:v>June 2022</c:v>
                </c:pt>
                <c:pt idx="20">
                  <c:v>July 2022</c:v>
                </c:pt>
                <c:pt idx="21">
                  <c:v>August 2022</c:v>
                </c:pt>
                <c:pt idx="22">
                  <c:v>September 2022</c:v>
                </c:pt>
                <c:pt idx="23">
                  <c:v>October 2022</c:v>
                </c:pt>
                <c:pt idx="24">
                  <c:v>November 2022</c:v>
                </c:pt>
                <c:pt idx="25">
                  <c:v>December 2022</c:v>
                </c:pt>
                <c:pt idx="26">
                  <c:v>January 2023</c:v>
                </c:pt>
                <c:pt idx="27">
                  <c:v>February 2023</c:v>
                </c:pt>
                <c:pt idx="28">
                  <c:v>March 2023</c:v>
                </c:pt>
                <c:pt idx="29">
                  <c:v>April 2023</c:v>
                </c:pt>
                <c:pt idx="30">
                  <c:v>May 2023</c:v>
                </c:pt>
                <c:pt idx="31">
                  <c:v>June 2023</c:v>
                </c:pt>
                <c:pt idx="32">
                  <c:v>July 2023</c:v>
                </c:pt>
                <c:pt idx="33">
                  <c:v>August 2023</c:v>
                </c:pt>
                <c:pt idx="34">
                  <c:v>September 2023</c:v>
                </c:pt>
                <c:pt idx="35">
                  <c:v>October 2023</c:v>
                </c:pt>
                <c:pt idx="36">
                  <c:v>November 2023</c:v>
                </c:pt>
                <c:pt idx="37">
                  <c:v>December 2023</c:v>
                </c:pt>
              </c:strCache>
            </c:strRef>
          </c:cat>
          <c:val>
            <c:numRef>
              <c:f>'EDW_Synapse_Estimates&amp;Ramp up'!$C$3:$AN$3</c:f>
              <c:numCache>
                <c:formatCode>General</c:formatCode>
                <c:ptCount val="38"/>
                <c:pt idx="0" formatCode="&quot;$&quot;#,##0.000">
                  <c:v>0.3</c:v>
                </c:pt>
                <c:pt idx="1">
                  <c:v>0</c:v>
                </c:pt>
                <c:pt idx="2" formatCode="0">
                  <c:v>5475</c:v>
                </c:pt>
                <c:pt idx="3" formatCode="0">
                  <c:v>5475</c:v>
                </c:pt>
                <c:pt idx="4" formatCode="0">
                  <c:v>10950</c:v>
                </c:pt>
                <c:pt idx="5" formatCode="0">
                  <c:v>10950</c:v>
                </c:pt>
                <c:pt idx="6" formatCode="0">
                  <c:v>10950</c:v>
                </c:pt>
                <c:pt idx="7" formatCode="0">
                  <c:v>21900</c:v>
                </c:pt>
                <c:pt idx="8" formatCode="0">
                  <c:v>21900</c:v>
                </c:pt>
                <c:pt idx="9" formatCode="0">
                  <c:v>21900</c:v>
                </c:pt>
                <c:pt idx="10" formatCode="0">
                  <c:v>32850</c:v>
                </c:pt>
                <c:pt idx="11" formatCode="0">
                  <c:v>32850</c:v>
                </c:pt>
                <c:pt idx="12" formatCode="0">
                  <c:v>32850</c:v>
                </c:pt>
                <c:pt idx="13" formatCode="0">
                  <c:v>43800</c:v>
                </c:pt>
                <c:pt idx="14" formatCode="0">
                  <c:v>43800</c:v>
                </c:pt>
                <c:pt idx="15" formatCode="0">
                  <c:v>43800</c:v>
                </c:pt>
                <c:pt idx="16" formatCode="0">
                  <c:v>54750</c:v>
                </c:pt>
                <c:pt idx="17" formatCode="0">
                  <c:v>54750</c:v>
                </c:pt>
                <c:pt idx="18" formatCode="0">
                  <c:v>54750</c:v>
                </c:pt>
                <c:pt idx="19" formatCode="0">
                  <c:v>54750</c:v>
                </c:pt>
                <c:pt idx="20" formatCode="0">
                  <c:v>82125</c:v>
                </c:pt>
                <c:pt idx="21" formatCode="0">
                  <c:v>82125</c:v>
                </c:pt>
                <c:pt idx="22" formatCode="0">
                  <c:v>82125</c:v>
                </c:pt>
                <c:pt idx="23" formatCode="0">
                  <c:v>82125</c:v>
                </c:pt>
                <c:pt idx="24" formatCode="0">
                  <c:v>82125</c:v>
                </c:pt>
                <c:pt idx="25" formatCode="0">
                  <c:v>109500</c:v>
                </c:pt>
                <c:pt idx="26" formatCode="0">
                  <c:v>111690</c:v>
                </c:pt>
                <c:pt idx="27" formatCode="0">
                  <c:v>113880</c:v>
                </c:pt>
                <c:pt idx="28" formatCode="0">
                  <c:v>116070</c:v>
                </c:pt>
                <c:pt idx="29" formatCode="0">
                  <c:v>118260.00000000001</c:v>
                </c:pt>
                <c:pt idx="30" formatCode="0">
                  <c:v>120450.00000000001</c:v>
                </c:pt>
                <c:pt idx="31" formatCode="0">
                  <c:v>122640.00000000001</c:v>
                </c:pt>
                <c:pt idx="32" formatCode="0">
                  <c:v>124830.00000000001</c:v>
                </c:pt>
                <c:pt idx="33" formatCode="0">
                  <c:v>127020.00000000001</c:v>
                </c:pt>
                <c:pt idx="34" formatCode="0">
                  <c:v>129210.00000000001</c:v>
                </c:pt>
                <c:pt idx="35" formatCode="0">
                  <c:v>131400.00000000003</c:v>
                </c:pt>
                <c:pt idx="36" formatCode="0">
                  <c:v>133590.00000000003</c:v>
                </c:pt>
                <c:pt idx="37" formatCode="0">
                  <c:v>135780.00000000003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CF4-A610-0BA2E12B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66475"/>
        <c:axId val="1264326446"/>
      </c:lineChart>
      <c:catAx>
        <c:axId val="40376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4326446"/>
        <c:crosses val="autoZero"/>
        <c:auto val="1"/>
        <c:lblAlgn val="ctr"/>
        <c:lblOffset val="100"/>
        <c:noMultiLvlLbl val="1"/>
      </c:catAx>
      <c:valAx>
        <c:axId val="126432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DBUs</a:t>
                </a:r>
              </a:p>
            </c:rich>
          </c:tx>
          <c:overlay val="0"/>
        </c:title>
        <c:numFmt formatCode="&quot;$&quot;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37664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[Databrick_Consumption Estimates MASTERV3.3.xlsx]BVA_Comparison!PivotTable8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700"/>
              <a:t>5 Year TCO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BVA_Comparison!$R$59:$R$60</c:f>
              <c:strCache>
                <c:ptCount val="1"/>
                <c:pt idx="0">
                  <c:v>Azure Storage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BVA_Comparison!$R$61:$R$63</c:f>
              <c:numCache>
                <c:formatCode>_-"$"* #,##0_-;\-"$"* #,##0_-;_-"$"* "-"??_-;_-@_-</c:formatCode>
                <c:ptCount val="2"/>
                <c:pt idx="1">
                  <c:v>265846.90016799996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8-4890-BB5C-97892217ECA5}"/>
            </c:ext>
          </c:extLst>
        </c:ser>
        <c:ser>
          <c:idx val="1"/>
          <c:order val="1"/>
          <c:tx>
            <c:strRef>
              <c:f>BVA_Comparison!$S$59:$S$60</c:f>
              <c:strCache>
                <c:ptCount val="1"/>
                <c:pt idx="0">
                  <c:v>Azure VMs (Hosting Databricks)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BVA_Comparison!$S$61:$S$63</c:f>
              <c:numCache>
                <c:formatCode>_-"$"* #,##0_-;\-"$"* #,##0_-;_-"$"* "-"??_-;_-@_-</c:formatCode>
                <c:ptCount val="2"/>
                <c:pt idx="1">
                  <c:v>1496695.9868960003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D8-4890-BB5C-97892217ECA5}"/>
            </c:ext>
          </c:extLst>
        </c:ser>
        <c:ser>
          <c:idx val="2"/>
          <c:order val="2"/>
          <c:tx>
            <c:strRef>
              <c:f>BVA_Comparison!$T$59:$T$60</c:f>
              <c:strCache>
                <c:ptCount val="1"/>
                <c:pt idx="0">
                  <c:v>Databricks Compute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BVA_Comparison!$T$61:$T$63</c:f>
              <c:numCache>
                <c:formatCode>_-"$"* #,##0_-;\-"$"* #,##0_-;_-"$"* "-"??_-;_-@_-</c:formatCode>
                <c:ptCount val="2"/>
                <c:pt idx="1">
                  <c:v>1944995.94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D8-4890-BB5C-97892217ECA5}"/>
            </c:ext>
          </c:extLst>
        </c:ser>
        <c:ser>
          <c:idx val="3"/>
          <c:order val="3"/>
          <c:tx>
            <c:strRef>
              <c:f>BVA_Comparison!$U$59:$U$60</c:f>
              <c:strCache>
                <c:ptCount val="1"/>
                <c:pt idx="0">
                  <c:v>Oracle Exadata Annual Maintennace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BVA_Comparison!$U$61:$U$63</c:f>
              <c:numCache>
                <c:formatCode>_-"$"* #,##0_-;\-"$"* #,##0_-;_-"$"* "-"??_-;_-@_-</c:formatCode>
                <c:ptCount val="2"/>
                <c:pt idx="0">
                  <c:v>2480795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D8-4890-BB5C-97892217ECA5}"/>
            </c:ext>
          </c:extLst>
        </c:ser>
        <c:ser>
          <c:idx val="4"/>
          <c:order val="4"/>
          <c:tx>
            <c:strRef>
              <c:f>BVA_Comparison!$V$59:$V$60</c:f>
              <c:strCache>
                <c:ptCount val="1"/>
                <c:pt idx="0">
                  <c:v>Oracle Golden gate and Hosted Env Cost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BVA_Comparison!$V$61:$V$63</c:f>
              <c:numCache>
                <c:formatCode>_-"$"* #,##0_-;\-"$"* #,##0_-;_-"$"* "-"??_-;_-@_-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C-E2D8-4890-BB5C-97892217ECA5}"/>
            </c:ext>
          </c:extLst>
        </c:ser>
        <c:ser>
          <c:idx val="5"/>
          <c:order val="5"/>
          <c:tx>
            <c:strRef>
              <c:f>BVA_Comparison!$W$59:$W$60</c:f>
              <c:strCache>
                <c:ptCount val="1"/>
                <c:pt idx="0">
                  <c:v>Setup Cost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BVA_Comparison!$W$61:$W$63</c:f>
              <c:numCache>
                <c:formatCode>_-"$"* #,##0_-;\-"$"* #,##0_-;_-"$"* "-"??_-;_-@_-</c:formatCode>
                <c:ptCount val="2"/>
                <c:pt idx="0">
                  <c:v>9649750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D8-4890-BB5C-97892217ECA5}"/>
            </c:ext>
          </c:extLst>
        </c:ser>
        <c:ser>
          <c:idx val="6"/>
          <c:order val="6"/>
          <c:tx>
            <c:strRef>
              <c:f>BVA_Comparison!$X$59:$X$60</c:f>
              <c:strCache>
                <c:ptCount val="1"/>
                <c:pt idx="0">
                  <c:v>Synapse (DWUs)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BVA_Comparison!$X$61:$X$63</c:f>
              <c:numCache>
                <c:formatCode>_-"$"* #,##0_-;\-"$"* #,##0_-;_-"$"* "-"??_-;_-@_-</c:formatCode>
                <c:ptCount val="2"/>
                <c:pt idx="1">
                  <c:v>1645142.3992499998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D8-4890-BB5C-97892217ECA5}"/>
            </c:ext>
          </c:extLst>
        </c:ser>
        <c:ser>
          <c:idx val="7"/>
          <c:order val="7"/>
          <c:tx>
            <c:strRef>
              <c:f>BVA_Comparison!$Y$59:$Y$60</c:f>
              <c:strCache>
                <c:ptCount val="1"/>
                <c:pt idx="0">
                  <c:v>Synapse (Storage)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BVA_Comparison!$Y$61:$Y$63</c:f>
              <c:numCache>
                <c:formatCode>_-"$"* #,##0_-;\-"$"* #,##0_-;_-"$"* "-"??_-;_-@_-</c:formatCode>
                <c:ptCount val="2"/>
                <c:pt idx="1">
                  <c:v>152060.78913200001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D8-4890-BB5C-97892217ECA5}"/>
            </c:ext>
          </c:extLst>
        </c:ser>
        <c:ser>
          <c:idx val="8"/>
          <c:order val="8"/>
          <c:tx>
            <c:strRef>
              <c:f>BVA_Comparison!$Z$59:$Z$60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BVA_Comparison!$Z$61:$Z$63</c:f>
              <c:numCache>
                <c:formatCode>_-"$"* #,##0_-;\-"$"* #,##0_-;_-"$"* "-"??_-;_-@_-</c:formatCode>
                <c:ptCount val="2"/>
                <c:pt idx="0">
                  <c:v>14015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4-4F61-98B9-544A8F73F50B}"/>
            </c:ext>
          </c:extLst>
        </c:ser>
        <c:ser>
          <c:idx val="9"/>
          <c:order val="9"/>
          <c:tx>
            <c:strRef>
              <c:f>BVA_Comparison!$AA$59:$AA$60</c:f>
              <c:strCache>
                <c:ptCount val="1"/>
                <c:pt idx="0">
                  <c:v>Facilities / Data Center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BVA_Comparison!$AA$61:$AA$63</c:f>
              <c:numCache>
                <c:formatCode>_-"$"* #,##0_-;\-"$"* #,##0_-;_-"$"* "-"??_-;_-@_-</c:formatCode>
                <c:ptCount val="2"/>
                <c:pt idx="0">
                  <c:v>13179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4-4F61-98B9-544A8F73F50B}"/>
            </c:ext>
          </c:extLst>
        </c:ser>
        <c:ser>
          <c:idx val="10"/>
          <c:order val="10"/>
          <c:tx>
            <c:strRef>
              <c:f>BVA_Comparison!$AB$59:$AB$60</c:f>
              <c:strCache>
                <c:ptCount val="1"/>
                <c:pt idx="0">
                  <c:v>Data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BVA_Comparison!$Q$61:$Q$63</c:f>
              <c:strCache>
                <c:ptCount val="2"/>
                <c:pt idx="0">
                  <c:v>Oracle</c:v>
                </c:pt>
                <c:pt idx="1">
                  <c:v>Synapse</c:v>
                </c:pt>
              </c:strCache>
            </c:strRef>
          </c:cat>
          <c:val>
            <c:numRef>
              <c:f>BVA_Comparison!$AB$61:$AB$63</c:f>
              <c:numCache>
                <c:formatCode>_-"$"* #,##0_-;\-"$"* #,##0_-;_-"$"* "-"??_-;_-@_-</c:formatCode>
                <c:ptCount val="2"/>
                <c:pt idx="0">
                  <c:v>47639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4-4F61-98B9-544A8F73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581807"/>
        <c:axId val="374900271"/>
      </c:barChart>
      <c:catAx>
        <c:axId val="204558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700"/>
                  <a:t>Platform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0271"/>
        <c:crosses val="autoZero"/>
        <c:auto val="1"/>
        <c:lblAlgn val="ctr"/>
        <c:lblOffset val="100"/>
        <c:noMultiLvlLbl val="0"/>
      </c:catAx>
      <c:valAx>
        <c:axId val="3749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700"/>
                  <a:t>US Dollars (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Approximated On-prem Hadoop Cost over 3 years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'On-prem Exadata (Reduced)'!$D$27</c:f>
              <c:strCache>
                <c:ptCount val="1"/>
                <c:pt idx="0">
                  <c:v>Informatica BDM License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'On-prem Exadata (Reduced)'!$E$26:$H$26</c:f>
              <c:strCache>
                <c:ptCount val="3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</c:strCache>
            </c:strRef>
          </c:cat>
          <c:val>
            <c:numRef>
              <c:f>'On-prem Exadata (Reduced)'!$E$27:$H$27</c:f>
              <c:numCache>
                <c:formatCode>"$"#,##0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000-4305-8050-3A3D9A95D5E3}"/>
            </c:ext>
          </c:extLst>
        </c:ser>
        <c:ser>
          <c:idx val="1"/>
          <c:order val="1"/>
          <c:tx>
            <c:strRef>
              <c:f>'On-prem Exadata (Reduced)'!$D$28</c:f>
              <c:strCache>
                <c:ptCount val="1"/>
                <c:pt idx="0">
                  <c:v>OS License</c:v>
                </c:pt>
              </c:strCache>
            </c:strRef>
          </c:tx>
          <c:spPr>
            <a:solidFill>
              <a:srgbClr val="DB4437"/>
            </a:solidFill>
          </c:spPr>
          <c:invertIfNegative val="1"/>
          <c:cat>
            <c:strRef>
              <c:f>'On-prem Exadata (Reduced)'!$E$26:$H$26</c:f>
              <c:strCache>
                <c:ptCount val="3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</c:strCache>
            </c:strRef>
          </c:cat>
          <c:val>
            <c:numRef>
              <c:f>'On-prem Exadata (Reduced)'!$E$28:$H$28</c:f>
              <c:numCache>
                <c:formatCode>"$"#,##0</c:formatCode>
                <c:ptCount val="4"/>
                <c:pt idx="0">
                  <c:v>24000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000-4305-8050-3A3D9A95D5E3}"/>
            </c:ext>
          </c:extLst>
        </c:ser>
        <c:ser>
          <c:idx val="2"/>
          <c:order val="2"/>
          <c:tx>
            <c:strRef>
              <c:f>'On-prem Exadata (Reduced)'!$D$29</c:f>
              <c:strCache>
                <c:ptCount val="1"/>
                <c:pt idx="0">
                  <c:v>Cloudera License</c:v>
                </c:pt>
              </c:strCache>
            </c:strRef>
          </c:tx>
          <c:spPr>
            <a:solidFill>
              <a:srgbClr val="F4B400"/>
            </a:solidFill>
          </c:spPr>
          <c:invertIfNegative val="1"/>
          <c:cat>
            <c:strRef>
              <c:f>'On-prem Exadata (Reduced)'!$E$26:$H$26</c:f>
              <c:strCache>
                <c:ptCount val="3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</c:strCache>
            </c:strRef>
          </c:cat>
          <c:val>
            <c:numRef>
              <c:f>'On-prem Exadata (Reduced)'!$E$29:$H$29</c:f>
              <c:numCache>
                <c:formatCode>"$"#,##0</c:formatCode>
                <c:ptCount val="4"/>
                <c:pt idx="0">
                  <c:v>240000</c:v>
                </c:pt>
                <c:pt idx="1">
                  <c:v>240000</c:v>
                </c:pt>
                <c:pt idx="2">
                  <c:v>240000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000-4305-8050-3A3D9A95D5E3}"/>
            </c:ext>
          </c:extLst>
        </c:ser>
        <c:ser>
          <c:idx val="3"/>
          <c:order val="3"/>
          <c:tx>
            <c:strRef>
              <c:f>'On-prem Exadata (Reduced)'!$D$30</c:f>
              <c:strCache>
                <c:ptCount val="1"/>
                <c:pt idx="0">
                  <c:v>Cloudera new pricing uplift (30% avg)</c:v>
                </c:pt>
              </c:strCache>
            </c:strRef>
          </c:tx>
          <c:spPr>
            <a:solidFill>
              <a:srgbClr val="0F9D58"/>
            </a:solidFill>
          </c:spPr>
          <c:invertIfNegative val="1"/>
          <c:cat>
            <c:strRef>
              <c:f>'On-prem Exadata (Reduced)'!$E$26:$H$26</c:f>
              <c:strCache>
                <c:ptCount val="3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</c:strCache>
            </c:strRef>
          </c:cat>
          <c:val>
            <c:numRef>
              <c:f>'On-prem Exadata (Reduced)'!$E$30:$H$30</c:f>
              <c:numCache>
                <c:formatCode>"$"#,##0</c:formatCode>
                <c:ptCount val="4"/>
                <c:pt idx="0">
                  <c:v>0</c:v>
                </c:pt>
                <c:pt idx="1">
                  <c:v>72000</c:v>
                </c:pt>
                <c:pt idx="2">
                  <c:v>72000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000-4305-8050-3A3D9A95D5E3}"/>
            </c:ext>
          </c:extLst>
        </c:ser>
        <c:ser>
          <c:idx val="4"/>
          <c:order val="4"/>
          <c:tx>
            <c:strRef>
              <c:f>'On-prem Exadata (Reduced)'!$D$31</c:f>
              <c:strCache>
                <c:ptCount val="1"/>
                <c:pt idx="0">
                  <c:v>Hardware purchase costs</c:v>
                </c:pt>
              </c:strCache>
            </c:strRef>
          </c:tx>
          <c:spPr>
            <a:solidFill>
              <a:srgbClr val="FF6D00"/>
            </a:solidFill>
          </c:spPr>
          <c:invertIfNegative val="1"/>
          <c:cat>
            <c:strRef>
              <c:f>'On-prem Exadata (Reduced)'!$E$26:$H$26</c:f>
              <c:strCache>
                <c:ptCount val="3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</c:strCache>
            </c:strRef>
          </c:cat>
          <c:val>
            <c:numRef>
              <c:f>'On-prem Exadata (Reduced)'!$E$31:$H$31</c:f>
              <c:numCache>
                <c:formatCode>"$"#,##0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5000-4305-8050-3A3D9A95D5E3}"/>
            </c:ext>
          </c:extLst>
        </c:ser>
        <c:ser>
          <c:idx val="5"/>
          <c:order val="5"/>
          <c:tx>
            <c:strRef>
              <c:f>'On-prem Exadata (Reduced)'!$D$32</c:f>
              <c:strCache>
                <c:ptCount val="1"/>
                <c:pt idx="0">
                  <c:v>Platform Maintenance costs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strRef>
              <c:f>'On-prem Exadata (Reduced)'!$E$26:$H$26</c:f>
              <c:strCache>
                <c:ptCount val="3"/>
                <c:pt idx="0">
                  <c:v>2020-21</c:v>
                </c:pt>
                <c:pt idx="1">
                  <c:v>2021-22</c:v>
                </c:pt>
                <c:pt idx="2">
                  <c:v>2022-23</c:v>
                </c:pt>
              </c:strCache>
            </c:strRef>
          </c:cat>
          <c:val>
            <c:numRef>
              <c:f>'On-prem Exadata (Reduced)'!$E$32:$H$32</c:f>
              <c:numCache>
                <c:formatCode>"$"#,##0</c:formatCode>
                <c:ptCount val="4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5000-4305-8050-3A3D9A95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760494"/>
        <c:axId val="2123228674"/>
      </c:barChart>
      <c:catAx>
        <c:axId val="185076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3228674"/>
        <c:crosses val="autoZero"/>
        <c:auto val="1"/>
        <c:lblAlgn val="ctr"/>
        <c:lblOffset val="100"/>
        <c:noMultiLvlLbl val="1"/>
      </c:catAx>
      <c:valAx>
        <c:axId val="212322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507604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Rogers 3-year Ramp-up Plan - Pricing (combined Data Analytics + Data Engineering)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 Up Plan - Hadoop USD'!$A$4:$B$4</c:f>
              <c:strCache>
                <c:ptCount val="2"/>
                <c:pt idx="0">
                  <c:v>Cost (USD)</c:v>
                </c:pt>
              </c:strCache>
            </c:strRef>
          </c:tx>
          <c:marker>
            <c:symbol val="none"/>
          </c:marker>
          <c:cat>
            <c:numRef>
              <c:f>'Ramp Up Plan - Hadoop USD'!$C$1:$AM$1</c:f>
              <c:numCache>
                <c:formatCode>mmmm\ yyyy</c:formatCode>
                <c:ptCount val="37"/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3">
                  <c:v>44927</c:v>
                </c:pt>
                <c:pt idx="34">
                  <c:v>44958</c:v>
                </c:pt>
                <c:pt idx="35">
                  <c:v>44986</c:v>
                </c:pt>
                <c:pt idx="36">
                  <c:v>45017</c:v>
                </c:pt>
              </c:numCache>
            </c:numRef>
          </c:cat>
          <c:val>
            <c:numRef>
              <c:f>'Ramp Up Plan - Hadoop USD'!$C$4:$AM$4</c:f>
              <c:numCache>
                <c:formatCode>"$"#,##0.00</c:formatCode>
                <c:ptCount val="37"/>
                <c:pt idx="1">
                  <c:v>17602.205624999999</c:v>
                </c:pt>
                <c:pt idx="2">
                  <c:v>35204.411249999997</c:v>
                </c:pt>
                <c:pt idx="3">
                  <c:v>70408.822499999995</c:v>
                </c:pt>
                <c:pt idx="4">
                  <c:v>74114.55</c:v>
                </c:pt>
                <c:pt idx="5">
                  <c:v>74114.55</c:v>
                </c:pt>
                <c:pt idx="6">
                  <c:v>74114.55</c:v>
                </c:pt>
                <c:pt idx="7">
                  <c:v>74114.55</c:v>
                </c:pt>
                <c:pt idx="8">
                  <c:v>74114.55</c:v>
                </c:pt>
                <c:pt idx="9">
                  <c:v>74114.55</c:v>
                </c:pt>
                <c:pt idx="10">
                  <c:v>74114.55</c:v>
                </c:pt>
                <c:pt idx="11">
                  <c:v>74114.55</c:v>
                </c:pt>
                <c:pt idx="12">
                  <c:v>74114.55</c:v>
                </c:pt>
                <c:pt idx="13">
                  <c:v>74114.55</c:v>
                </c:pt>
                <c:pt idx="14">
                  <c:v>74114.55</c:v>
                </c:pt>
                <c:pt idx="15">
                  <c:v>74114.55</c:v>
                </c:pt>
                <c:pt idx="16">
                  <c:v>74114.55</c:v>
                </c:pt>
                <c:pt idx="17">
                  <c:v>74114.55</c:v>
                </c:pt>
                <c:pt idx="18">
                  <c:v>74114.55</c:v>
                </c:pt>
                <c:pt idx="19">
                  <c:v>74114.55</c:v>
                </c:pt>
                <c:pt idx="20">
                  <c:v>74114.55</c:v>
                </c:pt>
                <c:pt idx="21">
                  <c:v>74114.55</c:v>
                </c:pt>
                <c:pt idx="22">
                  <c:v>74114.55</c:v>
                </c:pt>
                <c:pt idx="23">
                  <c:v>74114.55</c:v>
                </c:pt>
                <c:pt idx="24">
                  <c:v>74114.55</c:v>
                </c:pt>
                <c:pt idx="25">
                  <c:v>74114.55</c:v>
                </c:pt>
                <c:pt idx="26">
                  <c:v>74114.55</c:v>
                </c:pt>
                <c:pt idx="27">
                  <c:v>74114.55</c:v>
                </c:pt>
                <c:pt idx="28">
                  <c:v>74114.55</c:v>
                </c:pt>
                <c:pt idx="29">
                  <c:v>74114.55</c:v>
                </c:pt>
                <c:pt idx="30">
                  <c:v>74114.55</c:v>
                </c:pt>
                <c:pt idx="31">
                  <c:v>74114.55</c:v>
                </c:pt>
                <c:pt idx="32">
                  <c:v>74114.55</c:v>
                </c:pt>
                <c:pt idx="33">
                  <c:v>74114.55</c:v>
                </c:pt>
                <c:pt idx="34">
                  <c:v>74114.55</c:v>
                </c:pt>
                <c:pt idx="35">
                  <c:v>74114.55</c:v>
                </c:pt>
                <c:pt idx="36">
                  <c:v>74114.55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F6B-9460-B1B4CB13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87418"/>
        <c:axId val="780936274"/>
      </c:lineChart>
      <c:dateAx>
        <c:axId val="22958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Month</a:t>
                </a:r>
              </a:p>
            </c:rich>
          </c:tx>
          <c:overlay val="0"/>
        </c:title>
        <c:numFmt formatCode="mmmm\ 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0936274"/>
        <c:crosses val="autoZero"/>
        <c:auto val="1"/>
        <c:lblOffset val="100"/>
        <c:baseTimeUnit val="months"/>
      </c:dateAx>
      <c:valAx>
        <c:axId val="780936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CA"/>
                  <a:t>Databricks Cost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9587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43</xdr:row>
      <xdr:rowOff>180975</xdr:rowOff>
    </xdr:from>
    <xdr:ext cx="10020300" cy="5162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5B88803-42E1-43EE-A472-4D52A1970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85725</xdr:colOff>
      <xdr:row>74</xdr:row>
      <xdr:rowOff>38100</xdr:rowOff>
    </xdr:from>
    <xdr:ext cx="10020300" cy="51625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ABE0A290-63A7-4459-9561-D4CF60F8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43</xdr:row>
      <xdr:rowOff>180975</xdr:rowOff>
    </xdr:from>
    <xdr:ext cx="10020300" cy="5162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6203348-E70A-4195-836C-9787E2C2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85725</xdr:colOff>
      <xdr:row>74</xdr:row>
      <xdr:rowOff>38100</xdr:rowOff>
    </xdr:from>
    <xdr:ext cx="10020300" cy="51625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E8734E7E-8CD2-4132-8369-9194A000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43</xdr:row>
      <xdr:rowOff>180975</xdr:rowOff>
    </xdr:from>
    <xdr:ext cx="10020300" cy="5162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79EBC53-4A70-4FE4-AB41-FD26AADC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85725</xdr:colOff>
      <xdr:row>74</xdr:row>
      <xdr:rowOff>38100</xdr:rowOff>
    </xdr:from>
    <xdr:ext cx="10020300" cy="51625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B6FD2D16-18AE-4D7A-93F9-74DFBDF4D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46</xdr:row>
      <xdr:rowOff>82550</xdr:rowOff>
    </xdr:from>
    <xdr:to>
      <xdr:col>12</xdr:col>
      <xdr:colOff>1181100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9E2AF-17AE-445E-9117-996A2C02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35</xdr:row>
      <xdr:rowOff>171450</xdr:rowOff>
    </xdr:from>
    <xdr:ext cx="8877300" cy="45910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D2FF9A9E-5CE5-4A38-99C0-3CFFCEBA4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13</xdr:row>
      <xdr:rowOff>38100</xdr:rowOff>
    </xdr:from>
    <xdr:ext cx="8582025" cy="3981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35</xdr:row>
      <xdr:rowOff>180975</xdr:rowOff>
    </xdr:from>
    <xdr:ext cx="10020300" cy="5162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85725</xdr:colOff>
      <xdr:row>66</xdr:row>
      <xdr:rowOff>38100</xdr:rowOff>
    </xdr:from>
    <xdr:ext cx="10020300" cy="51625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urag Sinha" id="{C2B447CC-B7F7-4325-9637-F0F01C7187B0}" userId="Anurag.Sinha@rci.rogers.com" providerId="PeoplePicker"/>
  <person displayName="Kumud Awasthi" id="{70D4CE20-CECA-42F6-9292-69783E4D56A0}" userId="Kumud.Awasthi@rci.rogers.ca" providerId="PeoplePicker"/>
  <person displayName="Anurag Sinha" id="{E74EA126-D343-40C4-92F6-D7A07C307F84}" userId="S::anurag.sinha@rci.rogers.ca::506decd6-3e25-4ab1-aff2-cd399ec954b7" providerId="AD"/>
  <person displayName="Kumud Awasthi" id="{062FB267-7E3B-4627-871B-1661E139A63F}" userId="S::Kumud.Awasthi@rci.rogers.ca::1954cf29-3f9c-438f-aa82-f9d493b1fd0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harth Gowtham" refreshedDate="44166.564475462961" createdVersion="6" refreshedVersion="6" minRefreshableVersion="3" recordCount="11">
  <cacheSource type="worksheet">
    <worksheetSource ref="L59:N70" sheet="BVA_Comparison"/>
  </cacheSource>
  <cacheFields count="3">
    <cacheField name="Platform" numFmtId="0">
      <sharedItems count="2">
        <s v="Oracle"/>
        <s v="Synapse"/>
      </sharedItems>
    </cacheField>
    <cacheField name="Cost Component" numFmtId="0">
      <sharedItems count="11">
        <s v="Setup Cost"/>
        <s v="Oracle Exadata Annual Maintennace Cost"/>
        <s v="Oracle Golden gate and Hosted Env Cost"/>
        <s v="Databricks Compute"/>
        <s v="Azure VMs (Hosting Databricks)"/>
        <s v="Azure Storage "/>
        <s v="Synapse (DWUs)"/>
        <s v="Synapse (Storage)"/>
        <s v="Power"/>
        <s v="Facilities / Data Center"/>
        <s v="Data Bandwidth"/>
      </sharedItems>
    </cacheField>
    <cacheField name="Total Cost" numFmtId="0">
      <sharedItems containsString="0" containsBlank="1" containsNumber="1" minValue="13179" maxValue="9649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9649750"/>
  </r>
  <r>
    <x v="0"/>
    <x v="1"/>
    <n v="2480795"/>
  </r>
  <r>
    <x v="0"/>
    <x v="2"/>
    <m/>
  </r>
  <r>
    <x v="1"/>
    <x v="3"/>
    <n v="1944995.94"/>
  </r>
  <r>
    <x v="1"/>
    <x v="4"/>
    <n v="1496695.9868960003"/>
  </r>
  <r>
    <x v="1"/>
    <x v="5"/>
    <n v="265846.90016799996"/>
  </r>
  <r>
    <x v="1"/>
    <x v="6"/>
    <n v="1645142.3992499998"/>
  </r>
  <r>
    <x v="1"/>
    <x v="7"/>
    <n v="152060.78913200001"/>
  </r>
  <r>
    <x v="0"/>
    <x v="8"/>
    <n v="14015"/>
  </r>
  <r>
    <x v="0"/>
    <x v="9"/>
    <n v="13179"/>
  </r>
  <r>
    <x v="0"/>
    <x v="10"/>
    <n v="476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Q59:AC63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12">
        <item x="5"/>
        <item x="4"/>
        <item x="3"/>
        <item x="1"/>
        <item x="2"/>
        <item x="0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Cost" fld="2" baseField="0" baseItem="0" numFmtId="174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0-11-19T17:56:07.96" personId="{E74EA126-D343-40C4-92F6-D7A07C307F84}" id="{7CE8B477-E837-46A5-A60C-A48CCE3EFA31}">
    <text>@Kumud Awasthi as discussed, can we tie this to DBU consumption sheet so we are clear on baseline assumptions/sizing</text>
    <mentions>
      <mention mentionpersonId="{70D4CE20-CECA-42F6-9292-69783E4D56A0}" mentionId="{D733E42F-A9D1-47E3-90F2-692ECA974BFE}" startIndex="0" length="14"/>
    </mentions>
  </threadedComment>
  <threadedComment ref="AA2" dT="2020-11-19T18:52:12.97" personId="{062FB267-7E3B-4627-871B-1661E139A63F}" id="{56B290F9-B4A2-427F-BA8B-FDA466D22509}" parentId="{7CE8B477-E837-46A5-A60C-A48CCE3EFA31}">
    <text>@Anurag Sinha I have highlighted this because I am yet to get this number from MS . Once i get that for Exadata This will show the better picture from Exadata sizing . Currently This number is a placeholder.</text>
    <mentions>
      <mention mentionpersonId="{C2B447CC-B7F7-4325-9637-F0F01C7187B0}" mentionId="{29EAA9D4-D4ED-452E-852F-3123FBE50E70}" startIndex="0" length="13"/>
    </mentions>
  </threadedComment>
  <threadedComment ref="AA2" dT="2020-11-19T18:54:33.39" personId="{E74EA126-D343-40C4-92F6-D7A07C307F84}" id="{6C946F80-8F49-496C-99E1-12215E6C365F}" parentId="{7CE8B477-E837-46A5-A60C-A48CCE3EFA31}">
    <text>ok got it. Thanks!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2" dT="2020-11-19T17:56:07.96" personId="{E74EA126-D343-40C4-92F6-D7A07C307F84}" id="{7EAFEFFC-D143-4F1F-A17D-B2D540125A9F}">
    <text>@Kumud Awasthi as discussed, can we tie this to DBU consumption sheet so we are clear on baseline assumptions/sizing</text>
    <mentions>
      <mention mentionpersonId="{70D4CE20-CECA-42F6-9292-69783E4D56A0}" mentionId="{78FA7115-2C84-46EE-8E9B-A9FB44C7ADD5}" startIndex="0" length="14"/>
    </mentions>
  </threadedComment>
  <threadedComment ref="AA2" dT="2020-11-19T18:52:12.97" personId="{062FB267-7E3B-4627-871B-1661E139A63F}" id="{BED1A3D6-32DD-4D37-BAFE-2FA0DAA126A2}" parentId="{7EAFEFFC-D143-4F1F-A17D-B2D540125A9F}">
    <text>@Anurag Sinha I have highlighted this because I am yet to get this number from MS . Once i get that for Exadata This will show the better picture from Exadata sizing . Currently This number is a placeholder.</text>
    <mentions>
      <mention mentionpersonId="{C2B447CC-B7F7-4325-9637-F0F01C7187B0}" mentionId="{BF49BC87-E6E4-4B73-96B1-391D0B3C0900}" startIndex="0" length="13"/>
    </mentions>
  </threadedComment>
  <threadedComment ref="AA2" dT="2020-11-19T18:54:33.39" personId="{E74EA126-D343-40C4-92F6-D7A07C307F84}" id="{2647C4D4-7634-44BD-AB67-93055465B4FE}" parentId="{7EAFEFFC-D143-4F1F-A17D-B2D540125A9F}">
    <text>ok got it. Thanks!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B2" dT="2020-11-19T17:56:07.96" personId="{E74EA126-D343-40C4-92F6-D7A07C307F84}" id="{24719338-C567-415B-BBBC-6B344AA41DE8}">
    <text>@Kumud Awasthi as discussed, can we tie this to DBU consumption sheet so we are clear on baseline assumptions/sizing</text>
    <mentions>
      <mention mentionpersonId="{70D4CE20-CECA-42F6-9292-69783E4D56A0}" mentionId="{B366A3B2-56AC-4650-9FF4-CD218831452C}" startIndex="0" length="14"/>
    </mentions>
  </threadedComment>
  <threadedComment ref="AB2" dT="2020-11-19T18:52:12.97" personId="{062FB267-7E3B-4627-871B-1661E139A63F}" id="{EC9A4197-674B-45E5-B268-D1BF3C26BD5B}" parentId="{24719338-C567-415B-BBBC-6B344AA41DE8}">
    <text>@Anurag Sinha I have highlighted this because I am yet to get this number from MS . Once i get that for Exadata This will show the better picture from Exadata sizing . Currently This number is a placeholder.</text>
    <mentions>
      <mention mentionpersonId="{C2B447CC-B7F7-4325-9637-F0F01C7187B0}" mentionId="{AA5A13AF-2823-47F8-8C8B-372E1D544684}" startIndex="0" length="13"/>
    </mentions>
  </threadedComment>
  <threadedComment ref="AB2" dT="2020-11-19T18:54:33.39" personId="{E74EA126-D343-40C4-92F6-D7A07C307F84}" id="{C666121B-58F4-48B1-84D7-7B349B4C4B8E}" parentId="{24719338-C567-415B-BBBC-6B344AA41DE8}">
    <text>ok got it. Thanks!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X113"/>
  <sheetViews>
    <sheetView topLeftCell="AP2" workbookViewId="0">
      <selection activeCell="BA23" sqref="BA23"/>
    </sheetView>
  </sheetViews>
  <sheetFormatPr defaultColWidth="11.1640625" defaultRowHeight="15" customHeight="1"/>
  <cols>
    <col min="1" max="1" width="32.83203125" style="84" bestFit="1" customWidth="1"/>
    <col min="2" max="2" width="9.6640625" style="84" bestFit="1" customWidth="1"/>
    <col min="3" max="3" width="22.08203125" style="84" customWidth="1"/>
    <col min="4" max="5" width="10" style="84" bestFit="1" customWidth="1"/>
    <col min="6" max="6" width="11" style="84" bestFit="1" customWidth="1"/>
    <col min="7" max="7" width="15" style="84" customWidth="1"/>
    <col min="8" max="18" width="11" style="84" bestFit="1" customWidth="1"/>
    <col min="19" max="19" width="15.58203125" style="84" bestFit="1" customWidth="1"/>
    <col min="20" max="21" width="11" style="84" bestFit="1" customWidth="1"/>
    <col min="22" max="23" width="12" style="84" bestFit="1" customWidth="1"/>
    <col min="24" max="24" width="10" style="84" bestFit="1" customWidth="1"/>
    <col min="25" max="25" width="12" style="84" bestFit="1" customWidth="1"/>
    <col min="26" max="27" width="10" style="84" bestFit="1" customWidth="1"/>
    <col min="28" max="30" width="12" style="84" bestFit="1" customWidth="1"/>
    <col min="31" max="31" width="16.1640625" style="84" bestFit="1" customWidth="1"/>
    <col min="32" max="39" width="12" style="84" bestFit="1" customWidth="1"/>
    <col min="40" max="40" width="8.6640625" style="84" bestFit="1" customWidth="1"/>
    <col min="41" max="41" width="27.6640625" style="84" bestFit="1" customWidth="1"/>
    <col min="42" max="42" width="10.83203125" style="84" bestFit="1" customWidth="1"/>
    <col min="43" max="43" width="36.33203125" style="84" customWidth="1"/>
    <col min="44" max="44" width="9.5" style="84" bestFit="1" customWidth="1"/>
    <col min="45" max="45" width="8.9140625" style="84" bestFit="1" customWidth="1"/>
    <col min="46" max="46" width="7.1640625" style="84" bestFit="1" customWidth="1"/>
    <col min="47" max="49" width="8.08203125" style="84" bestFit="1" customWidth="1"/>
    <col min="50" max="50" width="12.33203125" style="84" bestFit="1" customWidth="1"/>
    <col min="51" max="51" width="5.6640625" style="84" customWidth="1"/>
    <col min="52" max="52" width="11.1640625" style="84"/>
    <col min="53" max="53" width="29.5" style="84" bestFit="1" customWidth="1"/>
    <col min="54" max="16384" width="11.1640625" style="84"/>
  </cols>
  <sheetData>
    <row r="1" spans="1:76" ht="106.5" customHeight="1">
      <c r="A1" s="85"/>
      <c r="B1" s="15" t="s">
        <v>0</v>
      </c>
      <c r="C1" s="22"/>
      <c r="D1" s="22">
        <v>44197</v>
      </c>
      <c r="E1" s="22">
        <f t="shared" ref="E1:AM1" si="0">EDATE(D1,1)</f>
        <v>44228</v>
      </c>
      <c r="F1" s="22">
        <f t="shared" si="0"/>
        <v>44256</v>
      </c>
      <c r="G1" s="22">
        <f t="shared" si="0"/>
        <v>44287</v>
      </c>
      <c r="H1" s="22">
        <f t="shared" si="0"/>
        <v>44317</v>
      </c>
      <c r="I1" s="22">
        <f t="shared" si="0"/>
        <v>44348</v>
      </c>
      <c r="J1" s="22">
        <f t="shared" si="0"/>
        <v>44378</v>
      </c>
      <c r="K1" s="22">
        <f t="shared" si="0"/>
        <v>44409</v>
      </c>
      <c r="L1" s="22">
        <f t="shared" si="0"/>
        <v>44440</v>
      </c>
      <c r="M1" s="22">
        <f t="shared" si="0"/>
        <v>44470</v>
      </c>
      <c r="N1" s="22">
        <f t="shared" si="0"/>
        <v>44501</v>
      </c>
      <c r="O1" s="22">
        <f t="shared" si="0"/>
        <v>44531</v>
      </c>
      <c r="P1" s="22">
        <f t="shared" si="0"/>
        <v>44562</v>
      </c>
      <c r="Q1" s="22">
        <f t="shared" si="0"/>
        <v>44593</v>
      </c>
      <c r="R1" s="22">
        <f t="shared" si="0"/>
        <v>44621</v>
      </c>
      <c r="S1" s="22">
        <f t="shared" si="0"/>
        <v>44652</v>
      </c>
      <c r="T1" s="22">
        <f t="shared" si="0"/>
        <v>44682</v>
      </c>
      <c r="U1" s="22">
        <f t="shared" si="0"/>
        <v>44713</v>
      </c>
      <c r="V1" s="22">
        <f t="shared" si="0"/>
        <v>44743</v>
      </c>
      <c r="W1" s="22">
        <f t="shared" si="0"/>
        <v>44774</v>
      </c>
      <c r="X1" s="22">
        <f t="shared" si="0"/>
        <v>44805</v>
      </c>
      <c r="Y1" s="22">
        <f t="shared" si="0"/>
        <v>44835</v>
      </c>
      <c r="Z1" s="22">
        <f t="shared" si="0"/>
        <v>44866</v>
      </c>
      <c r="AA1" s="22">
        <f t="shared" si="0"/>
        <v>44896</v>
      </c>
      <c r="AB1" s="22">
        <f t="shared" si="0"/>
        <v>44927</v>
      </c>
      <c r="AC1" s="22">
        <f t="shared" si="0"/>
        <v>44958</v>
      </c>
      <c r="AD1" s="22">
        <f t="shared" si="0"/>
        <v>44986</v>
      </c>
      <c r="AE1" s="22">
        <f t="shared" si="0"/>
        <v>45017</v>
      </c>
      <c r="AF1" s="22">
        <f t="shared" si="0"/>
        <v>45047</v>
      </c>
      <c r="AG1" s="22">
        <f t="shared" si="0"/>
        <v>45078</v>
      </c>
      <c r="AH1" s="22">
        <f t="shared" si="0"/>
        <v>45108</v>
      </c>
      <c r="AI1" s="22">
        <f t="shared" si="0"/>
        <v>45139</v>
      </c>
      <c r="AJ1" s="22">
        <f t="shared" si="0"/>
        <v>45170</v>
      </c>
      <c r="AK1" s="22">
        <f t="shared" si="0"/>
        <v>45200</v>
      </c>
      <c r="AL1" s="22">
        <f t="shared" si="0"/>
        <v>45231</v>
      </c>
      <c r="AM1" s="22">
        <f t="shared" si="0"/>
        <v>45261</v>
      </c>
      <c r="AN1" s="22"/>
      <c r="AO1" s="22"/>
      <c r="AP1" s="22"/>
      <c r="AQ1" s="147"/>
      <c r="AR1" s="147"/>
      <c r="AS1" s="147" t="s">
        <v>1</v>
      </c>
      <c r="AT1" s="147" t="s">
        <v>2</v>
      </c>
      <c r="AU1" s="147" t="s">
        <v>3</v>
      </c>
      <c r="AV1" s="147" t="s">
        <v>4</v>
      </c>
      <c r="AW1" s="147" t="s">
        <v>5</v>
      </c>
      <c r="AX1" s="147"/>
      <c r="AY1" s="22"/>
      <c r="AZ1" s="85"/>
      <c r="BA1" s="85"/>
      <c r="BB1" s="85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ht="15.5">
      <c r="A2" s="24" t="s">
        <v>6</v>
      </c>
      <c r="B2" s="25">
        <v>0.55000000000000004</v>
      </c>
      <c r="C2" s="24" t="s">
        <v>7</v>
      </c>
      <c r="D2" s="26">
        <f>D5*$AA2</f>
        <v>0</v>
      </c>
      <c r="E2" s="26">
        <f t="shared" ref="E2:Z2" si="1">E5*$AA2</f>
        <v>0</v>
      </c>
      <c r="F2" s="26">
        <f t="shared" si="1"/>
        <v>0</v>
      </c>
      <c r="G2" s="26">
        <f t="shared" si="1"/>
        <v>0</v>
      </c>
      <c r="H2" s="26">
        <f t="shared" si="1"/>
        <v>0</v>
      </c>
      <c r="I2" s="26">
        <f t="shared" si="1"/>
        <v>0</v>
      </c>
      <c r="J2" s="26">
        <f t="shared" si="1"/>
        <v>0</v>
      </c>
      <c r="K2" s="26">
        <f t="shared" si="1"/>
        <v>0</v>
      </c>
      <c r="L2" s="26">
        <f t="shared" si="1"/>
        <v>0</v>
      </c>
      <c r="M2" s="26">
        <f t="shared" si="1"/>
        <v>0</v>
      </c>
      <c r="N2" s="26">
        <f t="shared" si="1"/>
        <v>0</v>
      </c>
      <c r="O2" s="26">
        <f t="shared" si="1"/>
        <v>0</v>
      </c>
      <c r="P2" s="26">
        <f t="shared" si="1"/>
        <v>0</v>
      </c>
      <c r="Q2" s="26">
        <f t="shared" si="1"/>
        <v>0</v>
      </c>
      <c r="R2" s="26">
        <f t="shared" si="1"/>
        <v>0</v>
      </c>
      <c r="S2" s="26">
        <f t="shared" si="1"/>
        <v>0</v>
      </c>
      <c r="T2" s="26">
        <f t="shared" si="1"/>
        <v>0</v>
      </c>
      <c r="U2" s="26">
        <f t="shared" si="1"/>
        <v>0</v>
      </c>
      <c r="V2" s="26">
        <f t="shared" si="1"/>
        <v>0</v>
      </c>
      <c r="W2" s="26">
        <f t="shared" si="1"/>
        <v>0</v>
      </c>
      <c r="X2" s="26">
        <f t="shared" si="1"/>
        <v>0</v>
      </c>
      <c r="Y2" s="26">
        <f t="shared" si="1"/>
        <v>0</v>
      </c>
      <c r="Z2" s="26">
        <f t="shared" si="1"/>
        <v>0</v>
      </c>
      <c r="AA2" s="114">
        <v>0</v>
      </c>
      <c r="AB2" s="26">
        <f t="shared" ref="AB2:AM2" si="2">AB5*$AA2</f>
        <v>0</v>
      </c>
      <c r="AC2" s="26">
        <f t="shared" si="2"/>
        <v>0</v>
      </c>
      <c r="AD2" s="26">
        <f t="shared" si="2"/>
        <v>0</v>
      </c>
      <c r="AE2" s="26">
        <f t="shared" si="2"/>
        <v>0</v>
      </c>
      <c r="AF2" s="26">
        <f t="shared" si="2"/>
        <v>0</v>
      </c>
      <c r="AG2" s="26">
        <f t="shared" si="2"/>
        <v>0</v>
      </c>
      <c r="AH2" s="26">
        <f t="shared" si="2"/>
        <v>0</v>
      </c>
      <c r="AI2" s="26">
        <f t="shared" si="2"/>
        <v>0</v>
      </c>
      <c r="AJ2" s="26">
        <f t="shared" si="2"/>
        <v>0</v>
      </c>
      <c r="AK2" s="26">
        <f t="shared" si="2"/>
        <v>0</v>
      </c>
      <c r="AL2" s="26">
        <f t="shared" si="2"/>
        <v>0</v>
      </c>
      <c r="AM2" s="26">
        <f t="shared" si="2"/>
        <v>0</v>
      </c>
      <c r="AN2" s="27"/>
      <c r="AO2" s="27"/>
      <c r="AP2" s="27"/>
      <c r="AQ2" s="106" t="s">
        <v>8</v>
      </c>
      <c r="AR2" s="107">
        <f>AA4</f>
        <v>32850</v>
      </c>
      <c r="AS2" s="148">
        <f>SUM(D4:O4)</f>
        <v>75555</v>
      </c>
      <c r="AT2" s="148">
        <f>SUM(P4:AA4)</f>
        <v>248017.5</v>
      </c>
      <c r="AU2" s="148">
        <f>SUM(AB4:AM4)</f>
        <v>445446</v>
      </c>
      <c r="AV2" s="148">
        <f>AU2*1.2</f>
        <v>534535.19999999995</v>
      </c>
      <c r="AW2" s="148">
        <f>AV2*1.2</f>
        <v>641442.23999999987</v>
      </c>
      <c r="AX2" s="148">
        <f>SUM(AS2:AW2)</f>
        <v>1944995.94</v>
      </c>
      <c r="AY2" s="26"/>
      <c r="AZ2" s="85"/>
      <c r="BA2" s="85"/>
      <c r="BB2" s="85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</row>
    <row r="3" spans="1:76" ht="15.5">
      <c r="A3" s="24" t="s">
        <v>9</v>
      </c>
      <c r="B3" s="25">
        <v>0.3</v>
      </c>
      <c r="C3" s="24" t="s">
        <v>10</v>
      </c>
      <c r="D3" s="26">
        <f>D5*$AA3</f>
        <v>5475</v>
      </c>
      <c r="E3" s="26">
        <f t="shared" ref="E3:Z3" si="3">E5*$AA3</f>
        <v>5475</v>
      </c>
      <c r="F3" s="26">
        <f t="shared" si="3"/>
        <v>10950</v>
      </c>
      <c r="G3" s="26">
        <f t="shared" si="3"/>
        <v>10950</v>
      </c>
      <c r="H3" s="26">
        <f t="shared" si="3"/>
        <v>10950</v>
      </c>
      <c r="I3" s="26">
        <f t="shared" si="3"/>
        <v>21900</v>
      </c>
      <c r="J3" s="26">
        <f t="shared" si="3"/>
        <v>21900</v>
      </c>
      <c r="K3" s="26">
        <f t="shared" si="3"/>
        <v>21900</v>
      </c>
      <c r="L3" s="26">
        <f t="shared" si="3"/>
        <v>32850</v>
      </c>
      <c r="M3" s="26">
        <f t="shared" si="3"/>
        <v>32850</v>
      </c>
      <c r="N3" s="26">
        <f t="shared" si="3"/>
        <v>32850</v>
      </c>
      <c r="O3" s="26">
        <f t="shared" si="3"/>
        <v>43800</v>
      </c>
      <c r="P3" s="26">
        <f t="shared" si="3"/>
        <v>43800</v>
      </c>
      <c r="Q3" s="26">
        <f t="shared" si="3"/>
        <v>43800</v>
      </c>
      <c r="R3" s="26">
        <f t="shared" si="3"/>
        <v>54750</v>
      </c>
      <c r="S3" s="26">
        <f t="shared" si="3"/>
        <v>54750</v>
      </c>
      <c r="T3" s="26">
        <f t="shared" si="3"/>
        <v>54750</v>
      </c>
      <c r="U3" s="26">
        <f t="shared" si="3"/>
        <v>54750</v>
      </c>
      <c r="V3" s="26">
        <f t="shared" si="3"/>
        <v>82125</v>
      </c>
      <c r="W3" s="26">
        <f t="shared" si="3"/>
        <v>82125</v>
      </c>
      <c r="X3" s="26">
        <f t="shared" si="3"/>
        <v>82125</v>
      </c>
      <c r="Y3" s="26">
        <f t="shared" si="3"/>
        <v>82125</v>
      </c>
      <c r="Z3" s="26">
        <f t="shared" si="3"/>
        <v>82125</v>
      </c>
      <c r="AA3" s="82">
        <v>109500</v>
      </c>
      <c r="AB3" s="26">
        <f t="shared" ref="AB3:AM3" si="4">AB5*$AA3</f>
        <v>111690</v>
      </c>
      <c r="AC3" s="26">
        <f t="shared" si="4"/>
        <v>113880</v>
      </c>
      <c r="AD3" s="26">
        <f t="shared" si="4"/>
        <v>116070</v>
      </c>
      <c r="AE3" s="26">
        <f t="shared" si="4"/>
        <v>118260.00000000001</v>
      </c>
      <c r="AF3" s="26">
        <f t="shared" si="4"/>
        <v>120450.00000000001</v>
      </c>
      <c r="AG3" s="26">
        <f t="shared" si="4"/>
        <v>122640.00000000001</v>
      </c>
      <c r="AH3" s="26">
        <f t="shared" si="4"/>
        <v>124830.00000000001</v>
      </c>
      <c r="AI3" s="26">
        <f t="shared" si="4"/>
        <v>127020.00000000001</v>
      </c>
      <c r="AJ3" s="26">
        <f t="shared" si="4"/>
        <v>129210.00000000001</v>
      </c>
      <c r="AK3" s="26">
        <f t="shared" si="4"/>
        <v>131400.00000000003</v>
      </c>
      <c r="AL3" s="26">
        <f t="shared" si="4"/>
        <v>133590.00000000003</v>
      </c>
      <c r="AM3" s="26">
        <f t="shared" si="4"/>
        <v>135780.00000000003</v>
      </c>
      <c r="AN3" s="27"/>
      <c r="AO3" s="27"/>
      <c r="AP3" s="27"/>
      <c r="AQ3" s="106" t="s">
        <v>11</v>
      </c>
      <c r="AR3" s="107">
        <f>AA13</f>
        <v>25278.440000000002</v>
      </c>
      <c r="AS3" s="148">
        <f>SUM(D13:O13)</f>
        <v>58140.411999999997</v>
      </c>
      <c r="AT3" s="148">
        <f>SUM(P13:AA13)</f>
        <v>190852.22200000001</v>
      </c>
      <c r="AU3" s="148">
        <f>SUM(AB13:AM13)</f>
        <v>342775.64640000009</v>
      </c>
      <c r="AV3" s="148">
        <f t="shared" ref="AV3:AW6" si="5">AU3*1.2</f>
        <v>411330.77568000008</v>
      </c>
      <c r="AW3" s="148">
        <f t="shared" si="5"/>
        <v>493596.93081600009</v>
      </c>
      <c r="AX3" s="148">
        <f t="shared" ref="AX3:AX7" si="6">SUM(AS3:AW3)</f>
        <v>1496695.9868960003</v>
      </c>
      <c r="AY3" s="26"/>
      <c r="AZ3" s="85"/>
      <c r="BA3" s="85"/>
      <c r="BB3" s="85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</row>
    <row r="4" spans="1:76" ht="15.5">
      <c r="A4" s="28" t="s">
        <v>0</v>
      </c>
      <c r="B4" s="29"/>
      <c r="C4" s="30"/>
      <c r="D4" s="30">
        <f>(D2*$B$2)+(D3*$B$3)</f>
        <v>1642.5</v>
      </c>
      <c r="E4" s="30">
        <f t="shared" ref="E4:AM4" si="7">(E2*$B$2)+(E3*$B$3)</f>
        <v>1642.5</v>
      </c>
      <c r="F4" s="30">
        <f t="shared" si="7"/>
        <v>3285</v>
      </c>
      <c r="G4" s="30">
        <f t="shared" si="7"/>
        <v>3285</v>
      </c>
      <c r="H4" s="30">
        <f t="shared" si="7"/>
        <v>3285</v>
      </c>
      <c r="I4" s="30">
        <f t="shared" si="7"/>
        <v>6570</v>
      </c>
      <c r="J4" s="30">
        <f t="shared" si="7"/>
        <v>6570</v>
      </c>
      <c r="K4" s="30">
        <f t="shared" si="7"/>
        <v>6570</v>
      </c>
      <c r="L4" s="30">
        <f t="shared" si="7"/>
        <v>9855</v>
      </c>
      <c r="M4" s="30">
        <f t="shared" si="7"/>
        <v>9855</v>
      </c>
      <c r="N4" s="30">
        <f t="shared" si="7"/>
        <v>9855</v>
      </c>
      <c r="O4" s="30">
        <f t="shared" si="7"/>
        <v>13140</v>
      </c>
      <c r="P4" s="30">
        <f t="shared" si="7"/>
        <v>13140</v>
      </c>
      <c r="Q4" s="30">
        <f t="shared" si="7"/>
        <v>13140</v>
      </c>
      <c r="R4" s="30">
        <f t="shared" si="7"/>
        <v>16425</v>
      </c>
      <c r="S4" s="30">
        <f t="shared" si="7"/>
        <v>16425</v>
      </c>
      <c r="T4" s="30">
        <f t="shared" si="7"/>
        <v>16425</v>
      </c>
      <c r="U4" s="30">
        <f t="shared" si="7"/>
        <v>16425</v>
      </c>
      <c r="V4" s="30">
        <f t="shared" si="7"/>
        <v>24637.5</v>
      </c>
      <c r="W4" s="30">
        <f t="shared" si="7"/>
        <v>24637.5</v>
      </c>
      <c r="X4" s="30">
        <f t="shared" si="7"/>
        <v>24637.5</v>
      </c>
      <c r="Y4" s="30">
        <f t="shared" si="7"/>
        <v>24637.5</v>
      </c>
      <c r="Z4" s="30">
        <f t="shared" si="7"/>
        <v>24637.5</v>
      </c>
      <c r="AA4" s="30">
        <f t="shared" si="7"/>
        <v>32850</v>
      </c>
      <c r="AB4" s="30">
        <f t="shared" si="7"/>
        <v>33507</v>
      </c>
      <c r="AC4" s="30">
        <f t="shared" si="7"/>
        <v>34164</v>
      </c>
      <c r="AD4" s="30">
        <f t="shared" si="7"/>
        <v>34821</v>
      </c>
      <c r="AE4" s="30">
        <f t="shared" si="7"/>
        <v>35478</v>
      </c>
      <c r="AF4" s="30">
        <f t="shared" si="7"/>
        <v>36135</v>
      </c>
      <c r="AG4" s="30">
        <f t="shared" si="7"/>
        <v>36792</v>
      </c>
      <c r="AH4" s="30">
        <f t="shared" si="7"/>
        <v>37449</v>
      </c>
      <c r="AI4" s="30">
        <f t="shared" si="7"/>
        <v>38106</v>
      </c>
      <c r="AJ4" s="30">
        <f t="shared" si="7"/>
        <v>38763</v>
      </c>
      <c r="AK4" s="30">
        <f t="shared" si="7"/>
        <v>39420.000000000007</v>
      </c>
      <c r="AL4" s="30">
        <f t="shared" si="7"/>
        <v>40077.000000000007</v>
      </c>
      <c r="AM4" s="30">
        <f t="shared" si="7"/>
        <v>40734.000000000007</v>
      </c>
      <c r="AN4" s="31">
        <f>SUM(D4:AM4)</f>
        <v>769018.5</v>
      </c>
      <c r="AO4" s="32" t="s">
        <v>12</v>
      </c>
      <c r="AP4" s="29"/>
      <c r="AQ4" s="106" t="s">
        <v>13</v>
      </c>
      <c r="AR4" s="107">
        <f>AA32+AA33</f>
        <v>4490.0200000000004</v>
      </c>
      <c r="AS4" s="148">
        <f>SUM(D34:O34)</f>
        <v>10327.045999999998</v>
      </c>
      <c r="AT4" s="148">
        <f>SUM(P34:AA34)</f>
        <v>33899.650999999998</v>
      </c>
      <c r="AU4" s="148">
        <f>SUM(AB34:AM34)</f>
        <v>60884.671199999997</v>
      </c>
      <c r="AV4" s="148">
        <f t="shared" si="5"/>
        <v>73061.605439999999</v>
      </c>
      <c r="AW4" s="148">
        <f t="shared" si="5"/>
        <v>87673.926527999996</v>
      </c>
      <c r="AX4" s="148">
        <f t="shared" si="6"/>
        <v>265846.90016799996</v>
      </c>
      <c r="AY4" s="30"/>
      <c r="AZ4" s="85"/>
      <c r="BA4" s="85"/>
      <c r="BB4" s="85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</row>
    <row r="5" spans="1:76" ht="15.5">
      <c r="A5" s="24" t="s">
        <v>14</v>
      </c>
      <c r="B5" s="27"/>
      <c r="C5" s="33"/>
      <c r="D5" s="33">
        <v>0.05</v>
      </c>
      <c r="E5" s="33">
        <v>0.05</v>
      </c>
      <c r="F5" s="33">
        <v>0.1</v>
      </c>
      <c r="G5" s="33">
        <v>0.1</v>
      </c>
      <c r="H5" s="33">
        <v>0.1</v>
      </c>
      <c r="I5" s="33">
        <v>0.2</v>
      </c>
      <c r="J5" s="33">
        <v>0.2</v>
      </c>
      <c r="K5" s="33">
        <v>0.2</v>
      </c>
      <c r="L5" s="33">
        <v>0.3</v>
      </c>
      <c r="M5" s="33">
        <v>0.3</v>
      </c>
      <c r="N5" s="33">
        <v>0.3</v>
      </c>
      <c r="O5" s="33">
        <v>0.4</v>
      </c>
      <c r="P5" s="33">
        <v>0.4</v>
      </c>
      <c r="Q5" s="33">
        <v>0.4</v>
      </c>
      <c r="R5" s="33">
        <v>0.5</v>
      </c>
      <c r="S5" s="33">
        <v>0.5</v>
      </c>
      <c r="T5" s="33">
        <v>0.5</v>
      </c>
      <c r="U5" s="33">
        <v>0.5</v>
      </c>
      <c r="V5" s="33">
        <v>0.75</v>
      </c>
      <c r="W5" s="33">
        <v>0.75</v>
      </c>
      <c r="X5" s="33">
        <v>0.75</v>
      </c>
      <c r="Y5" s="33">
        <v>0.75</v>
      </c>
      <c r="Z5" s="33">
        <v>0.75</v>
      </c>
      <c r="AA5" s="33">
        <v>1</v>
      </c>
      <c r="AB5" s="33">
        <f>AA5+2/100</f>
        <v>1.02</v>
      </c>
      <c r="AC5" s="33">
        <f>AB5+2/100</f>
        <v>1.04</v>
      </c>
      <c r="AD5" s="33">
        <f t="shared" ref="AD5:AM5" si="8">AC5+2/100</f>
        <v>1.06</v>
      </c>
      <c r="AE5" s="33">
        <f t="shared" si="8"/>
        <v>1.08</v>
      </c>
      <c r="AF5" s="33">
        <f t="shared" si="8"/>
        <v>1.1000000000000001</v>
      </c>
      <c r="AG5" s="33">
        <f t="shared" si="8"/>
        <v>1.1200000000000001</v>
      </c>
      <c r="AH5" s="33">
        <f t="shared" si="8"/>
        <v>1.1400000000000001</v>
      </c>
      <c r="AI5" s="33">
        <f t="shared" si="8"/>
        <v>1.1600000000000001</v>
      </c>
      <c r="AJ5" s="33">
        <f t="shared" si="8"/>
        <v>1.1800000000000002</v>
      </c>
      <c r="AK5" s="33">
        <f t="shared" si="8"/>
        <v>1.2000000000000002</v>
      </c>
      <c r="AL5" s="33">
        <f t="shared" si="8"/>
        <v>1.2200000000000002</v>
      </c>
      <c r="AM5" s="33">
        <f t="shared" si="8"/>
        <v>1.2400000000000002</v>
      </c>
      <c r="AN5" s="34"/>
      <c r="AO5" s="34"/>
      <c r="AP5" s="27"/>
      <c r="AQ5" s="107" t="s">
        <v>15</v>
      </c>
      <c r="AR5" s="108">
        <f>AA22</f>
        <v>43545.599999999999</v>
      </c>
      <c r="AS5" s="148">
        <f>SUM(D22:O22)</f>
        <v>100154.88</v>
      </c>
      <c r="AT5" s="148">
        <f>SUM(P22:AA22)</f>
        <v>328769.28000000003</v>
      </c>
      <c r="AU5" s="148">
        <f>SUM(AB22:AM22)</f>
        <v>590478.33600000001</v>
      </c>
      <c r="AV5" s="148">
        <f t="shared" si="5"/>
        <v>708574.00320000004</v>
      </c>
      <c r="AW5" s="148">
        <f t="shared" si="5"/>
        <v>850288.80384000007</v>
      </c>
      <c r="AX5" s="148">
        <f t="shared" si="6"/>
        <v>2578265.3030400001</v>
      </c>
      <c r="AY5" s="33"/>
      <c r="AZ5" s="85"/>
      <c r="BA5" s="85"/>
      <c r="BB5" s="85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</row>
    <row r="6" spans="1:76" ht="15.5">
      <c r="A6" s="24" t="s">
        <v>16</v>
      </c>
      <c r="B6" s="27"/>
      <c r="C6" s="27"/>
      <c r="D6" s="26">
        <f t="shared" ref="D6:AM6" si="9">SUM(D2:D3)</f>
        <v>5475</v>
      </c>
      <c r="E6" s="26">
        <f t="shared" si="9"/>
        <v>5475</v>
      </c>
      <c r="F6" s="26">
        <f t="shared" si="9"/>
        <v>10950</v>
      </c>
      <c r="G6" s="26">
        <f t="shared" si="9"/>
        <v>10950</v>
      </c>
      <c r="H6" s="26">
        <f t="shared" si="9"/>
        <v>10950</v>
      </c>
      <c r="I6" s="26">
        <f t="shared" si="9"/>
        <v>21900</v>
      </c>
      <c r="J6" s="26">
        <f t="shared" si="9"/>
        <v>21900</v>
      </c>
      <c r="K6" s="26">
        <f t="shared" si="9"/>
        <v>21900</v>
      </c>
      <c r="L6" s="26">
        <f t="shared" si="9"/>
        <v>32850</v>
      </c>
      <c r="M6" s="26">
        <f t="shared" si="9"/>
        <v>32850</v>
      </c>
      <c r="N6" s="26">
        <f t="shared" si="9"/>
        <v>32850</v>
      </c>
      <c r="O6" s="26">
        <f t="shared" si="9"/>
        <v>43800</v>
      </c>
      <c r="P6" s="26">
        <f t="shared" si="9"/>
        <v>43800</v>
      </c>
      <c r="Q6" s="26">
        <f t="shared" si="9"/>
        <v>43800</v>
      </c>
      <c r="R6" s="26">
        <f t="shared" si="9"/>
        <v>54750</v>
      </c>
      <c r="S6" s="26">
        <f t="shared" si="9"/>
        <v>54750</v>
      </c>
      <c r="T6" s="26">
        <f t="shared" si="9"/>
        <v>54750</v>
      </c>
      <c r="U6" s="26">
        <f t="shared" si="9"/>
        <v>54750</v>
      </c>
      <c r="V6" s="26">
        <f t="shared" si="9"/>
        <v>82125</v>
      </c>
      <c r="W6" s="26">
        <f t="shared" si="9"/>
        <v>82125</v>
      </c>
      <c r="X6" s="26">
        <f t="shared" si="9"/>
        <v>82125</v>
      </c>
      <c r="Y6" s="26">
        <f t="shared" si="9"/>
        <v>82125</v>
      </c>
      <c r="Z6" s="26">
        <f t="shared" si="9"/>
        <v>82125</v>
      </c>
      <c r="AA6" s="26">
        <f t="shared" si="9"/>
        <v>109500</v>
      </c>
      <c r="AB6" s="26">
        <f t="shared" si="9"/>
        <v>111690</v>
      </c>
      <c r="AC6" s="26">
        <f t="shared" si="9"/>
        <v>113880</v>
      </c>
      <c r="AD6" s="26">
        <f t="shared" si="9"/>
        <v>116070</v>
      </c>
      <c r="AE6" s="26">
        <f t="shared" si="9"/>
        <v>118260.00000000001</v>
      </c>
      <c r="AF6" s="26">
        <f t="shared" si="9"/>
        <v>120450.00000000001</v>
      </c>
      <c r="AG6" s="26">
        <f t="shared" si="9"/>
        <v>122640.00000000001</v>
      </c>
      <c r="AH6" s="26">
        <f t="shared" si="9"/>
        <v>124830.00000000001</v>
      </c>
      <c r="AI6" s="26">
        <f t="shared" si="9"/>
        <v>127020.00000000001</v>
      </c>
      <c r="AJ6" s="26">
        <f t="shared" si="9"/>
        <v>129210.00000000001</v>
      </c>
      <c r="AK6" s="26">
        <f t="shared" si="9"/>
        <v>131400.00000000003</v>
      </c>
      <c r="AL6" s="26">
        <f t="shared" si="9"/>
        <v>133590.00000000003</v>
      </c>
      <c r="AM6" s="26">
        <f t="shared" si="9"/>
        <v>135780.00000000003</v>
      </c>
      <c r="AN6" s="37">
        <f>SUM(D6:AM6)</f>
        <v>2563395</v>
      </c>
      <c r="AO6" s="38" t="s">
        <v>17</v>
      </c>
      <c r="AP6" s="27"/>
      <c r="AQ6" s="109" t="s">
        <v>18</v>
      </c>
      <c r="AR6" s="107">
        <f>AA19</f>
        <v>3864</v>
      </c>
      <c r="AS6" s="148">
        <f>SUM(D18:O18)</f>
        <v>10580</v>
      </c>
      <c r="AT6" s="148">
        <f>SUM(P18:AA18)</f>
        <v>34730</v>
      </c>
      <c r="AU6" s="148">
        <f>SUM(AB18:AM18)</f>
        <v>62376</v>
      </c>
      <c r="AV6" s="148">
        <f t="shared" si="5"/>
        <v>74851.199999999997</v>
      </c>
      <c r="AW6" s="148">
        <f t="shared" si="5"/>
        <v>89821.439999999988</v>
      </c>
      <c r="AX6" s="148">
        <f t="shared" si="6"/>
        <v>272358.64</v>
      </c>
      <c r="AY6" s="26"/>
      <c r="AZ6" s="85"/>
      <c r="BA6" s="85"/>
      <c r="BB6" s="85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</row>
    <row r="7" spans="1:76" ht="15.5">
      <c r="A7" s="24" t="s">
        <v>19</v>
      </c>
      <c r="B7" s="24">
        <v>1.5</v>
      </c>
      <c r="C7" s="27"/>
      <c r="D7" s="26">
        <f>D6/$B7</f>
        <v>3650</v>
      </c>
      <c r="E7" s="26">
        <f t="shared" ref="E7:AM7" si="10">E6/$B7</f>
        <v>3650</v>
      </c>
      <c r="F7" s="26">
        <f t="shared" si="10"/>
        <v>7300</v>
      </c>
      <c r="G7" s="26">
        <f t="shared" si="10"/>
        <v>7300</v>
      </c>
      <c r="H7" s="26">
        <f t="shared" si="10"/>
        <v>7300</v>
      </c>
      <c r="I7" s="26">
        <f t="shared" si="10"/>
        <v>14600</v>
      </c>
      <c r="J7" s="26">
        <f t="shared" si="10"/>
        <v>14600</v>
      </c>
      <c r="K7" s="26">
        <f t="shared" si="10"/>
        <v>14600</v>
      </c>
      <c r="L7" s="26">
        <f t="shared" si="10"/>
        <v>21900</v>
      </c>
      <c r="M7" s="26">
        <f t="shared" si="10"/>
        <v>21900</v>
      </c>
      <c r="N7" s="26">
        <f t="shared" si="10"/>
        <v>21900</v>
      </c>
      <c r="O7" s="26">
        <f t="shared" si="10"/>
        <v>29200</v>
      </c>
      <c r="P7" s="26">
        <f t="shared" si="10"/>
        <v>29200</v>
      </c>
      <c r="Q7" s="26">
        <f t="shared" si="10"/>
        <v>29200</v>
      </c>
      <c r="R7" s="26">
        <f t="shared" si="10"/>
        <v>36500</v>
      </c>
      <c r="S7" s="26">
        <f t="shared" si="10"/>
        <v>36500</v>
      </c>
      <c r="T7" s="26">
        <f t="shared" si="10"/>
        <v>36500</v>
      </c>
      <c r="U7" s="26">
        <f t="shared" si="10"/>
        <v>36500</v>
      </c>
      <c r="V7" s="26">
        <f t="shared" si="10"/>
        <v>54750</v>
      </c>
      <c r="W7" s="26">
        <f t="shared" si="10"/>
        <v>54750</v>
      </c>
      <c r="X7" s="26">
        <f t="shared" si="10"/>
        <v>54750</v>
      </c>
      <c r="Y7" s="26">
        <f t="shared" si="10"/>
        <v>54750</v>
      </c>
      <c r="Z7" s="26">
        <f t="shared" si="10"/>
        <v>54750</v>
      </c>
      <c r="AA7" s="26">
        <f t="shared" si="10"/>
        <v>73000</v>
      </c>
      <c r="AB7" s="26">
        <f t="shared" si="10"/>
        <v>74460</v>
      </c>
      <c r="AC7" s="26">
        <f t="shared" si="10"/>
        <v>75920</v>
      </c>
      <c r="AD7" s="26">
        <f t="shared" si="10"/>
        <v>77380</v>
      </c>
      <c r="AE7" s="26">
        <f t="shared" si="10"/>
        <v>78840.000000000015</v>
      </c>
      <c r="AF7" s="26">
        <f t="shared" si="10"/>
        <v>80300.000000000015</v>
      </c>
      <c r="AG7" s="26">
        <f t="shared" si="10"/>
        <v>81760.000000000015</v>
      </c>
      <c r="AH7" s="26">
        <f t="shared" si="10"/>
        <v>83220.000000000015</v>
      </c>
      <c r="AI7" s="26">
        <f t="shared" si="10"/>
        <v>84680.000000000015</v>
      </c>
      <c r="AJ7" s="26">
        <f t="shared" si="10"/>
        <v>86140.000000000015</v>
      </c>
      <c r="AK7" s="26">
        <f t="shared" si="10"/>
        <v>87600.000000000015</v>
      </c>
      <c r="AL7" s="26">
        <f t="shared" si="10"/>
        <v>89060.000000000015</v>
      </c>
      <c r="AM7" s="26">
        <f t="shared" si="10"/>
        <v>90520.000000000015</v>
      </c>
      <c r="AN7" s="34"/>
      <c r="AO7" s="34"/>
      <c r="AP7" s="27"/>
      <c r="AQ7" s="110" t="s">
        <v>20</v>
      </c>
      <c r="AR7" s="107">
        <f>SUM(AR2:AR6)</f>
        <v>110028.06</v>
      </c>
      <c r="AS7" s="148">
        <f>SUM(AS2:AS6)</f>
        <v>254757.33800000002</v>
      </c>
      <c r="AT7" s="148">
        <f t="shared" ref="AT7" si="11">SUM(P9:AA9)</f>
        <v>330690</v>
      </c>
      <c r="AU7" s="148">
        <f>SUM(AU2:AU6)</f>
        <v>1501960.6536000001</v>
      </c>
      <c r="AV7" s="148">
        <f>SUM(AV2:AV6)</f>
        <v>1802352.7843199999</v>
      </c>
      <c r="AW7" s="148">
        <f>SUM(AW2:AW6)</f>
        <v>2162823.341184</v>
      </c>
      <c r="AX7" s="148">
        <f t="shared" si="6"/>
        <v>6052584.1171039995</v>
      </c>
      <c r="AY7" s="26"/>
      <c r="AZ7" s="85"/>
      <c r="BA7" s="85"/>
      <c r="BB7" s="85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</row>
    <row r="8" spans="1:76" ht="15.5">
      <c r="A8" s="75" t="s">
        <v>21</v>
      </c>
      <c r="B8" s="33">
        <v>0.4</v>
      </c>
      <c r="C8" s="27"/>
      <c r="D8" s="26">
        <f>D7*$B8</f>
        <v>1460</v>
      </c>
      <c r="E8" s="26">
        <f t="shared" ref="E8:AM8" si="12">E7*$B8</f>
        <v>1460</v>
      </c>
      <c r="F8" s="26">
        <f t="shared" si="12"/>
        <v>2920</v>
      </c>
      <c r="G8" s="26">
        <f t="shared" si="12"/>
        <v>2920</v>
      </c>
      <c r="H8" s="26">
        <f t="shared" si="12"/>
        <v>2920</v>
      </c>
      <c r="I8" s="26">
        <f t="shared" si="12"/>
        <v>5840</v>
      </c>
      <c r="J8" s="26">
        <f t="shared" si="12"/>
        <v>5840</v>
      </c>
      <c r="K8" s="26">
        <f t="shared" si="12"/>
        <v>5840</v>
      </c>
      <c r="L8" s="26">
        <f t="shared" si="12"/>
        <v>8760</v>
      </c>
      <c r="M8" s="26">
        <f t="shared" si="12"/>
        <v>8760</v>
      </c>
      <c r="N8" s="26">
        <f t="shared" si="12"/>
        <v>8760</v>
      </c>
      <c r="O8" s="26">
        <f t="shared" si="12"/>
        <v>11680</v>
      </c>
      <c r="P8" s="26">
        <f t="shared" si="12"/>
        <v>11680</v>
      </c>
      <c r="Q8" s="26">
        <f t="shared" si="12"/>
        <v>11680</v>
      </c>
      <c r="R8" s="26">
        <f t="shared" si="12"/>
        <v>14600</v>
      </c>
      <c r="S8" s="26">
        <f t="shared" si="12"/>
        <v>14600</v>
      </c>
      <c r="T8" s="26">
        <f t="shared" si="12"/>
        <v>14600</v>
      </c>
      <c r="U8" s="26">
        <f t="shared" si="12"/>
        <v>14600</v>
      </c>
      <c r="V8" s="26">
        <f t="shared" si="12"/>
        <v>21900</v>
      </c>
      <c r="W8" s="26">
        <f t="shared" si="12"/>
        <v>21900</v>
      </c>
      <c r="X8" s="26">
        <f t="shared" si="12"/>
        <v>21900</v>
      </c>
      <c r="Y8" s="26">
        <f t="shared" si="12"/>
        <v>21900</v>
      </c>
      <c r="Z8" s="26">
        <f t="shared" si="12"/>
        <v>21900</v>
      </c>
      <c r="AA8" s="26">
        <f t="shared" si="12"/>
        <v>29200</v>
      </c>
      <c r="AB8" s="26">
        <f t="shared" si="12"/>
        <v>29784</v>
      </c>
      <c r="AC8" s="26">
        <f t="shared" si="12"/>
        <v>30368</v>
      </c>
      <c r="AD8" s="26">
        <f t="shared" si="12"/>
        <v>30952</v>
      </c>
      <c r="AE8" s="26">
        <f t="shared" si="12"/>
        <v>31536.000000000007</v>
      </c>
      <c r="AF8" s="26">
        <f t="shared" si="12"/>
        <v>32120.000000000007</v>
      </c>
      <c r="AG8" s="26">
        <f t="shared" si="12"/>
        <v>32704.000000000007</v>
      </c>
      <c r="AH8" s="26">
        <f t="shared" si="12"/>
        <v>33288.000000000007</v>
      </c>
      <c r="AI8" s="26">
        <f t="shared" si="12"/>
        <v>33872.000000000007</v>
      </c>
      <c r="AJ8" s="26">
        <f t="shared" si="12"/>
        <v>34456.000000000007</v>
      </c>
      <c r="AK8" s="26">
        <f t="shared" si="12"/>
        <v>35040.000000000007</v>
      </c>
      <c r="AL8" s="26">
        <f t="shared" si="12"/>
        <v>35624.000000000007</v>
      </c>
      <c r="AM8" s="26">
        <f t="shared" si="12"/>
        <v>36208.000000000007</v>
      </c>
      <c r="AN8" s="34"/>
      <c r="AO8" s="34"/>
      <c r="AP8" s="27"/>
      <c r="AQ8" s="26"/>
      <c r="AR8" s="26"/>
      <c r="AS8" s="26"/>
      <c r="AT8" s="26"/>
      <c r="AU8" s="26"/>
      <c r="AV8" s="26"/>
      <c r="AW8" s="26"/>
      <c r="AX8" s="26"/>
      <c r="AY8" s="26"/>
      <c r="AZ8" s="85"/>
      <c r="BA8" s="65">
        <v>73000</v>
      </c>
      <c r="BB8" s="85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</row>
    <row r="9" spans="1:76" ht="15.5">
      <c r="A9" s="75" t="s">
        <v>22</v>
      </c>
      <c r="B9" s="46">
        <v>0.6</v>
      </c>
      <c r="C9" s="27"/>
      <c r="D9" s="26">
        <f>D7-D8</f>
        <v>2190</v>
      </c>
      <c r="E9" s="26">
        <f t="shared" ref="E9:AM9" si="13">E7-E8</f>
        <v>2190</v>
      </c>
      <c r="F9" s="26">
        <f t="shared" si="13"/>
        <v>4380</v>
      </c>
      <c r="G9" s="26">
        <f t="shared" si="13"/>
        <v>4380</v>
      </c>
      <c r="H9" s="26">
        <f t="shared" si="13"/>
        <v>4380</v>
      </c>
      <c r="I9" s="26">
        <f t="shared" si="13"/>
        <v>8760</v>
      </c>
      <c r="J9" s="26">
        <f t="shared" si="13"/>
        <v>8760</v>
      </c>
      <c r="K9" s="26">
        <f t="shared" si="13"/>
        <v>8760</v>
      </c>
      <c r="L9" s="26">
        <f t="shared" si="13"/>
        <v>13140</v>
      </c>
      <c r="M9" s="26">
        <f t="shared" si="13"/>
        <v>13140</v>
      </c>
      <c r="N9" s="26">
        <f t="shared" si="13"/>
        <v>13140</v>
      </c>
      <c r="O9" s="26">
        <f t="shared" si="13"/>
        <v>17520</v>
      </c>
      <c r="P9" s="26">
        <f t="shared" si="13"/>
        <v>17520</v>
      </c>
      <c r="Q9" s="26">
        <f t="shared" si="13"/>
        <v>17520</v>
      </c>
      <c r="R9" s="26">
        <f t="shared" si="13"/>
        <v>21900</v>
      </c>
      <c r="S9" s="26">
        <f t="shared" si="13"/>
        <v>21900</v>
      </c>
      <c r="T9" s="26">
        <f t="shared" si="13"/>
        <v>21900</v>
      </c>
      <c r="U9" s="26">
        <f t="shared" si="13"/>
        <v>21900</v>
      </c>
      <c r="V9" s="26">
        <f t="shared" si="13"/>
        <v>32850</v>
      </c>
      <c r="W9" s="26">
        <f t="shared" si="13"/>
        <v>32850</v>
      </c>
      <c r="X9" s="26">
        <f t="shared" si="13"/>
        <v>32850</v>
      </c>
      <c r="Y9" s="26">
        <f t="shared" si="13"/>
        <v>32850</v>
      </c>
      <c r="Z9" s="26">
        <f t="shared" si="13"/>
        <v>32850</v>
      </c>
      <c r="AA9" s="26">
        <f t="shared" si="13"/>
        <v>43800</v>
      </c>
      <c r="AB9" s="26">
        <f t="shared" si="13"/>
        <v>44676</v>
      </c>
      <c r="AC9" s="26">
        <f t="shared" si="13"/>
        <v>45552</v>
      </c>
      <c r="AD9" s="26">
        <f t="shared" si="13"/>
        <v>46428</v>
      </c>
      <c r="AE9" s="26">
        <f t="shared" si="13"/>
        <v>47304.000000000007</v>
      </c>
      <c r="AF9" s="26">
        <f t="shared" si="13"/>
        <v>48180.000000000007</v>
      </c>
      <c r="AG9" s="26">
        <f t="shared" si="13"/>
        <v>49056.000000000007</v>
      </c>
      <c r="AH9" s="26">
        <f t="shared" si="13"/>
        <v>49932.000000000007</v>
      </c>
      <c r="AI9" s="26">
        <f t="shared" si="13"/>
        <v>50808.000000000007</v>
      </c>
      <c r="AJ9" s="26">
        <f t="shared" si="13"/>
        <v>51684.000000000007</v>
      </c>
      <c r="AK9" s="26">
        <f t="shared" si="13"/>
        <v>52560.000000000007</v>
      </c>
      <c r="AL9" s="26">
        <f t="shared" si="13"/>
        <v>53436.000000000007</v>
      </c>
      <c r="AM9" s="26">
        <f t="shared" si="13"/>
        <v>54312.000000000007</v>
      </c>
      <c r="AN9" s="34"/>
      <c r="AO9" s="34"/>
      <c r="AP9" s="27"/>
      <c r="AQ9" s="26"/>
      <c r="AR9" s="26"/>
      <c r="AS9" s="26"/>
      <c r="AT9" s="26"/>
      <c r="AU9" s="26"/>
      <c r="AV9" s="26"/>
      <c r="AW9" s="26"/>
      <c r="AX9" s="26"/>
      <c r="AY9" s="26"/>
      <c r="AZ9" s="85"/>
      <c r="BA9" s="85">
        <f>7300/(24*30)</f>
        <v>10.138888888888889</v>
      </c>
      <c r="BB9" s="24" t="s">
        <v>19</v>
      </c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</row>
    <row r="10" spans="1:76" ht="16" thickBot="1">
      <c r="A10" s="24" t="s">
        <v>23</v>
      </c>
      <c r="B10" s="41">
        <v>0.56000000000000005</v>
      </c>
      <c r="C10" s="27"/>
      <c r="D10" s="42">
        <f t="shared" ref="D10:AM10" si="14">D7*$B10</f>
        <v>2044.0000000000002</v>
      </c>
      <c r="E10" s="42">
        <f t="shared" si="14"/>
        <v>2044.0000000000002</v>
      </c>
      <c r="F10" s="42">
        <f t="shared" si="14"/>
        <v>4088.0000000000005</v>
      </c>
      <c r="G10" s="42">
        <f t="shared" si="14"/>
        <v>4088.0000000000005</v>
      </c>
      <c r="H10" s="42">
        <f t="shared" si="14"/>
        <v>4088.0000000000005</v>
      </c>
      <c r="I10" s="42">
        <f t="shared" si="14"/>
        <v>8176.0000000000009</v>
      </c>
      <c r="J10" s="42">
        <f t="shared" si="14"/>
        <v>8176.0000000000009</v>
      </c>
      <c r="K10" s="42">
        <f t="shared" si="14"/>
        <v>8176.0000000000009</v>
      </c>
      <c r="L10" s="42">
        <f t="shared" si="14"/>
        <v>12264.000000000002</v>
      </c>
      <c r="M10" s="42">
        <f t="shared" si="14"/>
        <v>12264.000000000002</v>
      </c>
      <c r="N10" s="42">
        <f t="shared" si="14"/>
        <v>12264.000000000002</v>
      </c>
      <c r="O10" s="42">
        <f t="shared" si="14"/>
        <v>16352.000000000002</v>
      </c>
      <c r="P10" s="42">
        <f t="shared" si="14"/>
        <v>16352.000000000002</v>
      </c>
      <c r="Q10" s="42">
        <f t="shared" si="14"/>
        <v>16352.000000000002</v>
      </c>
      <c r="R10" s="42">
        <f t="shared" si="14"/>
        <v>20440.000000000004</v>
      </c>
      <c r="S10" s="42">
        <f t="shared" si="14"/>
        <v>20440.000000000004</v>
      </c>
      <c r="T10" s="42">
        <f t="shared" si="14"/>
        <v>20440.000000000004</v>
      </c>
      <c r="U10" s="42">
        <f t="shared" si="14"/>
        <v>20440.000000000004</v>
      </c>
      <c r="V10" s="42">
        <f t="shared" si="14"/>
        <v>30660.000000000004</v>
      </c>
      <c r="W10" s="42">
        <f t="shared" si="14"/>
        <v>30660.000000000004</v>
      </c>
      <c r="X10" s="42">
        <f t="shared" si="14"/>
        <v>30660.000000000004</v>
      </c>
      <c r="Y10" s="42">
        <f t="shared" si="14"/>
        <v>30660.000000000004</v>
      </c>
      <c r="Z10" s="42">
        <f t="shared" si="14"/>
        <v>30660.000000000004</v>
      </c>
      <c r="AA10" s="42">
        <f t="shared" si="14"/>
        <v>40880.000000000007</v>
      </c>
      <c r="AB10" s="42">
        <f t="shared" si="14"/>
        <v>41697.600000000006</v>
      </c>
      <c r="AC10" s="42">
        <f t="shared" si="14"/>
        <v>42515.200000000004</v>
      </c>
      <c r="AD10" s="42">
        <f t="shared" si="14"/>
        <v>43332.800000000003</v>
      </c>
      <c r="AE10" s="42">
        <f t="shared" si="14"/>
        <v>44150.400000000009</v>
      </c>
      <c r="AF10" s="42">
        <f t="shared" si="14"/>
        <v>44968.000000000015</v>
      </c>
      <c r="AG10" s="42">
        <f t="shared" si="14"/>
        <v>45785.600000000013</v>
      </c>
      <c r="AH10" s="42">
        <f t="shared" si="14"/>
        <v>46603.200000000012</v>
      </c>
      <c r="AI10" s="42">
        <f t="shared" si="14"/>
        <v>47420.80000000001</v>
      </c>
      <c r="AJ10" s="42">
        <f t="shared" si="14"/>
        <v>48238.400000000016</v>
      </c>
      <c r="AK10" s="42">
        <f t="shared" si="14"/>
        <v>49056.000000000015</v>
      </c>
      <c r="AL10" s="42">
        <f t="shared" si="14"/>
        <v>49873.600000000013</v>
      </c>
      <c r="AM10" s="42">
        <f t="shared" si="14"/>
        <v>50691.200000000012</v>
      </c>
      <c r="AN10" s="31">
        <f>SUM(D10:AM10)</f>
        <v>957000.8</v>
      </c>
      <c r="AO10" s="38" t="s">
        <v>24</v>
      </c>
      <c r="AP10" s="27"/>
      <c r="AQ10" s="42"/>
      <c r="AR10" s="42"/>
      <c r="AS10" s="42"/>
      <c r="AT10" s="42"/>
      <c r="AU10" s="42"/>
      <c r="AV10" s="42"/>
      <c r="AW10" s="42"/>
      <c r="AX10" s="42"/>
      <c r="AY10" s="42"/>
      <c r="AZ10" s="85"/>
      <c r="BA10" s="85" t="s">
        <v>25</v>
      </c>
      <c r="BB10" s="85" t="s">
        <v>26</v>
      </c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</row>
    <row r="11" spans="1:76" ht="23.5" thickBot="1">
      <c r="A11" s="24" t="s">
        <v>27</v>
      </c>
      <c r="B11" s="41">
        <v>0.1769</v>
      </c>
      <c r="C11" s="27"/>
      <c r="D11" s="43">
        <f>$B11*D8</f>
        <v>258.274</v>
      </c>
      <c r="E11" s="43">
        <f t="shared" ref="E11:AM11" si="15">$B11*E8</f>
        <v>258.274</v>
      </c>
      <c r="F11" s="43">
        <f t="shared" si="15"/>
        <v>516.548</v>
      </c>
      <c r="G11" s="43">
        <f t="shared" si="15"/>
        <v>516.548</v>
      </c>
      <c r="H11" s="43">
        <f t="shared" si="15"/>
        <v>516.548</v>
      </c>
      <c r="I11" s="43">
        <f t="shared" si="15"/>
        <v>1033.096</v>
      </c>
      <c r="J11" s="43">
        <f t="shared" si="15"/>
        <v>1033.096</v>
      </c>
      <c r="K11" s="43">
        <f t="shared" si="15"/>
        <v>1033.096</v>
      </c>
      <c r="L11" s="43">
        <f t="shared" si="15"/>
        <v>1549.644</v>
      </c>
      <c r="M11" s="43">
        <f t="shared" si="15"/>
        <v>1549.644</v>
      </c>
      <c r="N11" s="43">
        <f t="shared" si="15"/>
        <v>1549.644</v>
      </c>
      <c r="O11" s="43">
        <f t="shared" si="15"/>
        <v>2066.192</v>
      </c>
      <c r="P11" s="43">
        <f t="shared" si="15"/>
        <v>2066.192</v>
      </c>
      <c r="Q11" s="43">
        <f t="shared" si="15"/>
        <v>2066.192</v>
      </c>
      <c r="R11" s="43">
        <f t="shared" si="15"/>
        <v>2582.7400000000002</v>
      </c>
      <c r="S11" s="43">
        <f t="shared" si="15"/>
        <v>2582.7400000000002</v>
      </c>
      <c r="T11" s="43">
        <f t="shared" si="15"/>
        <v>2582.7400000000002</v>
      </c>
      <c r="U11" s="43">
        <f t="shared" si="15"/>
        <v>2582.7400000000002</v>
      </c>
      <c r="V11" s="43">
        <f t="shared" si="15"/>
        <v>3874.11</v>
      </c>
      <c r="W11" s="43">
        <f t="shared" si="15"/>
        <v>3874.11</v>
      </c>
      <c r="X11" s="43">
        <f t="shared" si="15"/>
        <v>3874.11</v>
      </c>
      <c r="Y11" s="43">
        <f t="shared" si="15"/>
        <v>3874.11</v>
      </c>
      <c r="Z11" s="43">
        <f t="shared" si="15"/>
        <v>3874.11</v>
      </c>
      <c r="AA11" s="43">
        <f t="shared" si="15"/>
        <v>5165.4800000000005</v>
      </c>
      <c r="AB11" s="43">
        <f t="shared" si="15"/>
        <v>5268.7896000000001</v>
      </c>
      <c r="AC11" s="43">
        <f t="shared" si="15"/>
        <v>5372.0991999999997</v>
      </c>
      <c r="AD11" s="43">
        <f t="shared" si="15"/>
        <v>5475.4088000000002</v>
      </c>
      <c r="AE11" s="43">
        <f t="shared" si="15"/>
        <v>5578.7184000000016</v>
      </c>
      <c r="AF11" s="43">
        <f t="shared" si="15"/>
        <v>5682.0280000000012</v>
      </c>
      <c r="AG11" s="43">
        <f t="shared" si="15"/>
        <v>5785.3376000000017</v>
      </c>
      <c r="AH11" s="43">
        <f t="shared" si="15"/>
        <v>5888.6472000000012</v>
      </c>
      <c r="AI11" s="43">
        <f t="shared" si="15"/>
        <v>5991.9568000000017</v>
      </c>
      <c r="AJ11" s="43">
        <f t="shared" si="15"/>
        <v>6095.2664000000013</v>
      </c>
      <c r="AK11" s="43">
        <f t="shared" si="15"/>
        <v>6198.5760000000009</v>
      </c>
      <c r="AL11" s="43">
        <f t="shared" si="15"/>
        <v>6301.8856000000014</v>
      </c>
      <c r="AM11" s="43">
        <f t="shared" si="15"/>
        <v>6405.195200000001</v>
      </c>
      <c r="AN11" s="34"/>
      <c r="AO11" s="34"/>
      <c r="AP11" s="27"/>
      <c r="AQ11" s="116"/>
      <c r="AR11" s="117" t="s">
        <v>28</v>
      </c>
      <c r="AS11" s="117" t="s">
        <v>29</v>
      </c>
      <c r="AT11" s="43"/>
      <c r="AU11" s="43"/>
      <c r="AV11" s="43"/>
      <c r="AW11" s="43"/>
      <c r="AX11" s="43"/>
      <c r="AY11" s="43"/>
      <c r="AZ11" s="85"/>
      <c r="BA11" s="85"/>
      <c r="BB11" s="85">
        <v>140</v>
      </c>
      <c r="BC11" s="27" t="s">
        <v>30</v>
      </c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</row>
    <row r="12" spans="1:76" ht="16" thickBot="1">
      <c r="A12" s="24" t="s">
        <v>31</v>
      </c>
      <c r="B12" s="44">
        <f>B10-(B10*0.18)</f>
        <v>0.45920000000000005</v>
      </c>
      <c r="C12" s="27"/>
      <c r="D12" s="45">
        <f t="shared" ref="D12:AM12" si="16">$B12*D9</f>
        <v>1005.6480000000001</v>
      </c>
      <c r="E12" s="45">
        <f t="shared" si="16"/>
        <v>1005.6480000000001</v>
      </c>
      <c r="F12" s="45">
        <f t="shared" si="16"/>
        <v>2011.2960000000003</v>
      </c>
      <c r="G12" s="45">
        <f t="shared" si="16"/>
        <v>2011.2960000000003</v>
      </c>
      <c r="H12" s="45">
        <f t="shared" si="16"/>
        <v>2011.2960000000003</v>
      </c>
      <c r="I12" s="45">
        <f t="shared" si="16"/>
        <v>4022.5920000000006</v>
      </c>
      <c r="J12" s="45">
        <f t="shared" si="16"/>
        <v>4022.5920000000006</v>
      </c>
      <c r="K12" s="45">
        <f t="shared" si="16"/>
        <v>4022.5920000000006</v>
      </c>
      <c r="L12" s="45">
        <f t="shared" si="16"/>
        <v>6033.8880000000008</v>
      </c>
      <c r="M12" s="45">
        <f t="shared" si="16"/>
        <v>6033.8880000000008</v>
      </c>
      <c r="N12" s="45">
        <f t="shared" si="16"/>
        <v>6033.8880000000008</v>
      </c>
      <c r="O12" s="45">
        <f t="shared" si="16"/>
        <v>8045.1840000000011</v>
      </c>
      <c r="P12" s="45">
        <f t="shared" si="16"/>
        <v>8045.1840000000011</v>
      </c>
      <c r="Q12" s="45">
        <f t="shared" si="16"/>
        <v>8045.1840000000011</v>
      </c>
      <c r="R12" s="45">
        <f t="shared" si="16"/>
        <v>10056.480000000001</v>
      </c>
      <c r="S12" s="45">
        <f t="shared" si="16"/>
        <v>10056.480000000001</v>
      </c>
      <c r="T12" s="45">
        <f t="shared" si="16"/>
        <v>10056.480000000001</v>
      </c>
      <c r="U12" s="45">
        <f t="shared" si="16"/>
        <v>10056.480000000001</v>
      </c>
      <c r="V12" s="45">
        <f t="shared" si="16"/>
        <v>15084.720000000001</v>
      </c>
      <c r="W12" s="45">
        <f t="shared" si="16"/>
        <v>15084.720000000001</v>
      </c>
      <c r="X12" s="45">
        <f t="shared" si="16"/>
        <v>15084.720000000001</v>
      </c>
      <c r="Y12" s="45">
        <f t="shared" si="16"/>
        <v>15084.720000000001</v>
      </c>
      <c r="Z12" s="45">
        <f t="shared" si="16"/>
        <v>15084.720000000001</v>
      </c>
      <c r="AA12" s="45">
        <f t="shared" si="16"/>
        <v>20112.960000000003</v>
      </c>
      <c r="AB12" s="45">
        <f t="shared" si="16"/>
        <v>20515.219200000003</v>
      </c>
      <c r="AC12" s="45">
        <f t="shared" si="16"/>
        <v>20917.478400000004</v>
      </c>
      <c r="AD12" s="45">
        <f t="shared" si="16"/>
        <v>21319.737600000004</v>
      </c>
      <c r="AE12" s="45">
        <f t="shared" si="16"/>
        <v>21721.996800000004</v>
      </c>
      <c r="AF12" s="45">
        <f t="shared" si="16"/>
        <v>22124.256000000005</v>
      </c>
      <c r="AG12" s="45">
        <f t="shared" si="16"/>
        <v>22526.515200000005</v>
      </c>
      <c r="AH12" s="45">
        <f t="shared" si="16"/>
        <v>22928.774400000006</v>
      </c>
      <c r="AI12" s="45">
        <f t="shared" si="16"/>
        <v>23331.033600000006</v>
      </c>
      <c r="AJ12" s="45">
        <f t="shared" si="16"/>
        <v>23733.292800000007</v>
      </c>
      <c r="AK12" s="45">
        <f t="shared" si="16"/>
        <v>24135.552000000007</v>
      </c>
      <c r="AL12" s="45">
        <f t="shared" si="16"/>
        <v>24537.811200000007</v>
      </c>
      <c r="AM12" s="45">
        <f t="shared" si="16"/>
        <v>24940.070400000008</v>
      </c>
      <c r="AN12" s="34"/>
      <c r="AO12" s="34"/>
      <c r="AP12" s="27"/>
      <c r="AQ12" s="118" t="s">
        <v>32</v>
      </c>
      <c r="AR12" s="119" t="s">
        <v>28</v>
      </c>
      <c r="AS12" s="119" t="s">
        <v>33</v>
      </c>
      <c r="AT12" s="45"/>
      <c r="AU12" s="45"/>
      <c r="AV12" s="45"/>
      <c r="AW12" s="26">
        <f>7500*24</f>
        <v>180000</v>
      </c>
      <c r="AX12" s="45"/>
      <c r="AY12" s="45">
        <f>60*4+140</f>
        <v>380</v>
      </c>
      <c r="AZ12" s="85"/>
      <c r="BA12" s="85"/>
      <c r="BB12" s="85"/>
      <c r="BC12" s="27" t="s">
        <v>34</v>
      </c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</row>
    <row r="13" spans="1:76" ht="16" thickBot="1">
      <c r="A13" s="24" t="s">
        <v>35</v>
      </c>
      <c r="B13" s="27"/>
      <c r="C13" s="27"/>
      <c r="D13" s="42">
        <f t="shared" ref="D13:AM13" si="17">SUM(D11:D12)</f>
        <v>1263.922</v>
      </c>
      <c r="E13" s="42">
        <f t="shared" si="17"/>
        <v>1263.922</v>
      </c>
      <c r="F13" s="42">
        <f t="shared" si="17"/>
        <v>2527.8440000000001</v>
      </c>
      <c r="G13" s="42">
        <f t="shared" si="17"/>
        <v>2527.8440000000001</v>
      </c>
      <c r="H13" s="42">
        <f t="shared" si="17"/>
        <v>2527.8440000000001</v>
      </c>
      <c r="I13" s="42">
        <f t="shared" si="17"/>
        <v>5055.6880000000001</v>
      </c>
      <c r="J13" s="42">
        <f t="shared" si="17"/>
        <v>5055.6880000000001</v>
      </c>
      <c r="K13" s="42">
        <f t="shared" si="17"/>
        <v>5055.6880000000001</v>
      </c>
      <c r="L13" s="42">
        <f t="shared" si="17"/>
        <v>7583.5320000000011</v>
      </c>
      <c r="M13" s="42">
        <f t="shared" si="17"/>
        <v>7583.5320000000011</v>
      </c>
      <c r="N13" s="42">
        <f t="shared" si="17"/>
        <v>7583.5320000000011</v>
      </c>
      <c r="O13" s="42">
        <f t="shared" si="17"/>
        <v>10111.376</v>
      </c>
      <c r="P13" s="42">
        <f t="shared" si="17"/>
        <v>10111.376</v>
      </c>
      <c r="Q13" s="42">
        <f t="shared" si="17"/>
        <v>10111.376</v>
      </c>
      <c r="R13" s="42">
        <f t="shared" si="17"/>
        <v>12639.220000000001</v>
      </c>
      <c r="S13" s="42">
        <f t="shared" si="17"/>
        <v>12639.220000000001</v>
      </c>
      <c r="T13" s="42">
        <f t="shared" si="17"/>
        <v>12639.220000000001</v>
      </c>
      <c r="U13" s="42">
        <f t="shared" si="17"/>
        <v>12639.220000000001</v>
      </c>
      <c r="V13" s="42">
        <f t="shared" si="17"/>
        <v>18958.830000000002</v>
      </c>
      <c r="W13" s="42">
        <f t="shared" si="17"/>
        <v>18958.830000000002</v>
      </c>
      <c r="X13" s="42">
        <f t="shared" si="17"/>
        <v>18958.830000000002</v>
      </c>
      <c r="Y13" s="42">
        <f t="shared" si="17"/>
        <v>18958.830000000002</v>
      </c>
      <c r="Z13" s="42">
        <f t="shared" si="17"/>
        <v>18958.830000000002</v>
      </c>
      <c r="AA13" s="42">
        <f t="shared" si="17"/>
        <v>25278.440000000002</v>
      </c>
      <c r="AB13" s="42">
        <f t="shared" si="17"/>
        <v>25784.008800000003</v>
      </c>
      <c r="AC13" s="42">
        <f t="shared" si="17"/>
        <v>26289.577600000004</v>
      </c>
      <c r="AD13" s="42">
        <f t="shared" si="17"/>
        <v>26795.146400000005</v>
      </c>
      <c r="AE13" s="42">
        <f t="shared" si="17"/>
        <v>27300.715200000006</v>
      </c>
      <c r="AF13" s="42">
        <f t="shared" si="17"/>
        <v>27806.284000000007</v>
      </c>
      <c r="AG13" s="42">
        <f t="shared" si="17"/>
        <v>28311.852800000008</v>
      </c>
      <c r="AH13" s="42">
        <f t="shared" si="17"/>
        <v>28817.421600000009</v>
      </c>
      <c r="AI13" s="42">
        <f t="shared" si="17"/>
        <v>29322.99040000001</v>
      </c>
      <c r="AJ13" s="42">
        <f t="shared" si="17"/>
        <v>29828.559200000007</v>
      </c>
      <c r="AK13" s="42">
        <f t="shared" si="17"/>
        <v>30334.128000000008</v>
      </c>
      <c r="AL13" s="42">
        <f t="shared" si="17"/>
        <v>30839.696800000009</v>
      </c>
      <c r="AM13" s="42">
        <f t="shared" si="17"/>
        <v>31345.26560000001</v>
      </c>
      <c r="AN13" s="31">
        <f>SUM(D13:AM13)</f>
        <v>591768.28040000028</v>
      </c>
      <c r="AO13" s="38" t="s">
        <v>36</v>
      </c>
      <c r="AP13" s="27"/>
      <c r="AQ13" s="118" t="s">
        <v>37</v>
      </c>
      <c r="AR13" s="119">
        <v>300</v>
      </c>
      <c r="AS13" s="119">
        <v>300</v>
      </c>
      <c r="AT13" s="42"/>
      <c r="AU13" s="42"/>
      <c r="AV13" s="42"/>
      <c r="AW13" s="26">
        <f>30000*4</f>
        <v>120000</v>
      </c>
      <c r="AX13" s="42"/>
      <c r="AY13" s="42"/>
      <c r="AZ13" s="85"/>
      <c r="BA13" s="85"/>
      <c r="BB13" s="85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</row>
    <row r="14" spans="1:76" ht="20.5" thickBot="1">
      <c r="A14" s="24" t="s">
        <v>38</v>
      </c>
      <c r="B14" s="27"/>
      <c r="C14" s="27"/>
      <c r="D14" s="46">
        <f t="shared" ref="D14:AM14" si="18">(D10-D13)/D10</f>
        <v>0.38164285714285717</v>
      </c>
      <c r="E14" s="46">
        <f t="shared" si="18"/>
        <v>0.38164285714285717</v>
      </c>
      <c r="F14" s="46">
        <f t="shared" si="18"/>
        <v>0.38164285714285717</v>
      </c>
      <c r="G14" s="46">
        <f t="shared" si="18"/>
        <v>0.38164285714285717</v>
      </c>
      <c r="H14" s="46">
        <f t="shared" si="18"/>
        <v>0.38164285714285717</v>
      </c>
      <c r="I14" s="46">
        <f t="shared" si="18"/>
        <v>0.38164285714285717</v>
      </c>
      <c r="J14" s="46">
        <f t="shared" si="18"/>
        <v>0.38164285714285717</v>
      </c>
      <c r="K14" s="46">
        <f t="shared" si="18"/>
        <v>0.38164285714285717</v>
      </c>
      <c r="L14" s="46">
        <f t="shared" si="18"/>
        <v>0.38164285714285717</v>
      </c>
      <c r="M14" s="46">
        <f t="shared" si="18"/>
        <v>0.38164285714285717</v>
      </c>
      <c r="N14" s="46">
        <f t="shared" si="18"/>
        <v>0.38164285714285717</v>
      </c>
      <c r="O14" s="46">
        <f t="shared" si="18"/>
        <v>0.38164285714285717</v>
      </c>
      <c r="P14" s="46">
        <f t="shared" si="18"/>
        <v>0.38164285714285717</v>
      </c>
      <c r="Q14" s="46">
        <f t="shared" si="18"/>
        <v>0.38164285714285717</v>
      </c>
      <c r="R14" s="46">
        <f t="shared" si="18"/>
        <v>0.38164285714285717</v>
      </c>
      <c r="S14" s="46">
        <f t="shared" si="18"/>
        <v>0.38164285714285717</v>
      </c>
      <c r="T14" s="46">
        <f t="shared" si="18"/>
        <v>0.38164285714285717</v>
      </c>
      <c r="U14" s="46">
        <f t="shared" si="18"/>
        <v>0.38164285714285717</v>
      </c>
      <c r="V14" s="46">
        <f t="shared" si="18"/>
        <v>0.38164285714285717</v>
      </c>
      <c r="W14" s="46">
        <f t="shared" si="18"/>
        <v>0.38164285714285717</v>
      </c>
      <c r="X14" s="46">
        <f t="shared" si="18"/>
        <v>0.38164285714285717</v>
      </c>
      <c r="Y14" s="46">
        <f t="shared" si="18"/>
        <v>0.38164285714285717</v>
      </c>
      <c r="Z14" s="46">
        <f t="shared" si="18"/>
        <v>0.38164285714285717</v>
      </c>
      <c r="AA14" s="46">
        <f t="shared" si="18"/>
        <v>0.38164285714285717</v>
      </c>
      <c r="AB14" s="46">
        <f t="shared" si="18"/>
        <v>0.38164285714285717</v>
      </c>
      <c r="AC14" s="46">
        <f t="shared" si="18"/>
        <v>0.38164285714285712</v>
      </c>
      <c r="AD14" s="46">
        <f t="shared" si="18"/>
        <v>0.38164285714285706</v>
      </c>
      <c r="AE14" s="46">
        <f t="shared" si="18"/>
        <v>0.38164285714285712</v>
      </c>
      <c r="AF14" s="46">
        <f t="shared" si="18"/>
        <v>0.38164285714285717</v>
      </c>
      <c r="AG14" s="46">
        <f t="shared" si="18"/>
        <v>0.38164285714285717</v>
      </c>
      <c r="AH14" s="46">
        <f t="shared" si="18"/>
        <v>0.38164285714285712</v>
      </c>
      <c r="AI14" s="46">
        <f t="shared" si="18"/>
        <v>0.38164285714285706</v>
      </c>
      <c r="AJ14" s="46">
        <f t="shared" si="18"/>
        <v>0.38164285714285723</v>
      </c>
      <c r="AK14" s="46">
        <f t="shared" si="18"/>
        <v>0.38164285714285717</v>
      </c>
      <c r="AL14" s="46">
        <f t="shared" si="18"/>
        <v>0.38164285714285712</v>
      </c>
      <c r="AM14" s="46">
        <f t="shared" si="18"/>
        <v>0.38164285714285712</v>
      </c>
      <c r="AN14" s="27"/>
      <c r="AO14" s="27"/>
      <c r="AP14" s="27"/>
      <c r="AQ14" s="118" t="s">
        <v>39</v>
      </c>
      <c r="AR14" s="119" t="s">
        <v>40</v>
      </c>
      <c r="AS14" s="119" t="s">
        <v>41</v>
      </c>
      <c r="AT14" s="46"/>
      <c r="AU14" s="46"/>
      <c r="AV14" s="46"/>
      <c r="AW14" s="26">
        <f>4000*8</f>
        <v>32000</v>
      </c>
      <c r="AX14" s="46"/>
      <c r="AY14" s="46"/>
      <c r="AZ14" s="85"/>
      <c r="BA14" s="85"/>
      <c r="BB14" s="85" t="s">
        <v>42</v>
      </c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</row>
    <row r="15" spans="1:76" ht="16" thickBot="1">
      <c r="A15" s="24" t="s">
        <v>43</v>
      </c>
      <c r="B15" s="81">
        <v>0.6</v>
      </c>
      <c r="C15" s="80" t="s">
        <v>44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27"/>
      <c r="AO15" s="27"/>
      <c r="AP15" s="27"/>
      <c r="AQ15" s="118" t="s">
        <v>45</v>
      </c>
      <c r="AR15" s="121">
        <v>1</v>
      </c>
      <c r="AS15" s="119" t="s">
        <v>46</v>
      </c>
      <c r="AT15" s="46"/>
      <c r="AU15" s="46"/>
      <c r="AV15" s="46"/>
      <c r="AW15" s="26">
        <f>2000*12</f>
        <v>24000</v>
      </c>
      <c r="AX15" s="46"/>
      <c r="AY15" s="46"/>
      <c r="AZ15" s="85"/>
      <c r="BA15" s="85"/>
      <c r="BB15" s="85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</row>
    <row r="16" spans="1:76" ht="16" thickBot="1">
      <c r="A16" s="24" t="s">
        <v>47</v>
      </c>
      <c r="B16" s="81">
        <v>0.4</v>
      </c>
      <c r="C16" s="80" t="s">
        <v>48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27"/>
      <c r="AO16" s="27"/>
      <c r="AP16" s="27"/>
      <c r="AQ16" s="118" t="s">
        <v>49</v>
      </c>
      <c r="AR16" s="119">
        <v>6</v>
      </c>
      <c r="AS16" s="119" t="s">
        <v>50</v>
      </c>
      <c r="AT16" s="46"/>
      <c r="AU16" s="46"/>
      <c r="AV16" s="46"/>
      <c r="AW16" s="26"/>
      <c r="AX16" s="26">
        <f>2000/155</f>
        <v>12.903225806451612</v>
      </c>
      <c r="AY16" s="46"/>
      <c r="AZ16" s="85">
        <f>18000/380</f>
        <v>47.368421052631582</v>
      </c>
      <c r="BA16" s="85"/>
      <c r="BB16" s="85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</row>
    <row r="17" spans="1:76" ht="23" thickBot="1">
      <c r="A17" s="24" t="s">
        <v>51</v>
      </c>
      <c r="B17" s="112">
        <v>46</v>
      </c>
      <c r="C17" s="27">
        <v>1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27"/>
      <c r="AO17" s="27"/>
      <c r="AP17" s="27"/>
      <c r="AQ17" s="85"/>
      <c r="AR17" s="120"/>
      <c r="AS17" s="120"/>
      <c r="AT17" s="46"/>
      <c r="AU17" s="46"/>
      <c r="AV17" s="46"/>
      <c r="AW17" s="26"/>
      <c r="AX17" s="46"/>
      <c r="AY17" s="46"/>
      <c r="AZ17" s="149" t="s">
        <v>293</v>
      </c>
      <c r="BA17" s="24" t="s">
        <v>279</v>
      </c>
      <c r="BB17" s="24">
        <v>73000</v>
      </c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</row>
    <row r="18" spans="1:76" ht="15.5">
      <c r="A18" s="24" t="s">
        <v>52</v>
      </c>
      <c r="B18" s="113">
        <f>100*B17</f>
        <v>4600</v>
      </c>
      <c r="C18" s="85">
        <v>100</v>
      </c>
      <c r="D18" s="30">
        <f>D5*$B18</f>
        <v>230</v>
      </c>
      <c r="E18" s="30">
        <f t="shared" ref="E18:AM18" si="19">E5*$B18</f>
        <v>230</v>
      </c>
      <c r="F18" s="30">
        <f t="shared" si="19"/>
        <v>460</v>
      </c>
      <c r="G18" s="30">
        <f t="shared" si="19"/>
        <v>460</v>
      </c>
      <c r="H18" s="30">
        <f t="shared" si="19"/>
        <v>460</v>
      </c>
      <c r="I18" s="30">
        <f t="shared" si="19"/>
        <v>920</v>
      </c>
      <c r="J18" s="30">
        <f t="shared" si="19"/>
        <v>920</v>
      </c>
      <c r="K18" s="30">
        <f t="shared" si="19"/>
        <v>920</v>
      </c>
      <c r="L18" s="30">
        <f t="shared" si="19"/>
        <v>1380</v>
      </c>
      <c r="M18" s="30">
        <f t="shared" si="19"/>
        <v>1380</v>
      </c>
      <c r="N18" s="30">
        <f t="shared" si="19"/>
        <v>1380</v>
      </c>
      <c r="O18" s="30">
        <f t="shared" si="19"/>
        <v>1840</v>
      </c>
      <c r="P18" s="30">
        <f t="shared" si="19"/>
        <v>1840</v>
      </c>
      <c r="Q18" s="30">
        <f t="shared" si="19"/>
        <v>1840</v>
      </c>
      <c r="R18" s="30">
        <f t="shared" si="19"/>
        <v>2300</v>
      </c>
      <c r="S18" s="30">
        <f t="shared" si="19"/>
        <v>2300</v>
      </c>
      <c r="T18" s="30">
        <f t="shared" si="19"/>
        <v>2300</v>
      </c>
      <c r="U18" s="30">
        <f t="shared" si="19"/>
        <v>2300</v>
      </c>
      <c r="V18" s="30">
        <f t="shared" si="19"/>
        <v>3450</v>
      </c>
      <c r="W18" s="30">
        <f t="shared" si="19"/>
        <v>3450</v>
      </c>
      <c r="X18" s="30">
        <f t="shared" si="19"/>
        <v>3450</v>
      </c>
      <c r="Y18" s="30">
        <f t="shared" si="19"/>
        <v>3450</v>
      </c>
      <c r="Z18" s="30">
        <f t="shared" si="19"/>
        <v>3450</v>
      </c>
      <c r="AA18" s="30">
        <f t="shared" si="19"/>
        <v>4600</v>
      </c>
      <c r="AB18" s="30">
        <f t="shared" si="19"/>
        <v>4692</v>
      </c>
      <c r="AC18" s="30">
        <f t="shared" si="19"/>
        <v>4784</v>
      </c>
      <c r="AD18" s="30">
        <f t="shared" si="19"/>
        <v>4876</v>
      </c>
      <c r="AE18" s="30">
        <f t="shared" si="19"/>
        <v>4968</v>
      </c>
      <c r="AF18" s="30">
        <f t="shared" si="19"/>
        <v>5060</v>
      </c>
      <c r="AG18" s="30">
        <f t="shared" si="19"/>
        <v>5152.0000000000009</v>
      </c>
      <c r="AH18" s="30">
        <f t="shared" si="19"/>
        <v>5244.0000000000009</v>
      </c>
      <c r="AI18" s="30">
        <f t="shared" si="19"/>
        <v>5336.0000000000009</v>
      </c>
      <c r="AJ18" s="30">
        <f t="shared" si="19"/>
        <v>5428.0000000000009</v>
      </c>
      <c r="AK18" s="30">
        <f t="shared" si="19"/>
        <v>5520.0000000000009</v>
      </c>
      <c r="AL18" s="30">
        <f t="shared" si="19"/>
        <v>5612.0000000000009</v>
      </c>
      <c r="AM18" s="30">
        <f t="shared" si="19"/>
        <v>5704.0000000000009</v>
      </c>
      <c r="AN18" s="27"/>
      <c r="AO18" s="27"/>
      <c r="AP18" s="27"/>
      <c r="AQ18" s="46"/>
      <c r="AR18" s="46"/>
      <c r="AS18" s="46"/>
      <c r="AT18" s="46"/>
      <c r="AU18" s="46"/>
      <c r="AV18" s="46"/>
      <c r="AW18" s="26">
        <v>1024</v>
      </c>
      <c r="AX18" s="26">
        <v>160</v>
      </c>
      <c r="AY18" s="46"/>
      <c r="AZ18" s="85"/>
      <c r="BA18" s="24" t="s">
        <v>280</v>
      </c>
      <c r="BB18" s="24">
        <v>10.199999999999999</v>
      </c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</row>
    <row r="19" spans="1:76" ht="15.5">
      <c r="A19" s="75" t="s">
        <v>53</v>
      </c>
      <c r="B19" s="113">
        <f>B18*0.84</f>
        <v>3864</v>
      </c>
      <c r="C19" s="27"/>
      <c r="D19" s="78">
        <f>D5*$B19</f>
        <v>193.20000000000002</v>
      </c>
      <c r="E19" s="78">
        <f t="shared" ref="E19:AM19" si="20">E5*$B19</f>
        <v>193.20000000000002</v>
      </c>
      <c r="F19" s="78">
        <f t="shared" si="20"/>
        <v>386.40000000000003</v>
      </c>
      <c r="G19" s="78">
        <f t="shared" si="20"/>
        <v>386.40000000000003</v>
      </c>
      <c r="H19" s="78">
        <f t="shared" si="20"/>
        <v>386.40000000000003</v>
      </c>
      <c r="I19" s="78">
        <f t="shared" si="20"/>
        <v>772.80000000000007</v>
      </c>
      <c r="J19" s="78">
        <f t="shared" si="20"/>
        <v>772.80000000000007</v>
      </c>
      <c r="K19" s="78">
        <f t="shared" si="20"/>
        <v>772.80000000000007</v>
      </c>
      <c r="L19" s="78">
        <f t="shared" si="20"/>
        <v>1159.2</v>
      </c>
      <c r="M19" s="78">
        <f t="shared" si="20"/>
        <v>1159.2</v>
      </c>
      <c r="N19" s="78">
        <f t="shared" si="20"/>
        <v>1159.2</v>
      </c>
      <c r="O19" s="78">
        <f t="shared" si="20"/>
        <v>1545.6000000000001</v>
      </c>
      <c r="P19" s="78">
        <f t="shared" si="20"/>
        <v>1545.6000000000001</v>
      </c>
      <c r="Q19" s="78">
        <f t="shared" si="20"/>
        <v>1545.6000000000001</v>
      </c>
      <c r="R19" s="78">
        <f t="shared" si="20"/>
        <v>1932</v>
      </c>
      <c r="S19" s="78">
        <f t="shared" si="20"/>
        <v>1932</v>
      </c>
      <c r="T19" s="78">
        <f t="shared" si="20"/>
        <v>1932</v>
      </c>
      <c r="U19" s="78">
        <f t="shared" si="20"/>
        <v>1932</v>
      </c>
      <c r="V19" s="78">
        <f t="shared" si="20"/>
        <v>2898</v>
      </c>
      <c r="W19" s="78">
        <f t="shared" si="20"/>
        <v>2898</v>
      </c>
      <c r="X19" s="78">
        <f t="shared" si="20"/>
        <v>2898</v>
      </c>
      <c r="Y19" s="78">
        <f t="shared" si="20"/>
        <v>2898</v>
      </c>
      <c r="Z19" s="78">
        <f t="shared" si="20"/>
        <v>2898</v>
      </c>
      <c r="AA19" s="78">
        <f t="shared" si="20"/>
        <v>3864</v>
      </c>
      <c r="AB19" s="78">
        <f t="shared" si="20"/>
        <v>3941.28</v>
      </c>
      <c r="AC19" s="78">
        <f t="shared" si="20"/>
        <v>4018.56</v>
      </c>
      <c r="AD19" s="78">
        <f t="shared" si="20"/>
        <v>4095.84</v>
      </c>
      <c r="AE19" s="78">
        <f t="shared" si="20"/>
        <v>4173.12</v>
      </c>
      <c r="AF19" s="78">
        <f t="shared" si="20"/>
        <v>4250.4000000000005</v>
      </c>
      <c r="AG19" s="78">
        <f t="shared" si="20"/>
        <v>4327.68</v>
      </c>
      <c r="AH19" s="78">
        <f t="shared" si="20"/>
        <v>4404.96</v>
      </c>
      <c r="AI19" s="78">
        <f t="shared" si="20"/>
        <v>4482.2400000000007</v>
      </c>
      <c r="AJ19" s="78">
        <f t="shared" si="20"/>
        <v>4559.5200000000004</v>
      </c>
      <c r="AK19" s="78">
        <f t="shared" si="20"/>
        <v>4636.8000000000011</v>
      </c>
      <c r="AL19" s="78">
        <f t="shared" si="20"/>
        <v>4714.0800000000008</v>
      </c>
      <c r="AM19" s="78">
        <f t="shared" si="20"/>
        <v>4791.3600000000006</v>
      </c>
      <c r="AN19" s="31">
        <f>SUM(D19:AM19)</f>
        <v>90456.24000000002</v>
      </c>
      <c r="AO19" s="27"/>
      <c r="AP19" s="27"/>
      <c r="AQ19"/>
      <c r="AR19"/>
      <c r="AS19"/>
      <c r="AT19" s="46"/>
      <c r="AU19" s="46"/>
      <c r="AV19" s="46"/>
      <c r="AW19" s="26"/>
      <c r="AX19" s="26">
        <f>AW18/AX18</f>
        <v>6.4</v>
      </c>
      <c r="AY19" s="46"/>
      <c r="AZ19" s="85"/>
      <c r="BA19" s="24" t="s">
        <v>281</v>
      </c>
      <c r="BB19" s="24" t="s">
        <v>19</v>
      </c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</row>
    <row r="20" spans="1:76" ht="15.5">
      <c r="A20" s="24" t="s">
        <v>55</v>
      </c>
      <c r="B20" s="113">
        <v>51840</v>
      </c>
      <c r="C20" s="27" t="s">
        <v>56</v>
      </c>
      <c r="D20" s="77">
        <f>D5*$B20</f>
        <v>2592</v>
      </c>
      <c r="E20" s="77">
        <f t="shared" ref="E20:AM20" si="21">E5*$B20</f>
        <v>2592</v>
      </c>
      <c r="F20" s="77">
        <f t="shared" si="21"/>
        <v>5184</v>
      </c>
      <c r="G20" s="77">
        <f t="shared" si="21"/>
        <v>5184</v>
      </c>
      <c r="H20" s="77">
        <f t="shared" si="21"/>
        <v>5184</v>
      </c>
      <c r="I20" s="77">
        <f t="shared" si="21"/>
        <v>10368</v>
      </c>
      <c r="J20" s="77">
        <f t="shared" si="21"/>
        <v>10368</v>
      </c>
      <c r="K20" s="77">
        <f t="shared" si="21"/>
        <v>10368</v>
      </c>
      <c r="L20" s="77">
        <f t="shared" si="21"/>
        <v>15552</v>
      </c>
      <c r="M20" s="77">
        <f t="shared" si="21"/>
        <v>15552</v>
      </c>
      <c r="N20" s="77">
        <f t="shared" si="21"/>
        <v>15552</v>
      </c>
      <c r="O20" s="77">
        <f t="shared" si="21"/>
        <v>20736</v>
      </c>
      <c r="P20" s="77">
        <f t="shared" si="21"/>
        <v>20736</v>
      </c>
      <c r="Q20" s="77">
        <f t="shared" si="21"/>
        <v>20736</v>
      </c>
      <c r="R20" s="77">
        <f t="shared" si="21"/>
        <v>25920</v>
      </c>
      <c r="S20" s="77">
        <f t="shared" si="21"/>
        <v>25920</v>
      </c>
      <c r="T20" s="77">
        <f t="shared" si="21"/>
        <v>25920</v>
      </c>
      <c r="U20" s="77">
        <f t="shared" si="21"/>
        <v>25920</v>
      </c>
      <c r="V20" s="77">
        <f t="shared" si="21"/>
        <v>38880</v>
      </c>
      <c r="W20" s="77">
        <f t="shared" si="21"/>
        <v>38880</v>
      </c>
      <c r="X20" s="77">
        <f t="shared" si="21"/>
        <v>38880</v>
      </c>
      <c r="Y20" s="77">
        <f t="shared" si="21"/>
        <v>38880</v>
      </c>
      <c r="Z20" s="77">
        <f t="shared" si="21"/>
        <v>38880</v>
      </c>
      <c r="AA20" s="77">
        <f t="shared" si="21"/>
        <v>51840</v>
      </c>
      <c r="AB20" s="77">
        <f t="shared" si="21"/>
        <v>52876.800000000003</v>
      </c>
      <c r="AC20" s="77">
        <f t="shared" si="21"/>
        <v>53913.599999999999</v>
      </c>
      <c r="AD20" s="77">
        <f t="shared" si="21"/>
        <v>54950.400000000001</v>
      </c>
      <c r="AE20" s="77">
        <f t="shared" si="21"/>
        <v>55987.200000000004</v>
      </c>
      <c r="AF20" s="77">
        <f t="shared" si="21"/>
        <v>57024.000000000007</v>
      </c>
      <c r="AG20" s="77">
        <f t="shared" si="21"/>
        <v>58060.800000000003</v>
      </c>
      <c r="AH20" s="77">
        <f t="shared" si="21"/>
        <v>59097.600000000006</v>
      </c>
      <c r="AI20" s="77">
        <f t="shared" si="21"/>
        <v>60134.400000000009</v>
      </c>
      <c r="AJ20" s="77">
        <f t="shared" si="21"/>
        <v>61171.200000000012</v>
      </c>
      <c r="AK20" s="77">
        <f t="shared" si="21"/>
        <v>62208.000000000007</v>
      </c>
      <c r="AL20" s="77">
        <f t="shared" si="21"/>
        <v>63244.80000000001</v>
      </c>
      <c r="AM20" s="77">
        <f t="shared" si="21"/>
        <v>64281.600000000013</v>
      </c>
      <c r="AN20" s="27"/>
      <c r="AO20" s="27"/>
      <c r="AP20" s="27"/>
      <c r="AQ20"/>
      <c r="AR20"/>
      <c r="AS20"/>
      <c r="AT20" s="46"/>
      <c r="AU20" s="46"/>
      <c r="AV20" s="46"/>
      <c r="AW20" s="26"/>
      <c r="AX20" s="26"/>
      <c r="AY20" s="46"/>
      <c r="AZ20" s="85"/>
      <c r="BA20" s="24" t="s">
        <v>282</v>
      </c>
      <c r="BB20" s="24" t="s">
        <v>283</v>
      </c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</row>
    <row r="21" spans="1:76" ht="15" hidden="1" customHeight="1">
      <c r="A21" s="75" t="s">
        <v>58</v>
      </c>
      <c r="B21" s="113">
        <f>0.82*B20</f>
        <v>42508.799999999996</v>
      </c>
      <c r="C21" s="85"/>
      <c r="D21" s="78">
        <f>D5*$B21</f>
        <v>2125.44</v>
      </c>
      <c r="E21" s="78">
        <f t="shared" ref="E21:AM21" si="22">E5*$B21</f>
        <v>2125.44</v>
      </c>
      <c r="F21" s="78">
        <f t="shared" si="22"/>
        <v>4250.88</v>
      </c>
      <c r="G21" s="78">
        <f t="shared" si="22"/>
        <v>4250.88</v>
      </c>
      <c r="H21" s="78">
        <f t="shared" si="22"/>
        <v>4250.88</v>
      </c>
      <c r="I21" s="78">
        <f t="shared" si="22"/>
        <v>8501.76</v>
      </c>
      <c r="J21" s="78">
        <f t="shared" si="22"/>
        <v>8501.76</v>
      </c>
      <c r="K21" s="78">
        <f t="shared" si="22"/>
        <v>8501.76</v>
      </c>
      <c r="L21" s="78">
        <f t="shared" si="22"/>
        <v>12752.639999999998</v>
      </c>
      <c r="M21" s="78">
        <f t="shared" si="22"/>
        <v>12752.639999999998</v>
      </c>
      <c r="N21" s="78">
        <f t="shared" si="22"/>
        <v>12752.639999999998</v>
      </c>
      <c r="O21" s="78">
        <f t="shared" si="22"/>
        <v>17003.52</v>
      </c>
      <c r="P21" s="78">
        <f t="shared" si="22"/>
        <v>17003.52</v>
      </c>
      <c r="Q21" s="78">
        <f t="shared" si="22"/>
        <v>17003.52</v>
      </c>
      <c r="R21" s="78">
        <f t="shared" si="22"/>
        <v>21254.399999999998</v>
      </c>
      <c r="S21" s="78">
        <f t="shared" si="22"/>
        <v>21254.399999999998</v>
      </c>
      <c r="T21" s="78">
        <f t="shared" si="22"/>
        <v>21254.399999999998</v>
      </c>
      <c r="U21" s="78">
        <f t="shared" si="22"/>
        <v>21254.399999999998</v>
      </c>
      <c r="V21" s="78">
        <f t="shared" si="22"/>
        <v>31881.599999999999</v>
      </c>
      <c r="W21" s="78">
        <f t="shared" si="22"/>
        <v>31881.599999999999</v>
      </c>
      <c r="X21" s="78">
        <f t="shared" si="22"/>
        <v>31881.599999999999</v>
      </c>
      <c r="Y21" s="78">
        <f t="shared" si="22"/>
        <v>31881.599999999999</v>
      </c>
      <c r="Z21" s="78">
        <f t="shared" si="22"/>
        <v>31881.599999999999</v>
      </c>
      <c r="AA21" s="78">
        <f t="shared" si="22"/>
        <v>42508.799999999996</v>
      </c>
      <c r="AB21" s="78">
        <f t="shared" si="22"/>
        <v>43358.975999999995</v>
      </c>
      <c r="AC21" s="78">
        <f t="shared" si="22"/>
        <v>44209.151999999995</v>
      </c>
      <c r="AD21" s="78">
        <f t="shared" si="22"/>
        <v>45059.327999999994</v>
      </c>
      <c r="AE21" s="78">
        <f t="shared" si="22"/>
        <v>45909.504000000001</v>
      </c>
      <c r="AF21" s="78">
        <f t="shared" si="22"/>
        <v>46759.68</v>
      </c>
      <c r="AG21" s="78">
        <f t="shared" si="22"/>
        <v>47609.856</v>
      </c>
      <c r="AH21" s="78">
        <f t="shared" si="22"/>
        <v>48460.031999999999</v>
      </c>
      <c r="AI21" s="78">
        <f t="shared" si="22"/>
        <v>49310.207999999999</v>
      </c>
      <c r="AJ21" s="78">
        <f t="shared" si="22"/>
        <v>50160.383999999998</v>
      </c>
      <c r="AK21" s="78">
        <f t="shared" si="22"/>
        <v>51010.560000000005</v>
      </c>
      <c r="AL21" s="78">
        <f t="shared" si="22"/>
        <v>51860.736000000004</v>
      </c>
      <c r="AM21" s="78">
        <f t="shared" si="22"/>
        <v>52710.912000000004</v>
      </c>
      <c r="AN21" s="31">
        <f>SUM(D21:AM21)</f>
        <v>995131.00799999991</v>
      </c>
      <c r="AO21" s="85"/>
      <c r="AP21" s="85"/>
      <c r="AQ21"/>
      <c r="AR21"/>
      <c r="AS21"/>
      <c r="AT21" s="85"/>
      <c r="AU21" s="85"/>
      <c r="AV21" s="85"/>
      <c r="AW21" s="26"/>
      <c r="AX21" s="26"/>
      <c r="AY21" s="85"/>
      <c r="AZ21" s="85"/>
      <c r="BA21" s="24"/>
      <c r="BB21" s="24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</row>
    <row r="22" spans="1:76" s="24" customFormat="1" ht="15" customHeight="1">
      <c r="A22" s="75" t="s">
        <v>59</v>
      </c>
      <c r="B22" s="112">
        <f>B20*0.84</f>
        <v>43545.599999999999</v>
      </c>
      <c r="D22" s="24">
        <f>D5*$B22</f>
        <v>2177.2800000000002</v>
      </c>
      <c r="E22" s="24">
        <f t="shared" ref="E22:AM22" si="23">E5*$B22</f>
        <v>2177.2800000000002</v>
      </c>
      <c r="F22" s="24">
        <f t="shared" si="23"/>
        <v>4354.5600000000004</v>
      </c>
      <c r="G22" s="24">
        <f t="shared" si="23"/>
        <v>4354.5600000000004</v>
      </c>
      <c r="H22" s="24">
        <f t="shared" si="23"/>
        <v>4354.5600000000004</v>
      </c>
      <c r="I22" s="24">
        <f t="shared" si="23"/>
        <v>8709.1200000000008</v>
      </c>
      <c r="J22" s="24">
        <f t="shared" si="23"/>
        <v>8709.1200000000008</v>
      </c>
      <c r="K22" s="24">
        <f t="shared" si="23"/>
        <v>8709.1200000000008</v>
      </c>
      <c r="L22" s="24">
        <f t="shared" si="23"/>
        <v>13063.679999999998</v>
      </c>
      <c r="M22" s="24">
        <f t="shared" si="23"/>
        <v>13063.679999999998</v>
      </c>
      <c r="N22" s="24">
        <f t="shared" si="23"/>
        <v>13063.679999999998</v>
      </c>
      <c r="O22" s="24">
        <f t="shared" si="23"/>
        <v>17418.240000000002</v>
      </c>
      <c r="P22" s="24">
        <f t="shared" si="23"/>
        <v>17418.240000000002</v>
      </c>
      <c r="Q22" s="24">
        <f t="shared" si="23"/>
        <v>17418.240000000002</v>
      </c>
      <c r="R22" s="24">
        <f t="shared" si="23"/>
        <v>21772.799999999999</v>
      </c>
      <c r="S22" s="24">
        <f t="shared" si="23"/>
        <v>21772.799999999999</v>
      </c>
      <c r="T22" s="24">
        <f t="shared" si="23"/>
        <v>21772.799999999999</v>
      </c>
      <c r="U22" s="24">
        <f t="shared" si="23"/>
        <v>21772.799999999999</v>
      </c>
      <c r="V22" s="24">
        <f t="shared" si="23"/>
        <v>32659.199999999997</v>
      </c>
      <c r="W22" s="24">
        <f t="shared" si="23"/>
        <v>32659.199999999997</v>
      </c>
      <c r="X22" s="24">
        <f t="shared" si="23"/>
        <v>32659.199999999997</v>
      </c>
      <c r="Y22" s="24">
        <f t="shared" si="23"/>
        <v>32659.199999999997</v>
      </c>
      <c r="Z22" s="24">
        <f t="shared" si="23"/>
        <v>32659.199999999997</v>
      </c>
      <c r="AA22" s="24">
        <f t="shared" si="23"/>
        <v>43545.599999999999</v>
      </c>
      <c r="AB22" s="24">
        <f t="shared" si="23"/>
        <v>44416.512000000002</v>
      </c>
      <c r="AC22" s="24">
        <f t="shared" si="23"/>
        <v>45287.423999999999</v>
      </c>
      <c r="AD22" s="24">
        <f t="shared" si="23"/>
        <v>46158.336000000003</v>
      </c>
      <c r="AE22" s="24">
        <f t="shared" si="23"/>
        <v>47029.248</v>
      </c>
      <c r="AF22" s="24">
        <f t="shared" si="23"/>
        <v>47900.160000000003</v>
      </c>
      <c r="AG22" s="24">
        <f t="shared" si="23"/>
        <v>48771.072</v>
      </c>
      <c r="AH22" s="24">
        <f t="shared" si="23"/>
        <v>49641.984000000004</v>
      </c>
      <c r="AI22" s="24">
        <f t="shared" si="23"/>
        <v>50512.896000000008</v>
      </c>
      <c r="AJ22" s="24">
        <f t="shared" si="23"/>
        <v>51383.808000000005</v>
      </c>
      <c r="AK22" s="24">
        <f t="shared" si="23"/>
        <v>52254.720000000008</v>
      </c>
      <c r="AL22" s="24">
        <f t="shared" si="23"/>
        <v>53125.632000000005</v>
      </c>
      <c r="AM22" s="24">
        <f t="shared" si="23"/>
        <v>53996.544000000009</v>
      </c>
      <c r="AN22" s="24">
        <f>SUM(D22:AM22)</f>
        <v>1019402.496</v>
      </c>
      <c r="AQ22"/>
      <c r="AR22"/>
      <c r="AS22"/>
      <c r="AW22" s="26"/>
      <c r="AX22" s="26"/>
      <c r="BA22" s="24" t="s">
        <v>284</v>
      </c>
      <c r="BB22" s="24" t="s">
        <v>285</v>
      </c>
    </row>
    <row r="23" spans="1:76" ht="15" customHeight="1">
      <c r="A23" s="27" t="s">
        <v>61</v>
      </c>
      <c r="B23" s="79"/>
      <c r="C23" s="85">
        <f>16*4.5*24*30</f>
        <v>51840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/>
      <c r="AR23"/>
      <c r="AS23"/>
      <c r="AT23" s="85"/>
      <c r="AU23" s="85"/>
      <c r="AV23" s="85"/>
      <c r="AW23" s="85"/>
      <c r="AX23" s="85"/>
      <c r="AY23" s="85"/>
      <c r="AZ23" s="80" t="s">
        <v>286</v>
      </c>
      <c r="BA23" s="24" t="s">
        <v>290</v>
      </c>
      <c r="BB23" s="24" t="s">
        <v>289</v>
      </c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</row>
    <row r="24" spans="1:76" ht="15" customHeight="1">
      <c r="A24" s="85"/>
      <c r="B24" s="111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0" t="s">
        <v>277</v>
      </c>
      <c r="AR24"/>
      <c r="AS24"/>
      <c r="AT24" s="85"/>
      <c r="AU24" s="85"/>
      <c r="AV24" s="85"/>
      <c r="AW24" s="85"/>
      <c r="AX24" s="85"/>
      <c r="AY24" s="85"/>
      <c r="AZ24" s="24" t="s">
        <v>287</v>
      </c>
      <c r="BA24" s="24" t="s">
        <v>291</v>
      </c>
      <c r="BB24" s="24" t="s">
        <v>292</v>
      </c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</row>
    <row r="25" spans="1:76" ht="18">
      <c r="A25" s="24" t="s">
        <v>62</v>
      </c>
      <c r="B25" s="47">
        <v>101.64</v>
      </c>
      <c r="C25" s="15"/>
      <c r="D25" s="85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85"/>
      <c r="AO25" s="85"/>
      <c r="AP25" s="85"/>
      <c r="AQ25" s="151" t="s">
        <v>265</v>
      </c>
      <c r="AR25" s="151"/>
      <c r="AS25" s="151"/>
      <c r="AT25" s="151"/>
      <c r="AU25" s="151"/>
      <c r="AV25" s="151"/>
      <c r="AW25" s="151"/>
      <c r="AX25" s="48"/>
      <c r="AY25" s="48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</row>
    <row r="26" spans="1:76" ht="35.5" thickBot="1">
      <c r="A26" s="24" t="s">
        <v>63</v>
      </c>
      <c r="B26" s="49">
        <v>5406.7</v>
      </c>
      <c r="C26" s="15" t="s">
        <v>64</v>
      </c>
      <c r="D26" s="85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24" t="s">
        <v>65</v>
      </c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24" t="s">
        <v>66</v>
      </c>
      <c r="AF26" s="48"/>
      <c r="AG26" s="48"/>
      <c r="AH26" s="48"/>
      <c r="AI26" s="48"/>
      <c r="AJ26" s="48"/>
      <c r="AK26" s="48"/>
      <c r="AL26" s="48"/>
      <c r="AM26" s="48"/>
      <c r="AN26" s="85"/>
      <c r="AO26" s="85"/>
      <c r="AP26" s="85"/>
      <c r="AQ26" s="48"/>
      <c r="AR26" s="48"/>
      <c r="AS26" s="22" t="s">
        <v>1</v>
      </c>
      <c r="AT26" s="22" t="s">
        <v>2</v>
      </c>
      <c r="AU26" s="22" t="s">
        <v>3</v>
      </c>
      <c r="AV26" s="22" t="s">
        <v>4</v>
      </c>
      <c r="AW26" s="22" t="s">
        <v>5</v>
      </c>
      <c r="AX26" s="48"/>
      <c r="AY26" s="48"/>
      <c r="AZ26" s="22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</row>
    <row r="27" spans="1:76" ht="16" thickBot="1">
      <c r="A27" s="24" t="s">
        <v>67</v>
      </c>
      <c r="B27" s="49">
        <f>5/4*B26</f>
        <v>6758.375</v>
      </c>
      <c r="C27" s="15" t="s">
        <v>64</v>
      </c>
      <c r="D27" s="85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6">
        <f>(S29-G29)/G29</f>
        <v>4</v>
      </c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6">
        <f>(AE29-S29)/S29</f>
        <v>1.1599999999999999</v>
      </c>
      <c r="AF27" s="48"/>
      <c r="AG27" s="48"/>
      <c r="AH27" s="48"/>
      <c r="AI27" s="48"/>
      <c r="AJ27" s="48"/>
      <c r="AK27" s="48"/>
      <c r="AL27" s="48"/>
      <c r="AM27" s="48"/>
      <c r="AN27" s="85"/>
      <c r="AO27" s="85"/>
      <c r="AP27" s="85"/>
      <c r="AQ27" s="122" t="s">
        <v>68</v>
      </c>
      <c r="AR27" s="85"/>
      <c r="AS27" s="123">
        <v>12500000</v>
      </c>
      <c r="AT27" s="48"/>
      <c r="AU27" s="48"/>
      <c r="AV27" s="48"/>
      <c r="AW27" s="48"/>
      <c r="AX27" s="123">
        <f>SUM(AS27:AW27)</f>
        <v>12500000</v>
      </c>
      <c r="AY27" s="48"/>
      <c r="AZ27" s="149" t="s">
        <v>28</v>
      </c>
      <c r="BA27" s="24" t="s">
        <v>294</v>
      </c>
      <c r="BB27" s="24" t="s">
        <v>42</v>
      </c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</row>
    <row r="28" spans="1:76" ht="15" customHeight="1" thickBot="1">
      <c r="A28" s="24" t="s">
        <v>69</v>
      </c>
      <c r="B28" s="49">
        <v>3115</v>
      </c>
      <c r="C28" s="24"/>
      <c r="D28" s="2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27"/>
      <c r="AO28" s="27"/>
      <c r="AP28" s="27"/>
      <c r="AQ28" s="122" t="s">
        <v>70</v>
      </c>
      <c r="AR28" s="124">
        <v>3213547.75</v>
      </c>
      <c r="AS28" s="123">
        <f>$AR28/5</f>
        <v>642709.55000000005</v>
      </c>
      <c r="AT28" s="123">
        <f t="shared" ref="AT28:AW28" si="24">$AR28/5</f>
        <v>642709.55000000005</v>
      </c>
      <c r="AU28" s="123">
        <f t="shared" si="24"/>
        <v>642709.55000000005</v>
      </c>
      <c r="AV28" s="123">
        <f t="shared" si="24"/>
        <v>642709.55000000005</v>
      </c>
      <c r="AW28" s="123">
        <f t="shared" si="24"/>
        <v>642709.55000000005</v>
      </c>
      <c r="AX28" s="123">
        <f>SUM(AS28:AW28)</f>
        <v>3213547.75</v>
      </c>
      <c r="AY28" s="33"/>
      <c r="AZ28" s="85"/>
      <c r="BA28" s="24" t="s">
        <v>296</v>
      </c>
      <c r="BB28" s="24" t="s">
        <v>295</v>
      </c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</row>
    <row r="29" spans="1:76" ht="15.5">
      <c r="A29" s="24" t="s">
        <v>71</v>
      </c>
      <c r="B29" s="27"/>
      <c r="C29" s="27"/>
      <c r="D29" s="50">
        <f>D5*400</f>
        <v>20</v>
      </c>
      <c r="E29" s="50">
        <f t="shared" ref="E29:AM29" si="25">E5*400</f>
        <v>20</v>
      </c>
      <c r="F29" s="50">
        <f t="shared" si="25"/>
        <v>40</v>
      </c>
      <c r="G29" s="50">
        <f t="shared" si="25"/>
        <v>40</v>
      </c>
      <c r="H29" s="50">
        <f t="shared" si="25"/>
        <v>40</v>
      </c>
      <c r="I29" s="50">
        <f t="shared" si="25"/>
        <v>80</v>
      </c>
      <c r="J29" s="50">
        <f t="shared" si="25"/>
        <v>80</v>
      </c>
      <c r="K29" s="50">
        <f t="shared" si="25"/>
        <v>80</v>
      </c>
      <c r="L29" s="50">
        <f t="shared" si="25"/>
        <v>120</v>
      </c>
      <c r="M29" s="50">
        <f t="shared" si="25"/>
        <v>120</v>
      </c>
      <c r="N29" s="50">
        <f t="shared" si="25"/>
        <v>120</v>
      </c>
      <c r="O29" s="50">
        <f t="shared" si="25"/>
        <v>160</v>
      </c>
      <c r="P29" s="50">
        <f t="shared" si="25"/>
        <v>160</v>
      </c>
      <c r="Q29" s="50">
        <f t="shared" si="25"/>
        <v>160</v>
      </c>
      <c r="R29" s="50">
        <f t="shared" si="25"/>
        <v>200</v>
      </c>
      <c r="S29" s="50">
        <f t="shared" si="25"/>
        <v>200</v>
      </c>
      <c r="T29" s="50">
        <f t="shared" si="25"/>
        <v>200</v>
      </c>
      <c r="U29" s="50">
        <f t="shared" si="25"/>
        <v>200</v>
      </c>
      <c r="V29" s="50">
        <f t="shared" si="25"/>
        <v>300</v>
      </c>
      <c r="W29" s="50">
        <f t="shared" si="25"/>
        <v>300</v>
      </c>
      <c r="X29" s="50">
        <f t="shared" si="25"/>
        <v>300</v>
      </c>
      <c r="Y29" s="50">
        <f t="shared" si="25"/>
        <v>300</v>
      </c>
      <c r="Z29" s="50">
        <f t="shared" si="25"/>
        <v>300</v>
      </c>
      <c r="AA29" s="50">
        <f t="shared" si="25"/>
        <v>400</v>
      </c>
      <c r="AB29" s="50">
        <f t="shared" si="25"/>
        <v>408</v>
      </c>
      <c r="AC29" s="50">
        <f t="shared" si="25"/>
        <v>416</v>
      </c>
      <c r="AD29" s="50">
        <f t="shared" si="25"/>
        <v>424</v>
      </c>
      <c r="AE29" s="50">
        <f t="shared" si="25"/>
        <v>432</v>
      </c>
      <c r="AF29" s="50">
        <f t="shared" si="25"/>
        <v>440.00000000000006</v>
      </c>
      <c r="AG29" s="50">
        <f t="shared" si="25"/>
        <v>448.00000000000006</v>
      </c>
      <c r="AH29" s="50">
        <f t="shared" si="25"/>
        <v>456.00000000000006</v>
      </c>
      <c r="AI29" s="50">
        <f t="shared" si="25"/>
        <v>464.00000000000006</v>
      </c>
      <c r="AJ29" s="50">
        <f t="shared" si="25"/>
        <v>472.00000000000006</v>
      </c>
      <c r="AK29" s="50">
        <f t="shared" si="25"/>
        <v>480.00000000000006</v>
      </c>
      <c r="AL29" s="50">
        <f t="shared" si="25"/>
        <v>488.00000000000006</v>
      </c>
      <c r="AM29" s="50">
        <f t="shared" si="25"/>
        <v>496.00000000000011</v>
      </c>
      <c r="AN29" s="27"/>
      <c r="AO29" s="27"/>
      <c r="AP29" s="27"/>
      <c r="AQ29" s="26" t="s">
        <v>72</v>
      </c>
      <c r="AR29" s="26"/>
      <c r="AS29" s="26"/>
      <c r="AT29" s="26"/>
      <c r="AU29" s="26"/>
      <c r="AV29" s="26"/>
      <c r="AW29" s="26"/>
      <c r="AX29" s="26"/>
      <c r="AY29" s="26"/>
      <c r="AZ29" s="85"/>
      <c r="BA29" s="24" t="s">
        <v>297</v>
      </c>
      <c r="BB29" s="24" t="s">
        <v>298</v>
      </c>
      <c r="BC29" s="27" t="s">
        <v>299</v>
      </c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</row>
    <row r="30" spans="1:76" ht="15.5">
      <c r="A30" s="24" t="s">
        <v>73</v>
      </c>
      <c r="B30" s="27"/>
      <c r="C30" s="33">
        <v>0.6</v>
      </c>
      <c r="D30" s="26">
        <f t="shared" ref="D30:AM30" si="26">D29*$C$30</f>
        <v>12</v>
      </c>
      <c r="E30" s="26">
        <f t="shared" si="26"/>
        <v>12</v>
      </c>
      <c r="F30" s="26">
        <f t="shared" si="26"/>
        <v>24</v>
      </c>
      <c r="G30" s="26">
        <f t="shared" si="26"/>
        <v>24</v>
      </c>
      <c r="H30" s="26">
        <f t="shared" si="26"/>
        <v>24</v>
      </c>
      <c r="I30" s="26">
        <f t="shared" si="26"/>
        <v>48</v>
      </c>
      <c r="J30" s="26">
        <f t="shared" si="26"/>
        <v>48</v>
      </c>
      <c r="K30" s="26">
        <f t="shared" si="26"/>
        <v>48</v>
      </c>
      <c r="L30" s="26">
        <f t="shared" si="26"/>
        <v>72</v>
      </c>
      <c r="M30" s="26">
        <f t="shared" si="26"/>
        <v>72</v>
      </c>
      <c r="N30" s="26">
        <f t="shared" si="26"/>
        <v>72</v>
      </c>
      <c r="O30" s="26">
        <f t="shared" si="26"/>
        <v>96</v>
      </c>
      <c r="P30" s="26">
        <f t="shared" si="26"/>
        <v>96</v>
      </c>
      <c r="Q30" s="26">
        <f t="shared" si="26"/>
        <v>96</v>
      </c>
      <c r="R30" s="26">
        <f t="shared" si="26"/>
        <v>120</v>
      </c>
      <c r="S30" s="26">
        <f t="shared" si="26"/>
        <v>120</v>
      </c>
      <c r="T30" s="26">
        <f t="shared" si="26"/>
        <v>120</v>
      </c>
      <c r="U30" s="26">
        <f t="shared" si="26"/>
        <v>120</v>
      </c>
      <c r="V30" s="26">
        <f t="shared" si="26"/>
        <v>180</v>
      </c>
      <c r="W30" s="26">
        <f t="shared" si="26"/>
        <v>180</v>
      </c>
      <c r="X30" s="26">
        <f t="shared" si="26"/>
        <v>180</v>
      </c>
      <c r="Y30" s="26">
        <f t="shared" si="26"/>
        <v>180</v>
      </c>
      <c r="Z30" s="26">
        <f t="shared" si="26"/>
        <v>180</v>
      </c>
      <c r="AA30" s="26">
        <f t="shared" si="26"/>
        <v>240</v>
      </c>
      <c r="AB30" s="26">
        <f t="shared" si="26"/>
        <v>244.79999999999998</v>
      </c>
      <c r="AC30" s="26">
        <f t="shared" si="26"/>
        <v>249.6</v>
      </c>
      <c r="AD30" s="26">
        <f t="shared" si="26"/>
        <v>254.39999999999998</v>
      </c>
      <c r="AE30" s="26">
        <f t="shared" si="26"/>
        <v>259.2</v>
      </c>
      <c r="AF30" s="26">
        <f t="shared" si="26"/>
        <v>264</v>
      </c>
      <c r="AG30" s="26">
        <f t="shared" si="26"/>
        <v>268.8</v>
      </c>
      <c r="AH30" s="26">
        <f t="shared" si="26"/>
        <v>273.60000000000002</v>
      </c>
      <c r="AI30" s="26">
        <f t="shared" si="26"/>
        <v>278.40000000000003</v>
      </c>
      <c r="AJ30" s="26">
        <f t="shared" si="26"/>
        <v>283.20000000000005</v>
      </c>
      <c r="AK30" s="26">
        <f t="shared" si="26"/>
        <v>288</v>
      </c>
      <c r="AL30" s="26">
        <f t="shared" si="26"/>
        <v>292.8</v>
      </c>
      <c r="AM30" s="26">
        <f t="shared" si="26"/>
        <v>297.60000000000008</v>
      </c>
      <c r="AN30" s="27"/>
      <c r="AO30" s="27"/>
      <c r="AP30" s="27"/>
      <c r="AQ30" s="26"/>
      <c r="AR30" s="26"/>
      <c r="AS30" s="26"/>
      <c r="AT30" s="26"/>
      <c r="AU30" s="26"/>
      <c r="AV30" s="26"/>
      <c r="AW30" s="26"/>
      <c r="AX30" s="26"/>
      <c r="AY30" s="26"/>
      <c r="AZ30" s="85"/>
      <c r="BA30" s="85"/>
      <c r="BB30" s="85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</row>
    <row r="31" spans="1:76" ht="15.5">
      <c r="A31" s="24" t="s">
        <v>74</v>
      </c>
      <c r="B31" s="27"/>
      <c r="C31" s="33">
        <v>0.4</v>
      </c>
      <c r="D31" s="26">
        <f t="shared" ref="D31:AM31" si="27">D29*$C$31</f>
        <v>8</v>
      </c>
      <c r="E31" s="26">
        <f t="shared" si="27"/>
        <v>8</v>
      </c>
      <c r="F31" s="26">
        <f t="shared" si="27"/>
        <v>16</v>
      </c>
      <c r="G31" s="26">
        <f t="shared" si="27"/>
        <v>16</v>
      </c>
      <c r="H31" s="26">
        <f t="shared" si="27"/>
        <v>16</v>
      </c>
      <c r="I31" s="26">
        <f t="shared" si="27"/>
        <v>32</v>
      </c>
      <c r="J31" s="26">
        <f t="shared" si="27"/>
        <v>32</v>
      </c>
      <c r="K31" s="26">
        <f t="shared" si="27"/>
        <v>32</v>
      </c>
      <c r="L31" s="26">
        <f t="shared" si="27"/>
        <v>48</v>
      </c>
      <c r="M31" s="26">
        <f t="shared" si="27"/>
        <v>48</v>
      </c>
      <c r="N31" s="26">
        <f t="shared" si="27"/>
        <v>48</v>
      </c>
      <c r="O31" s="26">
        <f t="shared" si="27"/>
        <v>64</v>
      </c>
      <c r="P31" s="26">
        <f t="shared" si="27"/>
        <v>64</v>
      </c>
      <c r="Q31" s="26">
        <f t="shared" si="27"/>
        <v>64</v>
      </c>
      <c r="R31" s="26">
        <f t="shared" si="27"/>
        <v>80</v>
      </c>
      <c r="S31" s="26">
        <f t="shared" si="27"/>
        <v>80</v>
      </c>
      <c r="T31" s="26">
        <f t="shared" si="27"/>
        <v>80</v>
      </c>
      <c r="U31" s="26">
        <f t="shared" si="27"/>
        <v>80</v>
      </c>
      <c r="V31" s="26">
        <f t="shared" si="27"/>
        <v>120</v>
      </c>
      <c r="W31" s="26">
        <f t="shared" si="27"/>
        <v>120</v>
      </c>
      <c r="X31" s="26">
        <f t="shared" si="27"/>
        <v>120</v>
      </c>
      <c r="Y31" s="26">
        <f t="shared" si="27"/>
        <v>120</v>
      </c>
      <c r="Z31" s="26">
        <f t="shared" si="27"/>
        <v>120</v>
      </c>
      <c r="AA31" s="26">
        <f t="shared" si="27"/>
        <v>160</v>
      </c>
      <c r="AB31" s="26">
        <f t="shared" si="27"/>
        <v>163.20000000000002</v>
      </c>
      <c r="AC31" s="26">
        <f t="shared" si="27"/>
        <v>166.4</v>
      </c>
      <c r="AD31" s="26">
        <f t="shared" si="27"/>
        <v>169.60000000000002</v>
      </c>
      <c r="AE31" s="26">
        <f t="shared" si="27"/>
        <v>172.8</v>
      </c>
      <c r="AF31" s="26">
        <f t="shared" si="27"/>
        <v>176.00000000000003</v>
      </c>
      <c r="AG31" s="26">
        <f t="shared" si="27"/>
        <v>179.20000000000005</v>
      </c>
      <c r="AH31" s="26">
        <f t="shared" si="27"/>
        <v>182.40000000000003</v>
      </c>
      <c r="AI31" s="26">
        <f t="shared" si="27"/>
        <v>185.60000000000002</v>
      </c>
      <c r="AJ31" s="26">
        <f t="shared" si="27"/>
        <v>188.80000000000004</v>
      </c>
      <c r="AK31" s="26">
        <f t="shared" si="27"/>
        <v>192.00000000000003</v>
      </c>
      <c r="AL31" s="26">
        <f t="shared" si="27"/>
        <v>195.20000000000005</v>
      </c>
      <c r="AM31" s="26">
        <f t="shared" si="27"/>
        <v>198.40000000000006</v>
      </c>
      <c r="AN31" s="27"/>
      <c r="AO31" s="27"/>
      <c r="AP31" s="27"/>
      <c r="AQ31" s="26"/>
      <c r="AR31" s="26"/>
      <c r="AS31" s="26"/>
      <c r="AT31" s="26"/>
      <c r="AU31" s="26"/>
      <c r="AV31" s="26"/>
      <c r="AW31" s="26"/>
      <c r="AX31" s="26"/>
      <c r="AY31" s="26"/>
      <c r="AZ31" s="85"/>
      <c r="BA31" s="85"/>
      <c r="BB31" s="85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</row>
    <row r="32" spans="1:76" ht="15.5">
      <c r="A32" s="24" t="s">
        <v>75</v>
      </c>
      <c r="B32" s="51">
        <f>C30*B26</f>
        <v>3244.02</v>
      </c>
      <c r="C32" s="27"/>
      <c r="D32" s="78">
        <f>D30/400*$B26</f>
        <v>162.20099999999999</v>
      </c>
      <c r="E32" s="78">
        <f t="shared" ref="E32:AM32" si="28">E30/400*$B26</f>
        <v>162.20099999999999</v>
      </c>
      <c r="F32" s="78">
        <f t="shared" si="28"/>
        <v>324.40199999999999</v>
      </c>
      <c r="G32" s="78">
        <f t="shared" si="28"/>
        <v>324.40199999999999</v>
      </c>
      <c r="H32" s="78">
        <f t="shared" si="28"/>
        <v>324.40199999999999</v>
      </c>
      <c r="I32" s="78">
        <f t="shared" si="28"/>
        <v>648.80399999999997</v>
      </c>
      <c r="J32" s="78">
        <f t="shared" si="28"/>
        <v>648.80399999999997</v>
      </c>
      <c r="K32" s="78">
        <f t="shared" si="28"/>
        <v>648.80399999999997</v>
      </c>
      <c r="L32" s="78">
        <f t="shared" si="28"/>
        <v>973.2059999999999</v>
      </c>
      <c r="M32" s="78">
        <f t="shared" si="28"/>
        <v>973.2059999999999</v>
      </c>
      <c r="N32" s="78">
        <f t="shared" si="28"/>
        <v>973.2059999999999</v>
      </c>
      <c r="O32" s="78">
        <f t="shared" si="28"/>
        <v>1297.6079999999999</v>
      </c>
      <c r="P32" s="78">
        <f t="shared" si="28"/>
        <v>1297.6079999999999</v>
      </c>
      <c r="Q32" s="78">
        <f t="shared" si="28"/>
        <v>1297.6079999999999</v>
      </c>
      <c r="R32" s="78">
        <f t="shared" si="28"/>
        <v>1622.01</v>
      </c>
      <c r="S32" s="78">
        <f t="shared" si="28"/>
        <v>1622.01</v>
      </c>
      <c r="T32" s="78">
        <f t="shared" si="28"/>
        <v>1622.01</v>
      </c>
      <c r="U32" s="78">
        <f t="shared" si="28"/>
        <v>1622.01</v>
      </c>
      <c r="V32" s="78">
        <f t="shared" si="28"/>
        <v>2433.0149999999999</v>
      </c>
      <c r="W32" s="78">
        <f t="shared" si="28"/>
        <v>2433.0149999999999</v>
      </c>
      <c r="X32" s="78">
        <f t="shared" si="28"/>
        <v>2433.0149999999999</v>
      </c>
      <c r="Y32" s="78">
        <f t="shared" si="28"/>
        <v>2433.0149999999999</v>
      </c>
      <c r="Z32" s="78">
        <f t="shared" si="28"/>
        <v>2433.0149999999999</v>
      </c>
      <c r="AA32" s="78">
        <f t="shared" si="28"/>
        <v>3244.02</v>
      </c>
      <c r="AB32" s="78">
        <f t="shared" si="28"/>
        <v>3308.9004</v>
      </c>
      <c r="AC32" s="78">
        <f t="shared" si="28"/>
        <v>3373.7808</v>
      </c>
      <c r="AD32" s="78">
        <f t="shared" si="28"/>
        <v>3438.6611999999996</v>
      </c>
      <c r="AE32" s="78">
        <f t="shared" si="28"/>
        <v>3503.5416</v>
      </c>
      <c r="AF32" s="78">
        <f t="shared" si="28"/>
        <v>3568.422</v>
      </c>
      <c r="AG32" s="78">
        <f t="shared" si="28"/>
        <v>3633.3024</v>
      </c>
      <c r="AH32" s="78">
        <f t="shared" si="28"/>
        <v>3698.1828</v>
      </c>
      <c r="AI32" s="78">
        <f t="shared" si="28"/>
        <v>3763.0632000000001</v>
      </c>
      <c r="AJ32" s="78">
        <f t="shared" si="28"/>
        <v>3827.9436000000001</v>
      </c>
      <c r="AK32" s="78">
        <f t="shared" si="28"/>
        <v>3892.8239999999996</v>
      </c>
      <c r="AL32" s="78">
        <f t="shared" si="28"/>
        <v>3957.7043999999996</v>
      </c>
      <c r="AM32" s="78">
        <f t="shared" si="28"/>
        <v>4022.584800000001</v>
      </c>
      <c r="AN32" s="78">
        <f>SUM(D32:AM32)</f>
        <v>75942.508199999997</v>
      </c>
      <c r="AO32" s="27" t="s">
        <v>76</v>
      </c>
      <c r="AP32" s="27"/>
      <c r="AQ32" s="43"/>
      <c r="AR32" s="43"/>
      <c r="AS32" s="43"/>
      <c r="AT32" s="43"/>
      <c r="AU32" s="43"/>
      <c r="AV32" s="43"/>
      <c r="AW32" s="43"/>
      <c r="AX32" s="43"/>
      <c r="AY32" s="43"/>
      <c r="AZ32" s="85"/>
      <c r="BA32" s="85"/>
      <c r="BB32" s="85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</row>
    <row r="33" spans="1:76" ht="15.5">
      <c r="A33" s="24" t="s">
        <v>77</v>
      </c>
      <c r="B33" s="51">
        <f>C31*B28</f>
        <v>1246</v>
      </c>
      <c r="C33" s="27"/>
      <c r="D33" s="78">
        <f>D31/400*$B28</f>
        <v>62.300000000000004</v>
      </c>
      <c r="E33" s="78">
        <f t="shared" ref="E33:AM33" si="29">E31/400*$B28</f>
        <v>62.300000000000004</v>
      </c>
      <c r="F33" s="78">
        <f t="shared" si="29"/>
        <v>124.60000000000001</v>
      </c>
      <c r="G33" s="78">
        <f t="shared" si="29"/>
        <v>124.60000000000001</v>
      </c>
      <c r="H33" s="78">
        <f t="shared" si="29"/>
        <v>124.60000000000001</v>
      </c>
      <c r="I33" s="78">
        <f t="shared" si="29"/>
        <v>249.20000000000002</v>
      </c>
      <c r="J33" s="78">
        <f t="shared" si="29"/>
        <v>249.20000000000002</v>
      </c>
      <c r="K33" s="78">
        <f t="shared" si="29"/>
        <v>249.20000000000002</v>
      </c>
      <c r="L33" s="78">
        <f t="shared" si="29"/>
        <v>373.8</v>
      </c>
      <c r="M33" s="78">
        <f t="shared" si="29"/>
        <v>373.8</v>
      </c>
      <c r="N33" s="78">
        <f t="shared" si="29"/>
        <v>373.8</v>
      </c>
      <c r="O33" s="78">
        <f t="shared" si="29"/>
        <v>498.40000000000003</v>
      </c>
      <c r="P33" s="78">
        <f t="shared" si="29"/>
        <v>498.40000000000003</v>
      </c>
      <c r="Q33" s="78">
        <f t="shared" si="29"/>
        <v>498.40000000000003</v>
      </c>
      <c r="R33" s="78">
        <f t="shared" si="29"/>
        <v>623</v>
      </c>
      <c r="S33" s="78">
        <f t="shared" si="29"/>
        <v>623</v>
      </c>
      <c r="T33" s="78">
        <f t="shared" si="29"/>
        <v>623</v>
      </c>
      <c r="U33" s="78">
        <f t="shared" si="29"/>
        <v>623</v>
      </c>
      <c r="V33" s="78">
        <f t="shared" si="29"/>
        <v>934.5</v>
      </c>
      <c r="W33" s="78">
        <f t="shared" si="29"/>
        <v>934.5</v>
      </c>
      <c r="X33" s="78">
        <f t="shared" si="29"/>
        <v>934.5</v>
      </c>
      <c r="Y33" s="78">
        <f t="shared" si="29"/>
        <v>934.5</v>
      </c>
      <c r="Z33" s="78">
        <f t="shared" si="29"/>
        <v>934.5</v>
      </c>
      <c r="AA33" s="78">
        <f t="shared" si="29"/>
        <v>1246</v>
      </c>
      <c r="AB33" s="78">
        <f t="shared" si="29"/>
        <v>1270.92</v>
      </c>
      <c r="AC33" s="78">
        <f t="shared" si="29"/>
        <v>1295.8400000000001</v>
      </c>
      <c r="AD33" s="78">
        <f t="shared" si="29"/>
        <v>1320.7600000000002</v>
      </c>
      <c r="AE33" s="78">
        <f t="shared" si="29"/>
        <v>1345.68</v>
      </c>
      <c r="AF33" s="78">
        <f t="shared" si="29"/>
        <v>1370.6000000000001</v>
      </c>
      <c r="AG33" s="78">
        <f t="shared" si="29"/>
        <v>1395.5200000000004</v>
      </c>
      <c r="AH33" s="78">
        <f t="shared" si="29"/>
        <v>1420.4400000000003</v>
      </c>
      <c r="AI33" s="78">
        <f t="shared" si="29"/>
        <v>1445.3600000000004</v>
      </c>
      <c r="AJ33" s="78">
        <f t="shared" si="29"/>
        <v>1470.2800000000002</v>
      </c>
      <c r="AK33" s="78">
        <f t="shared" si="29"/>
        <v>1495.2000000000003</v>
      </c>
      <c r="AL33" s="78">
        <f t="shared" si="29"/>
        <v>1520.1200000000003</v>
      </c>
      <c r="AM33" s="78">
        <f t="shared" si="29"/>
        <v>1545.0400000000004</v>
      </c>
      <c r="AN33" s="78">
        <f>SUM(D33:AM33)</f>
        <v>29168.859999999997</v>
      </c>
      <c r="AO33" s="27" t="s">
        <v>76</v>
      </c>
      <c r="AP33" s="79">
        <f>AN32+AN33</f>
        <v>105111.3682</v>
      </c>
      <c r="AQ33" s="51" t="s">
        <v>78</v>
      </c>
      <c r="AR33" s="51"/>
      <c r="AS33" s="51"/>
      <c r="AT33" s="51"/>
      <c r="AU33" s="51"/>
      <c r="AV33" s="51"/>
      <c r="AW33" s="51"/>
      <c r="AX33" s="51"/>
      <c r="AY33" s="51"/>
      <c r="AZ33" s="85"/>
      <c r="BA33" s="85"/>
      <c r="BB33" s="85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</row>
    <row r="34" spans="1:76" ht="15" customHeight="1">
      <c r="A34" s="24" t="s">
        <v>79</v>
      </c>
      <c r="B34" s="115">
        <f>B32+B33</f>
        <v>4490.0200000000004</v>
      </c>
      <c r="C34" s="85"/>
      <c r="D34" s="115">
        <f t="shared" ref="D34:AM34" si="30">D32+D33</f>
        <v>224.501</v>
      </c>
      <c r="E34" s="115">
        <f t="shared" si="30"/>
        <v>224.501</v>
      </c>
      <c r="F34" s="115">
        <f t="shared" si="30"/>
        <v>449.00200000000001</v>
      </c>
      <c r="G34" s="115">
        <f t="shared" si="30"/>
        <v>449.00200000000001</v>
      </c>
      <c r="H34" s="115">
        <f t="shared" si="30"/>
        <v>449.00200000000001</v>
      </c>
      <c r="I34" s="115">
        <f t="shared" si="30"/>
        <v>898.00400000000002</v>
      </c>
      <c r="J34" s="115">
        <f t="shared" si="30"/>
        <v>898.00400000000002</v>
      </c>
      <c r="K34" s="115">
        <f t="shared" si="30"/>
        <v>898.00400000000002</v>
      </c>
      <c r="L34" s="115">
        <f t="shared" si="30"/>
        <v>1347.0059999999999</v>
      </c>
      <c r="M34" s="115">
        <f t="shared" si="30"/>
        <v>1347.0059999999999</v>
      </c>
      <c r="N34" s="115">
        <f t="shared" si="30"/>
        <v>1347.0059999999999</v>
      </c>
      <c r="O34" s="115">
        <f t="shared" si="30"/>
        <v>1796.008</v>
      </c>
      <c r="P34" s="115">
        <f t="shared" si="30"/>
        <v>1796.008</v>
      </c>
      <c r="Q34" s="115">
        <f t="shared" si="30"/>
        <v>1796.008</v>
      </c>
      <c r="R34" s="115">
        <f t="shared" si="30"/>
        <v>2245.0100000000002</v>
      </c>
      <c r="S34" s="115">
        <f t="shared" si="30"/>
        <v>2245.0100000000002</v>
      </c>
      <c r="T34" s="115">
        <f t="shared" si="30"/>
        <v>2245.0100000000002</v>
      </c>
      <c r="U34" s="115">
        <f t="shared" si="30"/>
        <v>2245.0100000000002</v>
      </c>
      <c r="V34" s="115">
        <f t="shared" si="30"/>
        <v>3367.5149999999999</v>
      </c>
      <c r="W34" s="115">
        <f t="shared" si="30"/>
        <v>3367.5149999999999</v>
      </c>
      <c r="X34" s="115">
        <f t="shared" si="30"/>
        <v>3367.5149999999999</v>
      </c>
      <c r="Y34" s="115">
        <f t="shared" si="30"/>
        <v>3367.5149999999999</v>
      </c>
      <c r="Z34" s="115">
        <f t="shared" si="30"/>
        <v>3367.5149999999999</v>
      </c>
      <c r="AA34" s="115">
        <f t="shared" si="30"/>
        <v>4490.0200000000004</v>
      </c>
      <c r="AB34" s="115">
        <f t="shared" si="30"/>
        <v>4579.8204000000005</v>
      </c>
      <c r="AC34" s="115">
        <f t="shared" si="30"/>
        <v>4669.6208000000006</v>
      </c>
      <c r="AD34" s="115">
        <f t="shared" si="30"/>
        <v>4759.4211999999998</v>
      </c>
      <c r="AE34" s="115">
        <f t="shared" si="30"/>
        <v>4849.2215999999999</v>
      </c>
      <c r="AF34" s="115">
        <f t="shared" si="30"/>
        <v>4939.0219999999999</v>
      </c>
      <c r="AG34" s="115">
        <f t="shared" si="30"/>
        <v>5028.8224000000009</v>
      </c>
      <c r="AH34" s="115">
        <f t="shared" si="30"/>
        <v>5118.6228000000001</v>
      </c>
      <c r="AI34" s="115">
        <f t="shared" si="30"/>
        <v>5208.4232000000002</v>
      </c>
      <c r="AJ34" s="115">
        <f t="shared" si="30"/>
        <v>5298.2236000000003</v>
      </c>
      <c r="AK34" s="115">
        <f t="shared" si="30"/>
        <v>5388.0239999999994</v>
      </c>
      <c r="AL34" s="115">
        <f t="shared" si="30"/>
        <v>5477.8243999999995</v>
      </c>
      <c r="AM34" s="115">
        <f t="shared" si="30"/>
        <v>5567.6248000000014</v>
      </c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</row>
    <row r="35" spans="1:76" s="78" customFormat="1" ht="15" customHeight="1">
      <c r="A35" s="78" t="s">
        <v>80</v>
      </c>
      <c r="D35" s="78">
        <f t="shared" ref="D35:AM35" si="31">D19+D13+D21+D32+D33</f>
        <v>3807.0630000000001</v>
      </c>
      <c r="E35" s="78">
        <f t="shared" si="31"/>
        <v>3807.0630000000001</v>
      </c>
      <c r="F35" s="78">
        <f t="shared" si="31"/>
        <v>7614.1260000000002</v>
      </c>
      <c r="G35" s="78">
        <f t="shared" si="31"/>
        <v>7614.1260000000002</v>
      </c>
      <c r="H35" s="78">
        <f t="shared" si="31"/>
        <v>7614.1260000000002</v>
      </c>
      <c r="I35" s="78">
        <f t="shared" si="31"/>
        <v>15228.252</v>
      </c>
      <c r="J35" s="78">
        <f t="shared" si="31"/>
        <v>15228.252</v>
      </c>
      <c r="K35" s="78">
        <f t="shared" si="31"/>
        <v>15228.252</v>
      </c>
      <c r="L35" s="78">
        <f t="shared" si="31"/>
        <v>22842.377999999997</v>
      </c>
      <c r="M35" s="78">
        <f t="shared" si="31"/>
        <v>22842.377999999997</v>
      </c>
      <c r="N35" s="78">
        <f t="shared" si="31"/>
        <v>22842.377999999997</v>
      </c>
      <c r="O35" s="78">
        <f t="shared" si="31"/>
        <v>30456.504000000001</v>
      </c>
      <c r="P35" s="78">
        <f t="shared" si="31"/>
        <v>30456.504000000001</v>
      </c>
      <c r="Q35" s="78">
        <f t="shared" si="31"/>
        <v>30456.504000000001</v>
      </c>
      <c r="R35" s="78">
        <f t="shared" si="31"/>
        <v>38070.629999999997</v>
      </c>
      <c r="S35" s="78">
        <f t="shared" si="31"/>
        <v>38070.629999999997</v>
      </c>
      <c r="T35" s="78">
        <f t="shared" si="31"/>
        <v>38070.629999999997</v>
      </c>
      <c r="U35" s="78">
        <f t="shared" si="31"/>
        <v>38070.629999999997</v>
      </c>
      <c r="V35" s="78">
        <f t="shared" si="31"/>
        <v>57105.945</v>
      </c>
      <c r="W35" s="78">
        <f t="shared" si="31"/>
        <v>57105.945</v>
      </c>
      <c r="X35" s="78">
        <f t="shared" si="31"/>
        <v>57105.945</v>
      </c>
      <c r="Y35" s="78">
        <f t="shared" si="31"/>
        <v>57105.945</v>
      </c>
      <c r="Z35" s="78">
        <f t="shared" si="31"/>
        <v>57105.945</v>
      </c>
      <c r="AA35" s="78">
        <f t="shared" si="31"/>
        <v>76141.259999999995</v>
      </c>
      <c r="AB35" s="78">
        <f t="shared" si="31"/>
        <v>77664.085200000001</v>
      </c>
      <c r="AC35" s="78">
        <f t="shared" si="31"/>
        <v>79186.910399999993</v>
      </c>
      <c r="AD35" s="78">
        <f t="shared" si="31"/>
        <v>80709.7356</v>
      </c>
      <c r="AE35" s="78">
        <f t="shared" si="31"/>
        <v>82232.560799999992</v>
      </c>
      <c r="AF35" s="78">
        <f t="shared" si="31"/>
        <v>83755.386000000013</v>
      </c>
      <c r="AG35" s="78">
        <f t="shared" si="31"/>
        <v>85278.21120000002</v>
      </c>
      <c r="AH35" s="78">
        <f t="shared" si="31"/>
        <v>86801.036399999997</v>
      </c>
      <c r="AI35" s="78">
        <f t="shared" si="31"/>
        <v>88323.861600000018</v>
      </c>
      <c r="AJ35" s="78">
        <f t="shared" si="31"/>
        <v>89846.686799999996</v>
      </c>
      <c r="AK35" s="78">
        <f t="shared" si="31"/>
        <v>91369.512000000002</v>
      </c>
      <c r="AL35" s="78">
        <f t="shared" si="31"/>
        <v>92892.337200000009</v>
      </c>
      <c r="AM35" s="78">
        <f t="shared" si="31"/>
        <v>94415.162400000001</v>
      </c>
    </row>
    <row r="36" spans="1:76" ht="15" customHeight="1">
      <c r="A36" s="85"/>
      <c r="B36" s="2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</row>
    <row r="38" spans="1:76" ht="15" customHeight="1">
      <c r="A38" s="85"/>
      <c r="B38" s="85"/>
      <c r="C38" s="85"/>
      <c r="D38" s="76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</row>
    <row r="41" spans="1:76" ht="15" customHeight="1">
      <c r="A41" s="80" t="s">
        <v>81</v>
      </c>
      <c r="B41" s="85"/>
      <c r="C41" s="85"/>
      <c r="D41" s="85"/>
      <c r="E41" s="85"/>
      <c r="F41" s="80" t="s">
        <v>82</v>
      </c>
      <c r="G41" s="80" t="s">
        <v>81</v>
      </c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</row>
    <row r="42" spans="1:76" ht="15.5">
      <c r="A42" s="85"/>
      <c r="B42" s="15"/>
      <c r="C42" s="85"/>
      <c r="D42" s="85"/>
      <c r="E42" s="85"/>
      <c r="F42" s="80" t="s">
        <v>83</v>
      </c>
      <c r="G42" s="80" t="s">
        <v>84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</row>
    <row r="43" spans="1:76" ht="15.5">
      <c r="A43" s="85"/>
      <c r="B43" s="15"/>
      <c r="C43" s="85"/>
      <c r="D43" s="85"/>
      <c r="E43" s="85"/>
      <c r="F43" s="80" t="s">
        <v>48</v>
      </c>
      <c r="G43" s="80" t="s">
        <v>85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</row>
    <row r="104" spans="2:6" ht="15" customHeight="1">
      <c r="B104" s="85">
        <f>2500000</f>
        <v>2500000</v>
      </c>
      <c r="C104" s="85">
        <v>0.3</v>
      </c>
      <c r="D104" s="85">
        <f>B104*C104</f>
        <v>750000</v>
      </c>
      <c r="E104" s="85"/>
      <c r="F104" s="85"/>
    </row>
    <row r="105" spans="2:6" ht="15" customHeight="1">
      <c r="B105" s="85">
        <v>1200000</v>
      </c>
      <c r="C105" s="85">
        <v>0.55000000000000004</v>
      </c>
      <c r="D105" s="85">
        <f>B105*C105</f>
        <v>660000</v>
      </c>
      <c r="E105" s="85"/>
      <c r="F105" s="85"/>
    </row>
    <row r="112" spans="2:6" ht="15" customHeight="1">
      <c r="B112" s="85"/>
      <c r="C112" s="85"/>
      <c r="D112" s="26">
        <f t="shared" ref="D112" si="32">42351</f>
        <v>42351</v>
      </c>
      <c r="E112" s="85">
        <v>12</v>
      </c>
      <c r="F112" s="85">
        <f>D112*E112</f>
        <v>508212</v>
      </c>
    </row>
    <row r="113" spans="4:6" ht="15" customHeight="1">
      <c r="D113" s="26">
        <f t="shared" ref="D113" si="33">169405</f>
        <v>169405</v>
      </c>
      <c r="E113" s="85">
        <v>12</v>
      </c>
      <c r="F113" s="85">
        <f>D113*E113</f>
        <v>2032860</v>
      </c>
    </row>
  </sheetData>
  <mergeCells count="1">
    <mergeCell ref="AQ25:AW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X113"/>
  <sheetViews>
    <sheetView tabSelected="1" workbookViewId="0">
      <selection activeCell="A11" sqref="A11"/>
    </sheetView>
  </sheetViews>
  <sheetFormatPr defaultColWidth="11.1640625" defaultRowHeight="15" customHeight="1"/>
  <cols>
    <col min="1" max="1" width="32.83203125" style="84" bestFit="1" customWidth="1"/>
    <col min="2" max="2" width="9.6640625" style="84" bestFit="1" customWidth="1"/>
    <col min="3" max="3" width="22.08203125" style="84" customWidth="1"/>
    <col min="4" max="5" width="10" style="84" customWidth="1"/>
    <col min="6" max="6" width="11" style="84" customWidth="1"/>
    <col min="7" max="7" width="15" style="84" customWidth="1"/>
    <col min="8" max="18" width="11" style="84" customWidth="1"/>
    <col min="19" max="19" width="15.58203125" style="84" customWidth="1"/>
    <col min="20" max="21" width="11" style="84" customWidth="1"/>
    <col min="22" max="23" width="12" style="84" customWidth="1"/>
    <col min="24" max="24" width="10" style="84" customWidth="1"/>
    <col min="25" max="25" width="12" style="84" customWidth="1"/>
    <col min="26" max="26" width="10" style="84" customWidth="1"/>
    <col min="27" max="27" width="10" style="84" bestFit="1" customWidth="1"/>
    <col min="28" max="30" width="12" style="84" bestFit="1" customWidth="1"/>
    <col min="31" max="31" width="16.1640625" style="84" bestFit="1" customWidth="1"/>
    <col min="32" max="39" width="12" style="84" bestFit="1" customWidth="1"/>
    <col min="40" max="40" width="8.6640625" style="84" bestFit="1" customWidth="1"/>
    <col min="41" max="41" width="27.6640625" style="84" bestFit="1" customWidth="1"/>
    <col min="42" max="42" width="10.83203125" style="84" bestFit="1" customWidth="1"/>
    <col min="43" max="43" width="20.58203125" style="84" bestFit="1" customWidth="1"/>
    <col min="44" max="44" width="6.08203125" style="84" bestFit="1" customWidth="1"/>
    <col min="45" max="46" width="5.6640625" style="84" bestFit="1" customWidth="1"/>
    <col min="47" max="50" width="6.58203125" style="84" bestFit="1" customWidth="1"/>
    <col min="51" max="51" width="5.6640625" style="84" customWidth="1"/>
    <col min="52" max="16384" width="11.1640625" style="84"/>
  </cols>
  <sheetData>
    <row r="1" spans="1:76" ht="106.5" customHeight="1">
      <c r="A1" s="85"/>
      <c r="B1" s="15" t="s">
        <v>0</v>
      </c>
      <c r="C1" s="22"/>
      <c r="D1" s="22">
        <v>44197</v>
      </c>
      <c r="E1" s="22">
        <f t="shared" ref="E1:AM1" si="0">EDATE(D1,1)</f>
        <v>44228</v>
      </c>
      <c r="F1" s="22">
        <f t="shared" si="0"/>
        <v>44256</v>
      </c>
      <c r="G1" s="22">
        <f t="shared" si="0"/>
        <v>44287</v>
      </c>
      <c r="H1" s="22">
        <f t="shared" si="0"/>
        <v>44317</v>
      </c>
      <c r="I1" s="22">
        <f t="shared" si="0"/>
        <v>44348</v>
      </c>
      <c r="J1" s="22">
        <f t="shared" si="0"/>
        <v>44378</v>
      </c>
      <c r="K1" s="22">
        <f t="shared" si="0"/>
        <v>44409</v>
      </c>
      <c r="L1" s="22">
        <f t="shared" si="0"/>
        <v>44440</v>
      </c>
      <c r="M1" s="22">
        <f t="shared" si="0"/>
        <v>44470</v>
      </c>
      <c r="N1" s="22">
        <f t="shared" si="0"/>
        <v>44501</v>
      </c>
      <c r="O1" s="22">
        <f t="shared" si="0"/>
        <v>44531</v>
      </c>
      <c r="P1" s="22">
        <f t="shared" si="0"/>
        <v>44562</v>
      </c>
      <c r="Q1" s="22">
        <f t="shared" si="0"/>
        <v>44593</v>
      </c>
      <c r="R1" s="22">
        <f t="shared" si="0"/>
        <v>44621</v>
      </c>
      <c r="S1" s="22">
        <f t="shared" si="0"/>
        <v>44652</v>
      </c>
      <c r="T1" s="22">
        <f t="shared" si="0"/>
        <v>44682</v>
      </c>
      <c r="U1" s="22">
        <f t="shared" si="0"/>
        <v>44713</v>
      </c>
      <c r="V1" s="22">
        <f t="shared" si="0"/>
        <v>44743</v>
      </c>
      <c r="W1" s="22">
        <f t="shared" si="0"/>
        <v>44774</v>
      </c>
      <c r="X1" s="22">
        <f t="shared" si="0"/>
        <v>44805</v>
      </c>
      <c r="Y1" s="22">
        <f t="shared" si="0"/>
        <v>44835</v>
      </c>
      <c r="Z1" s="22">
        <f t="shared" si="0"/>
        <v>44866</v>
      </c>
      <c r="AA1" s="22">
        <f t="shared" si="0"/>
        <v>44896</v>
      </c>
      <c r="AB1" s="22">
        <f t="shared" si="0"/>
        <v>44927</v>
      </c>
      <c r="AC1" s="22">
        <f t="shared" si="0"/>
        <v>44958</v>
      </c>
      <c r="AD1" s="22">
        <f t="shared" si="0"/>
        <v>44986</v>
      </c>
      <c r="AE1" s="22">
        <f t="shared" si="0"/>
        <v>45017</v>
      </c>
      <c r="AF1" s="22">
        <f t="shared" si="0"/>
        <v>45047</v>
      </c>
      <c r="AG1" s="22">
        <f t="shared" si="0"/>
        <v>45078</v>
      </c>
      <c r="AH1" s="22">
        <f t="shared" si="0"/>
        <v>45108</v>
      </c>
      <c r="AI1" s="22">
        <f t="shared" si="0"/>
        <v>45139</v>
      </c>
      <c r="AJ1" s="22">
        <f t="shared" si="0"/>
        <v>45170</v>
      </c>
      <c r="AK1" s="22">
        <f t="shared" si="0"/>
        <v>45200</v>
      </c>
      <c r="AL1" s="22">
        <f t="shared" si="0"/>
        <v>45231</v>
      </c>
      <c r="AM1" s="22">
        <f t="shared" si="0"/>
        <v>45261</v>
      </c>
      <c r="AN1" s="22"/>
      <c r="AO1" s="22"/>
      <c r="AP1" s="22"/>
      <c r="AQ1" s="147"/>
      <c r="AR1" s="147"/>
      <c r="AS1" s="147" t="s">
        <v>1</v>
      </c>
      <c r="AT1" s="147" t="s">
        <v>2</v>
      </c>
      <c r="AU1" s="147" t="s">
        <v>3</v>
      </c>
      <c r="AV1" s="147" t="s">
        <v>4</v>
      </c>
      <c r="AW1" s="147" t="s">
        <v>5</v>
      </c>
      <c r="AX1" s="147"/>
      <c r="AY1" s="22"/>
      <c r="AZ1" s="85"/>
      <c r="BA1" s="85"/>
      <c r="BB1" s="85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ht="15.5">
      <c r="A2" s="24" t="s">
        <v>6</v>
      </c>
      <c r="B2" s="25">
        <v>0.55000000000000004</v>
      </c>
      <c r="C2" s="24" t="s">
        <v>7</v>
      </c>
      <c r="D2" s="26">
        <f>D5*$AA2</f>
        <v>0</v>
      </c>
      <c r="E2" s="26">
        <f t="shared" ref="E2:Z2" si="1">E5*$AA2</f>
        <v>0</v>
      </c>
      <c r="F2" s="26">
        <f t="shared" si="1"/>
        <v>0</v>
      </c>
      <c r="G2" s="26">
        <f t="shared" si="1"/>
        <v>0</v>
      </c>
      <c r="H2" s="26">
        <f t="shared" si="1"/>
        <v>0</v>
      </c>
      <c r="I2" s="26">
        <f t="shared" si="1"/>
        <v>0</v>
      </c>
      <c r="J2" s="26">
        <f t="shared" si="1"/>
        <v>0</v>
      </c>
      <c r="K2" s="26">
        <f t="shared" si="1"/>
        <v>0</v>
      </c>
      <c r="L2" s="26">
        <f t="shared" si="1"/>
        <v>0</v>
      </c>
      <c r="M2" s="26">
        <f t="shared" si="1"/>
        <v>0</v>
      </c>
      <c r="N2" s="26">
        <f t="shared" si="1"/>
        <v>0</v>
      </c>
      <c r="O2" s="26">
        <f t="shared" si="1"/>
        <v>0</v>
      </c>
      <c r="P2" s="26">
        <f t="shared" si="1"/>
        <v>0</v>
      </c>
      <c r="Q2" s="26">
        <f t="shared" si="1"/>
        <v>0</v>
      </c>
      <c r="R2" s="26">
        <f t="shared" si="1"/>
        <v>0</v>
      </c>
      <c r="S2" s="26">
        <f t="shared" si="1"/>
        <v>0</v>
      </c>
      <c r="T2" s="26">
        <f t="shared" si="1"/>
        <v>0</v>
      </c>
      <c r="U2" s="26">
        <f t="shared" si="1"/>
        <v>0</v>
      </c>
      <c r="V2" s="26">
        <f t="shared" si="1"/>
        <v>0</v>
      </c>
      <c r="W2" s="26">
        <f t="shared" si="1"/>
        <v>0</v>
      </c>
      <c r="X2" s="26">
        <f t="shared" si="1"/>
        <v>0</v>
      </c>
      <c r="Y2" s="26">
        <f t="shared" si="1"/>
        <v>0</v>
      </c>
      <c r="Z2" s="26">
        <f t="shared" si="1"/>
        <v>0</v>
      </c>
      <c r="AA2" s="114">
        <v>0</v>
      </c>
      <c r="AB2" s="26">
        <f t="shared" ref="AB2:AM2" si="2">AB5*$AA2</f>
        <v>0</v>
      </c>
      <c r="AC2" s="26">
        <f t="shared" si="2"/>
        <v>0</v>
      </c>
      <c r="AD2" s="26">
        <f t="shared" si="2"/>
        <v>0</v>
      </c>
      <c r="AE2" s="26">
        <f t="shared" si="2"/>
        <v>0</v>
      </c>
      <c r="AF2" s="26">
        <f t="shared" si="2"/>
        <v>0</v>
      </c>
      <c r="AG2" s="26">
        <f t="shared" si="2"/>
        <v>0</v>
      </c>
      <c r="AH2" s="26">
        <f t="shared" si="2"/>
        <v>0</v>
      </c>
      <c r="AI2" s="26">
        <f t="shared" si="2"/>
        <v>0</v>
      </c>
      <c r="AJ2" s="26">
        <f t="shared" si="2"/>
        <v>0</v>
      </c>
      <c r="AK2" s="26">
        <f t="shared" si="2"/>
        <v>0</v>
      </c>
      <c r="AL2" s="26">
        <f t="shared" si="2"/>
        <v>0</v>
      </c>
      <c r="AM2" s="26">
        <f t="shared" si="2"/>
        <v>0</v>
      </c>
      <c r="AN2" s="27"/>
      <c r="AO2" s="27"/>
      <c r="AP2" s="27"/>
      <c r="AQ2" s="106" t="s">
        <v>86</v>
      </c>
      <c r="AR2" s="107">
        <f>AA4</f>
        <v>32850</v>
      </c>
      <c r="AS2" s="148">
        <f>SUM(D4:O4)</f>
        <v>75555</v>
      </c>
      <c r="AT2" s="148">
        <f>SUM(P4:AA4)</f>
        <v>248017.5</v>
      </c>
      <c r="AU2" s="148">
        <f>SUM(AB4:AM4)</f>
        <v>445446</v>
      </c>
      <c r="AV2" s="148">
        <f>AU2*1.2</f>
        <v>534535.19999999995</v>
      </c>
      <c r="AW2" s="148">
        <f>AV2*1.2</f>
        <v>641442.23999999987</v>
      </c>
      <c r="AX2" s="148">
        <f>SUM(AS2:AW2)</f>
        <v>1944995.94</v>
      </c>
      <c r="AY2" s="26"/>
      <c r="AZ2" s="85"/>
      <c r="BA2" s="85"/>
      <c r="BB2" s="85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</row>
    <row r="3" spans="1:76" ht="15.5">
      <c r="A3" s="24" t="s">
        <v>9</v>
      </c>
      <c r="B3" s="25">
        <v>0.3</v>
      </c>
      <c r="C3" s="24" t="s">
        <v>10</v>
      </c>
      <c r="D3" s="26">
        <f>D5*$AA3</f>
        <v>5475</v>
      </c>
      <c r="E3" s="26">
        <f t="shared" ref="E3:Z3" si="3">E5*$AA3</f>
        <v>5475</v>
      </c>
      <c r="F3" s="26">
        <f t="shared" si="3"/>
        <v>10950</v>
      </c>
      <c r="G3" s="26">
        <f t="shared" si="3"/>
        <v>10950</v>
      </c>
      <c r="H3" s="26">
        <f t="shared" si="3"/>
        <v>10950</v>
      </c>
      <c r="I3" s="26">
        <f t="shared" si="3"/>
        <v>21900</v>
      </c>
      <c r="J3" s="26">
        <f t="shared" si="3"/>
        <v>21900</v>
      </c>
      <c r="K3" s="26">
        <f t="shared" si="3"/>
        <v>21900</v>
      </c>
      <c r="L3" s="26">
        <f t="shared" si="3"/>
        <v>32850</v>
      </c>
      <c r="M3" s="26">
        <f t="shared" si="3"/>
        <v>32850</v>
      </c>
      <c r="N3" s="26">
        <f t="shared" si="3"/>
        <v>32850</v>
      </c>
      <c r="O3" s="26">
        <f t="shared" si="3"/>
        <v>43800</v>
      </c>
      <c r="P3" s="26">
        <f t="shared" si="3"/>
        <v>43800</v>
      </c>
      <c r="Q3" s="26">
        <f t="shared" si="3"/>
        <v>43800</v>
      </c>
      <c r="R3" s="26">
        <f t="shared" si="3"/>
        <v>54750</v>
      </c>
      <c r="S3" s="26">
        <f t="shared" si="3"/>
        <v>54750</v>
      </c>
      <c r="T3" s="26">
        <f t="shared" si="3"/>
        <v>54750</v>
      </c>
      <c r="U3" s="26">
        <f t="shared" si="3"/>
        <v>54750</v>
      </c>
      <c r="V3" s="26">
        <f t="shared" si="3"/>
        <v>82125</v>
      </c>
      <c r="W3" s="26">
        <f t="shared" si="3"/>
        <v>82125</v>
      </c>
      <c r="X3" s="26">
        <f t="shared" si="3"/>
        <v>82125</v>
      </c>
      <c r="Y3" s="26">
        <f t="shared" si="3"/>
        <v>82125</v>
      </c>
      <c r="Z3" s="26">
        <f t="shared" si="3"/>
        <v>82125</v>
      </c>
      <c r="AA3" s="82">
        <v>109500</v>
      </c>
      <c r="AB3" s="26">
        <f t="shared" ref="AB3:AM3" si="4">AB5*$AA3</f>
        <v>111690</v>
      </c>
      <c r="AC3" s="26">
        <f t="shared" si="4"/>
        <v>113880</v>
      </c>
      <c r="AD3" s="26">
        <f t="shared" si="4"/>
        <v>116070</v>
      </c>
      <c r="AE3" s="26">
        <f t="shared" si="4"/>
        <v>118260.00000000001</v>
      </c>
      <c r="AF3" s="26">
        <f t="shared" si="4"/>
        <v>120450.00000000001</v>
      </c>
      <c r="AG3" s="26">
        <f t="shared" si="4"/>
        <v>122640.00000000001</v>
      </c>
      <c r="AH3" s="26">
        <f t="shared" si="4"/>
        <v>124830.00000000001</v>
      </c>
      <c r="AI3" s="26">
        <f t="shared" si="4"/>
        <v>127020.00000000001</v>
      </c>
      <c r="AJ3" s="26">
        <f t="shared" si="4"/>
        <v>129210.00000000001</v>
      </c>
      <c r="AK3" s="26">
        <f t="shared" si="4"/>
        <v>131400.00000000003</v>
      </c>
      <c r="AL3" s="26">
        <f t="shared" si="4"/>
        <v>133590.00000000003</v>
      </c>
      <c r="AM3" s="26">
        <f t="shared" si="4"/>
        <v>135780.00000000003</v>
      </c>
      <c r="AN3" s="27"/>
      <c r="AO3" s="27"/>
      <c r="AP3" s="27"/>
      <c r="AQ3" s="106" t="s">
        <v>87</v>
      </c>
      <c r="AR3" s="107">
        <f>AA13</f>
        <v>25278.440000000002</v>
      </c>
      <c r="AS3" s="148">
        <f>SUM(D13:O13)</f>
        <v>58140.411999999997</v>
      </c>
      <c r="AT3" s="148">
        <f>SUM(P13:AA13)</f>
        <v>190852.22200000001</v>
      </c>
      <c r="AU3" s="148">
        <f>SUM(AB13:AM13)</f>
        <v>342775.64640000009</v>
      </c>
      <c r="AV3" s="148">
        <f t="shared" ref="AV3:AW6" si="5">AU3*1.2</f>
        <v>411330.77568000008</v>
      </c>
      <c r="AW3" s="148">
        <f t="shared" si="5"/>
        <v>493596.93081600009</v>
      </c>
      <c r="AX3" s="148">
        <f t="shared" ref="AX3:AX7" si="6">SUM(AS3:AW3)</f>
        <v>1496695.9868960003</v>
      </c>
      <c r="AY3" s="26"/>
      <c r="AZ3" s="85"/>
      <c r="BA3" s="85"/>
      <c r="BB3" s="85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</row>
    <row r="4" spans="1:76" ht="15.5">
      <c r="A4" s="28" t="s">
        <v>0</v>
      </c>
      <c r="B4" s="29"/>
      <c r="C4" s="30"/>
      <c r="D4" s="30">
        <f>(D2*$B$2)+(D3*$B$3)</f>
        <v>1642.5</v>
      </c>
      <c r="E4" s="30">
        <f t="shared" ref="E4:AM4" si="7">(E2*$B$2)+(E3*$B$3)</f>
        <v>1642.5</v>
      </c>
      <c r="F4" s="30">
        <f t="shared" si="7"/>
        <v>3285</v>
      </c>
      <c r="G4" s="30">
        <f t="shared" si="7"/>
        <v>3285</v>
      </c>
      <c r="H4" s="30">
        <f t="shared" si="7"/>
        <v>3285</v>
      </c>
      <c r="I4" s="30">
        <f t="shared" si="7"/>
        <v>6570</v>
      </c>
      <c r="J4" s="30">
        <f t="shared" si="7"/>
        <v>6570</v>
      </c>
      <c r="K4" s="30">
        <f t="shared" si="7"/>
        <v>6570</v>
      </c>
      <c r="L4" s="30">
        <f t="shared" si="7"/>
        <v>9855</v>
      </c>
      <c r="M4" s="30">
        <f t="shared" si="7"/>
        <v>9855</v>
      </c>
      <c r="N4" s="30">
        <f t="shared" si="7"/>
        <v>9855</v>
      </c>
      <c r="O4" s="30">
        <f t="shared" si="7"/>
        <v>13140</v>
      </c>
      <c r="P4" s="30">
        <f t="shared" si="7"/>
        <v>13140</v>
      </c>
      <c r="Q4" s="30">
        <f t="shared" si="7"/>
        <v>13140</v>
      </c>
      <c r="R4" s="30">
        <f t="shared" si="7"/>
        <v>16425</v>
      </c>
      <c r="S4" s="30">
        <f t="shared" si="7"/>
        <v>16425</v>
      </c>
      <c r="T4" s="30">
        <f t="shared" si="7"/>
        <v>16425</v>
      </c>
      <c r="U4" s="30">
        <f t="shared" si="7"/>
        <v>16425</v>
      </c>
      <c r="V4" s="30">
        <f t="shared" si="7"/>
        <v>24637.5</v>
      </c>
      <c r="W4" s="30">
        <f t="shared" si="7"/>
        <v>24637.5</v>
      </c>
      <c r="X4" s="30">
        <f t="shared" si="7"/>
        <v>24637.5</v>
      </c>
      <c r="Y4" s="30">
        <f t="shared" si="7"/>
        <v>24637.5</v>
      </c>
      <c r="Z4" s="30">
        <f t="shared" si="7"/>
        <v>24637.5</v>
      </c>
      <c r="AA4" s="30">
        <f t="shared" si="7"/>
        <v>32850</v>
      </c>
      <c r="AB4" s="30">
        <f t="shared" si="7"/>
        <v>33507</v>
      </c>
      <c r="AC4" s="30">
        <f t="shared" si="7"/>
        <v>34164</v>
      </c>
      <c r="AD4" s="30">
        <f t="shared" si="7"/>
        <v>34821</v>
      </c>
      <c r="AE4" s="30">
        <f t="shared" si="7"/>
        <v>35478</v>
      </c>
      <c r="AF4" s="30">
        <f t="shared" si="7"/>
        <v>36135</v>
      </c>
      <c r="AG4" s="30">
        <f t="shared" si="7"/>
        <v>36792</v>
      </c>
      <c r="AH4" s="30">
        <f t="shared" si="7"/>
        <v>37449</v>
      </c>
      <c r="AI4" s="30">
        <f t="shared" si="7"/>
        <v>38106</v>
      </c>
      <c r="AJ4" s="30">
        <f t="shared" si="7"/>
        <v>38763</v>
      </c>
      <c r="AK4" s="30">
        <f t="shared" si="7"/>
        <v>39420.000000000007</v>
      </c>
      <c r="AL4" s="30">
        <f t="shared" si="7"/>
        <v>40077.000000000007</v>
      </c>
      <c r="AM4" s="30">
        <f t="shared" si="7"/>
        <v>40734.000000000007</v>
      </c>
      <c r="AN4" s="31">
        <f>SUM(D4:AM4)</f>
        <v>769018.5</v>
      </c>
      <c r="AO4" s="32" t="s">
        <v>12</v>
      </c>
      <c r="AP4" s="29"/>
      <c r="AQ4" s="106" t="s">
        <v>88</v>
      </c>
      <c r="AR4" s="107">
        <f>AA32+AA33</f>
        <v>4490.0200000000004</v>
      </c>
      <c r="AS4" s="148">
        <f>SUM(D34:O34)</f>
        <v>10327.045999999998</v>
      </c>
      <c r="AT4" s="148">
        <f>SUM(P34:AA34)</f>
        <v>33899.650999999998</v>
      </c>
      <c r="AU4" s="148">
        <f>SUM(AB34:AM34)</f>
        <v>60884.671199999997</v>
      </c>
      <c r="AV4" s="148">
        <f t="shared" si="5"/>
        <v>73061.605439999999</v>
      </c>
      <c r="AW4" s="148">
        <f t="shared" si="5"/>
        <v>87673.926527999996</v>
      </c>
      <c r="AX4" s="148">
        <f t="shared" si="6"/>
        <v>265846.90016799996</v>
      </c>
      <c r="AY4" s="30"/>
      <c r="AZ4" s="85"/>
      <c r="BA4" s="85"/>
      <c r="BB4" s="85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</row>
    <row r="5" spans="1:76" ht="15.5">
      <c r="A5" s="24" t="s">
        <v>14</v>
      </c>
      <c r="B5" s="27"/>
      <c r="C5" s="33"/>
      <c r="D5" s="33">
        <v>0.05</v>
      </c>
      <c r="E5" s="33">
        <v>0.05</v>
      </c>
      <c r="F5" s="33">
        <v>0.1</v>
      </c>
      <c r="G5" s="33">
        <v>0.1</v>
      </c>
      <c r="H5" s="33">
        <v>0.1</v>
      </c>
      <c r="I5" s="33">
        <v>0.2</v>
      </c>
      <c r="J5" s="33">
        <v>0.2</v>
      </c>
      <c r="K5" s="33">
        <v>0.2</v>
      </c>
      <c r="L5" s="33">
        <v>0.3</v>
      </c>
      <c r="M5" s="33">
        <v>0.3</v>
      </c>
      <c r="N5" s="33">
        <v>0.3</v>
      </c>
      <c r="O5" s="33">
        <v>0.4</v>
      </c>
      <c r="P5" s="33">
        <v>0.4</v>
      </c>
      <c r="Q5" s="33">
        <v>0.4</v>
      </c>
      <c r="R5" s="33">
        <v>0.5</v>
      </c>
      <c r="S5" s="33">
        <v>0.5</v>
      </c>
      <c r="T5" s="33">
        <v>0.5</v>
      </c>
      <c r="U5" s="33">
        <v>0.5</v>
      </c>
      <c r="V5" s="33">
        <v>0.75</v>
      </c>
      <c r="W5" s="33">
        <v>0.75</v>
      </c>
      <c r="X5" s="33">
        <v>0.75</v>
      </c>
      <c r="Y5" s="33">
        <v>0.75</v>
      </c>
      <c r="Z5" s="33">
        <v>0.75</v>
      </c>
      <c r="AA5" s="33">
        <v>1</v>
      </c>
      <c r="AB5" s="33">
        <f>AA5+2/100</f>
        <v>1.02</v>
      </c>
      <c r="AC5" s="33">
        <f>AB5+2/100</f>
        <v>1.04</v>
      </c>
      <c r="AD5" s="33">
        <f t="shared" ref="AD5:AM5" si="8">AC5+2/100</f>
        <v>1.06</v>
      </c>
      <c r="AE5" s="33">
        <f t="shared" si="8"/>
        <v>1.08</v>
      </c>
      <c r="AF5" s="33">
        <f t="shared" si="8"/>
        <v>1.1000000000000001</v>
      </c>
      <c r="AG5" s="33">
        <f t="shared" si="8"/>
        <v>1.1200000000000001</v>
      </c>
      <c r="AH5" s="33">
        <f t="shared" si="8"/>
        <v>1.1400000000000001</v>
      </c>
      <c r="AI5" s="33">
        <f t="shared" si="8"/>
        <v>1.1600000000000001</v>
      </c>
      <c r="AJ5" s="33">
        <f t="shared" si="8"/>
        <v>1.1800000000000002</v>
      </c>
      <c r="AK5" s="33">
        <f t="shared" si="8"/>
        <v>1.2000000000000002</v>
      </c>
      <c r="AL5" s="33">
        <f t="shared" si="8"/>
        <v>1.2200000000000002</v>
      </c>
      <c r="AM5" s="33">
        <f t="shared" si="8"/>
        <v>1.2400000000000002</v>
      </c>
      <c r="AN5" s="34"/>
      <c r="AO5" s="34"/>
      <c r="AP5" s="27"/>
      <c r="AQ5" s="107" t="s">
        <v>89</v>
      </c>
      <c r="AR5" s="108">
        <f>AA22</f>
        <v>27785.625</v>
      </c>
      <c r="AS5" s="148">
        <f>SUM(D22:O22)</f>
        <v>63906.9375</v>
      </c>
      <c r="AT5" s="148">
        <f>SUM(P22:AA22)</f>
        <v>209781.46875</v>
      </c>
      <c r="AU5" s="148">
        <f>SUM(AB22:AM22)</f>
        <v>376773.07500000001</v>
      </c>
      <c r="AV5" s="148">
        <f t="shared" si="5"/>
        <v>452127.69</v>
      </c>
      <c r="AW5" s="148">
        <f t="shared" si="5"/>
        <v>542553.228</v>
      </c>
      <c r="AX5" s="148">
        <f t="shared" si="6"/>
        <v>1645142.3992499998</v>
      </c>
      <c r="AY5" s="33"/>
      <c r="AZ5" s="85"/>
      <c r="BA5" s="85"/>
      <c r="BB5" s="85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</row>
    <row r="6" spans="1:76" ht="15.5">
      <c r="A6" s="24" t="s">
        <v>16</v>
      </c>
      <c r="B6" s="27"/>
      <c r="C6" s="27"/>
      <c r="D6" s="26">
        <f t="shared" ref="D6:AM6" si="9">SUM(D2:D3)</f>
        <v>5475</v>
      </c>
      <c r="E6" s="26">
        <f t="shared" si="9"/>
        <v>5475</v>
      </c>
      <c r="F6" s="26">
        <f t="shared" si="9"/>
        <v>10950</v>
      </c>
      <c r="G6" s="26">
        <f t="shared" si="9"/>
        <v>10950</v>
      </c>
      <c r="H6" s="26">
        <f t="shared" si="9"/>
        <v>10950</v>
      </c>
      <c r="I6" s="26">
        <f t="shared" si="9"/>
        <v>21900</v>
      </c>
      <c r="J6" s="26">
        <f t="shared" si="9"/>
        <v>21900</v>
      </c>
      <c r="K6" s="26">
        <f t="shared" si="9"/>
        <v>21900</v>
      </c>
      <c r="L6" s="26">
        <f t="shared" si="9"/>
        <v>32850</v>
      </c>
      <c r="M6" s="26">
        <f t="shared" si="9"/>
        <v>32850</v>
      </c>
      <c r="N6" s="26">
        <f t="shared" si="9"/>
        <v>32850</v>
      </c>
      <c r="O6" s="26">
        <f t="shared" si="9"/>
        <v>43800</v>
      </c>
      <c r="P6" s="26">
        <f t="shared" si="9"/>
        <v>43800</v>
      </c>
      <c r="Q6" s="26">
        <f t="shared" si="9"/>
        <v>43800</v>
      </c>
      <c r="R6" s="26">
        <f t="shared" si="9"/>
        <v>54750</v>
      </c>
      <c r="S6" s="26">
        <f t="shared" si="9"/>
        <v>54750</v>
      </c>
      <c r="T6" s="26">
        <f t="shared" si="9"/>
        <v>54750</v>
      </c>
      <c r="U6" s="26">
        <f t="shared" si="9"/>
        <v>54750</v>
      </c>
      <c r="V6" s="26">
        <f t="shared" si="9"/>
        <v>82125</v>
      </c>
      <c r="W6" s="26">
        <f t="shared" si="9"/>
        <v>82125</v>
      </c>
      <c r="X6" s="26">
        <f t="shared" si="9"/>
        <v>82125</v>
      </c>
      <c r="Y6" s="26">
        <f t="shared" si="9"/>
        <v>82125</v>
      </c>
      <c r="Z6" s="26">
        <f t="shared" si="9"/>
        <v>82125</v>
      </c>
      <c r="AA6" s="26">
        <f t="shared" si="9"/>
        <v>109500</v>
      </c>
      <c r="AB6" s="26">
        <f t="shared" si="9"/>
        <v>111690</v>
      </c>
      <c r="AC6" s="26">
        <f t="shared" si="9"/>
        <v>113880</v>
      </c>
      <c r="AD6" s="26">
        <f t="shared" si="9"/>
        <v>116070</v>
      </c>
      <c r="AE6" s="26">
        <f t="shared" si="9"/>
        <v>118260.00000000001</v>
      </c>
      <c r="AF6" s="26">
        <f t="shared" si="9"/>
        <v>120450.00000000001</v>
      </c>
      <c r="AG6" s="26">
        <f t="shared" si="9"/>
        <v>122640.00000000001</v>
      </c>
      <c r="AH6" s="26">
        <f t="shared" si="9"/>
        <v>124830.00000000001</v>
      </c>
      <c r="AI6" s="26">
        <f t="shared" si="9"/>
        <v>127020.00000000001</v>
      </c>
      <c r="AJ6" s="26">
        <f t="shared" si="9"/>
        <v>129210.00000000001</v>
      </c>
      <c r="AK6" s="26">
        <f t="shared" si="9"/>
        <v>131400.00000000003</v>
      </c>
      <c r="AL6" s="26">
        <f t="shared" si="9"/>
        <v>133590.00000000003</v>
      </c>
      <c r="AM6" s="26">
        <f t="shared" si="9"/>
        <v>135780.00000000003</v>
      </c>
      <c r="AN6" s="37">
        <f>SUM(D6:AM6)</f>
        <v>2563395</v>
      </c>
      <c r="AO6" s="38" t="s">
        <v>17</v>
      </c>
      <c r="AP6" s="27"/>
      <c r="AQ6" s="109" t="s">
        <v>288</v>
      </c>
      <c r="AR6" s="107">
        <f>AA19</f>
        <v>2568.2299999999996</v>
      </c>
      <c r="AS6" s="148">
        <f>SUM(D19:O19)</f>
        <v>5906.9290000000001</v>
      </c>
      <c r="AT6" s="148">
        <f>SUM(P19:AA19)</f>
        <v>19390.136500000001</v>
      </c>
      <c r="AU6" s="148">
        <f>SUM(AB19:AM19)</f>
        <v>34825.198799999998</v>
      </c>
      <c r="AV6" s="148">
        <f t="shared" si="5"/>
        <v>41790.238559999998</v>
      </c>
      <c r="AW6" s="148">
        <f t="shared" si="5"/>
        <v>50148.286271999998</v>
      </c>
      <c r="AX6" s="148">
        <f t="shared" si="6"/>
        <v>152060.78913200001</v>
      </c>
      <c r="AY6" s="26"/>
      <c r="AZ6" s="85"/>
      <c r="BA6" s="85"/>
      <c r="BB6" s="85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</row>
    <row r="7" spans="1:76" ht="15.5">
      <c r="A7" s="24" t="s">
        <v>19</v>
      </c>
      <c r="B7" s="24">
        <v>1.5</v>
      </c>
      <c r="C7" s="27"/>
      <c r="D7" s="26">
        <f>D6/$B7</f>
        <v>3650</v>
      </c>
      <c r="E7" s="26">
        <f t="shared" ref="E7:AM7" si="10">E6/$B7</f>
        <v>3650</v>
      </c>
      <c r="F7" s="26">
        <f t="shared" si="10"/>
        <v>7300</v>
      </c>
      <c r="G7" s="26">
        <f t="shared" si="10"/>
        <v>7300</v>
      </c>
      <c r="H7" s="26">
        <f t="shared" si="10"/>
        <v>7300</v>
      </c>
      <c r="I7" s="26">
        <f t="shared" si="10"/>
        <v>14600</v>
      </c>
      <c r="J7" s="26">
        <f t="shared" si="10"/>
        <v>14600</v>
      </c>
      <c r="K7" s="26">
        <f t="shared" si="10"/>
        <v>14600</v>
      </c>
      <c r="L7" s="26">
        <f t="shared" si="10"/>
        <v>21900</v>
      </c>
      <c r="M7" s="26">
        <f t="shared" si="10"/>
        <v>21900</v>
      </c>
      <c r="N7" s="26">
        <f t="shared" si="10"/>
        <v>21900</v>
      </c>
      <c r="O7" s="26">
        <f t="shared" si="10"/>
        <v>29200</v>
      </c>
      <c r="P7" s="26">
        <f t="shared" si="10"/>
        <v>29200</v>
      </c>
      <c r="Q7" s="26">
        <f t="shared" si="10"/>
        <v>29200</v>
      </c>
      <c r="R7" s="26">
        <f t="shared" si="10"/>
        <v>36500</v>
      </c>
      <c r="S7" s="26">
        <f t="shared" si="10"/>
        <v>36500</v>
      </c>
      <c r="T7" s="26">
        <f t="shared" si="10"/>
        <v>36500</v>
      </c>
      <c r="U7" s="26">
        <f t="shared" si="10"/>
        <v>36500</v>
      </c>
      <c r="V7" s="26">
        <f t="shared" si="10"/>
        <v>54750</v>
      </c>
      <c r="W7" s="26">
        <f t="shared" si="10"/>
        <v>54750</v>
      </c>
      <c r="X7" s="26">
        <f t="shared" si="10"/>
        <v>54750</v>
      </c>
      <c r="Y7" s="26">
        <f t="shared" si="10"/>
        <v>54750</v>
      </c>
      <c r="Z7" s="26">
        <f t="shared" si="10"/>
        <v>54750</v>
      </c>
      <c r="AA7" s="26">
        <f t="shared" si="10"/>
        <v>73000</v>
      </c>
      <c r="AB7" s="26">
        <f t="shared" si="10"/>
        <v>74460</v>
      </c>
      <c r="AC7" s="26">
        <f t="shared" si="10"/>
        <v>75920</v>
      </c>
      <c r="AD7" s="26">
        <f t="shared" si="10"/>
        <v>77380</v>
      </c>
      <c r="AE7" s="26">
        <f t="shared" si="10"/>
        <v>78840.000000000015</v>
      </c>
      <c r="AF7" s="26">
        <f t="shared" si="10"/>
        <v>80300.000000000015</v>
      </c>
      <c r="AG7" s="26">
        <f t="shared" si="10"/>
        <v>81760.000000000015</v>
      </c>
      <c r="AH7" s="26">
        <f t="shared" si="10"/>
        <v>83220.000000000015</v>
      </c>
      <c r="AI7" s="26">
        <f t="shared" si="10"/>
        <v>84680.000000000015</v>
      </c>
      <c r="AJ7" s="26">
        <f t="shared" si="10"/>
        <v>86140.000000000015</v>
      </c>
      <c r="AK7" s="26">
        <f t="shared" si="10"/>
        <v>87600.000000000015</v>
      </c>
      <c r="AL7" s="26">
        <f t="shared" si="10"/>
        <v>89060.000000000015</v>
      </c>
      <c r="AM7" s="26">
        <f t="shared" si="10"/>
        <v>90520.000000000015</v>
      </c>
      <c r="AN7" s="34"/>
      <c r="AO7" s="34"/>
      <c r="AP7" s="27"/>
      <c r="AQ7" s="110" t="s">
        <v>20</v>
      </c>
      <c r="AR7" s="107">
        <f>SUM(AR2:AR6)</f>
        <v>92972.315000000002</v>
      </c>
      <c r="AS7" s="148">
        <f>SUM(AS2:AS6)</f>
        <v>213836.32450000002</v>
      </c>
      <c r="AT7" s="148">
        <f t="shared" ref="AT7" si="11">SUM(P9:AA9)</f>
        <v>330690</v>
      </c>
      <c r="AU7" s="148">
        <f>SUM(AU2:AU6)</f>
        <v>1260704.5914</v>
      </c>
      <c r="AV7" s="148">
        <f>SUM(AV2:AV6)</f>
        <v>1512845.5096799999</v>
      </c>
      <c r="AW7" s="148">
        <f>SUM(AW2:AW6)</f>
        <v>1815414.6116160001</v>
      </c>
      <c r="AX7" s="148">
        <f t="shared" si="6"/>
        <v>5133491.0371959992</v>
      </c>
      <c r="AY7" s="26"/>
      <c r="AZ7" s="85"/>
      <c r="BA7" s="85"/>
      <c r="BB7" s="85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</row>
    <row r="8" spans="1:76" ht="15.5">
      <c r="A8" s="75" t="s">
        <v>21</v>
      </c>
      <c r="B8" s="33">
        <v>0.4</v>
      </c>
      <c r="C8" s="27"/>
      <c r="D8" s="26">
        <f>D7*$B8</f>
        <v>1460</v>
      </c>
      <c r="E8" s="26">
        <f t="shared" ref="E8:AM8" si="12">E7*$B8</f>
        <v>1460</v>
      </c>
      <c r="F8" s="26">
        <f t="shared" si="12"/>
        <v>2920</v>
      </c>
      <c r="G8" s="26">
        <f t="shared" si="12"/>
        <v>2920</v>
      </c>
      <c r="H8" s="26">
        <f t="shared" si="12"/>
        <v>2920</v>
      </c>
      <c r="I8" s="26">
        <f t="shared" si="12"/>
        <v>5840</v>
      </c>
      <c r="J8" s="26">
        <f t="shared" si="12"/>
        <v>5840</v>
      </c>
      <c r="K8" s="26">
        <f t="shared" si="12"/>
        <v>5840</v>
      </c>
      <c r="L8" s="26">
        <f t="shared" si="12"/>
        <v>8760</v>
      </c>
      <c r="M8" s="26">
        <f t="shared" si="12"/>
        <v>8760</v>
      </c>
      <c r="N8" s="26">
        <f t="shared" si="12"/>
        <v>8760</v>
      </c>
      <c r="O8" s="26">
        <f t="shared" si="12"/>
        <v>11680</v>
      </c>
      <c r="P8" s="26">
        <f t="shared" si="12"/>
        <v>11680</v>
      </c>
      <c r="Q8" s="26">
        <f t="shared" si="12"/>
        <v>11680</v>
      </c>
      <c r="R8" s="26">
        <f t="shared" si="12"/>
        <v>14600</v>
      </c>
      <c r="S8" s="26">
        <f t="shared" si="12"/>
        <v>14600</v>
      </c>
      <c r="T8" s="26">
        <f t="shared" si="12"/>
        <v>14600</v>
      </c>
      <c r="U8" s="26">
        <f t="shared" si="12"/>
        <v>14600</v>
      </c>
      <c r="V8" s="26">
        <f t="shared" si="12"/>
        <v>21900</v>
      </c>
      <c r="W8" s="26">
        <f t="shared" si="12"/>
        <v>21900</v>
      </c>
      <c r="X8" s="26">
        <f t="shared" si="12"/>
        <v>21900</v>
      </c>
      <c r="Y8" s="26">
        <f t="shared" si="12"/>
        <v>21900</v>
      </c>
      <c r="Z8" s="26">
        <f t="shared" si="12"/>
        <v>21900</v>
      </c>
      <c r="AA8" s="26">
        <f t="shared" si="12"/>
        <v>29200</v>
      </c>
      <c r="AB8" s="26">
        <f t="shared" si="12"/>
        <v>29784</v>
      </c>
      <c r="AC8" s="26">
        <f t="shared" si="12"/>
        <v>30368</v>
      </c>
      <c r="AD8" s="26">
        <f t="shared" si="12"/>
        <v>30952</v>
      </c>
      <c r="AE8" s="26">
        <f t="shared" si="12"/>
        <v>31536.000000000007</v>
      </c>
      <c r="AF8" s="26">
        <f t="shared" si="12"/>
        <v>32120.000000000007</v>
      </c>
      <c r="AG8" s="26">
        <f t="shared" si="12"/>
        <v>32704.000000000007</v>
      </c>
      <c r="AH8" s="26">
        <f t="shared" si="12"/>
        <v>33288.000000000007</v>
      </c>
      <c r="AI8" s="26">
        <f t="shared" si="12"/>
        <v>33872.000000000007</v>
      </c>
      <c r="AJ8" s="26">
        <f t="shared" si="12"/>
        <v>34456.000000000007</v>
      </c>
      <c r="AK8" s="26">
        <f t="shared" si="12"/>
        <v>35040.000000000007</v>
      </c>
      <c r="AL8" s="26">
        <f t="shared" si="12"/>
        <v>35624.000000000007</v>
      </c>
      <c r="AM8" s="26">
        <f t="shared" si="12"/>
        <v>36208.000000000007</v>
      </c>
      <c r="AN8" s="34"/>
      <c r="AO8" s="34"/>
      <c r="AP8" s="27"/>
      <c r="AQ8" s="26"/>
      <c r="AR8" s="26"/>
      <c r="AS8" s="26"/>
      <c r="AT8" s="26"/>
      <c r="AU8" s="26"/>
      <c r="AV8" s="26"/>
      <c r="AW8" s="26"/>
      <c r="AX8" s="26"/>
      <c r="AY8" s="26"/>
      <c r="AZ8" s="85"/>
      <c r="BA8" s="85"/>
      <c r="BB8" s="85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</row>
    <row r="9" spans="1:76" ht="15.5">
      <c r="A9" s="75" t="s">
        <v>22</v>
      </c>
      <c r="B9" s="46">
        <v>0.6</v>
      </c>
      <c r="C9" s="27"/>
      <c r="D9" s="26">
        <f>D7-D8</f>
        <v>2190</v>
      </c>
      <c r="E9" s="26">
        <f t="shared" ref="E9:AM9" si="13">E7-E8</f>
        <v>2190</v>
      </c>
      <c r="F9" s="26">
        <f t="shared" si="13"/>
        <v>4380</v>
      </c>
      <c r="G9" s="26">
        <f t="shared" si="13"/>
        <v>4380</v>
      </c>
      <c r="H9" s="26">
        <f t="shared" si="13"/>
        <v>4380</v>
      </c>
      <c r="I9" s="26">
        <f t="shared" si="13"/>
        <v>8760</v>
      </c>
      <c r="J9" s="26">
        <f t="shared" si="13"/>
        <v>8760</v>
      </c>
      <c r="K9" s="26">
        <f t="shared" si="13"/>
        <v>8760</v>
      </c>
      <c r="L9" s="26">
        <f t="shared" si="13"/>
        <v>13140</v>
      </c>
      <c r="M9" s="26">
        <f t="shared" si="13"/>
        <v>13140</v>
      </c>
      <c r="N9" s="26">
        <f t="shared" si="13"/>
        <v>13140</v>
      </c>
      <c r="O9" s="26">
        <f t="shared" si="13"/>
        <v>17520</v>
      </c>
      <c r="P9" s="26">
        <f t="shared" si="13"/>
        <v>17520</v>
      </c>
      <c r="Q9" s="26">
        <f t="shared" si="13"/>
        <v>17520</v>
      </c>
      <c r="R9" s="26">
        <f t="shared" si="13"/>
        <v>21900</v>
      </c>
      <c r="S9" s="26">
        <f t="shared" si="13"/>
        <v>21900</v>
      </c>
      <c r="T9" s="26">
        <f t="shared" si="13"/>
        <v>21900</v>
      </c>
      <c r="U9" s="26">
        <f t="shared" si="13"/>
        <v>21900</v>
      </c>
      <c r="V9" s="26">
        <f t="shared" si="13"/>
        <v>32850</v>
      </c>
      <c r="W9" s="26">
        <f t="shared" si="13"/>
        <v>32850</v>
      </c>
      <c r="X9" s="26">
        <f t="shared" si="13"/>
        <v>32850</v>
      </c>
      <c r="Y9" s="26">
        <f t="shared" si="13"/>
        <v>32850</v>
      </c>
      <c r="Z9" s="26">
        <f t="shared" si="13"/>
        <v>32850</v>
      </c>
      <c r="AA9" s="26">
        <f t="shared" si="13"/>
        <v>43800</v>
      </c>
      <c r="AB9" s="26">
        <f t="shared" si="13"/>
        <v>44676</v>
      </c>
      <c r="AC9" s="26">
        <f t="shared" si="13"/>
        <v>45552</v>
      </c>
      <c r="AD9" s="26">
        <f t="shared" si="13"/>
        <v>46428</v>
      </c>
      <c r="AE9" s="26">
        <f t="shared" si="13"/>
        <v>47304.000000000007</v>
      </c>
      <c r="AF9" s="26">
        <f t="shared" si="13"/>
        <v>48180.000000000007</v>
      </c>
      <c r="AG9" s="26">
        <f t="shared" si="13"/>
        <v>49056.000000000007</v>
      </c>
      <c r="AH9" s="26">
        <f t="shared" si="13"/>
        <v>49932.000000000007</v>
      </c>
      <c r="AI9" s="26">
        <f t="shared" si="13"/>
        <v>50808.000000000007</v>
      </c>
      <c r="AJ9" s="26">
        <f t="shared" si="13"/>
        <v>51684.000000000007</v>
      </c>
      <c r="AK9" s="26">
        <f t="shared" si="13"/>
        <v>52560.000000000007</v>
      </c>
      <c r="AL9" s="26">
        <f t="shared" si="13"/>
        <v>53436.000000000007</v>
      </c>
      <c r="AM9" s="26">
        <f t="shared" si="13"/>
        <v>54312.000000000007</v>
      </c>
      <c r="AN9" s="34"/>
      <c r="AO9" s="34"/>
      <c r="AP9" s="27"/>
      <c r="AQ9" s="26"/>
      <c r="AR9" s="26"/>
      <c r="AS9" s="26"/>
      <c r="AT9" s="26"/>
      <c r="AU9" s="26"/>
      <c r="AV9" s="26"/>
      <c r="AW9" s="26"/>
      <c r="AX9" s="26"/>
      <c r="AY9" s="26"/>
      <c r="AZ9" s="85"/>
      <c r="BA9" s="85"/>
      <c r="BB9" s="85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</row>
    <row r="10" spans="1:76" ht="15.5">
      <c r="A10" s="24" t="s">
        <v>23</v>
      </c>
      <c r="B10" s="41">
        <v>0.56000000000000005</v>
      </c>
      <c r="C10" s="27"/>
      <c r="D10" s="42">
        <f t="shared" ref="D10:AM10" si="14">D7*$B10</f>
        <v>2044.0000000000002</v>
      </c>
      <c r="E10" s="42">
        <f t="shared" si="14"/>
        <v>2044.0000000000002</v>
      </c>
      <c r="F10" s="42">
        <f t="shared" si="14"/>
        <v>4088.0000000000005</v>
      </c>
      <c r="G10" s="42">
        <f t="shared" si="14"/>
        <v>4088.0000000000005</v>
      </c>
      <c r="H10" s="42">
        <f t="shared" si="14"/>
        <v>4088.0000000000005</v>
      </c>
      <c r="I10" s="42">
        <f t="shared" si="14"/>
        <v>8176.0000000000009</v>
      </c>
      <c r="J10" s="42">
        <f t="shared" si="14"/>
        <v>8176.0000000000009</v>
      </c>
      <c r="K10" s="42">
        <f t="shared" si="14"/>
        <v>8176.0000000000009</v>
      </c>
      <c r="L10" s="42">
        <f t="shared" si="14"/>
        <v>12264.000000000002</v>
      </c>
      <c r="M10" s="42">
        <f t="shared" si="14"/>
        <v>12264.000000000002</v>
      </c>
      <c r="N10" s="42">
        <f t="shared" si="14"/>
        <v>12264.000000000002</v>
      </c>
      <c r="O10" s="42">
        <f t="shared" si="14"/>
        <v>16352.000000000002</v>
      </c>
      <c r="P10" s="42">
        <f t="shared" si="14"/>
        <v>16352.000000000002</v>
      </c>
      <c r="Q10" s="42">
        <f t="shared" si="14"/>
        <v>16352.000000000002</v>
      </c>
      <c r="R10" s="42">
        <f t="shared" si="14"/>
        <v>20440.000000000004</v>
      </c>
      <c r="S10" s="42">
        <f t="shared" si="14"/>
        <v>20440.000000000004</v>
      </c>
      <c r="T10" s="42">
        <f t="shared" si="14"/>
        <v>20440.000000000004</v>
      </c>
      <c r="U10" s="42">
        <f t="shared" si="14"/>
        <v>20440.000000000004</v>
      </c>
      <c r="V10" s="42">
        <f t="shared" si="14"/>
        <v>30660.000000000004</v>
      </c>
      <c r="W10" s="42">
        <f t="shared" si="14"/>
        <v>30660.000000000004</v>
      </c>
      <c r="X10" s="42">
        <f t="shared" si="14"/>
        <v>30660.000000000004</v>
      </c>
      <c r="Y10" s="42">
        <f t="shared" si="14"/>
        <v>30660.000000000004</v>
      </c>
      <c r="Z10" s="42">
        <f t="shared" si="14"/>
        <v>30660.000000000004</v>
      </c>
      <c r="AA10" s="42">
        <f t="shared" si="14"/>
        <v>40880.000000000007</v>
      </c>
      <c r="AB10" s="42">
        <f t="shared" si="14"/>
        <v>41697.600000000006</v>
      </c>
      <c r="AC10" s="42">
        <f t="shared" si="14"/>
        <v>42515.200000000004</v>
      </c>
      <c r="AD10" s="42">
        <f t="shared" si="14"/>
        <v>43332.800000000003</v>
      </c>
      <c r="AE10" s="42">
        <f t="shared" si="14"/>
        <v>44150.400000000009</v>
      </c>
      <c r="AF10" s="42">
        <f t="shared" si="14"/>
        <v>44968.000000000015</v>
      </c>
      <c r="AG10" s="42">
        <f t="shared" si="14"/>
        <v>45785.600000000013</v>
      </c>
      <c r="AH10" s="42">
        <f t="shared" si="14"/>
        <v>46603.200000000012</v>
      </c>
      <c r="AI10" s="42">
        <f t="shared" si="14"/>
        <v>47420.80000000001</v>
      </c>
      <c r="AJ10" s="42">
        <f t="shared" si="14"/>
        <v>48238.400000000016</v>
      </c>
      <c r="AK10" s="42">
        <f t="shared" si="14"/>
        <v>49056.000000000015</v>
      </c>
      <c r="AL10" s="42">
        <f t="shared" si="14"/>
        <v>49873.600000000013</v>
      </c>
      <c r="AM10" s="42">
        <f t="shared" si="14"/>
        <v>50691.200000000012</v>
      </c>
      <c r="AN10" s="31">
        <f>SUM(D10:AM10)</f>
        <v>957000.8</v>
      </c>
      <c r="AO10" s="38" t="s">
        <v>24</v>
      </c>
      <c r="AP10" s="27"/>
      <c r="AQ10" s="42"/>
      <c r="AR10" s="42"/>
      <c r="AS10" s="42"/>
      <c r="AT10" s="42"/>
      <c r="AU10" s="42"/>
      <c r="AV10" s="42"/>
      <c r="AW10" s="42"/>
      <c r="AX10" s="42"/>
      <c r="AY10" s="42"/>
      <c r="AZ10" s="85"/>
      <c r="BA10" s="85"/>
      <c r="BB10" s="85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</row>
    <row r="11" spans="1:76" ht="15.5">
      <c r="A11" s="24" t="s">
        <v>27</v>
      </c>
      <c r="B11" s="41">
        <v>0.1769</v>
      </c>
      <c r="C11" s="27"/>
      <c r="D11" s="43">
        <f>$B11*D8</f>
        <v>258.274</v>
      </c>
      <c r="E11" s="43">
        <f t="shared" ref="E11:AM11" si="15">$B11*E8</f>
        <v>258.274</v>
      </c>
      <c r="F11" s="43">
        <f t="shared" si="15"/>
        <v>516.548</v>
      </c>
      <c r="G11" s="43">
        <f t="shared" si="15"/>
        <v>516.548</v>
      </c>
      <c r="H11" s="43">
        <f t="shared" si="15"/>
        <v>516.548</v>
      </c>
      <c r="I11" s="43">
        <f t="shared" si="15"/>
        <v>1033.096</v>
      </c>
      <c r="J11" s="43">
        <f t="shared" si="15"/>
        <v>1033.096</v>
      </c>
      <c r="K11" s="43">
        <f t="shared" si="15"/>
        <v>1033.096</v>
      </c>
      <c r="L11" s="43">
        <f t="shared" si="15"/>
        <v>1549.644</v>
      </c>
      <c r="M11" s="43">
        <f t="shared" si="15"/>
        <v>1549.644</v>
      </c>
      <c r="N11" s="43">
        <f t="shared" si="15"/>
        <v>1549.644</v>
      </c>
      <c r="O11" s="43">
        <f t="shared" si="15"/>
        <v>2066.192</v>
      </c>
      <c r="P11" s="43">
        <f t="shared" si="15"/>
        <v>2066.192</v>
      </c>
      <c r="Q11" s="43">
        <f t="shared" si="15"/>
        <v>2066.192</v>
      </c>
      <c r="R11" s="43">
        <f t="shared" si="15"/>
        <v>2582.7400000000002</v>
      </c>
      <c r="S11" s="43">
        <f t="shared" si="15"/>
        <v>2582.7400000000002</v>
      </c>
      <c r="T11" s="43">
        <f t="shared" si="15"/>
        <v>2582.7400000000002</v>
      </c>
      <c r="U11" s="43">
        <f t="shared" si="15"/>
        <v>2582.7400000000002</v>
      </c>
      <c r="V11" s="43">
        <f t="shared" si="15"/>
        <v>3874.11</v>
      </c>
      <c r="W11" s="43">
        <f t="shared" si="15"/>
        <v>3874.11</v>
      </c>
      <c r="X11" s="43">
        <f t="shared" si="15"/>
        <v>3874.11</v>
      </c>
      <c r="Y11" s="43">
        <f t="shared" si="15"/>
        <v>3874.11</v>
      </c>
      <c r="Z11" s="43">
        <f t="shared" si="15"/>
        <v>3874.11</v>
      </c>
      <c r="AA11" s="43">
        <f t="shared" si="15"/>
        <v>5165.4800000000005</v>
      </c>
      <c r="AB11" s="43">
        <f t="shared" si="15"/>
        <v>5268.7896000000001</v>
      </c>
      <c r="AC11" s="43">
        <f t="shared" si="15"/>
        <v>5372.0991999999997</v>
      </c>
      <c r="AD11" s="43">
        <f t="shared" si="15"/>
        <v>5475.4088000000002</v>
      </c>
      <c r="AE11" s="43">
        <f t="shared" si="15"/>
        <v>5578.7184000000016</v>
      </c>
      <c r="AF11" s="43">
        <f t="shared" si="15"/>
        <v>5682.0280000000012</v>
      </c>
      <c r="AG11" s="43">
        <f t="shared" si="15"/>
        <v>5785.3376000000017</v>
      </c>
      <c r="AH11" s="43">
        <f t="shared" si="15"/>
        <v>5888.6472000000012</v>
      </c>
      <c r="AI11" s="43">
        <f t="shared" si="15"/>
        <v>5991.9568000000017</v>
      </c>
      <c r="AJ11" s="43">
        <f t="shared" si="15"/>
        <v>6095.2664000000013</v>
      </c>
      <c r="AK11" s="43">
        <f t="shared" si="15"/>
        <v>6198.5760000000009</v>
      </c>
      <c r="AL11" s="43">
        <f t="shared" si="15"/>
        <v>6301.8856000000014</v>
      </c>
      <c r="AM11" s="43">
        <f t="shared" si="15"/>
        <v>6405.195200000001</v>
      </c>
      <c r="AN11" s="34"/>
      <c r="AO11" s="34"/>
      <c r="AP11" s="27"/>
      <c r="AQ11" s="43"/>
      <c r="AR11" s="43"/>
      <c r="AS11" s="43"/>
      <c r="AT11" s="43"/>
      <c r="AU11" s="43"/>
      <c r="AV11" s="43"/>
      <c r="AW11" s="43"/>
      <c r="AX11" s="43"/>
      <c r="AY11" s="43"/>
      <c r="AZ11" s="85"/>
      <c r="BA11" s="85"/>
      <c r="BB11" s="85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</row>
    <row r="12" spans="1:76" ht="15.5">
      <c r="A12" s="24" t="s">
        <v>31</v>
      </c>
      <c r="B12" s="44">
        <f>B10-(B10*0.18)</f>
        <v>0.45920000000000005</v>
      </c>
      <c r="C12" s="27"/>
      <c r="D12" s="45">
        <f t="shared" ref="D12:AM12" si="16">$B12*D9</f>
        <v>1005.6480000000001</v>
      </c>
      <c r="E12" s="45">
        <f t="shared" si="16"/>
        <v>1005.6480000000001</v>
      </c>
      <c r="F12" s="45">
        <f t="shared" si="16"/>
        <v>2011.2960000000003</v>
      </c>
      <c r="G12" s="45">
        <f t="shared" si="16"/>
        <v>2011.2960000000003</v>
      </c>
      <c r="H12" s="45">
        <f t="shared" si="16"/>
        <v>2011.2960000000003</v>
      </c>
      <c r="I12" s="45">
        <f t="shared" si="16"/>
        <v>4022.5920000000006</v>
      </c>
      <c r="J12" s="45">
        <f t="shared" si="16"/>
        <v>4022.5920000000006</v>
      </c>
      <c r="K12" s="45">
        <f t="shared" si="16"/>
        <v>4022.5920000000006</v>
      </c>
      <c r="L12" s="45">
        <f t="shared" si="16"/>
        <v>6033.8880000000008</v>
      </c>
      <c r="M12" s="45">
        <f t="shared" si="16"/>
        <v>6033.8880000000008</v>
      </c>
      <c r="N12" s="45">
        <f t="shared" si="16"/>
        <v>6033.8880000000008</v>
      </c>
      <c r="O12" s="45">
        <f t="shared" si="16"/>
        <v>8045.1840000000011</v>
      </c>
      <c r="P12" s="45">
        <f t="shared" si="16"/>
        <v>8045.1840000000011</v>
      </c>
      <c r="Q12" s="45">
        <f t="shared" si="16"/>
        <v>8045.1840000000011</v>
      </c>
      <c r="R12" s="45">
        <f t="shared" si="16"/>
        <v>10056.480000000001</v>
      </c>
      <c r="S12" s="45">
        <f t="shared" si="16"/>
        <v>10056.480000000001</v>
      </c>
      <c r="T12" s="45">
        <f t="shared" si="16"/>
        <v>10056.480000000001</v>
      </c>
      <c r="U12" s="45">
        <f t="shared" si="16"/>
        <v>10056.480000000001</v>
      </c>
      <c r="V12" s="45">
        <f t="shared" si="16"/>
        <v>15084.720000000001</v>
      </c>
      <c r="W12" s="45">
        <f t="shared" si="16"/>
        <v>15084.720000000001</v>
      </c>
      <c r="X12" s="45">
        <f t="shared" si="16"/>
        <v>15084.720000000001</v>
      </c>
      <c r="Y12" s="45">
        <f t="shared" si="16"/>
        <v>15084.720000000001</v>
      </c>
      <c r="Z12" s="45">
        <f t="shared" si="16"/>
        <v>15084.720000000001</v>
      </c>
      <c r="AA12" s="45">
        <f t="shared" si="16"/>
        <v>20112.960000000003</v>
      </c>
      <c r="AB12" s="45">
        <f t="shared" si="16"/>
        <v>20515.219200000003</v>
      </c>
      <c r="AC12" s="45">
        <f t="shared" si="16"/>
        <v>20917.478400000004</v>
      </c>
      <c r="AD12" s="45">
        <f t="shared" si="16"/>
        <v>21319.737600000004</v>
      </c>
      <c r="AE12" s="45">
        <f t="shared" si="16"/>
        <v>21721.996800000004</v>
      </c>
      <c r="AF12" s="45">
        <f t="shared" si="16"/>
        <v>22124.256000000005</v>
      </c>
      <c r="AG12" s="45">
        <f t="shared" si="16"/>
        <v>22526.515200000005</v>
      </c>
      <c r="AH12" s="45">
        <f t="shared" si="16"/>
        <v>22928.774400000006</v>
      </c>
      <c r="AI12" s="45">
        <f t="shared" si="16"/>
        <v>23331.033600000006</v>
      </c>
      <c r="AJ12" s="45">
        <f t="shared" si="16"/>
        <v>23733.292800000007</v>
      </c>
      <c r="AK12" s="45">
        <f t="shared" si="16"/>
        <v>24135.552000000007</v>
      </c>
      <c r="AL12" s="45">
        <f t="shared" si="16"/>
        <v>24537.811200000007</v>
      </c>
      <c r="AM12" s="45">
        <f t="shared" si="16"/>
        <v>24940.070400000008</v>
      </c>
      <c r="AN12" s="34"/>
      <c r="AO12" s="34"/>
      <c r="AP12" s="27"/>
      <c r="AQ12" s="45"/>
      <c r="AR12" s="45"/>
      <c r="AS12" s="45"/>
      <c r="AT12" s="45"/>
      <c r="AU12" s="45"/>
      <c r="AV12" s="45"/>
      <c r="AW12" s="45"/>
      <c r="AX12" s="45"/>
      <c r="AY12" s="45"/>
      <c r="AZ12" s="85"/>
      <c r="BA12" s="85"/>
      <c r="BB12" s="85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</row>
    <row r="13" spans="1:76" ht="15.5">
      <c r="A13" s="24" t="s">
        <v>35</v>
      </c>
      <c r="B13" s="27"/>
      <c r="C13" s="27"/>
      <c r="D13" s="42">
        <f t="shared" ref="D13:AM13" si="17">SUM(D11:D12)</f>
        <v>1263.922</v>
      </c>
      <c r="E13" s="42">
        <f t="shared" si="17"/>
        <v>1263.922</v>
      </c>
      <c r="F13" s="42">
        <f t="shared" si="17"/>
        <v>2527.8440000000001</v>
      </c>
      <c r="G13" s="42">
        <f t="shared" si="17"/>
        <v>2527.8440000000001</v>
      </c>
      <c r="H13" s="42">
        <f t="shared" si="17"/>
        <v>2527.8440000000001</v>
      </c>
      <c r="I13" s="42">
        <f t="shared" si="17"/>
        <v>5055.6880000000001</v>
      </c>
      <c r="J13" s="42">
        <f t="shared" si="17"/>
        <v>5055.6880000000001</v>
      </c>
      <c r="K13" s="42">
        <f t="shared" si="17"/>
        <v>5055.6880000000001</v>
      </c>
      <c r="L13" s="42">
        <f t="shared" si="17"/>
        <v>7583.5320000000011</v>
      </c>
      <c r="M13" s="42">
        <f t="shared" si="17"/>
        <v>7583.5320000000011</v>
      </c>
      <c r="N13" s="42">
        <f t="shared" si="17"/>
        <v>7583.5320000000011</v>
      </c>
      <c r="O13" s="42">
        <f t="shared" si="17"/>
        <v>10111.376</v>
      </c>
      <c r="P13" s="42">
        <f t="shared" si="17"/>
        <v>10111.376</v>
      </c>
      <c r="Q13" s="42">
        <f t="shared" si="17"/>
        <v>10111.376</v>
      </c>
      <c r="R13" s="42">
        <f t="shared" si="17"/>
        <v>12639.220000000001</v>
      </c>
      <c r="S13" s="42">
        <f t="shared" si="17"/>
        <v>12639.220000000001</v>
      </c>
      <c r="T13" s="42">
        <f t="shared" si="17"/>
        <v>12639.220000000001</v>
      </c>
      <c r="U13" s="42">
        <f t="shared" si="17"/>
        <v>12639.220000000001</v>
      </c>
      <c r="V13" s="42">
        <f t="shared" si="17"/>
        <v>18958.830000000002</v>
      </c>
      <c r="W13" s="42">
        <f t="shared" si="17"/>
        <v>18958.830000000002</v>
      </c>
      <c r="X13" s="42">
        <f t="shared" si="17"/>
        <v>18958.830000000002</v>
      </c>
      <c r="Y13" s="42">
        <f t="shared" si="17"/>
        <v>18958.830000000002</v>
      </c>
      <c r="Z13" s="42">
        <f t="shared" si="17"/>
        <v>18958.830000000002</v>
      </c>
      <c r="AA13" s="42">
        <f t="shared" si="17"/>
        <v>25278.440000000002</v>
      </c>
      <c r="AB13" s="42">
        <f t="shared" si="17"/>
        <v>25784.008800000003</v>
      </c>
      <c r="AC13" s="42">
        <f t="shared" si="17"/>
        <v>26289.577600000004</v>
      </c>
      <c r="AD13" s="42">
        <f t="shared" si="17"/>
        <v>26795.146400000005</v>
      </c>
      <c r="AE13" s="42">
        <f t="shared" si="17"/>
        <v>27300.715200000006</v>
      </c>
      <c r="AF13" s="42">
        <f t="shared" si="17"/>
        <v>27806.284000000007</v>
      </c>
      <c r="AG13" s="42">
        <f t="shared" si="17"/>
        <v>28311.852800000008</v>
      </c>
      <c r="AH13" s="42">
        <f t="shared" si="17"/>
        <v>28817.421600000009</v>
      </c>
      <c r="AI13" s="42">
        <f t="shared" si="17"/>
        <v>29322.99040000001</v>
      </c>
      <c r="AJ13" s="42">
        <f t="shared" si="17"/>
        <v>29828.559200000007</v>
      </c>
      <c r="AK13" s="42">
        <f t="shared" si="17"/>
        <v>30334.128000000008</v>
      </c>
      <c r="AL13" s="42">
        <f t="shared" si="17"/>
        <v>30839.696800000009</v>
      </c>
      <c r="AM13" s="42">
        <f t="shared" si="17"/>
        <v>31345.26560000001</v>
      </c>
      <c r="AN13" s="31">
        <f>SUM(D13:AM13)</f>
        <v>591768.28040000028</v>
      </c>
      <c r="AO13" s="38" t="s">
        <v>36</v>
      </c>
      <c r="AP13" s="27"/>
      <c r="AQ13" s="42"/>
      <c r="AR13" s="42"/>
      <c r="AS13" s="42"/>
      <c r="AT13" s="42"/>
      <c r="AU13" s="42"/>
      <c r="AV13" s="42"/>
      <c r="AW13" s="42"/>
      <c r="AX13" s="42"/>
      <c r="AY13" s="42"/>
      <c r="AZ13" s="85"/>
      <c r="BA13" s="85"/>
      <c r="BB13" s="85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</row>
    <row r="14" spans="1:76" ht="15.5">
      <c r="A14" s="24" t="s">
        <v>38</v>
      </c>
      <c r="B14" s="27"/>
      <c r="C14" s="27"/>
      <c r="D14" s="46">
        <f t="shared" ref="D14:AM14" si="18">(D10-D13)/D10</f>
        <v>0.38164285714285717</v>
      </c>
      <c r="E14" s="46">
        <f t="shared" si="18"/>
        <v>0.38164285714285717</v>
      </c>
      <c r="F14" s="46">
        <f t="shared" si="18"/>
        <v>0.38164285714285717</v>
      </c>
      <c r="G14" s="46">
        <f t="shared" si="18"/>
        <v>0.38164285714285717</v>
      </c>
      <c r="H14" s="46">
        <f t="shared" si="18"/>
        <v>0.38164285714285717</v>
      </c>
      <c r="I14" s="46">
        <f t="shared" si="18"/>
        <v>0.38164285714285717</v>
      </c>
      <c r="J14" s="46">
        <f t="shared" si="18"/>
        <v>0.38164285714285717</v>
      </c>
      <c r="K14" s="46">
        <f t="shared" si="18"/>
        <v>0.38164285714285717</v>
      </c>
      <c r="L14" s="46">
        <f t="shared" si="18"/>
        <v>0.38164285714285717</v>
      </c>
      <c r="M14" s="46">
        <f t="shared" si="18"/>
        <v>0.38164285714285717</v>
      </c>
      <c r="N14" s="46">
        <f t="shared" si="18"/>
        <v>0.38164285714285717</v>
      </c>
      <c r="O14" s="46">
        <f t="shared" si="18"/>
        <v>0.38164285714285717</v>
      </c>
      <c r="P14" s="46">
        <f t="shared" si="18"/>
        <v>0.38164285714285717</v>
      </c>
      <c r="Q14" s="46">
        <f t="shared" si="18"/>
        <v>0.38164285714285717</v>
      </c>
      <c r="R14" s="46">
        <f t="shared" si="18"/>
        <v>0.38164285714285717</v>
      </c>
      <c r="S14" s="46">
        <f t="shared" si="18"/>
        <v>0.38164285714285717</v>
      </c>
      <c r="T14" s="46">
        <f t="shared" si="18"/>
        <v>0.38164285714285717</v>
      </c>
      <c r="U14" s="46">
        <f t="shared" si="18"/>
        <v>0.38164285714285717</v>
      </c>
      <c r="V14" s="46">
        <f t="shared" si="18"/>
        <v>0.38164285714285717</v>
      </c>
      <c r="W14" s="46">
        <f t="shared" si="18"/>
        <v>0.38164285714285717</v>
      </c>
      <c r="X14" s="46">
        <f t="shared" si="18"/>
        <v>0.38164285714285717</v>
      </c>
      <c r="Y14" s="46">
        <f t="shared" si="18"/>
        <v>0.38164285714285717</v>
      </c>
      <c r="Z14" s="46">
        <f t="shared" si="18"/>
        <v>0.38164285714285717</v>
      </c>
      <c r="AA14" s="46">
        <f t="shared" si="18"/>
        <v>0.38164285714285717</v>
      </c>
      <c r="AB14" s="46">
        <f t="shared" si="18"/>
        <v>0.38164285714285717</v>
      </c>
      <c r="AC14" s="46">
        <f t="shared" si="18"/>
        <v>0.38164285714285712</v>
      </c>
      <c r="AD14" s="46">
        <f t="shared" si="18"/>
        <v>0.38164285714285706</v>
      </c>
      <c r="AE14" s="46">
        <f t="shared" si="18"/>
        <v>0.38164285714285712</v>
      </c>
      <c r="AF14" s="46">
        <f t="shared" si="18"/>
        <v>0.38164285714285717</v>
      </c>
      <c r="AG14" s="46">
        <f t="shared" si="18"/>
        <v>0.38164285714285717</v>
      </c>
      <c r="AH14" s="46">
        <f t="shared" si="18"/>
        <v>0.38164285714285712</v>
      </c>
      <c r="AI14" s="46">
        <f t="shared" si="18"/>
        <v>0.38164285714285706</v>
      </c>
      <c r="AJ14" s="46">
        <f t="shared" si="18"/>
        <v>0.38164285714285723</v>
      </c>
      <c r="AK14" s="46">
        <f t="shared" si="18"/>
        <v>0.38164285714285717</v>
      </c>
      <c r="AL14" s="46">
        <f t="shared" si="18"/>
        <v>0.38164285714285712</v>
      </c>
      <c r="AM14" s="46">
        <f t="shared" si="18"/>
        <v>0.38164285714285712</v>
      </c>
      <c r="AN14" s="27"/>
      <c r="AO14" s="27"/>
      <c r="AP14" s="27"/>
      <c r="AQ14" s="46"/>
      <c r="AR14" s="46"/>
      <c r="AS14" s="46"/>
      <c r="AT14" s="46"/>
      <c r="AU14" s="46"/>
      <c r="AV14" s="46"/>
      <c r="AW14" s="46"/>
      <c r="AX14" s="46"/>
      <c r="AY14" s="46"/>
      <c r="AZ14" s="85"/>
      <c r="BA14" s="85"/>
      <c r="BB14" s="85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</row>
    <row r="15" spans="1:76" ht="15.5">
      <c r="A15" s="24" t="s">
        <v>43</v>
      </c>
      <c r="B15" s="81">
        <v>0.6</v>
      </c>
      <c r="C15" s="80" t="s">
        <v>44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27"/>
      <c r="AO15" s="27"/>
      <c r="AP15" s="27"/>
      <c r="AQ15" s="46"/>
      <c r="AR15" s="46"/>
      <c r="AS15" s="46"/>
      <c r="AT15" s="46"/>
      <c r="AU15" s="46"/>
      <c r="AV15" s="46"/>
      <c r="AW15" s="46"/>
      <c r="AX15" s="46"/>
      <c r="AY15" s="46"/>
      <c r="AZ15" s="85"/>
      <c r="BA15" s="85"/>
      <c r="BB15" s="85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</row>
    <row r="16" spans="1:76" ht="15.5">
      <c r="A16" s="24" t="s">
        <v>47</v>
      </c>
      <c r="B16" s="81">
        <v>0.4</v>
      </c>
      <c r="C16" s="80" t="s">
        <v>48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27"/>
      <c r="AO16" s="27"/>
      <c r="AP16" s="27"/>
      <c r="AQ16" s="46"/>
      <c r="AR16" s="46"/>
      <c r="AS16" s="46"/>
      <c r="AT16" s="46"/>
      <c r="AU16" s="46"/>
      <c r="AV16" s="46"/>
      <c r="AW16" s="46"/>
      <c r="AX16" s="46"/>
      <c r="AY16" s="46"/>
      <c r="AZ16" s="85"/>
      <c r="BA16" s="85"/>
      <c r="BB16" s="85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</row>
    <row r="17" spans="1:76" ht="15.5">
      <c r="A17" s="24" t="s">
        <v>91</v>
      </c>
      <c r="B17" s="47">
        <v>135.16999999999999</v>
      </c>
      <c r="C17" s="27">
        <v>1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27"/>
      <c r="AO17" s="27"/>
      <c r="AP17" s="27"/>
      <c r="AQ17" s="46"/>
      <c r="AR17" s="46"/>
      <c r="AS17" s="46"/>
      <c r="AT17" s="46"/>
      <c r="AU17" s="46"/>
      <c r="AV17" s="46"/>
      <c r="AW17" s="46"/>
      <c r="AX17" s="46"/>
      <c r="AY17" s="46"/>
      <c r="AZ17" s="85"/>
      <c r="BA17" s="85"/>
      <c r="BB17" s="85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</row>
    <row r="18" spans="1:76" ht="15.5">
      <c r="A18" s="24" t="s">
        <v>92</v>
      </c>
      <c r="B18" s="77">
        <f>100*B17</f>
        <v>13516.999999999998</v>
      </c>
      <c r="C18" s="85">
        <v>100</v>
      </c>
      <c r="D18" s="30">
        <f>D5*$B18</f>
        <v>675.84999999999991</v>
      </c>
      <c r="E18" s="30">
        <f t="shared" ref="E18:AM18" si="19">E5*$B18</f>
        <v>675.84999999999991</v>
      </c>
      <c r="F18" s="30">
        <f t="shared" si="19"/>
        <v>1351.6999999999998</v>
      </c>
      <c r="G18" s="30">
        <f t="shared" si="19"/>
        <v>1351.6999999999998</v>
      </c>
      <c r="H18" s="30">
        <f t="shared" si="19"/>
        <v>1351.6999999999998</v>
      </c>
      <c r="I18" s="30">
        <f t="shared" si="19"/>
        <v>2703.3999999999996</v>
      </c>
      <c r="J18" s="30">
        <f t="shared" si="19"/>
        <v>2703.3999999999996</v>
      </c>
      <c r="K18" s="30">
        <f t="shared" si="19"/>
        <v>2703.3999999999996</v>
      </c>
      <c r="L18" s="30">
        <f t="shared" si="19"/>
        <v>4055.0999999999995</v>
      </c>
      <c r="M18" s="30">
        <f t="shared" si="19"/>
        <v>4055.0999999999995</v>
      </c>
      <c r="N18" s="30">
        <f t="shared" si="19"/>
        <v>4055.0999999999995</v>
      </c>
      <c r="O18" s="30">
        <f t="shared" si="19"/>
        <v>5406.7999999999993</v>
      </c>
      <c r="P18" s="30">
        <f t="shared" si="19"/>
        <v>5406.7999999999993</v>
      </c>
      <c r="Q18" s="30">
        <f t="shared" si="19"/>
        <v>5406.7999999999993</v>
      </c>
      <c r="R18" s="30">
        <f t="shared" si="19"/>
        <v>6758.4999999999991</v>
      </c>
      <c r="S18" s="30">
        <f t="shared" si="19"/>
        <v>6758.4999999999991</v>
      </c>
      <c r="T18" s="30">
        <f t="shared" si="19"/>
        <v>6758.4999999999991</v>
      </c>
      <c r="U18" s="30">
        <f t="shared" si="19"/>
        <v>6758.4999999999991</v>
      </c>
      <c r="V18" s="30">
        <f t="shared" si="19"/>
        <v>10137.749999999998</v>
      </c>
      <c r="W18" s="30">
        <f t="shared" si="19"/>
        <v>10137.749999999998</v>
      </c>
      <c r="X18" s="30">
        <f t="shared" si="19"/>
        <v>10137.749999999998</v>
      </c>
      <c r="Y18" s="30">
        <f t="shared" si="19"/>
        <v>10137.749999999998</v>
      </c>
      <c r="Z18" s="30">
        <f t="shared" si="19"/>
        <v>10137.749999999998</v>
      </c>
      <c r="AA18" s="30">
        <f t="shared" si="19"/>
        <v>13516.999999999998</v>
      </c>
      <c r="AB18" s="30">
        <f t="shared" si="19"/>
        <v>13787.339999999998</v>
      </c>
      <c r="AC18" s="30">
        <f t="shared" si="19"/>
        <v>14057.679999999998</v>
      </c>
      <c r="AD18" s="30">
        <f t="shared" si="19"/>
        <v>14328.019999999999</v>
      </c>
      <c r="AE18" s="30">
        <f t="shared" si="19"/>
        <v>14598.359999999999</v>
      </c>
      <c r="AF18" s="30">
        <f t="shared" si="19"/>
        <v>14868.699999999999</v>
      </c>
      <c r="AG18" s="30">
        <f t="shared" si="19"/>
        <v>15139.039999999999</v>
      </c>
      <c r="AH18" s="30">
        <f t="shared" si="19"/>
        <v>15409.38</v>
      </c>
      <c r="AI18" s="30">
        <f t="shared" si="19"/>
        <v>15679.72</v>
      </c>
      <c r="AJ18" s="30">
        <f t="shared" si="19"/>
        <v>15950.06</v>
      </c>
      <c r="AK18" s="30">
        <f t="shared" si="19"/>
        <v>16220.4</v>
      </c>
      <c r="AL18" s="30">
        <f t="shared" si="19"/>
        <v>16490.740000000002</v>
      </c>
      <c r="AM18" s="30">
        <f t="shared" si="19"/>
        <v>16761.080000000002</v>
      </c>
      <c r="AN18" s="27"/>
      <c r="AO18" s="27"/>
      <c r="AP18" s="27"/>
      <c r="AQ18" s="46"/>
      <c r="AR18" s="46"/>
      <c r="AS18" s="46"/>
      <c r="AT18" s="46"/>
      <c r="AU18" s="46"/>
      <c r="AV18" s="46"/>
      <c r="AW18" s="46"/>
      <c r="AX18" s="46"/>
      <c r="AY18" s="46"/>
      <c r="AZ18" s="85"/>
      <c r="BA18" s="85"/>
      <c r="BB18" s="85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</row>
    <row r="19" spans="1:76" ht="20">
      <c r="A19" s="150" t="s">
        <v>278</v>
      </c>
      <c r="B19" s="77">
        <f>B18*0.19</f>
        <v>2568.2299999999996</v>
      </c>
      <c r="C19" s="27"/>
      <c r="D19" s="78">
        <f>D5*$B19</f>
        <v>128.41149999999999</v>
      </c>
      <c r="E19" s="78">
        <f t="shared" ref="E19:AM19" si="20">E5*$B19</f>
        <v>128.41149999999999</v>
      </c>
      <c r="F19" s="78">
        <f t="shared" si="20"/>
        <v>256.82299999999998</v>
      </c>
      <c r="G19" s="78">
        <f t="shared" si="20"/>
        <v>256.82299999999998</v>
      </c>
      <c r="H19" s="78">
        <f t="shared" si="20"/>
        <v>256.82299999999998</v>
      </c>
      <c r="I19" s="78">
        <f t="shared" si="20"/>
        <v>513.64599999999996</v>
      </c>
      <c r="J19" s="78">
        <f t="shared" si="20"/>
        <v>513.64599999999996</v>
      </c>
      <c r="K19" s="78">
        <f t="shared" si="20"/>
        <v>513.64599999999996</v>
      </c>
      <c r="L19" s="78">
        <f t="shared" si="20"/>
        <v>770.46899999999982</v>
      </c>
      <c r="M19" s="78">
        <f t="shared" si="20"/>
        <v>770.46899999999982</v>
      </c>
      <c r="N19" s="78">
        <f t="shared" si="20"/>
        <v>770.46899999999982</v>
      </c>
      <c r="O19" s="78">
        <f t="shared" si="20"/>
        <v>1027.2919999999999</v>
      </c>
      <c r="P19" s="78">
        <f t="shared" si="20"/>
        <v>1027.2919999999999</v>
      </c>
      <c r="Q19" s="78">
        <f t="shared" si="20"/>
        <v>1027.2919999999999</v>
      </c>
      <c r="R19" s="78">
        <f t="shared" si="20"/>
        <v>1284.1149999999998</v>
      </c>
      <c r="S19" s="78">
        <f t="shared" si="20"/>
        <v>1284.1149999999998</v>
      </c>
      <c r="T19" s="78">
        <f t="shared" si="20"/>
        <v>1284.1149999999998</v>
      </c>
      <c r="U19" s="78">
        <f t="shared" si="20"/>
        <v>1284.1149999999998</v>
      </c>
      <c r="V19" s="78">
        <f t="shared" si="20"/>
        <v>1926.1724999999997</v>
      </c>
      <c r="W19" s="78">
        <f t="shared" si="20"/>
        <v>1926.1724999999997</v>
      </c>
      <c r="X19" s="78">
        <f t="shared" si="20"/>
        <v>1926.1724999999997</v>
      </c>
      <c r="Y19" s="78">
        <f t="shared" si="20"/>
        <v>1926.1724999999997</v>
      </c>
      <c r="Z19" s="78">
        <f t="shared" si="20"/>
        <v>1926.1724999999997</v>
      </c>
      <c r="AA19" s="78">
        <f t="shared" si="20"/>
        <v>2568.2299999999996</v>
      </c>
      <c r="AB19" s="78">
        <f t="shared" si="20"/>
        <v>2619.5945999999994</v>
      </c>
      <c r="AC19" s="78">
        <f t="shared" si="20"/>
        <v>2670.9591999999998</v>
      </c>
      <c r="AD19" s="78">
        <f t="shared" si="20"/>
        <v>2722.3237999999997</v>
      </c>
      <c r="AE19" s="78">
        <f t="shared" si="20"/>
        <v>2773.6883999999995</v>
      </c>
      <c r="AF19" s="78">
        <f t="shared" si="20"/>
        <v>2825.0529999999999</v>
      </c>
      <c r="AG19" s="78">
        <f t="shared" si="20"/>
        <v>2876.4175999999998</v>
      </c>
      <c r="AH19" s="78">
        <f t="shared" si="20"/>
        <v>2927.7821999999996</v>
      </c>
      <c r="AI19" s="78">
        <f t="shared" si="20"/>
        <v>2979.1468</v>
      </c>
      <c r="AJ19" s="78">
        <f t="shared" si="20"/>
        <v>3030.5113999999999</v>
      </c>
      <c r="AK19" s="78">
        <f t="shared" si="20"/>
        <v>3081.8759999999997</v>
      </c>
      <c r="AL19" s="78">
        <f t="shared" si="20"/>
        <v>3133.2406000000001</v>
      </c>
      <c r="AM19" s="78">
        <f t="shared" si="20"/>
        <v>3184.6052</v>
      </c>
      <c r="AN19" s="31">
        <f>SUM(D19:AM19)</f>
        <v>60122.264300000003</v>
      </c>
      <c r="AO19" s="27"/>
      <c r="AP19" s="27"/>
      <c r="AQ19" s="46"/>
      <c r="AR19" s="46"/>
      <c r="AS19" s="46"/>
      <c r="AT19" s="46"/>
      <c r="AU19" s="46"/>
      <c r="AV19" s="46"/>
      <c r="AW19" s="46"/>
      <c r="AX19" s="46"/>
      <c r="AY19" s="46"/>
      <c r="AZ19" s="85"/>
      <c r="BA19" s="85"/>
      <c r="BB19" s="85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</row>
    <row r="20" spans="1:76" ht="15.5">
      <c r="A20" s="24" t="s">
        <v>93</v>
      </c>
      <c r="B20" s="83">
        <v>72817</v>
      </c>
      <c r="C20" s="27" t="s">
        <v>94</v>
      </c>
      <c r="D20" s="77">
        <f>D5*$B20</f>
        <v>3640.8500000000004</v>
      </c>
      <c r="E20" s="77">
        <f t="shared" ref="E20:AM20" si="21">E5*$B20</f>
        <v>3640.8500000000004</v>
      </c>
      <c r="F20" s="77">
        <f t="shared" si="21"/>
        <v>7281.7000000000007</v>
      </c>
      <c r="G20" s="77">
        <f t="shared" si="21"/>
        <v>7281.7000000000007</v>
      </c>
      <c r="H20" s="77">
        <f t="shared" si="21"/>
        <v>7281.7000000000007</v>
      </c>
      <c r="I20" s="77">
        <f t="shared" si="21"/>
        <v>14563.400000000001</v>
      </c>
      <c r="J20" s="77">
        <f t="shared" si="21"/>
        <v>14563.400000000001</v>
      </c>
      <c r="K20" s="77">
        <f t="shared" si="21"/>
        <v>14563.400000000001</v>
      </c>
      <c r="L20" s="77">
        <f t="shared" si="21"/>
        <v>21845.1</v>
      </c>
      <c r="M20" s="77">
        <f t="shared" si="21"/>
        <v>21845.1</v>
      </c>
      <c r="N20" s="77">
        <f t="shared" si="21"/>
        <v>21845.1</v>
      </c>
      <c r="O20" s="77">
        <f t="shared" si="21"/>
        <v>29126.800000000003</v>
      </c>
      <c r="P20" s="77">
        <f t="shared" si="21"/>
        <v>29126.800000000003</v>
      </c>
      <c r="Q20" s="77">
        <f t="shared" si="21"/>
        <v>29126.800000000003</v>
      </c>
      <c r="R20" s="77">
        <f t="shared" si="21"/>
        <v>36408.5</v>
      </c>
      <c r="S20" s="77">
        <f t="shared" si="21"/>
        <v>36408.5</v>
      </c>
      <c r="T20" s="77">
        <f t="shared" si="21"/>
        <v>36408.5</v>
      </c>
      <c r="U20" s="77">
        <f t="shared" si="21"/>
        <v>36408.5</v>
      </c>
      <c r="V20" s="77">
        <f t="shared" si="21"/>
        <v>54612.75</v>
      </c>
      <c r="W20" s="77">
        <f t="shared" si="21"/>
        <v>54612.75</v>
      </c>
      <c r="X20" s="77">
        <f t="shared" si="21"/>
        <v>54612.75</v>
      </c>
      <c r="Y20" s="77">
        <f t="shared" si="21"/>
        <v>54612.75</v>
      </c>
      <c r="Z20" s="77">
        <f t="shared" si="21"/>
        <v>54612.75</v>
      </c>
      <c r="AA20" s="77">
        <f t="shared" si="21"/>
        <v>72817</v>
      </c>
      <c r="AB20" s="77">
        <f t="shared" si="21"/>
        <v>74273.34</v>
      </c>
      <c r="AC20" s="77">
        <f t="shared" si="21"/>
        <v>75729.680000000008</v>
      </c>
      <c r="AD20" s="77">
        <f t="shared" si="21"/>
        <v>77186.02</v>
      </c>
      <c r="AE20" s="77">
        <f t="shared" si="21"/>
        <v>78642.36</v>
      </c>
      <c r="AF20" s="77">
        <f t="shared" si="21"/>
        <v>80098.700000000012</v>
      </c>
      <c r="AG20" s="77">
        <f t="shared" si="21"/>
        <v>81555.040000000008</v>
      </c>
      <c r="AH20" s="77">
        <f t="shared" si="21"/>
        <v>83011.38</v>
      </c>
      <c r="AI20" s="77">
        <f t="shared" si="21"/>
        <v>84467.720000000016</v>
      </c>
      <c r="AJ20" s="77">
        <f t="shared" si="21"/>
        <v>85924.060000000012</v>
      </c>
      <c r="AK20" s="77">
        <f t="shared" si="21"/>
        <v>87380.400000000009</v>
      </c>
      <c r="AL20" s="77">
        <f t="shared" si="21"/>
        <v>88836.74000000002</v>
      </c>
      <c r="AM20" s="77">
        <f t="shared" si="21"/>
        <v>90293.080000000016</v>
      </c>
      <c r="AN20" s="27"/>
      <c r="AO20" s="27"/>
      <c r="AP20" s="27"/>
      <c r="AQ20" s="46"/>
      <c r="AR20" s="46"/>
      <c r="AS20" s="46"/>
      <c r="AT20" s="46"/>
      <c r="AU20" s="46"/>
      <c r="AV20" s="46"/>
      <c r="AW20" s="46"/>
      <c r="AX20" s="46"/>
      <c r="AY20" s="46"/>
      <c r="AZ20" s="85"/>
      <c r="BA20" s="85"/>
      <c r="BB20" s="85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</row>
    <row r="21" spans="1:76" ht="15" customHeight="1">
      <c r="A21" s="75" t="s">
        <v>95</v>
      </c>
      <c r="B21" s="77">
        <f>0.82*B20</f>
        <v>59709.939999999995</v>
      </c>
      <c r="C21" s="85"/>
      <c r="D21" s="78">
        <f>D5*$B21</f>
        <v>2985.4969999999998</v>
      </c>
      <c r="E21" s="78">
        <f t="shared" ref="E21:AM21" si="22">E5*$B21</f>
        <v>2985.4969999999998</v>
      </c>
      <c r="F21" s="78">
        <f t="shared" si="22"/>
        <v>5970.9939999999997</v>
      </c>
      <c r="G21" s="78">
        <f t="shared" si="22"/>
        <v>5970.9939999999997</v>
      </c>
      <c r="H21" s="78">
        <f t="shared" si="22"/>
        <v>5970.9939999999997</v>
      </c>
      <c r="I21" s="78">
        <f t="shared" si="22"/>
        <v>11941.987999999999</v>
      </c>
      <c r="J21" s="78">
        <f t="shared" si="22"/>
        <v>11941.987999999999</v>
      </c>
      <c r="K21" s="78">
        <f t="shared" si="22"/>
        <v>11941.987999999999</v>
      </c>
      <c r="L21" s="78">
        <f t="shared" si="22"/>
        <v>17912.981999999996</v>
      </c>
      <c r="M21" s="78">
        <f t="shared" si="22"/>
        <v>17912.981999999996</v>
      </c>
      <c r="N21" s="78">
        <f t="shared" si="22"/>
        <v>17912.981999999996</v>
      </c>
      <c r="O21" s="78">
        <f t="shared" si="22"/>
        <v>23883.975999999999</v>
      </c>
      <c r="P21" s="78">
        <f t="shared" si="22"/>
        <v>23883.975999999999</v>
      </c>
      <c r="Q21" s="78">
        <f t="shared" si="22"/>
        <v>23883.975999999999</v>
      </c>
      <c r="R21" s="78">
        <f t="shared" si="22"/>
        <v>29854.969999999998</v>
      </c>
      <c r="S21" s="78">
        <f t="shared" si="22"/>
        <v>29854.969999999998</v>
      </c>
      <c r="T21" s="78">
        <f t="shared" si="22"/>
        <v>29854.969999999998</v>
      </c>
      <c r="U21" s="78">
        <f t="shared" si="22"/>
        <v>29854.969999999998</v>
      </c>
      <c r="V21" s="78">
        <f t="shared" si="22"/>
        <v>44782.454999999994</v>
      </c>
      <c r="W21" s="78">
        <f t="shared" si="22"/>
        <v>44782.454999999994</v>
      </c>
      <c r="X21" s="78">
        <f t="shared" si="22"/>
        <v>44782.454999999994</v>
      </c>
      <c r="Y21" s="78">
        <f t="shared" si="22"/>
        <v>44782.454999999994</v>
      </c>
      <c r="Z21" s="78">
        <f t="shared" si="22"/>
        <v>44782.454999999994</v>
      </c>
      <c r="AA21" s="78">
        <f t="shared" si="22"/>
        <v>59709.939999999995</v>
      </c>
      <c r="AB21" s="78">
        <f t="shared" si="22"/>
        <v>60904.138799999993</v>
      </c>
      <c r="AC21" s="78">
        <f t="shared" si="22"/>
        <v>62098.337599999999</v>
      </c>
      <c r="AD21" s="78">
        <f t="shared" si="22"/>
        <v>63292.536399999997</v>
      </c>
      <c r="AE21" s="78">
        <f t="shared" si="22"/>
        <v>64486.735199999996</v>
      </c>
      <c r="AF21" s="78">
        <f t="shared" si="22"/>
        <v>65680.933999999994</v>
      </c>
      <c r="AG21" s="78">
        <f t="shared" si="22"/>
        <v>66875.132800000007</v>
      </c>
      <c r="AH21" s="78">
        <f t="shared" si="22"/>
        <v>68069.331600000005</v>
      </c>
      <c r="AI21" s="78">
        <f t="shared" si="22"/>
        <v>69263.530400000003</v>
      </c>
      <c r="AJ21" s="78">
        <f t="shared" si="22"/>
        <v>70457.729200000002</v>
      </c>
      <c r="AK21" s="78">
        <f t="shared" si="22"/>
        <v>71651.928</v>
      </c>
      <c r="AL21" s="78">
        <f t="shared" si="22"/>
        <v>72846.126800000013</v>
      </c>
      <c r="AM21" s="78">
        <f t="shared" si="22"/>
        <v>74040.325600000011</v>
      </c>
      <c r="AN21" s="31">
        <f>SUM(D21:AM21)</f>
        <v>1397809.6953999999</v>
      </c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</row>
    <row r="22" spans="1:76" s="24" customFormat="1" ht="15" customHeight="1">
      <c r="A22" s="75" t="s">
        <v>96</v>
      </c>
      <c r="B22" s="24">
        <v>27785.625</v>
      </c>
      <c r="D22" s="24">
        <f>D5*$B22</f>
        <v>1389.28125</v>
      </c>
      <c r="E22" s="24">
        <f t="shared" ref="E22:AM22" si="23">E5*$B22</f>
        <v>1389.28125</v>
      </c>
      <c r="F22" s="24">
        <f t="shared" si="23"/>
        <v>2778.5625</v>
      </c>
      <c r="G22" s="24">
        <f t="shared" si="23"/>
        <v>2778.5625</v>
      </c>
      <c r="H22" s="24">
        <f t="shared" si="23"/>
        <v>2778.5625</v>
      </c>
      <c r="I22" s="24">
        <f t="shared" si="23"/>
        <v>5557.125</v>
      </c>
      <c r="J22" s="24">
        <f t="shared" si="23"/>
        <v>5557.125</v>
      </c>
      <c r="K22" s="24">
        <f t="shared" si="23"/>
        <v>5557.125</v>
      </c>
      <c r="L22" s="24">
        <f t="shared" si="23"/>
        <v>8335.6875</v>
      </c>
      <c r="M22" s="24">
        <f t="shared" si="23"/>
        <v>8335.6875</v>
      </c>
      <c r="N22" s="24">
        <f t="shared" si="23"/>
        <v>8335.6875</v>
      </c>
      <c r="O22" s="24">
        <f t="shared" si="23"/>
        <v>11114.25</v>
      </c>
      <c r="P22" s="24">
        <f t="shared" si="23"/>
        <v>11114.25</v>
      </c>
      <c r="Q22" s="24">
        <f t="shared" si="23"/>
        <v>11114.25</v>
      </c>
      <c r="R22" s="24">
        <f t="shared" si="23"/>
        <v>13892.8125</v>
      </c>
      <c r="S22" s="24">
        <f t="shared" si="23"/>
        <v>13892.8125</v>
      </c>
      <c r="T22" s="24">
        <f t="shared" si="23"/>
        <v>13892.8125</v>
      </c>
      <c r="U22" s="24">
        <f t="shared" si="23"/>
        <v>13892.8125</v>
      </c>
      <c r="V22" s="24">
        <f t="shared" si="23"/>
        <v>20839.21875</v>
      </c>
      <c r="W22" s="24">
        <f t="shared" si="23"/>
        <v>20839.21875</v>
      </c>
      <c r="X22" s="24">
        <f t="shared" si="23"/>
        <v>20839.21875</v>
      </c>
      <c r="Y22" s="24">
        <f t="shared" si="23"/>
        <v>20839.21875</v>
      </c>
      <c r="Z22" s="24">
        <f t="shared" si="23"/>
        <v>20839.21875</v>
      </c>
      <c r="AA22" s="24">
        <f t="shared" si="23"/>
        <v>27785.625</v>
      </c>
      <c r="AB22" s="24">
        <f t="shared" si="23"/>
        <v>28341.337500000001</v>
      </c>
      <c r="AC22" s="24">
        <f t="shared" si="23"/>
        <v>28897.05</v>
      </c>
      <c r="AD22" s="24">
        <f t="shared" si="23"/>
        <v>29452.762500000001</v>
      </c>
      <c r="AE22" s="24">
        <f t="shared" si="23"/>
        <v>30008.475000000002</v>
      </c>
      <c r="AF22" s="24">
        <f t="shared" si="23"/>
        <v>30564.187500000004</v>
      </c>
      <c r="AG22" s="24">
        <f t="shared" si="23"/>
        <v>31119.9</v>
      </c>
      <c r="AH22" s="24">
        <f t="shared" si="23"/>
        <v>31675.612500000003</v>
      </c>
      <c r="AI22" s="24">
        <f t="shared" si="23"/>
        <v>32231.325000000004</v>
      </c>
      <c r="AJ22" s="24">
        <f t="shared" si="23"/>
        <v>32787.037500000006</v>
      </c>
      <c r="AK22" s="24">
        <f t="shared" si="23"/>
        <v>33342.750000000007</v>
      </c>
      <c r="AL22" s="24">
        <f t="shared" si="23"/>
        <v>33898.462500000009</v>
      </c>
      <c r="AM22" s="24">
        <f t="shared" si="23"/>
        <v>34454.175000000003</v>
      </c>
      <c r="AN22" s="24">
        <f>SUM(D22:AM22)</f>
        <v>650461.48125000007</v>
      </c>
    </row>
    <row r="25" spans="1:76" ht="15.5">
      <c r="A25" s="24" t="s">
        <v>62</v>
      </c>
      <c r="B25" s="47">
        <v>101.64</v>
      </c>
      <c r="C25" s="15"/>
      <c r="D25" s="85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85"/>
      <c r="AO25" s="85"/>
      <c r="AP25" s="85"/>
      <c r="AQ25" s="48"/>
      <c r="AR25" s="48"/>
      <c r="AS25" s="48"/>
      <c r="AT25" s="48"/>
      <c r="AU25" s="48"/>
      <c r="AV25" s="48"/>
      <c r="AW25" s="48"/>
      <c r="AX25" s="48"/>
      <c r="AY25" s="48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</row>
    <row r="26" spans="1:76" ht="15.5">
      <c r="A26" s="24" t="s">
        <v>63</v>
      </c>
      <c r="B26" s="49">
        <v>5406.7</v>
      </c>
      <c r="C26" s="15" t="s">
        <v>64</v>
      </c>
      <c r="D26" s="85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24" t="s">
        <v>65</v>
      </c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24" t="s">
        <v>66</v>
      </c>
      <c r="AF26" s="48"/>
      <c r="AG26" s="48"/>
      <c r="AH26" s="48"/>
      <c r="AI26" s="48"/>
      <c r="AJ26" s="48"/>
      <c r="AK26" s="48"/>
      <c r="AL26" s="48"/>
      <c r="AM26" s="48"/>
      <c r="AN26" s="85"/>
      <c r="AO26" s="85"/>
      <c r="AP26" s="85"/>
      <c r="AQ26" s="48"/>
      <c r="AR26" s="48"/>
      <c r="AS26" s="48"/>
      <c r="AT26" s="48"/>
      <c r="AU26" s="48"/>
      <c r="AV26" s="48"/>
      <c r="AW26" s="48"/>
      <c r="AX26" s="48"/>
      <c r="AY26" s="48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</row>
    <row r="27" spans="1:76" ht="15.5">
      <c r="A27" s="24" t="s">
        <v>67</v>
      </c>
      <c r="B27" s="49">
        <f>5/4*B26</f>
        <v>6758.375</v>
      </c>
      <c r="C27" s="15" t="s">
        <v>64</v>
      </c>
      <c r="D27" s="85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6">
        <f>(S29-G29)/G29</f>
        <v>4</v>
      </c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6">
        <f>(AE29-S29)/S29</f>
        <v>1.1599999999999999</v>
      </c>
      <c r="AF27" s="48"/>
      <c r="AG27" s="48"/>
      <c r="AH27" s="48"/>
      <c r="AI27" s="48"/>
      <c r="AJ27" s="48"/>
      <c r="AK27" s="48"/>
      <c r="AL27" s="48"/>
      <c r="AM27" s="48"/>
      <c r="AN27" s="85"/>
      <c r="AO27" s="85"/>
      <c r="AP27" s="85"/>
      <c r="AQ27" s="48"/>
      <c r="AR27" s="48"/>
      <c r="AS27" s="48"/>
      <c r="AT27" s="48"/>
      <c r="AU27" s="48"/>
      <c r="AV27" s="48"/>
      <c r="AW27" s="48"/>
      <c r="AX27" s="48"/>
      <c r="AY27" s="48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</row>
    <row r="28" spans="1:76" ht="15.5">
      <c r="A28" s="24" t="s">
        <v>69</v>
      </c>
      <c r="B28" s="49">
        <v>3115</v>
      </c>
      <c r="C28" s="24"/>
      <c r="D28" s="2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27"/>
      <c r="AO28" s="27"/>
      <c r="AP28" s="27"/>
      <c r="AQ28" s="33"/>
      <c r="AR28" s="33"/>
      <c r="AS28" s="33"/>
      <c r="AT28" s="33"/>
      <c r="AU28" s="33"/>
      <c r="AV28" s="33"/>
      <c r="AW28" s="33"/>
      <c r="AX28" s="33"/>
      <c r="AY28" s="33"/>
      <c r="AZ28" s="85"/>
      <c r="BA28" s="85"/>
      <c r="BB28" s="85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</row>
    <row r="29" spans="1:76" ht="15.5">
      <c r="A29" s="24" t="s">
        <v>71</v>
      </c>
      <c r="B29" s="27"/>
      <c r="C29" s="27"/>
      <c r="D29" s="50">
        <f>D5*400</f>
        <v>20</v>
      </c>
      <c r="E29" s="50">
        <f t="shared" ref="E29:AM29" si="24">E5*400</f>
        <v>20</v>
      </c>
      <c r="F29" s="50">
        <f t="shared" si="24"/>
        <v>40</v>
      </c>
      <c r="G29" s="50">
        <f t="shared" si="24"/>
        <v>40</v>
      </c>
      <c r="H29" s="50">
        <f t="shared" si="24"/>
        <v>40</v>
      </c>
      <c r="I29" s="50">
        <f t="shared" si="24"/>
        <v>80</v>
      </c>
      <c r="J29" s="50">
        <f t="shared" si="24"/>
        <v>80</v>
      </c>
      <c r="K29" s="50">
        <f t="shared" si="24"/>
        <v>80</v>
      </c>
      <c r="L29" s="50">
        <f t="shared" si="24"/>
        <v>120</v>
      </c>
      <c r="M29" s="50">
        <f t="shared" si="24"/>
        <v>120</v>
      </c>
      <c r="N29" s="50">
        <f t="shared" si="24"/>
        <v>120</v>
      </c>
      <c r="O29" s="50">
        <f t="shared" si="24"/>
        <v>160</v>
      </c>
      <c r="P29" s="50">
        <f t="shared" si="24"/>
        <v>160</v>
      </c>
      <c r="Q29" s="50">
        <f t="shared" si="24"/>
        <v>160</v>
      </c>
      <c r="R29" s="50">
        <f t="shared" si="24"/>
        <v>200</v>
      </c>
      <c r="S29" s="50">
        <f t="shared" si="24"/>
        <v>200</v>
      </c>
      <c r="T29" s="50">
        <f t="shared" si="24"/>
        <v>200</v>
      </c>
      <c r="U29" s="50">
        <f t="shared" si="24"/>
        <v>200</v>
      </c>
      <c r="V29" s="50">
        <f t="shared" si="24"/>
        <v>300</v>
      </c>
      <c r="W29" s="50">
        <f t="shared" si="24"/>
        <v>300</v>
      </c>
      <c r="X29" s="50">
        <f t="shared" si="24"/>
        <v>300</v>
      </c>
      <c r="Y29" s="50">
        <f t="shared" si="24"/>
        <v>300</v>
      </c>
      <c r="Z29" s="50">
        <f t="shared" si="24"/>
        <v>300</v>
      </c>
      <c r="AA29" s="50">
        <f t="shared" si="24"/>
        <v>400</v>
      </c>
      <c r="AB29" s="50">
        <f t="shared" si="24"/>
        <v>408</v>
      </c>
      <c r="AC29" s="50">
        <f t="shared" si="24"/>
        <v>416</v>
      </c>
      <c r="AD29" s="50">
        <f t="shared" si="24"/>
        <v>424</v>
      </c>
      <c r="AE29" s="50">
        <f t="shared" si="24"/>
        <v>432</v>
      </c>
      <c r="AF29" s="50">
        <f t="shared" si="24"/>
        <v>440.00000000000006</v>
      </c>
      <c r="AG29" s="50">
        <f t="shared" si="24"/>
        <v>448.00000000000006</v>
      </c>
      <c r="AH29" s="50">
        <f t="shared" si="24"/>
        <v>456.00000000000006</v>
      </c>
      <c r="AI29" s="50">
        <f t="shared" si="24"/>
        <v>464.00000000000006</v>
      </c>
      <c r="AJ29" s="50">
        <f t="shared" si="24"/>
        <v>472.00000000000006</v>
      </c>
      <c r="AK29" s="50">
        <f t="shared" si="24"/>
        <v>480.00000000000006</v>
      </c>
      <c r="AL29" s="50">
        <f t="shared" si="24"/>
        <v>488.00000000000006</v>
      </c>
      <c r="AM29" s="50">
        <f t="shared" si="24"/>
        <v>496.00000000000011</v>
      </c>
      <c r="AN29" s="27"/>
      <c r="AO29" s="27"/>
      <c r="AP29" s="27"/>
      <c r="AQ29" s="26"/>
      <c r="AR29" s="26"/>
      <c r="AS29" s="26"/>
      <c r="AT29" s="26"/>
      <c r="AU29" s="26"/>
      <c r="AV29" s="26"/>
      <c r="AW29" s="26"/>
      <c r="AX29" s="26"/>
      <c r="AY29" s="26"/>
      <c r="AZ29" s="85"/>
      <c r="BA29" s="85"/>
      <c r="BB29" s="85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</row>
    <row r="30" spans="1:76" ht="15.5">
      <c r="A30" s="24" t="s">
        <v>73</v>
      </c>
      <c r="B30" s="27"/>
      <c r="C30" s="33">
        <v>0.6</v>
      </c>
      <c r="D30" s="26">
        <f t="shared" ref="D30:AM30" si="25">D29*$C$30</f>
        <v>12</v>
      </c>
      <c r="E30" s="26">
        <f t="shared" si="25"/>
        <v>12</v>
      </c>
      <c r="F30" s="26">
        <f t="shared" si="25"/>
        <v>24</v>
      </c>
      <c r="G30" s="26">
        <f t="shared" si="25"/>
        <v>24</v>
      </c>
      <c r="H30" s="26">
        <f t="shared" si="25"/>
        <v>24</v>
      </c>
      <c r="I30" s="26">
        <f t="shared" si="25"/>
        <v>48</v>
      </c>
      <c r="J30" s="26">
        <f t="shared" si="25"/>
        <v>48</v>
      </c>
      <c r="K30" s="26">
        <f t="shared" si="25"/>
        <v>48</v>
      </c>
      <c r="L30" s="26">
        <f t="shared" si="25"/>
        <v>72</v>
      </c>
      <c r="M30" s="26">
        <f t="shared" si="25"/>
        <v>72</v>
      </c>
      <c r="N30" s="26">
        <f t="shared" si="25"/>
        <v>72</v>
      </c>
      <c r="O30" s="26">
        <f t="shared" si="25"/>
        <v>96</v>
      </c>
      <c r="P30" s="26">
        <f t="shared" si="25"/>
        <v>96</v>
      </c>
      <c r="Q30" s="26">
        <f t="shared" si="25"/>
        <v>96</v>
      </c>
      <c r="R30" s="26">
        <f t="shared" si="25"/>
        <v>120</v>
      </c>
      <c r="S30" s="26">
        <f t="shared" si="25"/>
        <v>120</v>
      </c>
      <c r="T30" s="26">
        <f t="shared" si="25"/>
        <v>120</v>
      </c>
      <c r="U30" s="26">
        <f t="shared" si="25"/>
        <v>120</v>
      </c>
      <c r="V30" s="26">
        <f t="shared" si="25"/>
        <v>180</v>
      </c>
      <c r="W30" s="26">
        <f t="shared" si="25"/>
        <v>180</v>
      </c>
      <c r="X30" s="26">
        <f t="shared" si="25"/>
        <v>180</v>
      </c>
      <c r="Y30" s="26">
        <f t="shared" si="25"/>
        <v>180</v>
      </c>
      <c r="Z30" s="26">
        <f t="shared" si="25"/>
        <v>180</v>
      </c>
      <c r="AA30" s="26">
        <f t="shared" si="25"/>
        <v>240</v>
      </c>
      <c r="AB30" s="26">
        <f t="shared" si="25"/>
        <v>244.79999999999998</v>
      </c>
      <c r="AC30" s="26">
        <f t="shared" si="25"/>
        <v>249.6</v>
      </c>
      <c r="AD30" s="26">
        <f t="shared" si="25"/>
        <v>254.39999999999998</v>
      </c>
      <c r="AE30" s="26">
        <f t="shared" si="25"/>
        <v>259.2</v>
      </c>
      <c r="AF30" s="26">
        <f t="shared" si="25"/>
        <v>264</v>
      </c>
      <c r="AG30" s="26">
        <f t="shared" si="25"/>
        <v>268.8</v>
      </c>
      <c r="AH30" s="26">
        <f t="shared" si="25"/>
        <v>273.60000000000002</v>
      </c>
      <c r="AI30" s="26">
        <f t="shared" si="25"/>
        <v>278.40000000000003</v>
      </c>
      <c r="AJ30" s="26">
        <f t="shared" si="25"/>
        <v>283.20000000000005</v>
      </c>
      <c r="AK30" s="26">
        <f t="shared" si="25"/>
        <v>288</v>
      </c>
      <c r="AL30" s="26">
        <f t="shared" si="25"/>
        <v>292.8</v>
      </c>
      <c r="AM30" s="26">
        <f t="shared" si="25"/>
        <v>297.60000000000008</v>
      </c>
      <c r="AN30" s="27"/>
      <c r="AO30" s="27"/>
      <c r="AP30" s="27"/>
      <c r="AQ30" s="26"/>
      <c r="AR30" s="26"/>
      <c r="AS30" s="26"/>
      <c r="AT30" s="26"/>
      <c r="AU30" s="26"/>
      <c r="AV30" s="26"/>
      <c r="AW30" s="26"/>
      <c r="AX30" s="26"/>
      <c r="AY30" s="26"/>
      <c r="AZ30" s="85"/>
      <c r="BA30" s="85"/>
      <c r="BB30" s="85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</row>
    <row r="31" spans="1:76" ht="15.5">
      <c r="A31" s="24" t="s">
        <v>74</v>
      </c>
      <c r="B31" s="27"/>
      <c r="C31" s="33">
        <v>0.4</v>
      </c>
      <c r="D31" s="26">
        <f t="shared" ref="D31:AM31" si="26">D29*$C$31</f>
        <v>8</v>
      </c>
      <c r="E31" s="26">
        <f t="shared" si="26"/>
        <v>8</v>
      </c>
      <c r="F31" s="26">
        <f t="shared" si="26"/>
        <v>16</v>
      </c>
      <c r="G31" s="26">
        <f t="shared" si="26"/>
        <v>16</v>
      </c>
      <c r="H31" s="26">
        <f t="shared" si="26"/>
        <v>16</v>
      </c>
      <c r="I31" s="26">
        <f t="shared" si="26"/>
        <v>32</v>
      </c>
      <c r="J31" s="26">
        <f t="shared" si="26"/>
        <v>32</v>
      </c>
      <c r="K31" s="26">
        <f t="shared" si="26"/>
        <v>32</v>
      </c>
      <c r="L31" s="26">
        <f t="shared" si="26"/>
        <v>48</v>
      </c>
      <c r="M31" s="26">
        <f t="shared" si="26"/>
        <v>48</v>
      </c>
      <c r="N31" s="26">
        <f t="shared" si="26"/>
        <v>48</v>
      </c>
      <c r="O31" s="26">
        <f t="shared" si="26"/>
        <v>64</v>
      </c>
      <c r="P31" s="26">
        <f t="shared" si="26"/>
        <v>64</v>
      </c>
      <c r="Q31" s="26">
        <f t="shared" si="26"/>
        <v>64</v>
      </c>
      <c r="R31" s="26">
        <f t="shared" si="26"/>
        <v>80</v>
      </c>
      <c r="S31" s="26">
        <f t="shared" si="26"/>
        <v>80</v>
      </c>
      <c r="T31" s="26">
        <f t="shared" si="26"/>
        <v>80</v>
      </c>
      <c r="U31" s="26">
        <f t="shared" si="26"/>
        <v>80</v>
      </c>
      <c r="V31" s="26">
        <f t="shared" si="26"/>
        <v>120</v>
      </c>
      <c r="W31" s="26">
        <f t="shared" si="26"/>
        <v>120</v>
      </c>
      <c r="X31" s="26">
        <f t="shared" si="26"/>
        <v>120</v>
      </c>
      <c r="Y31" s="26">
        <f t="shared" si="26"/>
        <v>120</v>
      </c>
      <c r="Z31" s="26">
        <f t="shared" si="26"/>
        <v>120</v>
      </c>
      <c r="AA31" s="26">
        <f t="shared" si="26"/>
        <v>160</v>
      </c>
      <c r="AB31" s="26">
        <f t="shared" si="26"/>
        <v>163.20000000000002</v>
      </c>
      <c r="AC31" s="26">
        <f t="shared" si="26"/>
        <v>166.4</v>
      </c>
      <c r="AD31" s="26">
        <f t="shared" si="26"/>
        <v>169.60000000000002</v>
      </c>
      <c r="AE31" s="26">
        <f t="shared" si="26"/>
        <v>172.8</v>
      </c>
      <c r="AF31" s="26">
        <f t="shared" si="26"/>
        <v>176.00000000000003</v>
      </c>
      <c r="AG31" s="26">
        <f t="shared" si="26"/>
        <v>179.20000000000005</v>
      </c>
      <c r="AH31" s="26">
        <f t="shared" si="26"/>
        <v>182.40000000000003</v>
      </c>
      <c r="AI31" s="26">
        <f t="shared" si="26"/>
        <v>185.60000000000002</v>
      </c>
      <c r="AJ31" s="26">
        <f t="shared" si="26"/>
        <v>188.80000000000004</v>
      </c>
      <c r="AK31" s="26">
        <f t="shared" si="26"/>
        <v>192.00000000000003</v>
      </c>
      <c r="AL31" s="26">
        <f t="shared" si="26"/>
        <v>195.20000000000005</v>
      </c>
      <c r="AM31" s="26">
        <f t="shared" si="26"/>
        <v>198.40000000000006</v>
      </c>
      <c r="AN31" s="27"/>
      <c r="AO31" s="27"/>
      <c r="AP31" s="27"/>
      <c r="AQ31" s="26"/>
      <c r="AR31" s="26"/>
      <c r="AS31" s="26"/>
      <c r="AT31" s="26"/>
      <c r="AU31" s="26"/>
      <c r="AV31" s="26"/>
      <c r="AW31" s="26"/>
      <c r="AX31" s="26"/>
      <c r="AY31" s="26"/>
      <c r="AZ31" s="85"/>
      <c r="BA31" s="85"/>
      <c r="BB31" s="85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</row>
    <row r="32" spans="1:76" ht="15.5">
      <c r="A32" s="24" t="s">
        <v>75</v>
      </c>
      <c r="B32" s="51">
        <f>C30*B26</f>
        <v>3244.02</v>
      </c>
      <c r="C32" s="27"/>
      <c r="D32" s="78">
        <f>D30/400*$B26</f>
        <v>162.20099999999999</v>
      </c>
      <c r="E32" s="78">
        <f t="shared" ref="E32:AM32" si="27">E30/400*$B26</f>
        <v>162.20099999999999</v>
      </c>
      <c r="F32" s="78">
        <f t="shared" si="27"/>
        <v>324.40199999999999</v>
      </c>
      <c r="G32" s="78">
        <f t="shared" si="27"/>
        <v>324.40199999999999</v>
      </c>
      <c r="H32" s="78">
        <f t="shared" si="27"/>
        <v>324.40199999999999</v>
      </c>
      <c r="I32" s="78">
        <f t="shared" si="27"/>
        <v>648.80399999999997</v>
      </c>
      <c r="J32" s="78">
        <f t="shared" si="27"/>
        <v>648.80399999999997</v>
      </c>
      <c r="K32" s="78">
        <f t="shared" si="27"/>
        <v>648.80399999999997</v>
      </c>
      <c r="L32" s="78">
        <f t="shared" si="27"/>
        <v>973.2059999999999</v>
      </c>
      <c r="M32" s="78">
        <f t="shared" si="27"/>
        <v>973.2059999999999</v>
      </c>
      <c r="N32" s="78">
        <f t="shared" si="27"/>
        <v>973.2059999999999</v>
      </c>
      <c r="O32" s="78">
        <f t="shared" si="27"/>
        <v>1297.6079999999999</v>
      </c>
      <c r="P32" s="78">
        <f t="shared" si="27"/>
        <v>1297.6079999999999</v>
      </c>
      <c r="Q32" s="78">
        <f t="shared" si="27"/>
        <v>1297.6079999999999</v>
      </c>
      <c r="R32" s="78">
        <f t="shared" si="27"/>
        <v>1622.01</v>
      </c>
      <c r="S32" s="78">
        <f t="shared" si="27"/>
        <v>1622.01</v>
      </c>
      <c r="T32" s="78">
        <f t="shared" si="27"/>
        <v>1622.01</v>
      </c>
      <c r="U32" s="78">
        <f t="shared" si="27"/>
        <v>1622.01</v>
      </c>
      <c r="V32" s="78">
        <f t="shared" si="27"/>
        <v>2433.0149999999999</v>
      </c>
      <c r="W32" s="78">
        <f t="shared" si="27"/>
        <v>2433.0149999999999</v>
      </c>
      <c r="X32" s="78">
        <f t="shared" si="27"/>
        <v>2433.0149999999999</v>
      </c>
      <c r="Y32" s="78">
        <f t="shared" si="27"/>
        <v>2433.0149999999999</v>
      </c>
      <c r="Z32" s="78">
        <f t="shared" si="27"/>
        <v>2433.0149999999999</v>
      </c>
      <c r="AA32" s="78">
        <f t="shared" si="27"/>
        <v>3244.02</v>
      </c>
      <c r="AB32" s="78">
        <f t="shared" si="27"/>
        <v>3308.9004</v>
      </c>
      <c r="AC32" s="78">
        <f t="shared" si="27"/>
        <v>3373.7808</v>
      </c>
      <c r="AD32" s="78">
        <f t="shared" si="27"/>
        <v>3438.6611999999996</v>
      </c>
      <c r="AE32" s="78">
        <f t="shared" si="27"/>
        <v>3503.5416</v>
      </c>
      <c r="AF32" s="78">
        <f t="shared" si="27"/>
        <v>3568.422</v>
      </c>
      <c r="AG32" s="78">
        <f t="shared" si="27"/>
        <v>3633.3024</v>
      </c>
      <c r="AH32" s="78">
        <f t="shared" si="27"/>
        <v>3698.1828</v>
      </c>
      <c r="AI32" s="78">
        <f t="shared" si="27"/>
        <v>3763.0632000000001</v>
      </c>
      <c r="AJ32" s="78">
        <f t="shared" si="27"/>
        <v>3827.9436000000001</v>
      </c>
      <c r="AK32" s="78">
        <f t="shared" si="27"/>
        <v>3892.8239999999996</v>
      </c>
      <c r="AL32" s="78">
        <f t="shared" si="27"/>
        <v>3957.7043999999996</v>
      </c>
      <c r="AM32" s="78">
        <f t="shared" si="27"/>
        <v>4022.584800000001</v>
      </c>
      <c r="AN32" s="78">
        <f>SUM(D32:AM32)</f>
        <v>75942.508199999997</v>
      </c>
      <c r="AO32" s="27" t="s">
        <v>76</v>
      </c>
      <c r="AP32" s="27"/>
      <c r="AQ32" s="43"/>
      <c r="AR32" s="43"/>
      <c r="AS32" s="43"/>
      <c r="AT32" s="43"/>
      <c r="AU32" s="43"/>
      <c r="AV32" s="43"/>
      <c r="AW32" s="43"/>
      <c r="AX32" s="43"/>
      <c r="AY32" s="43"/>
      <c r="AZ32" s="85"/>
      <c r="BA32" s="85"/>
      <c r="BB32" s="85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</row>
    <row r="33" spans="1:76" ht="15.5">
      <c r="A33" s="24" t="s">
        <v>77</v>
      </c>
      <c r="B33" s="51">
        <f>C31*B28</f>
        <v>1246</v>
      </c>
      <c r="C33" s="27"/>
      <c r="D33" s="78">
        <f>D31/400*$B28</f>
        <v>62.300000000000004</v>
      </c>
      <c r="E33" s="78">
        <f t="shared" ref="E33:AM33" si="28">E31/400*$B28</f>
        <v>62.300000000000004</v>
      </c>
      <c r="F33" s="78">
        <f t="shared" si="28"/>
        <v>124.60000000000001</v>
      </c>
      <c r="G33" s="78">
        <f t="shared" si="28"/>
        <v>124.60000000000001</v>
      </c>
      <c r="H33" s="78">
        <f t="shared" si="28"/>
        <v>124.60000000000001</v>
      </c>
      <c r="I33" s="78">
        <f t="shared" si="28"/>
        <v>249.20000000000002</v>
      </c>
      <c r="J33" s="78">
        <f t="shared" si="28"/>
        <v>249.20000000000002</v>
      </c>
      <c r="K33" s="78">
        <f t="shared" si="28"/>
        <v>249.20000000000002</v>
      </c>
      <c r="L33" s="78">
        <f t="shared" si="28"/>
        <v>373.8</v>
      </c>
      <c r="M33" s="78">
        <f t="shared" si="28"/>
        <v>373.8</v>
      </c>
      <c r="N33" s="78">
        <f t="shared" si="28"/>
        <v>373.8</v>
      </c>
      <c r="O33" s="78">
        <f t="shared" si="28"/>
        <v>498.40000000000003</v>
      </c>
      <c r="P33" s="78">
        <f t="shared" si="28"/>
        <v>498.40000000000003</v>
      </c>
      <c r="Q33" s="78">
        <f t="shared" si="28"/>
        <v>498.40000000000003</v>
      </c>
      <c r="R33" s="78">
        <f t="shared" si="28"/>
        <v>623</v>
      </c>
      <c r="S33" s="78">
        <f t="shared" si="28"/>
        <v>623</v>
      </c>
      <c r="T33" s="78">
        <f t="shared" si="28"/>
        <v>623</v>
      </c>
      <c r="U33" s="78">
        <f t="shared" si="28"/>
        <v>623</v>
      </c>
      <c r="V33" s="78">
        <f t="shared" si="28"/>
        <v>934.5</v>
      </c>
      <c r="W33" s="78">
        <f t="shared" si="28"/>
        <v>934.5</v>
      </c>
      <c r="X33" s="78">
        <f t="shared" si="28"/>
        <v>934.5</v>
      </c>
      <c r="Y33" s="78">
        <f t="shared" si="28"/>
        <v>934.5</v>
      </c>
      <c r="Z33" s="78">
        <f t="shared" si="28"/>
        <v>934.5</v>
      </c>
      <c r="AA33" s="78">
        <f t="shared" si="28"/>
        <v>1246</v>
      </c>
      <c r="AB33" s="78">
        <f t="shared" si="28"/>
        <v>1270.92</v>
      </c>
      <c r="AC33" s="78">
        <f t="shared" si="28"/>
        <v>1295.8400000000001</v>
      </c>
      <c r="AD33" s="78">
        <f t="shared" si="28"/>
        <v>1320.7600000000002</v>
      </c>
      <c r="AE33" s="78">
        <f t="shared" si="28"/>
        <v>1345.68</v>
      </c>
      <c r="AF33" s="78">
        <f t="shared" si="28"/>
        <v>1370.6000000000001</v>
      </c>
      <c r="AG33" s="78">
        <f t="shared" si="28"/>
        <v>1395.5200000000004</v>
      </c>
      <c r="AH33" s="78">
        <f t="shared" si="28"/>
        <v>1420.4400000000003</v>
      </c>
      <c r="AI33" s="78">
        <f t="shared" si="28"/>
        <v>1445.3600000000004</v>
      </c>
      <c r="AJ33" s="78">
        <f t="shared" si="28"/>
        <v>1470.2800000000002</v>
      </c>
      <c r="AK33" s="78">
        <f t="shared" si="28"/>
        <v>1495.2000000000003</v>
      </c>
      <c r="AL33" s="78">
        <f t="shared" si="28"/>
        <v>1520.1200000000003</v>
      </c>
      <c r="AM33" s="78">
        <f t="shared" si="28"/>
        <v>1545.0400000000004</v>
      </c>
      <c r="AN33" s="78">
        <f>SUM(D33:AM33)</f>
        <v>29168.859999999997</v>
      </c>
      <c r="AO33" s="27" t="s">
        <v>76</v>
      </c>
      <c r="AP33" s="79">
        <f>AN32+AN33</f>
        <v>105111.3682</v>
      </c>
      <c r="AQ33" s="51" t="s">
        <v>78</v>
      </c>
      <c r="AR33" s="51"/>
      <c r="AS33" s="51"/>
      <c r="AT33" s="51"/>
      <c r="AU33" s="51"/>
      <c r="AV33" s="51"/>
      <c r="AW33" s="51"/>
      <c r="AX33" s="51"/>
      <c r="AY33" s="51"/>
      <c r="AZ33" s="85"/>
      <c r="BA33" s="85"/>
      <c r="BB33" s="85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</row>
    <row r="34" spans="1:76" ht="15" customHeight="1">
      <c r="A34" s="24" t="s">
        <v>97</v>
      </c>
      <c r="B34" s="51">
        <f>B32+B33</f>
        <v>4490.0200000000004</v>
      </c>
      <c r="C34" s="51"/>
      <c r="D34" s="51">
        <f t="shared" ref="D34:Z34" si="29">D32+D33</f>
        <v>224.501</v>
      </c>
      <c r="E34" s="51">
        <f t="shared" si="29"/>
        <v>224.501</v>
      </c>
      <c r="F34" s="51">
        <f t="shared" si="29"/>
        <v>449.00200000000001</v>
      </c>
      <c r="G34" s="51">
        <f t="shared" si="29"/>
        <v>449.00200000000001</v>
      </c>
      <c r="H34" s="51">
        <f t="shared" si="29"/>
        <v>449.00200000000001</v>
      </c>
      <c r="I34" s="51">
        <f t="shared" si="29"/>
        <v>898.00400000000002</v>
      </c>
      <c r="J34" s="51">
        <f t="shared" si="29"/>
        <v>898.00400000000002</v>
      </c>
      <c r="K34" s="51">
        <f t="shared" si="29"/>
        <v>898.00400000000002</v>
      </c>
      <c r="L34" s="51">
        <f t="shared" si="29"/>
        <v>1347.0059999999999</v>
      </c>
      <c r="M34" s="51">
        <f t="shared" si="29"/>
        <v>1347.0059999999999</v>
      </c>
      <c r="N34" s="51">
        <f t="shared" si="29"/>
        <v>1347.0059999999999</v>
      </c>
      <c r="O34" s="51">
        <f t="shared" si="29"/>
        <v>1796.008</v>
      </c>
      <c r="P34" s="51">
        <f t="shared" si="29"/>
        <v>1796.008</v>
      </c>
      <c r="Q34" s="51">
        <f t="shared" si="29"/>
        <v>1796.008</v>
      </c>
      <c r="R34" s="51">
        <f t="shared" si="29"/>
        <v>2245.0100000000002</v>
      </c>
      <c r="S34" s="51">
        <f t="shared" si="29"/>
        <v>2245.0100000000002</v>
      </c>
      <c r="T34" s="51">
        <f t="shared" si="29"/>
        <v>2245.0100000000002</v>
      </c>
      <c r="U34" s="51">
        <f t="shared" si="29"/>
        <v>2245.0100000000002</v>
      </c>
      <c r="V34" s="51">
        <f t="shared" si="29"/>
        <v>3367.5149999999999</v>
      </c>
      <c r="W34" s="51">
        <f t="shared" si="29"/>
        <v>3367.5149999999999</v>
      </c>
      <c r="X34" s="51">
        <f t="shared" si="29"/>
        <v>3367.5149999999999</v>
      </c>
      <c r="Y34" s="51">
        <f t="shared" si="29"/>
        <v>3367.5149999999999</v>
      </c>
      <c r="Z34" s="51">
        <f t="shared" si="29"/>
        <v>3367.5149999999999</v>
      </c>
      <c r="AA34" s="51">
        <f t="shared" ref="AA34:AM34" si="30">AA32+AA33</f>
        <v>4490.0200000000004</v>
      </c>
      <c r="AB34" s="51">
        <f t="shared" si="30"/>
        <v>4579.8204000000005</v>
      </c>
      <c r="AC34" s="51">
        <f t="shared" si="30"/>
        <v>4669.6208000000006</v>
      </c>
      <c r="AD34" s="51">
        <f t="shared" si="30"/>
        <v>4759.4211999999998</v>
      </c>
      <c r="AE34" s="51">
        <f t="shared" si="30"/>
        <v>4849.2215999999999</v>
      </c>
      <c r="AF34" s="51">
        <f t="shared" si="30"/>
        <v>4939.0219999999999</v>
      </c>
      <c r="AG34" s="51">
        <f t="shared" si="30"/>
        <v>5028.8224000000009</v>
      </c>
      <c r="AH34" s="51">
        <f t="shared" si="30"/>
        <v>5118.6228000000001</v>
      </c>
      <c r="AI34" s="51">
        <f t="shared" si="30"/>
        <v>5208.4232000000002</v>
      </c>
      <c r="AJ34" s="51">
        <f t="shared" si="30"/>
        <v>5298.2236000000003</v>
      </c>
      <c r="AK34" s="51">
        <f t="shared" si="30"/>
        <v>5388.0239999999994</v>
      </c>
      <c r="AL34" s="51">
        <f t="shared" si="30"/>
        <v>5477.8243999999995</v>
      </c>
      <c r="AM34" s="51">
        <f t="shared" si="30"/>
        <v>5567.6248000000014</v>
      </c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</row>
    <row r="35" spans="1:76" s="78" customFormat="1" ht="15" customHeight="1">
      <c r="A35" s="78" t="s">
        <v>80</v>
      </c>
      <c r="D35" s="78">
        <f t="shared" ref="D35:AM35" si="31">D19+D13+D21+D32+D33</f>
        <v>4602.3315000000002</v>
      </c>
      <c r="E35" s="78">
        <f t="shared" si="31"/>
        <v>4602.3315000000002</v>
      </c>
      <c r="F35" s="78">
        <f t="shared" si="31"/>
        <v>9204.6630000000005</v>
      </c>
      <c r="G35" s="78">
        <f t="shared" si="31"/>
        <v>9204.6630000000005</v>
      </c>
      <c r="H35" s="78">
        <f t="shared" si="31"/>
        <v>9204.6630000000005</v>
      </c>
      <c r="I35" s="78">
        <f t="shared" si="31"/>
        <v>18409.326000000001</v>
      </c>
      <c r="J35" s="78">
        <f t="shared" si="31"/>
        <v>18409.326000000001</v>
      </c>
      <c r="K35" s="78">
        <f t="shared" si="31"/>
        <v>18409.326000000001</v>
      </c>
      <c r="L35" s="78">
        <f t="shared" si="31"/>
        <v>27613.988999999994</v>
      </c>
      <c r="M35" s="78">
        <f t="shared" si="31"/>
        <v>27613.988999999994</v>
      </c>
      <c r="N35" s="78">
        <f t="shared" si="31"/>
        <v>27613.988999999994</v>
      </c>
      <c r="O35" s="78">
        <f t="shared" si="31"/>
        <v>36818.652000000002</v>
      </c>
      <c r="P35" s="78">
        <f t="shared" si="31"/>
        <v>36818.652000000002</v>
      </c>
      <c r="Q35" s="78">
        <f t="shared" si="31"/>
        <v>36818.652000000002</v>
      </c>
      <c r="R35" s="78">
        <f t="shared" si="31"/>
        <v>46023.315000000002</v>
      </c>
      <c r="S35" s="78">
        <f t="shared" si="31"/>
        <v>46023.315000000002</v>
      </c>
      <c r="T35" s="78">
        <f t="shared" si="31"/>
        <v>46023.315000000002</v>
      </c>
      <c r="U35" s="78">
        <f t="shared" si="31"/>
        <v>46023.315000000002</v>
      </c>
      <c r="V35" s="78">
        <f t="shared" si="31"/>
        <v>69034.972499999989</v>
      </c>
      <c r="W35" s="78">
        <f t="shared" si="31"/>
        <v>69034.972499999989</v>
      </c>
      <c r="X35" s="78">
        <f t="shared" si="31"/>
        <v>69034.972499999989</v>
      </c>
      <c r="Y35" s="78">
        <f t="shared" si="31"/>
        <v>69034.972499999989</v>
      </c>
      <c r="Z35" s="78">
        <f t="shared" si="31"/>
        <v>69034.972499999989</v>
      </c>
      <c r="AA35" s="78">
        <f t="shared" si="31"/>
        <v>92046.63</v>
      </c>
      <c r="AB35" s="78">
        <f t="shared" si="31"/>
        <v>93887.56259999999</v>
      </c>
      <c r="AC35" s="78">
        <f t="shared" si="31"/>
        <v>95728.49519999999</v>
      </c>
      <c r="AD35" s="78">
        <f t="shared" si="31"/>
        <v>97569.42779999999</v>
      </c>
      <c r="AE35" s="78">
        <f t="shared" si="31"/>
        <v>99410.36039999999</v>
      </c>
      <c r="AF35" s="78">
        <f t="shared" si="31"/>
        <v>101251.29300000002</v>
      </c>
      <c r="AG35" s="78">
        <f t="shared" si="31"/>
        <v>103092.22560000002</v>
      </c>
      <c r="AH35" s="78">
        <f t="shared" si="31"/>
        <v>104933.15820000002</v>
      </c>
      <c r="AI35" s="78">
        <f t="shared" si="31"/>
        <v>106774.09080000002</v>
      </c>
      <c r="AJ35" s="78">
        <f t="shared" si="31"/>
        <v>108615.02340000001</v>
      </c>
      <c r="AK35" s="78">
        <f t="shared" si="31"/>
        <v>110455.95599999999</v>
      </c>
      <c r="AL35" s="78">
        <f t="shared" si="31"/>
        <v>112296.88860000002</v>
      </c>
      <c r="AM35" s="78">
        <f t="shared" si="31"/>
        <v>114137.82120000001</v>
      </c>
    </row>
    <row r="36" spans="1:76" ht="15" customHeight="1">
      <c r="A36" s="85"/>
      <c r="B36" s="2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</row>
    <row r="38" spans="1:76" ht="15" customHeight="1">
      <c r="A38" s="85"/>
      <c r="B38" s="85"/>
      <c r="C38" s="85"/>
      <c r="D38" s="76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</row>
    <row r="41" spans="1:76" ht="15" customHeight="1">
      <c r="A41" s="80" t="s">
        <v>81</v>
      </c>
      <c r="B41" s="85"/>
      <c r="C41" s="85"/>
      <c r="D41" s="85"/>
      <c r="E41" s="85"/>
      <c r="F41" s="80" t="s">
        <v>82</v>
      </c>
      <c r="G41" s="80" t="s">
        <v>81</v>
      </c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</row>
    <row r="42" spans="1:76" ht="15.5">
      <c r="A42" s="85"/>
      <c r="B42" s="15"/>
      <c r="C42" s="85"/>
      <c r="D42" s="85"/>
      <c r="E42" s="85"/>
      <c r="F42" s="80" t="s">
        <v>83</v>
      </c>
      <c r="G42" s="80" t="s">
        <v>84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</row>
    <row r="43" spans="1:76" ht="15.5">
      <c r="A43" s="85"/>
      <c r="B43" s="15"/>
      <c r="C43" s="85"/>
      <c r="D43" s="85"/>
      <c r="E43" s="85"/>
      <c r="F43" s="80" t="s">
        <v>48</v>
      </c>
      <c r="G43" s="80" t="s">
        <v>85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</row>
    <row r="104" spans="2:6" ht="15" customHeight="1">
      <c r="B104" s="85">
        <f>2500000</f>
        <v>2500000</v>
      </c>
      <c r="C104" s="85">
        <v>0.3</v>
      </c>
      <c r="D104" s="85">
        <f>B104*C104</f>
        <v>750000</v>
      </c>
      <c r="E104" s="85"/>
      <c r="F104" s="85"/>
    </row>
    <row r="105" spans="2:6" ht="15" customHeight="1">
      <c r="B105" s="85">
        <v>1200000</v>
      </c>
      <c r="C105" s="85">
        <v>0.55000000000000004</v>
      </c>
      <c r="D105" s="85">
        <f>B105*C105</f>
        <v>660000</v>
      </c>
      <c r="E105" s="85"/>
      <c r="F105" s="85"/>
    </row>
    <row r="112" spans="2:6" ht="15" customHeight="1">
      <c r="B112" s="85"/>
      <c r="C112" s="85"/>
      <c r="D112" s="26">
        <f t="shared" ref="D112" si="32">42351</f>
        <v>42351</v>
      </c>
      <c r="E112" s="85">
        <v>12</v>
      </c>
      <c r="F112" s="85">
        <f>D112*E112</f>
        <v>508212</v>
      </c>
    </row>
    <row r="113" spans="4:6" ht="15" customHeight="1">
      <c r="D113" s="26">
        <f t="shared" ref="D113" si="33">169405</f>
        <v>169405</v>
      </c>
      <c r="E113" s="85">
        <v>12</v>
      </c>
      <c r="F113" s="85">
        <f>D113*E113</f>
        <v>2032860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Y113"/>
  <sheetViews>
    <sheetView workbookViewId="0">
      <selection activeCell="AR11" sqref="AR11"/>
    </sheetView>
  </sheetViews>
  <sheetFormatPr defaultColWidth="11.1640625" defaultRowHeight="15" customHeight="1"/>
  <cols>
    <col min="1" max="1" width="11.1640625" style="149"/>
    <col min="2" max="2" width="32.83203125" style="68" bestFit="1" customWidth="1"/>
    <col min="3" max="3" width="9.6640625" style="68" bestFit="1" customWidth="1"/>
    <col min="4" max="4" width="22.08203125" style="68" customWidth="1"/>
    <col min="5" max="6" width="10" style="68" bestFit="1" customWidth="1"/>
    <col min="7" max="7" width="11" style="68" bestFit="1" customWidth="1"/>
    <col min="8" max="8" width="15" style="68" customWidth="1"/>
    <col min="9" max="19" width="11" style="68" bestFit="1" customWidth="1"/>
    <col min="20" max="20" width="15.58203125" style="68" bestFit="1" customWidth="1"/>
    <col min="21" max="22" width="11" style="68" bestFit="1" customWidth="1"/>
    <col min="23" max="24" width="12" style="68" bestFit="1" customWidth="1"/>
    <col min="25" max="25" width="10" style="68" bestFit="1" customWidth="1"/>
    <col min="26" max="26" width="12" style="68" bestFit="1" customWidth="1"/>
    <col min="27" max="28" width="10" style="68" bestFit="1" customWidth="1"/>
    <col min="29" max="31" width="12" style="68" bestFit="1" customWidth="1"/>
    <col min="32" max="32" width="16.1640625" style="68" bestFit="1" customWidth="1"/>
    <col min="33" max="40" width="12" style="68" bestFit="1" customWidth="1"/>
    <col min="41" max="41" width="8.6640625" style="68" bestFit="1" customWidth="1"/>
    <col min="42" max="42" width="27.6640625" style="68" bestFit="1" customWidth="1"/>
    <col min="43" max="43" width="9.83203125" style="68" bestFit="1" customWidth="1"/>
    <col min="44" max="44" width="20.58203125" style="74" bestFit="1" customWidth="1"/>
    <col min="45" max="45" width="6.1640625" style="74" bestFit="1" customWidth="1"/>
    <col min="46" max="52" width="5.6640625" style="74" customWidth="1"/>
    <col min="56" max="16384" width="11.1640625" style="68"/>
  </cols>
  <sheetData>
    <row r="1" spans="1:77" ht="106.5" customHeight="1">
      <c r="B1" s="85"/>
      <c r="C1" s="15" t="s">
        <v>0</v>
      </c>
      <c r="D1" s="22"/>
      <c r="E1" s="22">
        <v>44197</v>
      </c>
      <c r="F1" s="22">
        <f t="shared" ref="F1:AN1" si="0">EDATE(E1,1)</f>
        <v>44228</v>
      </c>
      <c r="G1" s="22">
        <f t="shared" si="0"/>
        <v>44256</v>
      </c>
      <c r="H1" s="22">
        <f t="shared" si="0"/>
        <v>44287</v>
      </c>
      <c r="I1" s="22">
        <f t="shared" si="0"/>
        <v>44317</v>
      </c>
      <c r="J1" s="22">
        <f t="shared" si="0"/>
        <v>44348</v>
      </c>
      <c r="K1" s="22">
        <f t="shared" si="0"/>
        <v>44378</v>
      </c>
      <c r="L1" s="22">
        <f t="shared" si="0"/>
        <v>44409</v>
      </c>
      <c r="M1" s="22">
        <f t="shared" si="0"/>
        <v>44440</v>
      </c>
      <c r="N1" s="22">
        <f t="shared" si="0"/>
        <v>44470</v>
      </c>
      <c r="O1" s="22">
        <f t="shared" si="0"/>
        <v>44501</v>
      </c>
      <c r="P1" s="22">
        <f t="shared" si="0"/>
        <v>44531</v>
      </c>
      <c r="Q1" s="22">
        <f t="shared" si="0"/>
        <v>44562</v>
      </c>
      <c r="R1" s="22">
        <f t="shared" si="0"/>
        <v>44593</v>
      </c>
      <c r="S1" s="22">
        <f t="shared" si="0"/>
        <v>44621</v>
      </c>
      <c r="T1" s="22">
        <f t="shared" si="0"/>
        <v>44652</v>
      </c>
      <c r="U1" s="22">
        <f t="shared" si="0"/>
        <v>44682</v>
      </c>
      <c r="V1" s="22">
        <f t="shared" si="0"/>
        <v>44713</v>
      </c>
      <c r="W1" s="22">
        <f t="shared" si="0"/>
        <v>44743</v>
      </c>
      <c r="X1" s="22">
        <f t="shared" si="0"/>
        <v>44774</v>
      </c>
      <c r="Y1" s="22">
        <f t="shared" si="0"/>
        <v>44805</v>
      </c>
      <c r="Z1" s="22">
        <f t="shared" si="0"/>
        <v>44835</v>
      </c>
      <c r="AA1" s="22">
        <f t="shared" si="0"/>
        <v>44866</v>
      </c>
      <c r="AB1" s="22">
        <f t="shared" si="0"/>
        <v>44896</v>
      </c>
      <c r="AC1" s="22">
        <f t="shared" si="0"/>
        <v>44927</v>
      </c>
      <c r="AD1" s="22">
        <f t="shared" si="0"/>
        <v>44958</v>
      </c>
      <c r="AE1" s="22">
        <f t="shared" si="0"/>
        <v>44986</v>
      </c>
      <c r="AF1" s="22">
        <f t="shared" si="0"/>
        <v>45017</v>
      </c>
      <c r="AG1" s="22">
        <f t="shared" si="0"/>
        <v>45047</v>
      </c>
      <c r="AH1" s="22">
        <f t="shared" si="0"/>
        <v>45078</v>
      </c>
      <c r="AI1" s="22">
        <f t="shared" si="0"/>
        <v>45108</v>
      </c>
      <c r="AJ1" s="22">
        <f t="shared" si="0"/>
        <v>45139</v>
      </c>
      <c r="AK1" s="22">
        <f t="shared" si="0"/>
        <v>45170</v>
      </c>
      <c r="AL1" s="22">
        <f t="shared" si="0"/>
        <v>45200</v>
      </c>
      <c r="AM1" s="22">
        <f t="shared" si="0"/>
        <v>45231</v>
      </c>
      <c r="AN1" s="22">
        <f t="shared" si="0"/>
        <v>45261</v>
      </c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85"/>
      <c r="BB1" s="85"/>
      <c r="BC1" s="85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ht="15.5">
      <c r="A2" s="152" t="s">
        <v>300</v>
      </c>
      <c r="B2" s="24" t="s">
        <v>6</v>
      </c>
      <c r="C2" s="25">
        <v>0.55000000000000004</v>
      </c>
      <c r="D2" s="24" t="s">
        <v>7</v>
      </c>
      <c r="E2" s="26">
        <f>E5*$AB2</f>
        <v>0</v>
      </c>
      <c r="F2" s="26">
        <f t="shared" ref="F2:AA2" si="1">F5*$AB2</f>
        <v>0</v>
      </c>
      <c r="G2" s="26">
        <f t="shared" si="1"/>
        <v>0</v>
      </c>
      <c r="H2" s="26">
        <f t="shared" si="1"/>
        <v>0</v>
      </c>
      <c r="I2" s="26">
        <f t="shared" si="1"/>
        <v>0</v>
      </c>
      <c r="J2" s="26">
        <f t="shared" si="1"/>
        <v>0</v>
      </c>
      <c r="K2" s="26">
        <f t="shared" si="1"/>
        <v>0</v>
      </c>
      <c r="L2" s="26">
        <f t="shared" si="1"/>
        <v>0</v>
      </c>
      <c r="M2" s="26">
        <f t="shared" si="1"/>
        <v>0</v>
      </c>
      <c r="N2" s="26">
        <f t="shared" si="1"/>
        <v>0</v>
      </c>
      <c r="O2" s="26">
        <f t="shared" si="1"/>
        <v>0</v>
      </c>
      <c r="P2" s="26">
        <f t="shared" si="1"/>
        <v>0</v>
      </c>
      <c r="Q2" s="26">
        <f t="shared" si="1"/>
        <v>0</v>
      </c>
      <c r="R2" s="26">
        <f t="shared" si="1"/>
        <v>0</v>
      </c>
      <c r="S2" s="26">
        <f t="shared" si="1"/>
        <v>0</v>
      </c>
      <c r="T2" s="26">
        <f t="shared" si="1"/>
        <v>0</v>
      </c>
      <c r="U2" s="26">
        <f t="shared" si="1"/>
        <v>0</v>
      </c>
      <c r="V2" s="26">
        <f t="shared" si="1"/>
        <v>0</v>
      </c>
      <c r="W2" s="26">
        <f t="shared" si="1"/>
        <v>0</v>
      </c>
      <c r="X2" s="26">
        <f t="shared" si="1"/>
        <v>0</v>
      </c>
      <c r="Y2" s="26">
        <f t="shared" si="1"/>
        <v>0</v>
      </c>
      <c r="Z2" s="26">
        <f t="shared" si="1"/>
        <v>0</v>
      </c>
      <c r="AA2" s="26">
        <f t="shared" si="1"/>
        <v>0</v>
      </c>
      <c r="AB2" s="114">
        <v>0</v>
      </c>
      <c r="AC2" s="26">
        <f t="shared" ref="AC2:AN2" si="2">AC5*$AB2</f>
        <v>0</v>
      </c>
      <c r="AD2" s="26">
        <f t="shared" si="2"/>
        <v>0</v>
      </c>
      <c r="AE2" s="26">
        <f t="shared" si="2"/>
        <v>0</v>
      </c>
      <c r="AF2" s="26">
        <f t="shared" si="2"/>
        <v>0</v>
      </c>
      <c r="AG2" s="26">
        <f t="shared" si="2"/>
        <v>0</v>
      </c>
      <c r="AH2" s="26">
        <f t="shared" si="2"/>
        <v>0</v>
      </c>
      <c r="AI2" s="26">
        <f t="shared" si="2"/>
        <v>0</v>
      </c>
      <c r="AJ2" s="26">
        <f t="shared" si="2"/>
        <v>0</v>
      </c>
      <c r="AK2" s="26">
        <f t="shared" si="2"/>
        <v>0</v>
      </c>
      <c r="AL2" s="26">
        <f t="shared" si="2"/>
        <v>0</v>
      </c>
      <c r="AM2" s="26">
        <f t="shared" si="2"/>
        <v>0</v>
      </c>
      <c r="AN2" s="26">
        <f t="shared" si="2"/>
        <v>0</v>
      </c>
      <c r="AO2" s="27"/>
      <c r="AP2" s="27"/>
      <c r="AQ2" s="27"/>
      <c r="AR2" s="106" t="s">
        <v>86</v>
      </c>
      <c r="AS2" s="107">
        <f>AB4</f>
        <v>32850</v>
      </c>
      <c r="AT2" s="26" t="s">
        <v>98</v>
      </c>
      <c r="AU2" s="26"/>
      <c r="AV2" s="26"/>
      <c r="AW2" s="26"/>
      <c r="AX2" s="26"/>
      <c r="AY2" s="26"/>
      <c r="AZ2" s="26"/>
      <c r="BA2" s="85"/>
      <c r="BB2" s="85"/>
      <c r="BC2" s="85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</row>
    <row r="3" spans="1:77" ht="15.5">
      <c r="A3" s="153"/>
      <c r="B3" s="24" t="s">
        <v>9</v>
      </c>
      <c r="C3" s="25">
        <v>0.3</v>
      </c>
      <c r="D3" s="24" t="s">
        <v>10</v>
      </c>
      <c r="E3" s="26">
        <f>E5*$AB3</f>
        <v>5475</v>
      </c>
      <c r="F3" s="26">
        <f t="shared" ref="F3:AA3" si="3">F5*$AB3</f>
        <v>5475</v>
      </c>
      <c r="G3" s="26">
        <f t="shared" si="3"/>
        <v>10950</v>
      </c>
      <c r="H3" s="26">
        <f t="shared" si="3"/>
        <v>10950</v>
      </c>
      <c r="I3" s="26">
        <f t="shared" si="3"/>
        <v>10950</v>
      </c>
      <c r="J3" s="26">
        <f t="shared" si="3"/>
        <v>21900</v>
      </c>
      <c r="K3" s="26">
        <f t="shared" si="3"/>
        <v>21900</v>
      </c>
      <c r="L3" s="26">
        <f t="shared" si="3"/>
        <v>21900</v>
      </c>
      <c r="M3" s="26">
        <f t="shared" si="3"/>
        <v>32850</v>
      </c>
      <c r="N3" s="26">
        <f t="shared" si="3"/>
        <v>32850</v>
      </c>
      <c r="O3" s="26">
        <f t="shared" si="3"/>
        <v>32850</v>
      </c>
      <c r="P3" s="26">
        <f t="shared" si="3"/>
        <v>43800</v>
      </c>
      <c r="Q3" s="26">
        <f t="shared" si="3"/>
        <v>43800</v>
      </c>
      <c r="R3" s="26">
        <f t="shared" si="3"/>
        <v>43800</v>
      </c>
      <c r="S3" s="26">
        <f t="shared" si="3"/>
        <v>54750</v>
      </c>
      <c r="T3" s="26">
        <f t="shared" si="3"/>
        <v>54750</v>
      </c>
      <c r="U3" s="26">
        <f t="shared" si="3"/>
        <v>54750</v>
      </c>
      <c r="V3" s="26">
        <f t="shared" si="3"/>
        <v>54750</v>
      </c>
      <c r="W3" s="26">
        <f t="shared" si="3"/>
        <v>82125</v>
      </c>
      <c r="X3" s="26">
        <f t="shared" si="3"/>
        <v>82125</v>
      </c>
      <c r="Y3" s="26">
        <f t="shared" si="3"/>
        <v>82125</v>
      </c>
      <c r="Z3" s="26">
        <f t="shared" si="3"/>
        <v>82125</v>
      </c>
      <c r="AA3" s="26">
        <f t="shared" si="3"/>
        <v>82125</v>
      </c>
      <c r="AB3" s="82">
        <v>109500</v>
      </c>
      <c r="AC3" s="26">
        <f t="shared" ref="AC3:AN3" si="4">AC5*$AB3</f>
        <v>111690</v>
      </c>
      <c r="AD3" s="26">
        <f t="shared" si="4"/>
        <v>113880</v>
      </c>
      <c r="AE3" s="26">
        <f t="shared" si="4"/>
        <v>116070</v>
      </c>
      <c r="AF3" s="26">
        <f t="shared" si="4"/>
        <v>118260.00000000001</v>
      </c>
      <c r="AG3" s="26">
        <f t="shared" si="4"/>
        <v>120450.00000000001</v>
      </c>
      <c r="AH3" s="26">
        <f t="shared" si="4"/>
        <v>122640.00000000001</v>
      </c>
      <c r="AI3" s="26">
        <f t="shared" si="4"/>
        <v>124830.00000000001</v>
      </c>
      <c r="AJ3" s="26">
        <f t="shared" si="4"/>
        <v>127020.00000000001</v>
      </c>
      <c r="AK3" s="26">
        <f t="shared" si="4"/>
        <v>129210.00000000001</v>
      </c>
      <c r="AL3" s="26">
        <f t="shared" si="4"/>
        <v>131400.00000000003</v>
      </c>
      <c r="AM3" s="26">
        <f t="shared" si="4"/>
        <v>133590.00000000003</v>
      </c>
      <c r="AN3" s="26">
        <f t="shared" si="4"/>
        <v>135780.00000000003</v>
      </c>
      <c r="AO3" s="27"/>
      <c r="AP3" s="27"/>
      <c r="AQ3" s="27"/>
      <c r="AR3" s="106" t="s">
        <v>87</v>
      </c>
      <c r="AS3" s="107">
        <f>AB13</f>
        <v>25278.440000000002</v>
      </c>
      <c r="AT3" s="26"/>
      <c r="AU3" s="26"/>
      <c r="AV3" s="26"/>
      <c r="AW3" s="26"/>
      <c r="AX3" s="26"/>
      <c r="AY3" s="26"/>
      <c r="AZ3" s="26"/>
      <c r="BA3" s="85"/>
      <c r="BB3" s="85"/>
      <c r="BC3" s="85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</row>
    <row r="4" spans="1:77" ht="15.5">
      <c r="A4" s="153"/>
      <c r="B4" s="28" t="s">
        <v>0</v>
      </c>
      <c r="C4" s="29"/>
      <c r="D4" s="30"/>
      <c r="E4" s="30">
        <f>(E2*$C$2)+(E3*$C$3)</f>
        <v>1642.5</v>
      </c>
      <c r="F4" s="30">
        <f t="shared" ref="F4:AB4" si="5">(F2*$C$2)+(F3*$C$3)</f>
        <v>1642.5</v>
      </c>
      <c r="G4" s="30">
        <f t="shared" si="5"/>
        <v>3285</v>
      </c>
      <c r="H4" s="30">
        <f t="shared" si="5"/>
        <v>3285</v>
      </c>
      <c r="I4" s="30">
        <f t="shared" si="5"/>
        <v>3285</v>
      </c>
      <c r="J4" s="30">
        <f t="shared" si="5"/>
        <v>6570</v>
      </c>
      <c r="K4" s="30">
        <f t="shared" si="5"/>
        <v>6570</v>
      </c>
      <c r="L4" s="30">
        <f t="shared" si="5"/>
        <v>6570</v>
      </c>
      <c r="M4" s="30">
        <f t="shared" si="5"/>
        <v>9855</v>
      </c>
      <c r="N4" s="30">
        <f t="shared" si="5"/>
        <v>9855</v>
      </c>
      <c r="O4" s="30">
        <f t="shared" si="5"/>
        <v>9855</v>
      </c>
      <c r="P4" s="30">
        <f t="shared" si="5"/>
        <v>13140</v>
      </c>
      <c r="Q4" s="30">
        <f t="shared" si="5"/>
        <v>13140</v>
      </c>
      <c r="R4" s="30">
        <f t="shared" si="5"/>
        <v>13140</v>
      </c>
      <c r="S4" s="30">
        <f t="shared" si="5"/>
        <v>16425</v>
      </c>
      <c r="T4" s="30">
        <f t="shared" si="5"/>
        <v>16425</v>
      </c>
      <c r="U4" s="30">
        <f t="shared" si="5"/>
        <v>16425</v>
      </c>
      <c r="V4" s="30">
        <f t="shared" si="5"/>
        <v>16425</v>
      </c>
      <c r="W4" s="30">
        <f t="shared" si="5"/>
        <v>24637.5</v>
      </c>
      <c r="X4" s="30">
        <f t="shared" si="5"/>
        <v>24637.5</v>
      </c>
      <c r="Y4" s="30">
        <f t="shared" si="5"/>
        <v>24637.5</v>
      </c>
      <c r="Z4" s="30">
        <f t="shared" si="5"/>
        <v>24637.5</v>
      </c>
      <c r="AA4" s="30">
        <f t="shared" si="5"/>
        <v>24637.5</v>
      </c>
      <c r="AB4" s="30">
        <f t="shared" si="5"/>
        <v>32850</v>
      </c>
      <c r="AC4" s="30">
        <f t="shared" ref="AC4:AN4" si="6">(AC2*$C$2)+(AC3*$C$3)</f>
        <v>33507</v>
      </c>
      <c r="AD4" s="30">
        <f t="shared" si="6"/>
        <v>34164</v>
      </c>
      <c r="AE4" s="30">
        <f t="shared" si="6"/>
        <v>34821</v>
      </c>
      <c r="AF4" s="30">
        <f t="shared" si="6"/>
        <v>35478</v>
      </c>
      <c r="AG4" s="30">
        <f t="shared" si="6"/>
        <v>36135</v>
      </c>
      <c r="AH4" s="30">
        <f t="shared" si="6"/>
        <v>36792</v>
      </c>
      <c r="AI4" s="30">
        <f t="shared" si="6"/>
        <v>37449</v>
      </c>
      <c r="AJ4" s="30">
        <f t="shared" si="6"/>
        <v>38106</v>
      </c>
      <c r="AK4" s="30">
        <f t="shared" si="6"/>
        <v>38763</v>
      </c>
      <c r="AL4" s="30">
        <f t="shared" si="6"/>
        <v>39420.000000000007</v>
      </c>
      <c r="AM4" s="30">
        <f t="shared" si="6"/>
        <v>40077.000000000007</v>
      </c>
      <c r="AN4" s="30">
        <f t="shared" si="6"/>
        <v>40734.000000000007</v>
      </c>
      <c r="AO4" s="31">
        <f>SUM(E4:AN4)</f>
        <v>769018.5</v>
      </c>
      <c r="AP4" s="32" t="s">
        <v>12</v>
      </c>
      <c r="AQ4" s="29"/>
      <c r="AR4" s="106" t="s">
        <v>88</v>
      </c>
      <c r="AS4" s="107">
        <f>AB32+AB33</f>
        <v>4490.0200000000004</v>
      </c>
      <c r="AT4" s="30"/>
      <c r="AU4" s="30"/>
      <c r="AV4" s="30"/>
      <c r="AW4" s="30"/>
      <c r="AX4" s="30"/>
      <c r="AY4" s="30"/>
      <c r="AZ4" s="30"/>
      <c r="BA4" s="85"/>
      <c r="BB4" s="85"/>
      <c r="BC4" s="85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</row>
    <row r="5" spans="1:77" ht="15.5">
      <c r="A5" s="153"/>
      <c r="B5" s="24" t="s">
        <v>14</v>
      </c>
      <c r="C5" s="27"/>
      <c r="D5" s="33"/>
      <c r="E5" s="33">
        <v>0.05</v>
      </c>
      <c r="F5" s="33">
        <v>0.05</v>
      </c>
      <c r="G5" s="33">
        <v>0.1</v>
      </c>
      <c r="H5" s="33">
        <v>0.1</v>
      </c>
      <c r="I5" s="33">
        <v>0.1</v>
      </c>
      <c r="J5" s="33">
        <v>0.2</v>
      </c>
      <c r="K5" s="33">
        <v>0.2</v>
      </c>
      <c r="L5" s="33">
        <v>0.2</v>
      </c>
      <c r="M5" s="33">
        <v>0.3</v>
      </c>
      <c r="N5" s="33">
        <v>0.3</v>
      </c>
      <c r="O5" s="33">
        <v>0.3</v>
      </c>
      <c r="P5" s="33">
        <v>0.4</v>
      </c>
      <c r="Q5" s="33">
        <v>0.4</v>
      </c>
      <c r="R5" s="33">
        <v>0.4</v>
      </c>
      <c r="S5" s="33">
        <v>0.5</v>
      </c>
      <c r="T5" s="33">
        <v>0.5</v>
      </c>
      <c r="U5" s="33">
        <v>0.5</v>
      </c>
      <c r="V5" s="33">
        <v>0.5</v>
      </c>
      <c r="W5" s="33">
        <v>0.75</v>
      </c>
      <c r="X5" s="33">
        <v>0.75</v>
      </c>
      <c r="Y5" s="33">
        <v>0.75</v>
      </c>
      <c r="Z5" s="33">
        <v>0.75</v>
      </c>
      <c r="AA5" s="33">
        <v>0.75</v>
      </c>
      <c r="AB5" s="33">
        <v>1</v>
      </c>
      <c r="AC5" s="33">
        <f>AB5+2/100</f>
        <v>1.02</v>
      </c>
      <c r="AD5" s="33">
        <f>AC5+2/100</f>
        <v>1.04</v>
      </c>
      <c r="AE5" s="33">
        <f t="shared" ref="AE5:AN5" si="7">AD5+2/100</f>
        <v>1.06</v>
      </c>
      <c r="AF5" s="33">
        <f t="shared" si="7"/>
        <v>1.08</v>
      </c>
      <c r="AG5" s="33">
        <f t="shared" si="7"/>
        <v>1.1000000000000001</v>
      </c>
      <c r="AH5" s="33">
        <f t="shared" si="7"/>
        <v>1.1200000000000001</v>
      </c>
      <c r="AI5" s="33">
        <f t="shared" si="7"/>
        <v>1.1400000000000001</v>
      </c>
      <c r="AJ5" s="33">
        <f t="shared" si="7"/>
        <v>1.1600000000000001</v>
      </c>
      <c r="AK5" s="33">
        <f t="shared" si="7"/>
        <v>1.1800000000000002</v>
      </c>
      <c r="AL5" s="33">
        <f t="shared" si="7"/>
        <v>1.2000000000000002</v>
      </c>
      <c r="AM5" s="33">
        <f t="shared" si="7"/>
        <v>1.2200000000000002</v>
      </c>
      <c r="AN5" s="33">
        <f t="shared" si="7"/>
        <v>1.2400000000000002</v>
      </c>
      <c r="AO5" s="34"/>
      <c r="AP5" s="34"/>
      <c r="AQ5" s="27"/>
      <c r="AR5" s="107" t="s">
        <v>89</v>
      </c>
      <c r="AS5" s="108">
        <f>AB22</f>
        <v>27785.625</v>
      </c>
      <c r="AT5" s="33"/>
      <c r="AU5" s="33"/>
      <c r="AV5" s="33"/>
      <c r="AW5" s="33"/>
      <c r="AX5" s="33"/>
      <c r="AY5" s="33"/>
      <c r="AZ5" s="33"/>
      <c r="BA5" s="85"/>
      <c r="BB5" s="85"/>
      <c r="BC5" s="85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</row>
    <row r="6" spans="1:77" ht="15.5">
      <c r="A6" s="153"/>
      <c r="B6" s="24" t="s">
        <v>16</v>
      </c>
      <c r="C6" s="27"/>
      <c r="D6" s="27"/>
      <c r="E6" s="26">
        <f t="shared" ref="E6:AN6" si="8">SUM(E2:E3)</f>
        <v>5475</v>
      </c>
      <c r="F6" s="26">
        <f t="shared" si="8"/>
        <v>5475</v>
      </c>
      <c r="G6" s="26">
        <f t="shared" si="8"/>
        <v>10950</v>
      </c>
      <c r="H6" s="26">
        <f t="shared" si="8"/>
        <v>10950</v>
      </c>
      <c r="I6" s="26">
        <f t="shared" si="8"/>
        <v>10950</v>
      </c>
      <c r="J6" s="26">
        <f t="shared" si="8"/>
        <v>21900</v>
      </c>
      <c r="K6" s="26">
        <f t="shared" si="8"/>
        <v>21900</v>
      </c>
      <c r="L6" s="26">
        <f t="shared" si="8"/>
        <v>21900</v>
      </c>
      <c r="M6" s="26">
        <f t="shared" si="8"/>
        <v>32850</v>
      </c>
      <c r="N6" s="26">
        <f t="shared" si="8"/>
        <v>32850</v>
      </c>
      <c r="O6" s="26">
        <f t="shared" si="8"/>
        <v>32850</v>
      </c>
      <c r="P6" s="26">
        <f t="shared" si="8"/>
        <v>43800</v>
      </c>
      <c r="Q6" s="26">
        <f t="shared" si="8"/>
        <v>43800</v>
      </c>
      <c r="R6" s="26">
        <f t="shared" si="8"/>
        <v>43800</v>
      </c>
      <c r="S6" s="26">
        <f t="shared" si="8"/>
        <v>54750</v>
      </c>
      <c r="T6" s="26">
        <f t="shared" si="8"/>
        <v>54750</v>
      </c>
      <c r="U6" s="26">
        <f t="shared" si="8"/>
        <v>54750</v>
      </c>
      <c r="V6" s="26">
        <f t="shared" si="8"/>
        <v>54750</v>
      </c>
      <c r="W6" s="26">
        <f t="shared" si="8"/>
        <v>82125</v>
      </c>
      <c r="X6" s="26">
        <f t="shared" si="8"/>
        <v>82125</v>
      </c>
      <c r="Y6" s="26">
        <f t="shared" si="8"/>
        <v>82125</v>
      </c>
      <c r="Z6" s="26">
        <f t="shared" si="8"/>
        <v>82125</v>
      </c>
      <c r="AA6" s="26">
        <f t="shared" si="8"/>
        <v>82125</v>
      </c>
      <c r="AB6" s="26">
        <f t="shared" si="8"/>
        <v>109500</v>
      </c>
      <c r="AC6" s="26">
        <f t="shared" si="8"/>
        <v>111690</v>
      </c>
      <c r="AD6" s="26">
        <f t="shared" si="8"/>
        <v>113880</v>
      </c>
      <c r="AE6" s="26">
        <f t="shared" si="8"/>
        <v>116070</v>
      </c>
      <c r="AF6" s="26">
        <f t="shared" si="8"/>
        <v>118260.00000000001</v>
      </c>
      <c r="AG6" s="26">
        <f t="shared" si="8"/>
        <v>120450.00000000001</v>
      </c>
      <c r="AH6" s="26">
        <f t="shared" si="8"/>
        <v>122640.00000000001</v>
      </c>
      <c r="AI6" s="26">
        <f t="shared" si="8"/>
        <v>124830.00000000001</v>
      </c>
      <c r="AJ6" s="26">
        <f t="shared" si="8"/>
        <v>127020.00000000001</v>
      </c>
      <c r="AK6" s="26">
        <f t="shared" si="8"/>
        <v>129210.00000000001</v>
      </c>
      <c r="AL6" s="26">
        <f t="shared" si="8"/>
        <v>131400.00000000003</v>
      </c>
      <c r="AM6" s="26">
        <f t="shared" si="8"/>
        <v>133590.00000000003</v>
      </c>
      <c r="AN6" s="26">
        <f t="shared" si="8"/>
        <v>135780.00000000003</v>
      </c>
      <c r="AO6" s="37">
        <f>SUM(E6:AN6)</f>
        <v>2563395</v>
      </c>
      <c r="AP6" s="38" t="s">
        <v>17</v>
      </c>
      <c r="AQ6" s="27"/>
      <c r="AR6" s="109" t="s">
        <v>90</v>
      </c>
      <c r="AS6" s="107">
        <f>AB19</f>
        <v>11083.939999999999</v>
      </c>
      <c r="AT6" s="26" t="s">
        <v>98</v>
      </c>
      <c r="AU6" s="26"/>
      <c r="AV6" s="26"/>
      <c r="AW6" s="26"/>
      <c r="AX6" s="26"/>
      <c r="AY6" s="26"/>
      <c r="AZ6" s="26"/>
      <c r="BA6" s="85"/>
      <c r="BB6" s="85"/>
      <c r="BC6" s="85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</row>
    <row r="7" spans="1:77" ht="15.5">
      <c r="A7" s="153"/>
      <c r="B7" s="24" t="s">
        <v>19</v>
      </c>
      <c r="C7" s="24">
        <v>1.5</v>
      </c>
      <c r="D7" s="27"/>
      <c r="E7" s="26">
        <f>E6/$C7</f>
        <v>3650</v>
      </c>
      <c r="F7" s="26">
        <f t="shared" ref="F7:AN7" si="9">F6/$C7</f>
        <v>3650</v>
      </c>
      <c r="G7" s="26">
        <f t="shared" si="9"/>
        <v>7300</v>
      </c>
      <c r="H7" s="26">
        <f t="shared" si="9"/>
        <v>7300</v>
      </c>
      <c r="I7" s="26">
        <f t="shared" si="9"/>
        <v>7300</v>
      </c>
      <c r="J7" s="26">
        <f t="shared" si="9"/>
        <v>14600</v>
      </c>
      <c r="K7" s="26">
        <f t="shared" si="9"/>
        <v>14600</v>
      </c>
      <c r="L7" s="26">
        <f t="shared" si="9"/>
        <v>14600</v>
      </c>
      <c r="M7" s="26">
        <f t="shared" si="9"/>
        <v>21900</v>
      </c>
      <c r="N7" s="26">
        <f t="shared" si="9"/>
        <v>21900</v>
      </c>
      <c r="O7" s="26">
        <f t="shared" si="9"/>
        <v>21900</v>
      </c>
      <c r="P7" s="26">
        <f t="shared" si="9"/>
        <v>29200</v>
      </c>
      <c r="Q7" s="26">
        <f t="shared" si="9"/>
        <v>29200</v>
      </c>
      <c r="R7" s="26">
        <f t="shared" si="9"/>
        <v>29200</v>
      </c>
      <c r="S7" s="26">
        <f t="shared" si="9"/>
        <v>36500</v>
      </c>
      <c r="T7" s="26">
        <f t="shared" si="9"/>
        <v>36500</v>
      </c>
      <c r="U7" s="26">
        <f t="shared" si="9"/>
        <v>36500</v>
      </c>
      <c r="V7" s="26">
        <f t="shared" si="9"/>
        <v>36500</v>
      </c>
      <c r="W7" s="26">
        <f t="shared" si="9"/>
        <v>54750</v>
      </c>
      <c r="X7" s="26">
        <f t="shared" si="9"/>
        <v>54750</v>
      </c>
      <c r="Y7" s="26">
        <f t="shared" si="9"/>
        <v>54750</v>
      </c>
      <c r="Z7" s="26">
        <f t="shared" si="9"/>
        <v>54750</v>
      </c>
      <c r="AA7" s="26">
        <f t="shared" si="9"/>
        <v>54750</v>
      </c>
      <c r="AB7" s="26">
        <f t="shared" si="9"/>
        <v>73000</v>
      </c>
      <c r="AC7" s="26">
        <f t="shared" si="9"/>
        <v>74460</v>
      </c>
      <c r="AD7" s="26">
        <f t="shared" si="9"/>
        <v>75920</v>
      </c>
      <c r="AE7" s="26">
        <f t="shared" si="9"/>
        <v>77380</v>
      </c>
      <c r="AF7" s="26">
        <f t="shared" si="9"/>
        <v>78840.000000000015</v>
      </c>
      <c r="AG7" s="26">
        <f t="shared" si="9"/>
        <v>80300.000000000015</v>
      </c>
      <c r="AH7" s="26">
        <f t="shared" si="9"/>
        <v>81760.000000000015</v>
      </c>
      <c r="AI7" s="26">
        <f t="shared" si="9"/>
        <v>83220.000000000015</v>
      </c>
      <c r="AJ7" s="26">
        <f t="shared" si="9"/>
        <v>84680.000000000015</v>
      </c>
      <c r="AK7" s="26">
        <f t="shared" si="9"/>
        <v>86140.000000000015</v>
      </c>
      <c r="AL7" s="26">
        <f t="shared" si="9"/>
        <v>87600.000000000015</v>
      </c>
      <c r="AM7" s="26">
        <f t="shared" si="9"/>
        <v>89060.000000000015</v>
      </c>
      <c r="AN7" s="26">
        <f t="shared" si="9"/>
        <v>90520.000000000015</v>
      </c>
      <c r="AO7" s="34"/>
      <c r="AP7" s="34"/>
      <c r="AQ7" s="27"/>
      <c r="AR7" s="110" t="s">
        <v>20</v>
      </c>
      <c r="AS7" s="107">
        <f>SUM(AS2:AS6)</f>
        <v>101488.02500000001</v>
      </c>
      <c r="AT7" s="26"/>
      <c r="AU7" s="26"/>
      <c r="AV7" s="26"/>
      <c r="AW7" s="26"/>
      <c r="AX7" s="26"/>
      <c r="AY7" s="26"/>
      <c r="AZ7" s="26"/>
      <c r="BA7" s="85"/>
      <c r="BB7" s="85"/>
      <c r="BC7" s="85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</row>
    <row r="8" spans="1:77" ht="15.5">
      <c r="A8" s="153"/>
      <c r="B8" s="75" t="s">
        <v>21</v>
      </c>
      <c r="C8" s="33">
        <v>0.4</v>
      </c>
      <c r="D8" s="27"/>
      <c r="E8" s="26">
        <f>E7*$C8</f>
        <v>1460</v>
      </c>
      <c r="F8" s="26">
        <f t="shared" ref="F8:AN8" si="10">F7*$C8</f>
        <v>1460</v>
      </c>
      <c r="G8" s="26">
        <f t="shared" si="10"/>
        <v>2920</v>
      </c>
      <c r="H8" s="26">
        <f t="shared" si="10"/>
        <v>2920</v>
      </c>
      <c r="I8" s="26">
        <f t="shared" si="10"/>
        <v>2920</v>
      </c>
      <c r="J8" s="26">
        <f t="shared" si="10"/>
        <v>5840</v>
      </c>
      <c r="K8" s="26">
        <f t="shared" si="10"/>
        <v>5840</v>
      </c>
      <c r="L8" s="26">
        <f t="shared" si="10"/>
        <v>5840</v>
      </c>
      <c r="M8" s="26">
        <f t="shared" si="10"/>
        <v>8760</v>
      </c>
      <c r="N8" s="26">
        <f t="shared" si="10"/>
        <v>8760</v>
      </c>
      <c r="O8" s="26">
        <f t="shared" si="10"/>
        <v>8760</v>
      </c>
      <c r="P8" s="26">
        <f t="shared" si="10"/>
        <v>11680</v>
      </c>
      <c r="Q8" s="26">
        <f t="shared" si="10"/>
        <v>11680</v>
      </c>
      <c r="R8" s="26">
        <f t="shared" si="10"/>
        <v>11680</v>
      </c>
      <c r="S8" s="26">
        <f t="shared" si="10"/>
        <v>14600</v>
      </c>
      <c r="T8" s="26">
        <f t="shared" si="10"/>
        <v>14600</v>
      </c>
      <c r="U8" s="26">
        <f t="shared" si="10"/>
        <v>14600</v>
      </c>
      <c r="V8" s="26">
        <f t="shared" si="10"/>
        <v>14600</v>
      </c>
      <c r="W8" s="26">
        <f t="shared" si="10"/>
        <v>21900</v>
      </c>
      <c r="X8" s="26">
        <f t="shared" si="10"/>
        <v>21900</v>
      </c>
      <c r="Y8" s="26">
        <f t="shared" si="10"/>
        <v>21900</v>
      </c>
      <c r="Z8" s="26">
        <f t="shared" si="10"/>
        <v>21900</v>
      </c>
      <c r="AA8" s="26">
        <f t="shared" si="10"/>
        <v>21900</v>
      </c>
      <c r="AB8" s="26">
        <f t="shared" si="10"/>
        <v>29200</v>
      </c>
      <c r="AC8" s="26">
        <f t="shared" si="10"/>
        <v>29784</v>
      </c>
      <c r="AD8" s="26">
        <f t="shared" si="10"/>
        <v>30368</v>
      </c>
      <c r="AE8" s="26">
        <f t="shared" si="10"/>
        <v>30952</v>
      </c>
      <c r="AF8" s="26">
        <f t="shared" si="10"/>
        <v>31536.000000000007</v>
      </c>
      <c r="AG8" s="26">
        <f t="shared" si="10"/>
        <v>32120.000000000007</v>
      </c>
      <c r="AH8" s="26">
        <f t="shared" si="10"/>
        <v>32704.000000000007</v>
      </c>
      <c r="AI8" s="26">
        <f t="shared" si="10"/>
        <v>33288.000000000007</v>
      </c>
      <c r="AJ8" s="26">
        <f t="shared" si="10"/>
        <v>33872.000000000007</v>
      </c>
      <c r="AK8" s="26">
        <f t="shared" si="10"/>
        <v>34456.000000000007</v>
      </c>
      <c r="AL8" s="26">
        <f t="shared" si="10"/>
        <v>35040.000000000007</v>
      </c>
      <c r="AM8" s="26">
        <f t="shared" si="10"/>
        <v>35624.000000000007</v>
      </c>
      <c r="AN8" s="26">
        <f t="shared" si="10"/>
        <v>36208.000000000007</v>
      </c>
      <c r="AO8" s="34"/>
      <c r="AP8" s="34"/>
      <c r="AQ8" s="27"/>
      <c r="AR8" s="26"/>
      <c r="AS8" s="26"/>
      <c r="AT8" s="26"/>
      <c r="AU8" s="26"/>
      <c r="AV8" s="26"/>
      <c r="AW8" s="26"/>
      <c r="AX8" s="26"/>
      <c r="AY8" s="26"/>
      <c r="AZ8" s="26"/>
      <c r="BA8" s="85"/>
      <c r="BB8" s="85"/>
      <c r="BC8" s="85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</row>
    <row r="9" spans="1:77" ht="15.5">
      <c r="A9" s="153"/>
      <c r="B9" s="75" t="s">
        <v>22</v>
      </c>
      <c r="C9" s="46">
        <v>0.6</v>
      </c>
      <c r="D9" s="27"/>
      <c r="E9" s="26">
        <f>E7-E8</f>
        <v>2190</v>
      </c>
      <c r="F9" s="26">
        <f t="shared" ref="F9:AN9" si="11">F7-F8</f>
        <v>2190</v>
      </c>
      <c r="G9" s="26">
        <f t="shared" si="11"/>
        <v>4380</v>
      </c>
      <c r="H9" s="26">
        <f t="shared" si="11"/>
        <v>4380</v>
      </c>
      <c r="I9" s="26">
        <f t="shared" si="11"/>
        <v>4380</v>
      </c>
      <c r="J9" s="26">
        <f t="shared" si="11"/>
        <v>8760</v>
      </c>
      <c r="K9" s="26">
        <f t="shared" si="11"/>
        <v>8760</v>
      </c>
      <c r="L9" s="26">
        <f t="shared" si="11"/>
        <v>8760</v>
      </c>
      <c r="M9" s="26">
        <f t="shared" si="11"/>
        <v>13140</v>
      </c>
      <c r="N9" s="26">
        <f t="shared" si="11"/>
        <v>13140</v>
      </c>
      <c r="O9" s="26">
        <f t="shared" si="11"/>
        <v>13140</v>
      </c>
      <c r="P9" s="26">
        <f t="shared" si="11"/>
        <v>17520</v>
      </c>
      <c r="Q9" s="26">
        <f t="shared" si="11"/>
        <v>17520</v>
      </c>
      <c r="R9" s="26">
        <f t="shared" si="11"/>
        <v>17520</v>
      </c>
      <c r="S9" s="26">
        <f t="shared" si="11"/>
        <v>21900</v>
      </c>
      <c r="T9" s="26">
        <f t="shared" si="11"/>
        <v>21900</v>
      </c>
      <c r="U9" s="26">
        <f t="shared" si="11"/>
        <v>21900</v>
      </c>
      <c r="V9" s="26">
        <f t="shared" si="11"/>
        <v>21900</v>
      </c>
      <c r="W9" s="26">
        <f t="shared" si="11"/>
        <v>32850</v>
      </c>
      <c r="X9" s="26">
        <f t="shared" si="11"/>
        <v>32850</v>
      </c>
      <c r="Y9" s="26">
        <f t="shared" si="11"/>
        <v>32850</v>
      </c>
      <c r="Z9" s="26">
        <f t="shared" si="11"/>
        <v>32850</v>
      </c>
      <c r="AA9" s="26">
        <f t="shared" si="11"/>
        <v>32850</v>
      </c>
      <c r="AB9" s="26">
        <f t="shared" si="11"/>
        <v>43800</v>
      </c>
      <c r="AC9" s="26">
        <f t="shared" si="11"/>
        <v>44676</v>
      </c>
      <c r="AD9" s="26">
        <f t="shared" si="11"/>
        <v>45552</v>
      </c>
      <c r="AE9" s="26">
        <f t="shared" si="11"/>
        <v>46428</v>
      </c>
      <c r="AF9" s="26">
        <f t="shared" si="11"/>
        <v>47304.000000000007</v>
      </c>
      <c r="AG9" s="26">
        <f t="shared" si="11"/>
        <v>48180.000000000007</v>
      </c>
      <c r="AH9" s="26">
        <f t="shared" si="11"/>
        <v>49056.000000000007</v>
      </c>
      <c r="AI9" s="26">
        <f t="shared" si="11"/>
        <v>49932.000000000007</v>
      </c>
      <c r="AJ9" s="26">
        <f t="shared" si="11"/>
        <v>50808.000000000007</v>
      </c>
      <c r="AK9" s="26">
        <f t="shared" si="11"/>
        <v>51684.000000000007</v>
      </c>
      <c r="AL9" s="26">
        <f t="shared" si="11"/>
        <v>52560.000000000007</v>
      </c>
      <c r="AM9" s="26">
        <f t="shared" si="11"/>
        <v>53436.000000000007</v>
      </c>
      <c r="AN9" s="26">
        <f t="shared" si="11"/>
        <v>54312.000000000007</v>
      </c>
      <c r="AO9" s="34"/>
      <c r="AP9" s="34"/>
      <c r="AQ9" s="27"/>
      <c r="AR9" s="26"/>
      <c r="AS9" s="26"/>
      <c r="AT9" s="26"/>
      <c r="AU9" s="26"/>
      <c r="AV9" s="26"/>
      <c r="AW9" s="26"/>
      <c r="AX9" s="26"/>
      <c r="AY9" s="26"/>
      <c r="AZ9" s="26"/>
      <c r="BA9" s="85"/>
      <c r="BB9" s="85"/>
      <c r="BC9" s="85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</row>
    <row r="10" spans="1:77" ht="15.5">
      <c r="A10" s="153"/>
      <c r="B10" s="24" t="s">
        <v>23</v>
      </c>
      <c r="C10" s="41">
        <v>0.56000000000000005</v>
      </c>
      <c r="D10" s="27"/>
      <c r="E10" s="42">
        <f t="shared" ref="E10:AN10" si="12">E7*$C10</f>
        <v>2044.0000000000002</v>
      </c>
      <c r="F10" s="42">
        <f t="shared" si="12"/>
        <v>2044.0000000000002</v>
      </c>
      <c r="G10" s="42">
        <f t="shared" si="12"/>
        <v>4088.0000000000005</v>
      </c>
      <c r="H10" s="42">
        <f t="shared" si="12"/>
        <v>4088.0000000000005</v>
      </c>
      <c r="I10" s="42">
        <f t="shared" si="12"/>
        <v>4088.0000000000005</v>
      </c>
      <c r="J10" s="42">
        <f t="shared" si="12"/>
        <v>8176.0000000000009</v>
      </c>
      <c r="K10" s="42">
        <f t="shared" si="12"/>
        <v>8176.0000000000009</v>
      </c>
      <c r="L10" s="42">
        <f t="shared" si="12"/>
        <v>8176.0000000000009</v>
      </c>
      <c r="M10" s="42">
        <f t="shared" si="12"/>
        <v>12264.000000000002</v>
      </c>
      <c r="N10" s="42">
        <f t="shared" si="12"/>
        <v>12264.000000000002</v>
      </c>
      <c r="O10" s="42">
        <f t="shared" si="12"/>
        <v>12264.000000000002</v>
      </c>
      <c r="P10" s="42">
        <f t="shared" si="12"/>
        <v>16352.000000000002</v>
      </c>
      <c r="Q10" s="42">
        <f t="shared" si="12"/>
        <v>16352.000000000002</v>
      </c>
      <c r="R10" s="42">
        <f t="shared" si="12"/>
        <v>16352.000000000002</v>
      </c>
      <c r="S10" s="42">
        <f t="shared" si="12"/>
        <v>20440.000000000004</v>
      </c>
      <c r="T10" s="42">
        <f t="shared" si="12"/>
        <v>20440.000000000004</v>
      </c>
      <c r="U10" s="42">
        <f t="shared" si="12"/>
        <v>20440.000000000004</v>
      </c>
      <c r="V10" s="42">
        <f t="shared" si="12"/>
        <v>20440.000000000004</v>
      </c>
      <c r="W10" s="42">
        <f t="shared" si="12"/>
        <v>30660.000000000004</v>
      </c>
      <c r="X10" s="42">
        <f t="shared" si="12"/>
        <v>30660.000000000004</v>
      </c>
      <c r="Y10" s="42">
        <f t="shared" si="12"/>
        <v>30660.000000000004</v>
      </c>
      <c r="Z10" s="42">
        <f t="shared" si="12"/>
        <v>30660.000000000004</v>
      </c>
      <c r="AA10" s="42">
        <f t="shared" si="12"/>
        <v>30660.000000000004</v>
      </c>
      <c r="AB10" s="42">
        <f t="shared" si="12"/>
        <v>40880.000000000007</v>
      </c>
      <c r="AC10" s="42">
        <f t="shared" si="12"/>
        <v>41697.600000000006</v>
      </c>
      <c r="AD10" s="42">
        <f t="shared" si="12"/>
        <v>42515.200000000004</v>
      </c>
      <c r="AE10" s="42">
        <f t="shared" si="12"/>
        <v>43332.800000000003</v>
      </c>
      <c r="AF10" s="42">
        <f t="shared" si="12"/>
        <v>44150.400000000009</v>
      </c>
      <c r="AG10" s="42">
        <f t="shared" si="12"/>
        <v>44968.000000000015</v>
      </c>
      <c r="AH10" s="42">
        <f t="shared" si="12"/>
        <v>45785.600000000013</v>
      </c>
      <c r="AI10" s="42">
        <f t="shared" si="12"/>
        <v>46603.200000000012</v>
      </c>
      <c r="AJ10" s="42">
        <f t="shared" si="12"/>
        <v>47420.80000000001</v>
      </c>
      <c r="AK10" s="42">
        <f t="shared" si="12"/>
        <v>48238.400000000016</v>
      </c>
      <c r="AL10" s="42">
        <f t="shared" si="12"/>
        <v>49056.000000000015</v>
      </c>
      <c r="AM10" s="42">
        <f t="shared" si="12"/>
        <v>49873.600000000013</v>
      </c>
      <c r="AN10" s="42">
        <f t="shared" si="12"/>
        <v>50691.200000000012</v>
      </c>
      <c r="AO10" s="31">
        <f>SUM(E10:AN10)</f>
        <v>957000.8</v>
      </c>
      <c r="AP10" s="38" t="s">
        <v>24</v>
      </c>
      <c r="AQ10" s="27"/>
      <c r="AR10" s="42"/>
      <c r="AS10" s="42"/>
      <c r="AT10" s="42"/>
      <c r="AU10" s="42"/>
      <c r="AV10" s="42"/>
      <c r="AW10" s="42"/>
      <c r="AX10" s="42"/>
      <c r="AY10" s="42"/>
      <c r="AZ10" s="42"/>
      <c r="BA10" s="85"/>
      <c r="BB10" s="85"/>
      <c r="BC10" s="85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</row>
    <row r="11" spans="1:77" ht="15.5">
      <c r="A11" s="153"/>
      <c r="B11" s="24" t="s">
        <v>27</v>
      </c>
      <c r="C11" s="41">
        <v>0.1769</v>
      </c>
      <c r="D11" s="27"/>
      <c r="E11" s="43">
        <f>$C11*E8</f>
        <v>258.274</v>
      </c>
      <c r="F11" s="43">
        <f t="shared" ref="F11:AN11" si="13">$C11*F8</f>
        <v>258.274</v>
      </c>
      <c r="G11" s="43">
        <f t="shared" si="13"/>
        <v>516.548</v>
      </c>
      <c r="H11" s="43">
        <f t="shared" si="13"/>
        <v>516.548</v>
      </c>
      <c r="I11" s="43">
        <f t="shared" si="13"/>
        <v>516.548</v>
      </c>
      <c r="J11" s="43">
        <f t="shared" si="13"/>
        <v>1033.096</v>
      </c>
      <c r="K11" s="43">
        <f t="shared" si="13"/>
        <v>1033.096</v>
      </c>
      <c r="L11" s="43">
        <f t="shared" si="13"/>
        <v>1033.096</v>
      </c>
      <c r="M11" s="43">
        <f t="shared" si="13"/>
        <v>1549.644</v>
      </c>
      <c r="N11" s="43">
        <f t="shared" si="13"/>
        <v>1549.644</v>
      </c>
      <c r="O11" s="43">
        <f t="shared" si="13"/>
        <v>1549.644</v>
      </c>
      <c r="P11" s="43">
        <f t="shared" si="13"/>
        <v>2066.192</v>
      </c>
      <c r="Q11" s="43">
        <f t="shared" si="13"/>
        <v>2066.192</v>
      </c>
      <c r="R11" s="43">
        <f t="shared" si="13"/>
        <v>2066.192</v>
      </c>
      <c r="S11" s="43">
        <f t="shared" si="13"/>
        <v>2582.7400000000002</v>
      </c>
      <c r="T11" s="43">
        <f t="shared" si="13"/>
        <v>2582.7400000000002</v>
      </c>
      <c r="U11" s="43">
        <f t="shared" si="13"/>
        <v>2582.7400000000002</v>
      </c>
      <c r="V11" s="43">
        <f t="shared" si="13"/>
        <v>2582.7400000000002</v>
      </c>
      <c r="W11" s="43">
        <f t="shared" si="13"/>
        <v>3874.11</v>
      </c>
      <c r="X11" s="43">
        <f t="shared" si="13"/>
        <v>3874.11</v>
      </c>
      <c r="Y11" s="43">
        <f t="shared" si="13"/>
        <v>3874.11</v>
      </c>
      <c r="Z11" s="43">
        <f t="shared" si="13"/>
        <v>3874.11</v>
      </c>
      <c r="AA11" s="43">
        <f t="shared" si="13"/>
        <v>3874.11</v>
      </c>
      <c r="AB11" s="43">
        <f t="shared" si="13"/>
        <v>5165.4800000000005</v>
      </c>
      <c r="AC11" s="43">
        <f t="shared" si="13"/>
        <v>5268.7896000000001</v>
      </c>
      <c r="AD11" s="43">
        <f t="shared" si="13"/>
        <v>5372.0991999999997</v>
      </c>
      <c r="AE11" s="43">
        <f t="shared" si="13"/>
        <v>5475.4088000000002</v>
      </c>
      <c r="AF11" s="43">
        <f t="shared" si="13"/>
        <v>5578.7184000000016</v>
      </c>
      <c r="AG11" s="43">
        <f t="shared" si="13"/>
        <v>5682.0280000000012</v>
      </c>
      <c r="AH11" s="43">
        <f t="shared" si="13"/>
        <v>5785.3376000000017</v>
      </c>
      <c r="AI11" s="43">
        <f t="shared" si="13"/>
        <v>5888.6472000000012</v>
      </c>
      <c r="AJ11" s="43">
        <f t="shared" si="13"/>
        <v>5991.9568000000017</v>
      </c>
      <c r="AK11" s="43">
        <f t="shared" si="13"/>
        <v>6095.2664000000013</v>
      </c>
      <c r="AL11" s="43">
        <f t="shared" si="13"/>
        <v>6198.5760000000009</v>
      </c>
      <c r="AM11" s="43">
        <f t="shared" si="13"/>
        <v>6301.8856000000014</v>
      </c>
      <c r="AN11" s="43">
        <f t="shared" si="13"/>
        <v>6405.195200000001</v>
      </c>
      <c r="AO11" s="34"/>
      <c r="AP11" s="34"/>
      <c r="AQ11" s="27"/>
      <c r="AR11" s="43"/>
      <c r="AS11" s="43"/>
      <c r="AT11" s="43"/>
      <c r="AU11" s="43"/>
      <c r="AV11" s="43"/>
      <c r="AW11" s="43"/>
      <c r="AX11" s="43"/>
      <c r="AY11" s="43"/>
      <c r="AZ11" s="43"/>
      <c r="BA11" s="85"/>
      <c r="BB11" s="85"/>
      <c r="BC11" s="85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</row>
    <row r="12" spans="1:77" ht="15.5">
      <c r="A12" s="153"/>
      <c r="B12" s="24" t="s">
        <v>31</v>
      </c>
      <c r="C12" s="44">
        <f>C10-(C10*0.18)</f>
        <v>0.45920000000000005</v>
      </c>
      <c r="D12" s="27"/>
      <c r="E12" s="45">
        <f t="shared" ref="E12:AN12" si="14">$C12*E9</f>
        <v>1005.6480000000001</v>
      </c>
      <c r="F12" s="45">
        <f t="shared" si="14"/>
        <v>1005.6480000000001</v>
      </c>
      <c r="G12" s="45">
        <f t="shared" si="14"/>
        <v>2011.2960000000003</v>
      </c>
      <c r="H12" s="45">
        <f t="shared" si="14"/>
        <v>2011.2960000000003</v>
      </c>
      <c r="I12" s="45">
        <f t="shared" si="14"/>
        <v>2011.2960000000003</v>
      </c>
      <c r="J12" s="45">
        <f t="shared" si="14"/>
        <v>4022.5920000000006</v>
      </c>
      <c r="K12" s="45">
        <f t="shared" si="14"/>
        <v>4022.5920000000006</v>
      </c>
      <c r="L12" s="45">
        <f t="shared" si="14"/>
        <v>4022.5920000000006</v>
      </c>
      <c r="M12" s="45">
        <f t="shared" si="14"/>
        <v>6033.8880000000008</v>
      </c>
      <c r="N12" s="45">
        <f t="shared" si="14"/>
        <v>6033.8880000000008</v>
      </c>
      <c r="O12" s="45">
        <f t="shared" si="14"/>
        <v>6033.8880000000008</v>
      </c>
      <c r="P12" s="45">
        <f t="shared" si="14"/>
        <v>8045.1840000000011</v>
      </c>
      <c r="Q12" s="45">
        <f t="shared" si="14"/>
        <v>8045.1840000000011</v>
      </c>
      <c r="R12" s="45">
        <f t="shared" si="14"/>
        <v>8045.1840000000011</v>
      </c>
      <c r="S12" s="45">
        <f t="shared" si="14"/>
        <v>10056.480000000001</v>
      </c>
      <c r="T12" s="45">
        <f t="shared" si="14"/>
        <v>10056.480000000001</v>
      </c>
      <c r="U12" s="45">
        <f t="shared" si="14"/>
        <v>10056.480000000001</v>
      </c>
      <c r="V12" s="45">
        <f t="shared" si="14"/>
        <v>10056.480000000001</v>
      </c>
      <c r="W12" s="45">
        <f t="shared" si="14"/>
        <v>15084.720000000001</v>
      </c>
      <c r="X12" s="45">
        <f t="shared" si="14"/>
        <v>15084.720000000001</v>
      </c>
      <c r="Y12" s="45">
        <f t="shared" si="14"/>
        <v>15084.720000000001</v>
      </c>
      <c r="Z12" s="45">
        <f t="shared" si="14"/>
        <v>15084.720000000001</v>
      </c>
      <c r="AA12" s="45">
        <f t="shared" si="14"/>
        <v>15084.720000000001</v>
      </c>
      <c r="AB12" s="45">
        <f t="shared" si="14"/>
        <v>20112.960000000003</v>
      </c>
      <c r="AC12" s="45">
        <f t="shared" si="14"/>
        <v>20515.219200000003</v>
      </c>
      <c r="AD12" s="45">
        <f t="shared" si="14"/>
        <v>20917.478400000004</v>
      </c>
      <c r="AE12" s="45">
        <f t="shared" si="14"/>
        <v>21319.737600000004</v>
      </c>
      <c r="AF12" s="45">
        <f t="shared" si="14"/>
        <v>21721.996800000004</v>
      </c>
      <c r="AG12" s="45">
        <f t="shared" si="14"/>
        <v>22124.256000000005</v>
      </c>
      <c r="AH12" s="45">
        <f t="shared" si="14"/>
        <v>22526.515200000005</v>
      </c>
      <c r="AI12" s="45">
        <f t="shared" si="14"/>
        <v>22928.774400000006</v>
      </c>
      <c r="AJ12" s="45">
        <f t="shared" si="14"/>
        <v>23331.033600000006</v>
      </c>
      <c r="AK12" s="45">
        <f t="shared" si="14"/>
        <v>23733.292800000007</v>
      </c>
      <c r="AL12" s="45">
        <f t="shared" si="14"/>
        <v>24135.552000000007</v>
      </c>
      <c r="AM12" s="45">
        <f t="shared" si="14"/>
        <v>24537.811200000007</v>
      </c>
      <c r="AN12" s="45">
        <f t="shared" si="14"/>
        <v>24940.070400000008</v>
      </c>
      <c r="AO12" s="34"/>
      <c r="AP12" s="34"/>
      <c r="AQ12" s="27"/>
      <c r="AR12" s="45"/>
      <c r="AS12" s="45"/>
      <c r="AT12" s="45"/>
      <c r="AU12" s="45"/>
      <c r="AV12" s="45"/>
      <c r="AW12" s="45"/>
      <c r="AX12" s="45"/>
      <c r="AY12" s="45"/>
      <c r="AZ12" s="45"/>
      <c r="BA12" s="85"/>
      <c r="BB12" s="85"/>
      <c r="BC12" s="85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</row>
    <row r="13" spans="1:77" ht="15.5">
      <c r="B13" s="24" t="s">
        <v>35</v>
      </c>
      <c r="C13" s="27"/>
      <c r="D13" s="27"/>
      <c r="E13" s="42">
        <f t="shared" ref="E13:AN13" si="15">SUM(E11:E12)</f>
        <v>1263.922</v>
      </c>
      <c r="F13" s="42">
        <f t="shared" si="15"/>
        <v>1263.922</v>
      </c>
      <c r="G13" s="42">
        <f t="shared" si="15"/>
        <v>2527.8440000000001</v>
      </c>
      <c r="H13" s="42">
        <f t="shared" si="15"/>
        <v>2527.8440000000001</v>
      </c>
      <c r="I13" s="42">
        <f t="shared" si="15"/>
        <v>2527.8440000000001</v>
      </c>
      <c r="J13" s="42">
        <f t="shared" si="15"/>
        <v>5055.6880000000001</v>
      </c>
      <c r="K13" s="42">
        <f t="shared" si="15"/>
        <v>5055.6880000000001</v>
      </c>
      <c r="L13" s="42">
        <f t="shared" si="15"/>
        <v>5055.6880000000001</v>
      </c>
      <c r="M13" s="42">
        <f t="shared" si="15"/>
        <v>7583.5320000000011</v>
      </c>
      <c r="N13" s="42">
        <f t="shared" si="15"/>
        <v>7583.5320000000011</v>
      </c>
      <c r="O13" s="42">
        <f t="shared" si="15"/>
        <v>7583.5320000000011</v>
      </c>
      <c r="P13" s="42">
        <f t="shared" si="15"/>
        <v>10111.376</v>
      </c>
      <c r="Q13" s="42">
        <f t="shared" si="15"/>
        <v>10111.376</v>
      </c>
      <c r="R13" s="42">
        <f t="shared" si="15"/>
        <v>10111.376</v>
      </c>
      <c r="S13" s="42">
        <f t="shared" si="15"/>
        <v>12639.220000000001</v>
      </c>
      <c r="T13" s="42">
        <f t="shared" si="15"/>
        <v>12639.220000000001</v>
      </c>
      <c r="U13" s="42">
        <f t="shared" si="15"/>
        <v>12639.220000000001</v>
      </c>
      <c r="V13" s="42">
        <f t="shared" si="15"/>
        <v>12639.220000000001</v>
      </c>
      <c r="W13" s="42">
        <f t="shared" si="15"/>
        <v>18958.830000000002</v>
      </c>
      <c r="X13" s="42">
        <f t="shared" si="15"/>
        <v>18958.830000000002</v>
      </c>
      <c r="Y13" s="42">
        <f t="shared" si="15"/>
        <v>18958.830000000002</v>
      </c>
      <c r="Z13" s="42">
        <f t="shared" si="15"/>
        <v>18958.830000000002</v>
      </c>
      <c r="AA13" s="42">
        <f t="shared" si="15"/>
        <v>18958.830000000002</v>
      </c>
      <c r="AB13" s="42">
        <f t="shared" si="15"/>
        <v>25278.440000000002</v>
      </c>
      <c r="AC13" s="42">
        <f t="shared" si="15"/>
        <v>25784.008800000003</v>
      </c>
      <c r="AD13" s="42">
        <f t="shared" si="15"/>
        <v>26289.577600000004</v>
      </c>
      <c r="AE13" s="42">
        <f t="shared" si="15"/>
        <v>26795.146400000005</v>
      </c>
      <c r="AF13" s="42">
        <f t="shared" si="15"/>
        <v>27300.715200000006</v>
      </c>
      <c r="AG13" s="42">
        <f t="shared" si="15"/>
        <v>27806.284000000007</v>
      </c>
      <c r="AH13" s="42">
        <f t="shared" si="15"/>
        <v>28311.852800000008</v>
      </c>
      <c r="AI13" s="42">
        <f t="shared" si="15"/>
        <v>28817.421600000009</v>
      </c>
      <c r="AJ13" s="42">
        <f t="shared" si="15"/>
        <v>29322.99040000001</v>
      </c>
      <c r="AK13" s="42">
        <f t="shared" si="15"/>
        <v>29828.559200000007</v>
      </c>
      <c r="AL13" s="42">
        <f t="shared" si="15"/>
        <v>30334.128000000008</v>
      </c>
      <c r="AM13" s="42">
        <f t="shared" si="15"/>
        <v>30839.696800000009</v>
      </c>
      <c r="AN13" s="42">
        <f t="shared" si="15"/>
        <v>31345.26560000001</v>
      </c>
      <c r="AO13" s="31">
        <f>SUM(E13:AN13)</f>
        <v>591768.28040000028</v>
      </c>
      <c r="AP13" s="38" t="s">
        <v>36</v>
      </c>
      <c r="AQ13" s="27"/>
      <c r="AR13" s="42"/>
      <c r="AS13" s="42"/>
      <c r="AT13" s="42"/>
      <c r="AU13" s="42"/>
      <c r="AV13" s="42"/>
      <c r="AW13" s="42"/>
      <c r="AX13" s="42"/>
      <c r="AY13" s="42"/>
      <c r="AZ13" s="42"/>
      <c r="BA13" s="85"/>
      <c r="BB13" s="85"/>
      <c r="BC13" s="85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</row>
    <row r="14" spans="1:77" ht="15.5">
      <c r="B14" s="24" t="s">
        <v>38</v>
      </c>
      <c r="C14" s="27"/>
      <c r="D14" s="27"/>
      <c r="E14" s="46">
        <f t="shared" ref="E14:AN14" si="16">(E10-E13)/E10</f>
        <v>0.38164285714285717</v>
      </c>
      <c r="F14" s="46">
        <f t="shared" si="16"/>
        <v>0.38164285714285717</v>
      </c>
      <c r="G14" s="46">
        <f t="shared" si="16"/>
        <v>0.38164285714285717</v>
      </c>
      <c r="H14" s="46">
        <f t="shared" si="16"/>
        <v>0.38164285714285717</v>
      </c>
      <c r="I14" s="46">
        <f t="shared" si="16"/>
        <v>0.38164285714285717</v>
      </c>
      <c r="J14" s="46">
        <f t="shared" si="16"/>
        <v>0.38164285714285717</v>
      </c>
      <c r="K14" s="46">
        <f t="shared" si="16"/>
        <v>0.38164285714285717</v>
      </c>
      <c r="L14" s="46">
        <f t="shared" si="16"/>
        <v>0.38164285714285717</v>
      </c>
      <c r="M14" s="46">
        <f t="shared" si="16"/>
        <v>0.38164285714285717</v>
      </c>
      <c r="N14" s="46">
        <f t="shared" si="16"/>
        <v>0.38164285714285717</v>
      </c>
      <c r="O14" s="46">
        <f t="shared" si="16"/>
        <v>0.38164285714285717</v>
      </c>
      <c r="P14" s="46">
        <f t="shared" si="16"/>
        <v>0.38164285714285717</v>
      </c>
      <c r="Q14" s="46">
        <f t="shared" si="16"/>
        <v>0.38164285714285717</v>
      </c>
      <c r="R14" s="46">
        <f t="shared" si="16"/>
        <v>0.38164285714285717</v>
      </c>
      <c r="S14" s="46">
        <f t="shared" si="16"/>
        <v>0.38164285714285717</v>
      </c>
      <c r="T14" s="46">
        <f t="shared" si="16"/>
        <v>0.38164285714285717</v>
      </c>
      <c r="U14" s="46">
        <f t="shared" si="16"/>
        <v>0.38164285714285717</v>
      </c>
      <c r="V14" s="46">
        <f t="shared" si="16"/>
        <v>0.38164285714285717</v>
      </c>
      <c r="W14" s="46">
        <f t="shared" si="16"/>
        <v>0.38164285714285717</v>
      </c>
      <c r="X14" s="46">
        <f t="shared" si="16"/>
        <v>0.38164285714285717</v>
      </c>
      <c r="Y14" s="46">
        <f t="shared" si="16"/>
        <v>0.38164285714285717</v>
      </c>
      <c r="Z14" s="46">
        <f t="shared" si="16"/>
        <v>0.38164285714285717</v>
      </c>
      <c r="AA14" s="46">
        <f t="shared" si="16"/>
        <v>0.38164285714285717</v>
      </c>
      <c r="AB14" s="46">
        <f t="shared" si="16"/>
        <v>0.38164285714285717</v>
      </c>
      <c r="AC14" s="46">
        <f t="shared" si="16"/>
        <v>0.38164285714285717</v>
      </c>
      <c r="AD14" s="46">
        <f t="shared" si="16"/>
        <v>0.38164285714285712</v>
      </c>
      <c r="AE14" s="46">
        <f t="shared" si="16"/>
        <v>0.38164285714285706</v>
      </c>
      <c r="AF14" s="46">
        <f t="shared" si="16"/>
        <v>0.38164285714285712</v>
      </c>
      <c r="AG14" s="46">
        <f t="shared" si="16"/>
        <v>0.38164285714285717</v>
      </c>
      <c r="AH14" s="46">
        <f t="shared" si="16"/>
        <v>0.38164285714285717</v>
      </c>
      <c r="AI14" s="46">
        <f t="shared" si="16"/>
        <v>0.38164285714285712</v>
      </c>
      <c r="AJ14" s="46">
        <f t="shared" si="16"/>
        <v>0.38164285714285706</v>
      </c>
      <c r="AK14" s="46">
        <f t="shared" si="16"/>
        <v>0.38164285714285723</v>
      </c>
      <c r="AL14" s="46">
        <f t="shared" si="16"/>
        <v>0.38164285714285717</v>
      </c>
      <c r="AM14" s="46">
        <f t="shared" si="16"/>
        <v>0.38164285714285712</v>
      </c>
      <c r="AN14" s="46">
        <f t="shared" si="16"/>
        <v>0.38164285714285712</v>
      </c>
      <c r="AO14" s="27"/>
      <c r="AP14" s="27"/>
      <c r="AQ14" s="27"/>
      <c r="AR14" s="46"/>
      <c r="AS14" s="46"/>
      <c r="AT14" s="46"/>
      <c r="AU14" s="46"/>
      <c r="AV14" s="46"/>
      <c r="AW14" s="46"/>
      <c r="AX14" s="46"/>
      <c r="AY14" s="46"/>
      <c r="AZ14" s="46"/>
      <c r="BA14" s="85"/>
      <c r="BB14" s="85"/>
      <c r="BC14" s="85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</row>
    <row r="15" spans="1:77" s="84" customFormat="1" ht="15.5">
      <c r="A15" s="152" t="s">
        <v>301</v>
      </c>
      <c r="B15" s="24" t="s">
        <v>43</v>
      </c>
      <c r="C15" s="81">
        <v>0.6</v>
      </c>
      <c r="D15" s="80" t="s">
        <v>44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27"/>
      <c r="AP15" s="27"/>
      <c r="AQ15" s="27"/>
      <c r="AR15" s="46"/>
      <c r="AS15" s="46"/>
      <c r="AT15" s="46"/>
      <c r="AU15" s="46"/>
      <c r="AV15" s="46"/>
      <c r="AW15" s="46"/>
      <c r="AX15" s="46"/>
      <c r="AY15" s="46"/>
      <c r="AZ15" s="46"/>
      <c r="BA15" s="85"/>
      <c r="BB15" s="85"/>
      <c r="BC15" s="85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</row>
    <row r="16" spans="1:77" s="84" customFormat="1" ht="15.5">
      <c r="A16" s="154"/>
      <c r="B16" s="24" t="s">
        <v>47</v>
      </c>
      <c r="C16" s="81">
        <v>0.4</v>
      </c>
      <c r="D16" s="80" t="s">
        <v>48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27"/>
      <c r="AP16" s="27"/>
      <c r="AQ16" s="27"/>
      <c r="AR16" s="46"/>
      <c r="AS16" s="46"/>
      <c r="AT16" s="46"/>
      <c r="AU16" s="46"/>
      <c r="AV16" s="46"/>
      <c r="AW16" s="46"/>
      <c r="AX16" s="46"/>
      <c r="AY16" s="46"/>
      <c r="AZ16" s="46"/>
      <c r="BA16" s="85"/>
      <c r="BB16" s="85"/>
      <c r="BC16" s="85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</row>
    <row r="17" spans="1:77" s="74" customFormat="1" ht="15.5">
      <c r="A17" s="154"/>
      <c r="B17" s="24" t="s">
        <v>91</v>
      </c>
      <c r="C17" s="47">
        <v>135.16999999999999</v>
      </c>
      <c r="D17" s="27">
        <v>1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27"/>
      <c r="AP17" s="27"/>
      <c r="AQ17" s="27"/>
      <c r="AR17" s="46"/>
      <c r="AS17" s="46"/>
      <c r="AT17" s="46"/>
      <c r="AU17" s="46"/>
      <c r="AV17" s="46"/>
      <c r="AW17" s="46"/>
      <c r="AX17" s="46"/>
      <c r="AY17" s="46"/>
      <c r="AZ17" s="46"/>
      <c r="BA17" s="85"/>
      <c r="BB17" s="85"/>
      <c r="BC17" s="85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</row>
    <row r="18" spans="1:77" s="74" customFormat="1" ht="15.5">
      <c r="A18" s="154"/>
      <c r="B18" s="24" t="s">
        <v>92</v>
      </c>
      <c r="C18" s="77">
        <f>100*C17</f>
        <v>13516.999999999998</v>
      </c>
      <c r="D18" s="85">
        <v>100</v>
      </c>
      <c r="E18" s="30">
        <f>E5*$C18</f>
        <v>675.84999999999991</v>
      </c>
      <c r="F18" s="30">
        <f t="shared" ref="F18:AN18" si="17">F5*$C18</f>
        <v>675.84999999999991</v>
      </c>
      <c r="G18" s="30">
        <f t="shared" si="17"/>
        <v>1351.6999999999998</v>
      </c>
      <c r="H18" s="30">
        <f t="shared" si="17"/>
        <v>1351.6999999999998</v>
      </c>
      <c r="I18" s="30">
        <f t="shared" si="17"/>
        <v>1351.6999999999998</v>
      </c>
      <c r="J18" s="30">
        <f t="shared" si="17"/>
        <v>2703.3999999999996</v>
      </c>
      <c r="K18" s="30">
        <f t="shared" si="17"/>
        <v>2703.3999999999996</v>
      </c>
      <c r="L18" s="30">
        <f t="shared" si="17"/>
        <v>2703.3999999999996</v>
      </c>
      <c r="M18" s="30">
        <f t="shared" si="17"/>
        <v>4055.0999999999995</v>
      </c>
      <c r="N18" s="30">
        <f t="shared" si="17"/>
        <v>4055.0999999999995</v>
      </c>
      <c r="O18" s="30">
        <f t="shared" si="17"/>
        <v>4055.0999999999995</v>
      </c>
      <c r="P18" s="30">
        <f t="shared" si="17"/>
        <v>5406.7999999999993</v>
      </c>
      <c r="Q18" s="30">
        <f t="shared" si="17"/>
        <v>5406.7999999999993</v>
      </c>
      <c r="R18" s="30">
        <f t="shared" si="17"/>
        <v>5406.7999999999993</v>
      </c>
      <c r="S18" s="30">
        <f t="shared" si="17"/>
        <v>6758.4999999999991</v>
      </c>
      <c r="T18" s="30">
        <f t="shared" si="17"/>
        <v>6758.4999999999991</v>
      </c>
      <c r="U18" s="30">
        <f t="shared" si="17"/>
        <v>6758.4999999999991</v>
      </c>
      <c r="V18" s="30">
        <f t="shared" si="17"/>
        <v>6758.4999999999991</v>
      </c>
      <c r="W18" s="30">
        <f t="shared" si="17"/>
        <v>10137.749999999998</v>
      </c>
      <c r="X18" s="30">
        <f t="shared" si="17"/>
        <v>10137.749999999998</v>
      </c>
      <c r="Y18" s="30">
        <f t="shared" si="17"/>
        <v>10137.749999999998</v>
      </c>
      <c r="Z18" s="30">
        <f t="shared" si="17"/>
        <v>10137.749999999998</v>
      </c>
      <c r="AA18" s="30">
        <f t="shared" si="17"/>
        <v>10137.749999999998</v>
      </c>
      <c r="AB18" s="30">
        <f t="shared" si="17"/>
        <v>13516.999999999998</v>
      </c>
      <c r="AC18" s="30">
        <f t="shared" si="17"/>
        <v>13787.339999999998</v>
      </c>
      <c r="AD18" s="30">
        <f t="shared" si="17"/>
        <v>14057.679999999998</v>
      </c>
      <c r="AE18" s="30">
        <f t="shared" si="17"/>
        <v>14328.019999999999</v>
      </c>
      <c r="AF18" s="30">
        <f t="shared" si="17"/>
        <v>14598.359999999999</v>
      </c>
      <c r="AG18" s="30">
        <f t="shared" si="17"/>
        <v>14868.699999999999</v>
      </c>
      <c r="AH18" s="30">
        <f t="shared" si="17"/>
        <v>15139.039999999999</v>
      </c>
      <c r="AI18" s="30">
        <f t="shared" si="17"/>
        <v>15409.38</v>
      </c>
      <c r="AJ18" s="30">
        <f t="shared" si="17"/>
        <v>15679.72</v>
      </c>
      <c r="AK18" s="30">
        <f t="shared" si="17"/>
        <v>15950.06</v>
      </c>
      <c r="AL18" s="30">
        <f t="shared" si="17"/>
        <v>16220.4</v>
      </c>
      <c r="AM18" s="30">
        <f t="shared" si="17"/>
        <v>16490.740000000002</v>
      </c>
      <c r="AN18" s="30">
        <f t="shared" si="17"/>
        <v>16761.080000000002</v>
      </c>
      <c r="AO18" s="27"/>
      <c r="AP18" s="27"/>
      <c r="AQ18" s="27"/>
      <c r="AR18" s="46"/>
      <c r="AS18" s="46"/>
      <c r="AT18" s="46"/>
      <c r="AU18" s="46"/>
      <c r="AV18" s="46"/>
      <c r="AW18" s="46"/>
      <c r="AX18" s="46"/>
      <c r="AY18" s="46"/>
      <c r="AZ18" s="46"/>
      <c r="BA18" s="85"/>
      <c r="BB18" s="85"/>
      <c r="BC18" s="85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</row>
    <row r="19" spans="1:77" s="74" customFormat="1" ht="15.5">
      <c r="A19" s="149"/>
      <c r="B19" s="75" t="s">
        <v>53</v>
      </c>
      <c r="C19" s="77">
        <f>C18*0.82</f>
        <v>11083.939999999999</v>
      </c>
      <c r="D19" s="27"/>
      <c r="E19" s="78">
        <f>E5*$C19</f>
        <v>554.197</v>
      </c>
      <c r="F19" s="78">
        <f t="shared" ref="F19:AN19" si="18">F5*$C19</f>
        <v>554.197</v>
      </c>
      <c r="G19" s="78">
        <f t="shared" si="18"/>
        <v>1108.394</v>
      </c>
      <c r="H19" s="78">
        <f t="shared" si="18"/>
        <v>1108.394</v>
      </c>
      <c r="I19" s="78">
        <f t="shared" si="18"/>
        <v>1108.394</v>
      </c>
      <c r="J19" s="78">
        <f t="shared" si="18"/>
        <v>2216.788</v>
      </c>
      <c r="K19" s="78">
        <f t="shared" si="18"/>
        <v>2216.788</v>
      </c>
      <c r="L19" s="78">
        <f t="shared" si="18"/>
        <v>2216.788</v>
      </c>
      <c r="M19" s="78">
        <f t="shared" si="18"/>
        <v>3325.1819999999993</v>
      </c>
      <c r="N19" s="78">
        <f t="shared" si="18"/>
        <v>3325.1819999999993</v>
      </c>
      <c r="O19" s="78">
        <f t="shared" si="18"/>
        <v>3325.1819999999993</v>
      </c>
      <c r="P19" s="78">
        <f t="shared" si="18"/>
        <v>4433.576</v>
      </c>
      <c r="Q19" s="78">
        <f t="shared" si="18"/>
        <v>4433.576</v>
      </c>
      <c r="R19" s="78">
        <f t="shared" si="18"/>
        <v>4433.576</v>
      </c>
      <c r="S19" s="78">
        <f t="shared" si="18"/>
        <v>5541.9699999999993</v>
      </c>
      <c r="T19" s="78">
        <f t="shared" si="18"/>
        <v>5541.9699999999993</v>
      </c>
      <c r="U19" s="78">
        <f t="shared" si="18"/>
        <v>5541.9699999999993</v>
      </c>
      <c r="V19" s="78">
        <f t="shared" si="18"/>
        <v>5541.9699999999993</v>
      </c>
      <c r="W19" s="78">
        <f t="shared" si="18"/>
        <v>8312.9549999999981</v>
      </c>
      <c r="X19" s="78">
        <f t="shared" si="18"/>
        <v>8312.9549999999981</v>
      </c>
      <c r="Y19" s="78">
        <f t="shared" si="18"/>
        <v>8312.9549999999981</v>
      </c>
      <c r="Z19" s="78">
        <f t="shared" si="18"/>
        <v>8312.9549999999981</v>
      </c>
      <c r="AA19" s="78">
        <f t="shared" si="18"/>
        <v>8312.9549999999981</v>
      </c>
      <c r="AB19" s="78">
        <f t="shared" si="18"/>
        <v>11083.939999999999</v>
      </c>
      <c r="AC19" s="78">
        <f t="shared" si="18"/>
        <v>11305.618799999998</v>
      </c>
      <c r="AD19" s="78">
        <f t="shared" si="18"/>
        <v>11527.2976</v>
      </c>
      <c r="AE19" s="78">
        <f t="shared" si="18"/>
        <v>11748.9764</v>
      </c>
      <c r="AF19" s="78">
        <f t="shared" si="18"/>
        <v>11970.655199999999</v>
      </c>
      <c r="AG19" s="78">
        <f t="shared" si="18"/>
        <v>12192.333999999999</v>
      </c>
      <c r="AH19" s="78">
        <f t="shared" si="18"/>
        <v>12414.0128</v>
      </c>
      <c r="AI19" s="78">
        <f t="shared" si="18"/>
        <v>12635.6916</v>
      </c>
      <c r="AJ19" s="78">
        <f t="shared" si="18"/>
        <v>12857.3704</v>
      </c>
      <c r="AK19" s="78">
        <f t="shared" si="18"/>
        <v>13079.049199999999</v>
      </c>
      <c r="AL19" s="78">
        <f t="shared" si="18"/>
        <v>13300.728000000001</v>
      </c>
      <c r="AM19" s="78">
        <f t="shared" si="18"/>
        <v>13522.406800000001</v>
      </c>
      <c r="AN19" s="78">
        <f t="shared" si="18"/>
        <v>13744.0856</v>
      </c>
      <c r="AO19" s="31">
        <f>SUM(E19:AN19)</f>
        <v>259475.03539999999</v>
      </c>
      <c r="AP19" s="27"/>
      <c r="AQ19" s="27"/>
      <c r="AR19" s="46"/>
      <c r="AS19" s="46"/>
      <c r="AT19" s="46"/>
      <c r="AU19" s="46"/>
      <c r="AV19" s="46"/>
      <c r="AW19" s="46"/>
      <c r="AX19" s="46"/>
      <c r="AY19" s="46"/>
      <c r="AZ19" s="46"/>
      <c r="BA19" s="85"/>
      <c r="BB19" s="85"/>
      <c r="BC19" s="85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</row>
    <row r="20" spans="1:77" s="74" customFormat="1" ht="15.5">
      <c r="A20" s="149"/>
      <c r="B20" s="24" t="s">
        <v>93</v>
      </c>
      <c r="C20" s="83">
        <v>72817</v>
      </c>
      <c r="D20" s="27" t="s">
        <v>94</v>
      </c>
      <c r="E20" s="77">
        <f>E5*$C20</f>
        <v>3640.8500000000004</v>
      </c>
      <c r="F20" s="77">
        <f t="shared" ref="F20:AN20" si="19">F5*$C20</f>
        <v>3640.8500000000004</v>
      </c>
      <c r="G20" s="77">
        <f t="shared" si="19"/>
        <v>7281.7000000000007</v>
      </c>
      <c r="H20" s="77">
        <f t="shared" si="19"/>
        <v>7281.7000000000007</v>
      </c>
      <c r="I20" s="77">
        <f t="shared" si="19"/>
        <v>7281.7000000000007</v>
      </c>
      <c r="J20" s="77">
        <f t="shared" si="19"/>
        <v>14563.400000000001</v>
      </c>
      <c r="K20" s="77">
        <f t="shared" si="19"/>
        <v>14563.400000000001</v>
      </c>
      <c r="L20" s="77">
        <f t="shared" si="19"/>
        <v>14563.400000000001</v>
      </c>
      <c r="M20" s="77">
        <f t="shared" si="19"/>
        <v>21845.1</v>
      </c>
      <c r="N20" s="77">
        <f t="shared" si="19"/>
        <v>21845.1</v>
      </c>
      <c r="O20" s="77">
        <f t="shared" si="19"/>
        <v>21845.1</v>
      </c>
      <c r="P20" s="77">
        <f t="shared" si="19"/>
        <v>29126.800000000003</v>
      </c>
      <c r="Q20" s="77">
        <f t="shared" si="19"/>
        <v>29126.800000000003</v>
      </c>
      <c r="R20" s="77">
        <f t="shared" si="19"/>
        <v>29126.800000000003</v>
      </c>
      <c r="S20" s="77">
        <f t="shared" si="19"/>
        <v>36408.5</v>
      </c>
      <c r="T20" s="77">
        <f t="shared" si="19"/>
        <v>36408.5</v>
      </c>
      <c r="U20" s="77">
        <f t="shared" si="19"/>
        <v>36408.5</v>
      </c>
      <c r="V20" s="77">
        <f t="shared" si="19"/>
        <v>36408.5</v>
      </c>
      <c r="W20" s="77">
        <f t="shared" si="19"/>
        <v>54612.75</v>
      </c>
      <c r="X20" s="77">
        <f t="shared" si="19"/>
        <v>54612.75</v>
      </c>
      <c r="Y20" s="77">
        <f t="shared" si="19"/>
        <v>54612.75</v>
      </c>
      <c r="Z20" s="77">
        <f t="shared" si="19"/>
        <v>54612.75</v>
      </c>
      <c r="AA20" s="77">
        <f t="shared" si="19"/>
        <v>54612.75</v>
      </c>
      <c r="AB20" s="77">
        <f t="shared" si="19"/>
        <v>72817</v>
      </c>
      <c r="AC20" s="77">
        <f t="shared" si="19"/>
        <v>74273.34</v>
      </c>
      <c r="AD20" s="77">
        <f t="shared" si="19"/>
        <v>75729.680000000008</v>
      </c>
      <c r="AE20" s="77">
        <f t="shared" si="19"/>
        <v>77186.02</v>
      </c>
      <c r="AF20" s="77">
        <f t="shared" si="19"/>
        <v>78642.36</v>
      </c>
      <c r="AG20" s="77">
        <f t="shared" si="19"/>
        <v>80098.700000000012</v>
      </c>
      <c r="AH20" s="77">
        <f t="shared" si="19"/>
        <v>81555.040000000008</v>
      </c>
      <c r="AI20" s="77">
        <f t="shared" si="19"/>
        <v>83011.38</v>
      </c>
      <c r="AJ20" s="77">
        <f t="shared" si="19"/>
        <v>84467.720000000016</v>
      </c>
      <c r="AK20" s="77">
        <f t="shared" si="19"/>
        <v>85924.060000000012</v>
      </c>
      <c r="AL20" s="77">
        <f t="shared" si="19"/>
        <v>87380.400000000009</v>
      </c>
      <c r="AM20" s="77">
        <f t="shared" si="19"/>
        <v>88836.74000000002</v>
      </c>
      <c r="AN20" s="77">
        <f t="shared" si="19"/>
        <v>90293.080000000016</v>
      </c>
      <c r="AO20" s="27"/>
      <c r="AP20" s="27"/>
      <c r="AQ20" s="27"/>
      <c r="AR20" s="46"/>
      <c r="AS20" s="46"/>
      <c r="AT20" s="46"/>
      <c r="AU20" s="46"/>
      <c r="AV20" s="46"/>
      <c r="AW20" s="46"/>
      <c r="AX20" s="46"/>
      <c r="AY20" s="46"/>
      <c r="AZ20" s="46"/>
      <c r="BA20" s="85"/>
      <c r="BB20" s="85"/>
      <c r="BC20" s="85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</row>
    <row r="21" spans="1:77" ht="15" customHeight="1">
      <c r="B21" s="75" t="s">
        <v>95</v>
      </c>
      <c r="C21" s="77">
        <f>0.82*C20</f>
        <v>59709.939999999995</v>
      </c>
      <c r="D21" s="85"/>
      <c r="E21" s="78">
        <f>E5*$C21</f>
        <v>2985.4969999999998</v>
      </c>
      <c r="F21" s="78">
        <f t="shared" ref="F21:AN21" si="20">F5*$C21</f>
        <v>2985.4969999999998</v>
      </c>
      <c r="G21" s="78">
        <f t="shared" si="20"/>
        <v>5970.9939999999997</v>
      </c>
      <c r="H21" s="78">
        <f t="shared" si="20"/>
        <v>5970.9939999999997</v>
      </c>
      <c r="I21" s="78">
        <f t="shared" si="20"/>
        <v>5970.9939999999997</v>
      </c>
      <c r="J21" s="78">
        <f t="shared" si="20"/>
        <v>11941.987999999999</v>
      </c>
      <c r="K21" s="78">
        <f t="shared" si="20"/>
        <v>11941.987999999999</v>
      </c>
      <c r="L21" s="78">
        <f t="shared" si="20"/>
        <v>11941.987999999999</v>
      </c>
      <c r="M21" s="78">
        <f t="shared" si="20"/>
        <v>17912.981999999996</v>
      </c>
      <c r="N21" s="78">
        <f t="shared" si="20"/>
        <v>17912.981999999996</v>
      </c>
      <c r="O21" s="78">
        <f t="shared" si="20"/>
        <v>17912.981999999996</v>
      </c>
      <c r="P21" s="78">
        <f t="shared" si="20"/>
        <v>23883.975999999999</v>
      </c>
      <c r="Q21" s="78">
        <f t="shared" si="20"/>
        <v>23883.975999999999</v>
      </c>
      <c r="R21" s="78">
        <f t="shared" si="20"/>
        <v>23883.975999999999</v>
      </c>
      <c r="S21" s="78">
        <f t="shared" si="20"/>
        <v>29854.969999999998</v>
      </c>
      <c r="T21" s="78">
        <f t="shared" si="20"/>
        <v>29854.969999999998</v>
      </c>
      <c r="U21" s="78">
        <f t="shared" si="20"/>
        <v>29854.969999999998</v>
      </c>
      <c r="V21" s="78">
        <f t="shared" si="20"/>
        <v>29854.969999999998</v>
      </c>
      <c r="W21" s="78">
        <f t="shared" si="20"/>
        <v>44782.454999999994</v>
      </c>
      <c r="X21" s="78">
        <f t="shared" si="20"/>
        <v>44782.454999999994</v>
      </c>
      <c r="Y21" s="78">
        <f t="shared" si="20"/>
        <v>44782.454999999994</v>
      </c>
      <c r="Z21" s="78">
        <f t="shared" si="20"/>
        <v>44782.454999999994</v>
      </c>
      <c r="AA21" s="78">
        <f t="shared" si="20"/>
        <v>44782.454999999994</v>
      </c>
      <c r="AB21" s="78">
        <f t="shared" si="20"/>
        <v>59709.939999999995</v>
      </c>
      <c r="AC21" s="78">
        <f t="shared" si="20"/>
        <v>60904.138799999993</v>
      </c>
      <c r="AD21" s="78">
        <f t="shared" si="20"/>
        <v>62098.337599999999</v>
      </c>
      <c r="AE21" s="78">
        <f t="shared" si="20"/>
        <v>63292.536399999997</v>
      </c>
      <c r="AF21" s="78">
        <f t="shared" si="20"/>
        <v>64486.735199999996</v>
      </c>
      <c r="AG21" s="78">
        <f t="shared" si="20"/>
        <v>65680.933999999994</v>
      </c>
      <c r="AH21" s="78">
        <f t="shared" si="20"/>
        <v>66875.132800000007</v>
      </c>
      <c r="AI21" s="78">
        <f t="shared" si="20"/>
        <v>68069.331600000005</v>
      </c>
      <c r="AJ21" s="78">
        <f t="shared" si="20"/>
        <v>69263.530400000003</v>
      </c>
      <c r="AK21" s="78">
        <f t="shared" si="20"/>
        <v>70457.729200000002</v>
      </c>
      <c r="AL21" s="78">
        <f t="shared" si="20"/>
        <v>71651.928</v>
      </c>
      <c r="AM21" s="78">
        <f t="shared" si="20"/>
        <v>72846.126800000013</v>
      </c>
      <c r="AN21" s="78">
        <f t="shared" si="20"/>
        <v>74040.325600000011</v>
      </c>
      <c r="AO21" s="31">
        <f>SUM(E21:AN21)</f>
        <v>1397809.6953999999</v>
      </c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</row>
    <row r="22" spans="1:77" s="24" customFormat="1" ht="15" customHeight="1">
      <c r="B22" s="75" t="s">
        <v>96</v>
      </c>
      <c r="C22" s="24">
        <v>27785.625</v>
      </c>
      <c r="E22" s="24">
        <f>E5*$C22</f>
        <v>1389.28125</v>
      </c>
      <c r="F22" s="24">
        <f t="shared" ref="F22:AN22" si="21">F5*$C22</f>
        <v>1389.28125</v>
      </c>
      <c r="G22" s="24">
        <f t="shared" si="21"/>
        <v>2778.5625</v>
      </c>
      <c r="H22" s="24">
        <f t="shared" si="21"/>
        <v>2778.5625</v>
      </c>
      <c r="I22" s="24">
        <f t="shared" si="21"/>
        <v>2778.5625</v>
      </c>
      <c r="J22" s="24">
        <f t="shared" si="21"/>
        <v>5557.125</v>
      </c>
      <c r="K22" s="24">
        <f t="shared" si="21"/>
        <v>5557.125</v>
      </c>
      <c r="L22" s="24">
        <f t="shared" si="21"/>
        <v>5557.125</v>
      </c>
      <c r="M22" s="24">
        <f t="shared" si="21"/>
        <v>8335.6875</v>
      </c>
      <c r="N22" s="24">
        <f t="shared" si="21"/>
        <v>8335.6875</v>
      </c>
      <c r="O22" s="24">
        <f t="shared" si="21"/>
        <v>8335.6875</v>
      </c>
      <c r="P22" s="24">
        <f t="shared" si="21"/>
        <v>11114.25</v>
      </c>
      <c r="Q22" s="24">
        <f t="shared" si="21"/>
        <v>11114.25</v>
      </c>
      <c r="R22" s="24">
        <f t="shared" si="21"/>
        <v>11114.25</v>
      </c>
      <c r="S22" s="24">
        <f t="shared" si="21"/>
        <v>13892.8125</v>
      </c>
      <c r="T22" s="24">
        <f t="shared" si="21"/>
        <v>13892.8125</v>
      </c>
      <c r="U22" s="24">
        <f t="shared" si="21"/>
        <v>13892.8125</v>
      </c>
      <c r="V22" s="24">
        <f t="shared" si="21"/>
        <v>13892.8125</v>
      </c>
      <c r="W22" s="24">
        <f t="shared" si="21"/>
        <v>20839.21875</v>
      </c>
      <c r="X22" s="24">
        <f t="shared" si="21"/>
        <v>20839.21875</v>
      </c>
      <c r="Y22" s="24">
        <f t="shared" si="21"/>
        <v>20839.21875</v>
      </c>
      <c r="Z22" s="24">
        <f t="shared" si="21"/>
        <v>20839.21875</v>
      </c>
      <c r="AA22" s="24">
        <f t="shared" si="21"/>
        <v>20839.21875</v>
      </c>
      <c r="AB22" s="24">
        <f t="shared" si="21"/>
        <v>27785.625</v>
      </c>
      <c r="AC22" s="24">
        <f t="shared" si="21"/>
        <v>28341.337500000001</v>
      </c>
      <c r="AD22" s="24">
        <f t="shared" si="21"/>
        <v>28897.05</v>
      </c>
      <c r="AE22" s="24">
        <f t="shared" si="21"/>
        <v>29452.762500000001</v>
      </c>
      <c r="AF22" s="24">
        <f t="shared" si="21"/>
        <v>30008.475000000002</v>
      </c>
      <c r="AG22" s="24">
        <f t="shared" si="21"/>
        <v>30564.187500000004</v>
      </c>
      <c r="AH22" s="24">
        <f t="shared" si="21"/>
        <v>31119.9</v>
      </c>
      <c r="AI22" s="24">
        <f t="shared" si="21"/>
        <v>31675.612500000003</v>
      </c>
      <c r="AJ22" s="24">
        <f t="shared" si="21"/>
        <v>32231.325000000004</v>
      </c>
      <c r="AK22" s="24">
        <f t="shared" si="21"/>
        <v>32787.037500000006</v>
      </c>
      <c r="AL22" s="24">
        <f t="shared" si="21"/>
        <v>33342.750000000007</v>
      </c>
      <c r="AM22" s="24">
        <f t="shared" si="21"/>
        <v>33898.462500000009</v>
      </c>
      <c r="AN22" s="24">
        <f t="shared" si="21"/>
        <v>34454.175000000003</v>
      </c>
      <c r="AO22" s="24">
        <f>SUM(E22:AN22)</f>
        <v>650461.48125000007</v>
      </c>
    </row>
    <row r="23" spans="1:77" s="74" customFormat="1" ht="15" customHeight="1">
      <c r="A23" s="149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</row>
    <row r="24" spans="1:77" s="74" customFormat="1" ht="15" customHeight="1">
      <c r="A24" s="149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</row>
    <row r="25" spans="1:77" ht="15.5">
      <c r="A25" s="152" t="s">
        <v>302</v>
      </c>
      <c r="B25" s="24" t="s">
        <v>62</v>
      </c>
      <c r="C25" s="47">
        <v>101.64</v>
      </c>
      <c r="D25" s="15"/>
      <c r="E25" s="85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85"/>
      <c r="AP25" s="85"/>
      <c r="AQ25" s="85"/>
      <c r="AR25" s="48"/>
      <c r="AS25" s="48"/>
      <c r="AT25" s="48"/>
      <c r="AU25" s="48"/>
      <c r="AV25" s="48"/>
      <c r="AW25" s="48"/>
      <c r="AX25" s="48"/>
      <c r="AY25" s="48"/>
      <c r="AZ25" s="48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</row>
    <row r="26" spans="1:77" ht="15.5">
      <c r="A26" s="154"/>
      <c r="B26" s="24" t="s">
        <v>63</v>
      </c>
      <c r="C26" s="49">
        <v>5406.7</v>
      </c>
      <c r="D26" s="15" t="s">
        <v>64</v>
      </c>
      <c r="E26" s="85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24" t="s">
        <v>65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24" t="s">
        <v>66</v>
      </c>
      <c r="AG26" s="48"/>
      <c r="AH26" s="48"/>
      <c r="AI26" s="48"/>
      <c r="AJ26" s="48"/>
      <c r="AK26" s="48"/>
      <c r="AL26" s="48"/>
      <c r="AM26" s="48"/>
      <c r="AN26" s="48"/>
      <c r="AO26" s="85"/>
      <c r="AP26" s="85"/>
      <c r="AQ26" s="85"/>
      <c r="AR26" s="48"/>
      <c r="AS26" s="48"/>
      <c r="AT26" s="48"/>
      <c r="AU26" s="48"/>
      <c r="AV26" s="48"/>
      <c r="AW26" s="48"/>
      <c r="AX26" s="48"/>
      <c r="AY26" s="48"/>
      <c r="AZ26" s="48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</row>
    <row r="27" spans="1:77" ht="15.5">
      <c r="A27" s="154"/>
      <c r="B27" s="24" t="s">
        <v>67</v>
      </c>
      <c r="C27" s="49">
        <f>5/4*C26</f>
        <v>6758.375</v>
      </c>
      <c r="D27" s="15" t="s">
        <v>64</v>
      </c>
      <c r="E27" s="85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6">
        <f>(T29-H29)/H29</f>
        <v>4</v>
      </c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46">
        <f>(AF29-T29)/T29</f>
        <v>1.1599999999999999</v>
      </c>
      <c r="AG27" s="48"/>
      <c r="AH27" s="48"/>
      <c r="AI27" s="48"/>
      <c r="AJ27" s="48"/>
      <c r="AK27" s="48"/>
      <c r="AL27" s="48"/>
      <c r="AM27" s="48"/>
      <c r="AN27" s="48"/>
      <c r="AO27" s="85"/>
      <c r="AP27" s="85"/>
      <c r="AQ27" s="85"/>
      <c r="AR27" s="48"/>
      <c r="AS27" s="48"/>
      <c r="AT27" s="48"/>
      <c r="AU27" s="48"/>
      <c r="AV27" s="48"/>
      <c r="AW27" s="48"/>
      <c r="AX27" s="48"/>
      <c r="AY27" s="48"/>
      <c r="AZ27" s="48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</row>
    <row r="28" spans="1:77" ht="15.5">
      <c r="A28" s="154"/>
      <c r="B28" s="24" t="s">
        <v>69</v>
      </c>
      <c r="C28" s="49">
        <v>3115</v>
      </c>
      <c r="D28" s="24"/>
      <c r="E28" s="27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27"/>
      <c r="AP28" s="27"/>
      <c r="AQ28" s="27"/>
      <c r="AR28" s="33"/>
      <c r="AS28" s="33"/>
      <c r="AT28" s="33"/>
      <c r="AU28" s="33"/>
      <c r="AV28" s="33"/>
      <c r="AW28" s="33"/>
      <c r="AX28" s="33"/>
      <c r="AY28" s="33"/>
      <c r="AZ28" s="33"/>
      <c r="BA28" s="85"/>
      <c r="BB28" s="85"/>
      <c r="BC28" s="85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</row>
    <row r="29" spans="1:77" ht="15.5">
      <c r="A29" s="154"/>
      <c r="B29" s="24" t="s">
        <v>71</v>
      </c>
      <c r="C29" s="27"/>
      <c r="D29" s="27"/>
      <c r="E29" s="50">
        <f>E5*400</f>
        <v>20</v>
      </c>
      <c r="F29" s="50">
        <f t="shared" ref="F29:AN29" si="22">F5*400</f>
        <v>20</v>
      </c>
      <c r="G29" s="50">
        <f t="shared" si="22"/>
        <v>40</v>
      </c>
      <c r="H29" s="50">
        <f t="shared" si="22"/>
        <v>40</v>
      </c>
      <c r="I29" s="50">
        <f t="shared" si="22"/>
        <v>40</v>
      </c>
      <c r="J29" s="50">
        <f t="shared" si="22"/>
        <v>80</v>
      </c>
      <c r="K29" s="50">
        <f t="shared" si="22"/>
        <v>80</v>
      </c>
      <c r="L29" s="50">
        <f t="shared" si="22"/>
        <v>80</v>
      </c>
      <c r="M29" s="50">
        <f t="shared" si="22"/>
        <v>120</v>
      </c>
      <c r="N29" s="50">
        <f t="shared" si="22"/>
        <v>120</v>
      </c>
      <c r="O29" s="50">
        <f t="shared" si="22"/>
        <v>120</v>
      </c>
      <c r="P29" s="50">
        <f t="shared" si="22"/>
        <v>160</v>
      </c>
      <c r="Q29" s="50">
        <f t="shared" si="22"/>
        <v>160</v>
      </c>
      <c r="R29" s="50">
        <f t="shared" si="22"/>
        <v>160</v>
      </c>
      <c r="S29" s="50">
        <f t="shared" si="22"/>
        <v>200</v>
      </c>
      <c r="T29" s="50">
        <f t="shared" si="22"/>
        <v>200</v>
      </c>
      <c r="U29" s="50">
        <f t="shared" si="22"/>
        <v>200</v>
      </c>
      <c r="V29" s="50">
        <f t="shared" si="22"/>
        <v>200</v>
      </c>
      <c r="W29" s="50">
        <f t="shared" si="22"/>
        <v>300</v>
      </c>
      <c r="X29" s="50">
        <f t="shared" si="22"/>
        <v>300</v>
      </c>
      <c r="Y29" s="50">
        <f t="shared" si="22"/>
        <v>300</v>
      </c>
      <c r="Z29" s="50">
        <f t="shared" si="22"/>
        <v>300</v>
      </c>
      <c r="AA29" s="50">
        <f t="shared" si="22"/>
        <v>300</v>
      </c>
      <c r="AB29" s="50">
        <f t="shared" si="22"/>
        <v>400</v>
      </c>
      <c r="AC29" s="50">
        <f t="shared" si="22"/>
        <v>408</v>
      </c>
      <c r="AD29" s="50">
        <f t="shared" si="22"/>
        <v>416</v>
      </c>
      <c r="AE29" s="50">
        <f t="shared" si="22"/>
        <v>424</v>
      </c>
      <c r="AF29" s="50">
        <f t="shared" si="22"/>
        <v>432</v>
      </c>
      <c r="AG29" s="50">
        <f t="shared" si="22"/>
        <v>440.00000000000006</v>
      </c>
      <c r="AH29" s="50">
        <f t="shared" si="22"/>
        <v>448.00000000000006</v>
      </c>
      <c r="AI29" s="50">
        <f t="shared" si="22"/>
        <v>456.00000000000006</v>
      </c>
      <c r="AJ29" s="50">
        <f t="shared" si="22"/>
        <v>464.00000000000006</v>
      </c>
      <c r="AK29" s="50">
        <f t="shared" si="22"/>
        <v>472.00000000000006</v>
      </c>
      <c r="AL29" s="50">
        <f t="shared" si="22"/>
        <v>480.00000000000006</v>
      </c>
      <c r="AM29" s="50">
        <f t="shared" si="22"/>
        <v>488.00000000000006</v>
      </c>
      <c r="AN29" s="50">
        <f t="shared" si="22"/>
        <v>496.00000000000011</v>
      </c>
      <c r="AO29" s="27"/>
      <c r="AP29" s="27"/>
      <c r="AQ29" s="27"/>
      <c r="AR29" s="26"/>
      <c r="AS29" s="26"/>
      <c r="AT29" s="26"/>
      <c r="AU29" s="26"/>
      <c r="AV29" s="26"/>
      <c r="AW29" s="26"/>
      <c r="AX29" s="26"/>
      <c r="AY29" s="26"/>
      <c r="AZ29" s="26"/>
      <c r="BA29" s="85"/>
      <c r="BB29" s="85"/>
      <c r="BC29" s="85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</row>
    <row r="30" spans="1:77" ht="15.5">
      <c r="A30" s="154"/>
      <c r="B30" s="24" t="s">
        <v>73</v>
      </c>
      <c r="C30" s="27"/>
      <c r="D30" s="33">
        <v>0.6</v>
      </c>
      <c r="E30" s="26">
        <f t="shared" ref="E30:AN30" si="23">E29*$D$30</f>
        <v>12</v>
      </c>
      <c r="F30" s="26">
        <f t="shared" si="23"/>
        <v>12</v>
      </c>
      <c r="G30" s="26">
        <f t="shared" si="23"/>
        <v>24</v>
      </c>
      <c r="H30" s="26">
        <f t="shared" si="23"/>
        <v>24</v>
      </c>
      <c r="I30" s="26">
        <f t="shared" si="23"/>
        <v>24</v>
      </c>
      <c r="J30" s="26">
        <f t="shared" si="23"/>
        <v>48</v>
      </c>
      <c r="K30" s="26">
        <f t="shared" si="23"/>
        <v>48</v>
      </c>
      <c r="L30" s="26">
        <f t="shared" si="23"/>
        <v>48</v>
      </c>
      <c r="M30" s="26">
        <f t="shared" si="23"/>
        <v>72</v>
      </c>
      <c r="N30" s="26">
        <f t="shared" si="23"/>
        <v>72</v>
      </c>
      <c r="O30" s="26">
        <f t="shared" si="23"/>
        <v>72</v>
      </c>
      <c r="P30" s="26">
        <f t="shared" si="23"/>
        <v>96</v>
      </c>
      <c r="Q30" s="26">
        <f t="shared" si="23"/>
        <v>96</v>
      </c>
      <c r="R30" s="26">
        <f t="shared" si="23"/>
        <v>96</v>
      </c>
      <c r="S30" s="26">
        <f t="shared" si="23"/>
        <v>120</v>
      </c>
      <c r="T30" s="26">
        <f t="shared" si="23"/>
        <v>120</v>
      </c>
      <c r="U30" s="26">
        <f t="shared" si="23"/>
        <v>120</v>
      </c>
      <c r="V30" s="26">
        <f t="shared" si="23"/>
        <v>120</v>
      </c>
      <c r="W30" s="26">
        <f t="shared" si="23"/>
        <v>180</v>
      </c>
      <c r="X30" s="26">
        <f t="shared" si="23"/>
        <v>180</v>
      </c>
      <c r="Y30" s="26">
        <f t="shared" si="23"/>
        <v>180</v>
      </c>
      <c r="Z30" s="26">
        <f t="shared" si="23"/>
        <v>180</v>
      </c>
      <c r="AA30" s="26">
        <f t="shared" si="23"/>
        <v>180</v>
      </c>
      <c r="AB30" s="26">
        <f t="shared" si="23"/>
        <v>240</v>
      </c>
      <c r="AC30" s="26">
        <f t="shared" si="23"/>
        <v>244.79999999999998</v>
      </c>
      <c r="AD30" s="26">
        <f t="shared" si="23"/>
        <v>249.6</v>
      </c>
      <c r="AE30" s="26">
        <f t="shared" si="23"/>
        <v>254.39999999999998</v>
      </c>
      <c r="AF30" s="26">
        <f t="shared" si="23"/>
        <v>259.2</v>
      </c>
      <c r="AG30" s="26">
        <f t="shared" si="23"/>
        <v>264</v>
      </c>
      <c r="AH30" s="26">
        <f t="shared" si="23"/>
        <v>268.8</v>
      </c>
      <c r="AI30" s="26">
        <f t="shared" si="23"/>
        <v>273.60000000000002</v>
      </c>
      <c r="AJ30" s="26">
        <f t="shared" si="23"/>
        <v>278.40000000000003</v>
      </c>
      <c r="AK30" s="26">
        <f t="shared" si="23"/>
        <v>283.20000000000005</v>
      </c>
      <c r="AL30" s="26">
        <f t="shared" si="23"/>
        <v>288</v>
      </c>
      <c r="AM30" s="26">
        <f t="shared" si="23"/>
        <v>292.8</v>
      </c>
      <c r="AN30" s="26">
        <f t="shared" si="23"/>
        <v>297.60000000000008</v>
      </c>
      <c r="AO30" s="27"/>
      <c r="AP30" s="27"/>
      <c r="AQ30" s="27"/>
      <c r="AR30" s="26"/>
      <c r="AS30" s="26"/>
      <c r="AT30" s="26"/>
      <c r="AU30" s="26"/>
      <c r="AV30" s="26"/>
      <c r="AW30" s="26"/>
      <c r="AX30" s="26"/>
      <c r="AY30" s="26"/>
      <c r="AZ30" s="26"/>
      <c r="BA30" s="85"/>
      <c r="BB30" s="85"/>
      <c r="BC30" s="85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</row>
    <row r="31" spans="1:77" ht="15.5">
      <c r="A31" s="154"/>
      <c r="B31" s="24" t="s">
        <v>74</v>
      </c>
      <c r="C31" s="27"/>
      <c r="D31" s="33">
        <v>0.4</v>
      </c>
      <c r="E31" s="26">
        <f t="shared" ref="E31:AN31" si="24">E29*$D$31</f>
        <v>8</v>
      </c>
      <c r="F31" s="26">
        <f t="shared" si="24"/>
        <v>8</v>
      </c>
      <c r="G31" s="26">
        <f t="shared" si="24"/>
        <v>16</v>
      </c>
      <c r="H31" s="26">
        <f t="shared" si="24"/>
        <v>16</v>
      </c>
      <c r="I31" s="26">
        <f t="shared" si="24"/>
        <v>16</v>
      </c>
      <c r="J31" s="26">
        <f t="shared" si="24"/>
        <v>32</v>
      </c>
      <c r="K31" s="26">
        <f t="shared" si="24"/>
        <v>32</v>
      </c>
      <c r="L31" s="26">
        <f t="shared" si="24"/>
        <v>32</v>
      </c>
      <c r="M31" s="26">
        <f t="shared" si="24"/>
        <v>48</v>
      </c>
      <c r="N31" s="26">
        <f t="shared" si="24"/>
        <v>48</v>
      </c>
      <c r="O31" s="26">
        <f t="shared" si="24"/>
        <v>48</v>
      </c>
      <c r="P31" s="26">
        <f t="shared" si="24"/>
        <v>64</v>
      </c>
      <c r="Q31" s="26">
        <f t="shared" si="24"/>
        <v>64</v>
      </c>
      <c r="R31" s="26">
        <f t="shared" si="24"/>
        <v>64</v>
      </c>
      <c r="S31" s="26">
        <f t="shared" si="24"/>
        <v>80</v>
      </c>
      <c r="T31" s="26">
        <f t="shared" si="24"/>
        <v>80</v>
      </c>
      <c r="U31" s="26">
        <f t="shared" si="24"/>
        <v>80</v>
      </c>
      <c r="V31" s="26">
        <f t="shared" si="24"/>
        <v>80</v>
      </c>
      <c r="W31" s="26">
        <f t="shared" si="24"/>
        <v>120</v>
      </c>
      <c r="X31" s="26">
        <f t="shared" si="24"/>
        <v>120</v>
      </c>
      <c r="Y31" s="26">
        <f t="shared" si="24"/>
        <v>120</v>
      </c>
      <c r="Z31" s="26">
        <f t="shared" si="24"/>
        <v>120</v>
      </c>
      <c r="AA31" s="26">
        <f t="shared" si="24"/>
        <v>120</v>
      </c>
      <c r="AB31" s="26">
        <f t="shared" si="24"/>
        <v>160</v>
      </c>
      <c r="AC31" s="26">
        <f t="shared" si="24"/>
        <v>163.20000000000002</v>
      </c>
      <c r="AD31" s="26">
        <f t="shared" si="24"/>
        <v>166.4</v>
      </c>
      <c r="AE31" s="26">
        <f t="shared" si="24"/>
        <v>169.60000000000002</v>
      </c>
      <c r="AF31" s="26">
        <f t="shared" si="24"/>
        <v>172.8</v>
      </c>
      <c r="AG31" s="26">
        <f t="shared" si="24"/>
        <v>176.00000000000003</v>
      </c>
      <c r="AH31" s="26">
        <f t="shared" si="24"/>
        <v>179.20000000000005</v>
      </c>
      <c r="AI31" s="26">
        <f t="shared" si="24"/>
        <v>182.40000000000003</v>
      </c>
      <c r="AJ31" s="26">
        <f t="shared" si="24"/>
        <v>185.60000000000002</v>
      </c>
      <c r="AK31" s="26">
        <f t="shared" si="24"/>
        <v>188.80000000000004</v>
      </c>
      <c r="AL31" s="26">
        <f t="shared" si="24"/>
        <v>192.00000000000003</v>
      </c>
      <c r="AM31" s="26">
        <f t="shared" si="24"/>
        <v>195.20000000000005</v>
      </c>
      <c r="AN31" s="26">
        <f t="shared" si="24"/>
        <v>198.40000000000006</v>
      </c>
      <c r="AO31" s="27"/>
      <c r="AP31" s="27"/>
      <c r="AQ31" s="27"/>
      <c r="AR31" s="26"/>
      <c r="AS31" s="26"/>
      <c r="AT31" s="26"/>
      <c r="AU31" s="26"/>
      <c r="AV31" s="26"/>
      <c r="AW31" s="26"/>
      <c r="AX31" s="26"/>
      <c r="AY31" s="26"/>
      <c r="AZ31" s="26"/>
      <c r="BA31" s="85"/>
      <c r="BB31" s="85"/>
      <c r="BC31" s="85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</row>
    <row r="32" spans="1:77" ht="15.5">
      <c r="A32" s="154"/>
      <c r="B32" s="24" t="s">
        <v>75</v>
      </c>
      <c r="C32" s="51">
        <f>D30*C26</f>
        <v>3244.02</v>
      </c>
      <c r="D32" s="27"/>
      <c r="E32" s="78">
        <f>E30/400*$C26</f>
        <v>162.20099999999999</v>
      </c>
      <c r="F32" s="78">
        <f t="shared" ref="F32:AN32" si="25">F30/400*$C26</f>
        <v>162.20099999999999</v>
      </c>
      <c r="G32" s="78">
        <f t="shared" si="25"/>
        <v>324.40199999999999</v>
      </c>
      <c r="H32" s="78">
        <f t="shared" si="25"/>
        <v>324.40199999999999</v>
      </c>
      <c r="I32" s="78">
        <f t="shared" si="25"/>
        <v>324.40199999999999</v>
      </c>
      <c r="J32" s="78">
        <f t="shared" si="25"/>
        <v>648.80399999999997</v>
      </c>
      <c r="K32" s="78">
        <f t="shared" si="25"/>
        <v>648.80399999999997</v>
      </c>
      <c r="L32" s="78">
        <f t="shared" si="25"/>
        <v>648.80399999999997</v>
      </c>
      <c r="M32" s="78">
        <f t="shared" si="25"/>
        <v>973.2059999999999</v>
      </c>
      <c r="N32" s="78">
        <f t="shared" si="25"/>
        <v>973.2059999999999</v>
      </c>
      <c r="O32" s="78">
        <f t="shared" si="25"/>
        <v>973.2059999999999</v>
      </c>
      <c r="P32" s="78">
        <f t="shared" si="25"/>
        <v>1297.6079999999999</v>
      </c>
      <c r="Q32" s="78">
        <f t="shared" si="25"/>
        <v>1297.6079999999999</v>
      </c>
      <c r="R32" s="78">
        <f t="shared" si="25"/>
        <v>1297.6079999999999</v>
      </c>
      <c r="S32" s="78">
        <f t="shared" si="25"/>
        <v>1622.01</v>
      </c>
      <c r="T32" s="78">
        <f t="shared" si="25"/>
        <v>1622.01</v>
      </c>
      <c r="U32" s="78">
        <f t="shared" si="25"/>
        <v>1622.01</v>
      </c>
      <c r="V32" s="78">
        <f t="shared" si="25"/>
        <v>1622.01</v>
      </c>
      <c r="W32" s="78">
        <f t="shared" si="25"/>
        <v>2433.0149999999999</v>
      </c>
      <c r="X32" s="78">
        <f t="shared" si="25"/>
        <v>2433.0149999999999</v>
      </c>
      <c r="Y32" s="78">
        <f t="shared" si="25"/>
        <v>2433.0149999999999</v>
      </c>
      <c r="Z32" s="78">
        <f t="shared" si="25"/>
        <v>2433.0149999999999</v>
      </c>
      <c r="AA32" s="78">
        <f t="shared" si="25"/>
        <v>2433.0149999999999</v>
      </c>
      <c r="AB32" s="78">
        <f t="shared" si="25"/>
        <v>3244.02</v>
      </c>
      <c r="AC32" s="78">
        <f t="shared" si="25"/>
        <v>3308.9004</v>
      </c>
      <c r="AD32" s="78">
        <f t="shared" si="25"/>
        <v>3373.7808</v>
      </c>
      <c r="AE32" s="78">
        <f t="shared" si="25"/>
        <v>3438.6611999999996</v>
      </c>
      <c r="AF32" s="78">
        <f t="shared" si="25"/>
        <v>3503.5416</v>
      </c>
      <c r="AG32" s="78">
        <f t="shared" si="25"/>
        <v>3568.422</v>
      </c>
      <c r="AH32" s="78">
        <f t="shared" si="25"/>
        <v>3633.3024</v>
      </c>
      <c r="AI32" s="78">
        <f t="shared" si="25"/>
        <v>3698.1828</v>
      </c>
      <c r="AJ32" s="78">
        <f t="shared" si="25"/>
        <v>3763.0632000000001</v>
      </c>
      <c r="AK32" s="78">
        <f t="shared" si="25"/>
        <v>3827.9436000000001</v>
      </c>
      <c r="AL32" s="78">
        <f t="shared" si="25"/>
        <v>3892.8239999999996</v>
      </c>
      <c r="AM32" s="78">
        <f t="shared" si="25"/>
        <v>3957.7043999999996</v>
      </c>
      <c r="AN32" s="78">
        <f t="shared" si="25"/>
        <v>4022.584800000001</v>
      </c>
      <c r="AO32" s="78">
        <f>SUM(E32:AN32)</f>
        <v>75942.508199999997</v>
      </c>
      <c r="AP32" s="27" t="s">
        <v>76</v>
      </c>
      <c r="AQ32" s="27"/>
      <c r="AR32" s="43"/>
      <c r="AS32" s="43"/>
      <c r="AT32" s="43"/>
      <c r="AU32" s="43"/>
      <c r="AV32" s="43"/>
      <c r="AW32" s="43"/>
      <c r="AX32" s="43"/>
      <c r="AY32" s="43"/>
      <c r="AZ32" s="43"/>
      <c r="BA32" s="85"/>
      <c r="BB32" s="85"/>
      <c r="BC32" s="85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</row>
    <row r="33" spans="1:77" ht="15.5">
      <c r="A33" s="154"/>
      <c r="B33" s="24" t="s">
        <v>77</v>
      </c>
      <c r="C33" s="51">
        <f>D31*C28</f>
        <v>1246</v>
      </c>
      <c r="D33" s="27"/>
      <c r="E33" s="78">
        <f>E31/400*$C28</f>
        <v>62.300000000000004</v>
      </c>
      <c r="F33" s="78">
        <f t="shared" ref="F33:AN33" si="26">F31/400*$C28</f>
        <v>62.300000000000004</v>
      </c>
      <c r="G33" s="78">
        <f t="shared" si="26"/>
        <v>124.60000000000001</v>
      </c>
      <c r="H33" s="78">
        <f t="shared" si="26"/>
        <v>124.60000000000001</v>
      </c>
      <c r="I33" s="78">
        <f t="shared" si="26"/>
        <v>124.60000000000001</v>
      </c>
      <c r="J33" s="78">
        <f t="shared" si="26"/>
        <v>249.20000000000002</v>
      </c>
      <c r="K33" s="78">
        <f t="shared" si="26"/>
        <v>249.20000000000002</v>
      </c>
      <c r="L33" s="78">
        <f t="shared" si="26"/>
        <v>249.20000000000002</v>
      </c>
      <c r="M33" s="78">
        <f t="shared" si="26"/>
        <v>373.8</v>
      </c>
      <c r="N33" s="78">
        <f t="shared" si="26"/>
        <v>373.8</v>
      </c>
      <c r="O33" s="78">
        <f t="shared" si="26"/>
        <v>373.8</v>
      </c>
      <c r="P33" s="78">
        <f t="shared" si="26"/>
        <v>498.40000000000003</v>
      </c>
      <c r="Q33" s="78">
        <f t="shared" si="26"/>
        <v>498.40000000000003</v>
      </c>
      <c r="R33" s="78">
        <f t="shared" si="26"/>
        <v>498.40000000000003</v>
      </c>
      <c r="S33" s="78">
        <f t="shared" si="26"/>
        <v>623</v>
      </c>
      <c r="T33" s="78">
        <f t="shared" si="26"/>
        <v>623</v>
      </c>
      <c r="U33" s="78">
        <f t="shared" si="26"/>
        <v>623</v>
      </c>
      <c r="V33" s="78">
        <f t="shared" si="26"/>
        <v>623</v>
      </c>
      <c r="W33" s="78">
        <f t="shared" si="26"/>
        <v>934.5</v>
      </c>
      <c r="X33" s="78">
        <f t="shared" si="26"/>
        <v>934.5</v>
      </c>
      <c r="Y33" s="78">
        <f t="shared" si="26"/>
        <v>934.5</v>
      </c>
      <c r="Z33" s="78">
        <f t="shared" si="26"/>
        <v>934.5</v>
      </c>
      <c r="AA33" s="78">
        <f t="shared" si="26"/>
        <v>934.5</v>
      </c>
      <c r="AB33" s="78">
        <f t="shared" si="26"/>
        <v>1246</v>
      </c>
      <c r="AC33" s="78">
        <f t="shared" si="26"/>
        <v>1270.92</v>
      </c>
      <c r="AD33" s="78">
        <f t="shared" si="26"/>
        <v>1295.8400000000001</v>
      </c>
      <c r="AE33" s="78">
        <f t="shared" si="26"/>
        <v>1320.7600000000002</v>
      </c>
      <c r="AF33" s="78">
        <f t="shared" si="26"/>
        <v>1345.68</v>
      </c>
      <c r="AG33" s="78">
        <f t="shared" si="26"/>
        <v>1370.6000000000001</v>
      </c>
      <c r="AH33" s="78">
        <f t="shared" si="26"/>
        <v>1395.5200000000004</v>
      </c>
      <c r="AI33" s="78">
        <f t="shared" si="26"/>
        <v>1420.4400000000003</v>
      </c>
      <c r="AJ33" s="78">
        <f t="shared" si="26"/>
        <v>1445.3600000000004</v>
      </c>
      <c r="AK33" s="78">
        <f t="shared" si="26"/>
        <v>1470.2800000000002</v>
      </c>
      <c r="AL33" s="78">
        <f t="shared" si="26"/>
        <v>1495.2000000000003</v>
      </c>
      <c r="AM33" s="78">
        <f t="shared" si="26"/>
        <v>1520.1200000000003</v>
      </c>
      <c r="AN33" s="78">
        <f t="shared" si="26"/>
        <v>1545.0400000000004</v>
      </c>
      <c r="AO33" s="78">
        <f>SUM(E33:AN33)</f>
        <v>29168.859999999997</v>
      </c>
      <c r="AP33" s="27" t="s">
        <v>76</v>
      </c>
      <c r="AQ33" s="79">
        <f>AO32+AO33</f>
        <v>105111.3682</v>
      </c>
      <c r="AR33" s="51" t="s">
        <v>78</v>
      </c>
      <c r="AS33" s="51"/>
      <c r="AT33" s="51"/>
      <c r="AU33" s="51"/>
      <c r="AV33" s="51"/>
      <c r="AW33" s="51"/>
      <c r="AX33" s="51"/>
      <c r="AY33" s="51"/>
      <c r="AZ33" s="51"/>
      <c r="BA33" s="85"/>
      <c r="BB33" s="85"/>
      <c r="BC33" s="85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</row>
    <row r="35" spans="1:77" s="78" customFormat="1" ht="15" customHeight="1">
      <c r="B35" s="78" t="s">
        <v>80</v>
      </c>
      <c r="E35" s="78">
        <f t="shared" ref="E35:AN35" si="27">E19+E13+E21+E32+E33</f>
        <v>5028.1170000000002</v>
      </c>
      <c r="F35" s="78">
        <f t="shared" si="27"/>
        <v>5028.1170000000002</v>
      </c>
      <c r="G35" s="78">
        <f t="shared" si="27"/>
        <v>10056.234</v>
      </c>
      <c r="H35" s="78">
        <f t="shared" si="27"/>
        <v>10056.234</v>
      </c>
      <c r="I35" s="78">
        <f t="shared" si="27"/>
        <v>10056.234</v>
      </c>
      <c r="J35" s="78">
        <f t="shared" si="27"/>
        <v>20112.468000000001</v>
      </c>
      <c r="K35" s="78">
        <f t="shared" si="27"/>
        <v>20112.468000000001</v>
      </c>
      <c r="L35" s="78">
        <f t="shared" si="27"/>
        <v>20112.468000000001</v>
      </c>
      <c r="M35" s="78">
        <f t="shared" si="27"/>
        <v>30168.701999999994</v>
      </c>
      <c r="N35" s="78">
        <f t="shared" si="27"/>
        <v>30168.701999999994</v>
      </c>
      <c r="O35" s="78">
        <f t="shared" si="27"/>
        <v>30168.701999999994</v>
      </c>
      <c r="P35" s="78">
        <f t="shared" si="27"/>
        <v>40224.936000000002</v>
      </c>
      <c r="Q35" s="78">
        <f t="shared" si="27"/>
        <v>40224.936000000002</v>
      </c>
      <c r="R35" s="78">
        <f t="shared" si="27"/>
        <v>40224.936000000002</v>
      </c>
      <c r="S35" s="78">
        <f t="shared" si="27"/>
        <v>50281.170000000006</v>
      </c>
      <c r="T35" s="78">
        <f t="shared" si="27"/>
        <v>50281.170000000006</v>
      </c>
      <c r="U35" s="78">
        <f t="shared" si="27"/>
        <v>50281.170000000006</v>
      </c>
      <c r="V35" s="78">
        <f t="shared" si="27"/>
        <v>50281.170000000006</v>
      </c>
      <c r="W35" s="78">
        <f t="shared" si="27"/>
        <v>75421.75499999999</v>
      </c>
      <c r="X35" s="78">
        <f t="shared" si="27"/>
        <v>75421.75499999999</v>
      </c>
      <c r="Y35" s="78">
        <f t="shared" si="27"/>
        <v>75421.75499999999</v>
      </c>
      <c r="Z35" s="78">
        <f t="shared" si="27"/>
        <v>75421.75499999999</v>
      </c>
      <c r="AA35" s="78">
        <f t="shared" si="27"/>
        <v>75421.75499999999</v>
      </c>
      <c r="AB35" s="78">
        <f t="shared" si="27"/>
        <v>100562.34000000001</v>
      </c>
      <c r="AC35" s="78">
        <f t="shared" si="27"/>
        <v>102573.58679999999</v>
      </c>
      <c r="AD35" s="78">
        <f t="shared" si="27"/>
        <v>104584.8336</v>
      </c>
      <c r="AE35" s="78">
        <f t="shared" si="27"/>
        <v>106596.08039999999</v>
      </c>
      <c r="AF35" s="78">
        <f t="shared" si="27"/>
        <v>108607.3272</v>
      </c>
      <c r="AG35" s="78">
        <f t="shared" si="27"/>
        <v>110618.57400000001</v>
      </c>
      <c r="AH35" s="78">
        <f t="shared" si="27"/>
        <v>112629.82080000002</v>
      </c>
      <c r="AI35" s="78">
        <f t="shared" si="27"/>
        <v>114641.06760000001</v>
      </c>
      <c r="AJ35" s="78">
        <f t="shared" si="27"/>
        <v>116652.31440000002</v>
      </c>
      <c r="AK35" s="78">
        <f t="shared" si="27"/>
        <v>118663.5612</v>
      </c>
      <c r="AL35" s="78">
        <f t="shared" si="27"/>
        <v>120674.808</v>
      </c>
      <c r="AM35" s="78">
        <f t="shared" si="27"/>
        <v>122686.05480000003</v>
      </c>
      <c r="AN35" s="78">
        <f t="shared" si="27"/>
        <v>124697.30160000001</v>
      </c>
    </row>
    <row r="36" spans="1:77" ht="15" customHeight="1">
      <c r="B36" s="85"/>
      <c r="C36" s="2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</row>
    <row r="38" spans="1:77" ht="15" customHeight="1">
      <c r="B38" s="85"/>
      <c r="C38" s="85"/>
      <c r="D38" s="85"/>
      <c r="E38" s="76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</row>
    <row r="41" spans="1:77" ht="15" customHeight="1">
      <c r="B41" s="80" t="s">
        <v>81</v>
      </c>
      <c r="C41" s="85"/>
      <c r="D41" s="85"/>
      <c r="E41" s="85"/>
      <c r="F41" s="85"/>
      <c r="G41" s="80" t="s">
        <v>82</v>
      </c>
      <c r="H41" s="80" t="s">
        <v>81</v>
      </c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</row>
    <row r="42" spans="1:77" ht="15.5">
      <c r="B42" s="85"/>
      <c r="C42" s="15"/>
      <c r="D42" s="85"/>
      <c r="E42" s="85"/>
      <c r="F42" s="85"/>
      <c r="G42" s="80" t="s">
        <v>83</v>
      </c>
      <c r="H42" s="80" t="s">
        <v>84</v>
      </c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</row>
    <row r="43" spans="1:77" ht="15.5">
      <c r="B43" s="85"/>
      <c r="C43" s="15"/>
      <c r="D43" s="85"/>
      <c r="E43" s="85"/>
      <c r="F43" s="85"/>
      <c r="G43" s="80" t="s">
        <v>48</v>
      </c>
      <c r="H43" s="80" t="s">
        <v>85</v>
      </c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</row>
    <row r="104" spans="3:7" ht="15" customHeight="1">
      <c r="C104" s="85">
        <f>2500000</f>
        <v>2500000</v>
      </c>
      <c r="D104" s="85">
        <v>0.3</v>
      </c>
      <c r="E104" s="85">
        <f>C104*D104</f>
        <v>750000</v>
      </c>
      <c r="F104" s="85"/>
      <c r="G104" s="85"/>
    </row>
    <row r="105" spans="3:7" ht="15" customHeight="1">
      <c r="C105" s="85">
        <v>1200000</v>
      </c>
      <c r="D105" s="85">
        <v>0.55000000000000004</v>
      </c>
      <c r="E105" s="85">
        <f>C105*D105</f>
        <v>660000</v>
      </c>
      <c r="F105" s="85"/>
      <c r="G105" s="85"/>
    </row>
    <row r="112" spans="3:7" ht="15" customHeight="1">
      <c r="C112" s="85"/>
      <c r="D112" s="85"/>
      <c r="E112" s="26">
        <f t="shared" ref="E112" si="28">42351</f>
        <v>42351</v>
      </c>
      <c r="F112" s="85">
        <v>12</v>
      </c>
      <c r="G112" s="85">
        <f>E112*F112</f>
        <v>508212</v>
      </c>
    </row>
    <row r="113" spans="3:7" ht="15" customHeight="1">
      <c r="C113" s="85"/>
      <c r="D113" s="85"/>
      <c r="E113" s="26">
        <f t="shared" ref="E113" si="29">169405</f>
        <v>169405</v>
      </c>
      <c r="F113" s="85">
        <v>12</v>
      </c>
      <c r="G113" s="85">
        <f>E113*F113</f>
        <v>2032860</v>
      </c>
    </row>
  </sheetData>
  <mergeCells count="3">
    <mergeCell ref="A2:A12"/>
    <mergeCell ref="A15:A18"/>
    <mergeCell ref="A25:A3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topLeftCell="A58" workbookViewId="0">
      <selection activeCell="H78" sqref="H78"/>
    </sheetView>
  </sheetViews>
  <sheetFormatPr defaultRowHeight="15.5"/>
  <cols>
    <col min="1" max="1" width="17.08203125" customWidth="1"/>
    <col min="6" max="6" width="9.6640625" bestFit="1" customWidth="1"/>
    <col min="8" max="8" width="15.58203125" customWidth="1"/>
    <col min="13" max="13" width="25.1640625" bestFit="1" customWidth="1"/>
    <col min="17" max="17" width="10.58203125" bestFit="1" customWidth="1"/>
    <col min="18" max="18" width="10.83203125" bestFit="1" customWidth="1"/>
    <col min="19" max="19" width="18.58203125" bestFit="1" customWidth="1"/>
    <col min="20" max="20" width="12.08203125" bestFit="1" customWidth="1"/>
    <col min="21" max="21" width="24.33203125" bestFit="1" customWidth="1"/>
    <col min="22" max="22" width="23.75" bestFit="1" customWidth="1"/>
    <col min="23" max="23" width="7.4140625" bestFit="1" customWidth="1"/>
    <col min="24" max="24" width="9.83203125" bestFit="1" customWidth="1"/>
    <col min="25" max="25" width="10.83203125" bestFit="1" customWidth="1"/>
    <col min="26" max="26" width="5.75" bestFit="1" customWidth="1"/>
    <col min="27" max="27" width="13.5" bestFit="1" customWidth="1"/>
    <col min="28" max="28" width="9.83203125" bestFit="1" customWidth="1"/>
    <col min="29" max="29" width="8.08203125" bestFit="1" customWidth="1"/>
  </cols>
  <sheetData>
    <row r="1" spans="1:8">
      <c r="A1" s="85" t="s">
        <v>99</v>
      </c>
      <c r="B1" s="85"/>
      <c r="C1" s="85"/>
      <c r="D1" s="85"/>
      <c r="E1" s="85"/>
      <c r="F1" s="85"/>
      <c r="G1" s="85"/>
      <c r="H1" s="85"/>
    </row>
    <row r="2" spans="1:8" ht="16" hidden="1" thickBot="1">
      <c r="A2" s="86" t="s">
        <v>100</v>
      </c>
      <c r="B2" s="86" t="s">
        <v>101</v>
      </c>
      <c r="C2" s="86" t="s">
        <v>1</v>
      </c>
      <c r="D2" s="86" t="s">
        <v>2</v>
      </c>
      <c r="E2" s="86" t="s">
        <v>3</v>
      </c>
      <c r="F2" s="86" t="s">
        <v>4</v>
      </c>
      <c r="G2" s="87" t="s">
        <v>5</v>
      </c>
      <c r="H2" s="88" t="s">
        <v>102</v>
      </c>
    </row>
    <row r="3" spans="1:8" ht="16.5" hidden="1" thickTop="1" thickBot="1">
      <c r="A3" s="89" t="s">
        <v>103</v>
      </c>
      <c r="B3" s="90">
        <v>0</v>
      </c>
      <c r="C3" s="91">
        <v>215167</v>
      </c>
      <c r="D3" s="91">
        <v>247442</v>
      </c>
      <c r="E3" s="91">
        <v>284558</v>
      </c>
      <c r="F3" s="91">
        <v>327242</v>
      </c>
      <c r="G3" s="92">
        <v>376328</v>
      </c>
      <c r="H3" s="93">
        <v>1450737</v>
      </c>
    </row>
    <row r="4" spans="1:8" ht="16" hidden="1" thickBot="1">
      <c r="A4" s="94" t="s">
        <v>104</v>
      </c>
      <c r="B4" s="95">
        <v>0</v>
      </c>
      <c r="C4" s="95">
        <v>0</v>
      </c>
      <c r="D4" s="95">
        <v>0</v>
      </c>
      <c r="E4" s="95">
        <v>0</v>
      </c>
      <c r="F4" s="95">
        <v>0</v>
      </c>
      <c r="G4" s="96">
        <v>0</v>
      </c>
      <c r="H4" s="97">
        <v>0</v>
      </c>
    </row>
    <row r="5" spans="1:8" ht="16" hidden="1" thickBot="1">
      <c r="A5" s="94" t="s">
        <v>105</v>
      </c>
      <c r="B5" s="95">
        <v>0</v>
      </c>
      <c r="C5" s="98">
        <v>126919</v>
      </c>
      <c r="D5" s="98">
        <v>145957</v>
      </c>
      <c r="E5" s="98">
        <v>263198</v>
      </c>
      <c r="F5" s="98">
        <v>193028</v>
      </c>
      <c r="G5" s="99">
        <v>221983</v>
      </c>
      <c r="H5" s="100">
        <v>951085</v>
      </c>
    </row>
    <row r="6" spans="1:8" ht="16" hidden="1" thickBot="1">
      <c r="A6" s="94" t="s">
        <v>106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6">
        <v>0</v>
      </c>
      <c r="H6" s="97">
        <v>0</v>
      </c>
    </row>
    <row r="7" spans="1:8" ht="16" hidden="1" thickBot="1">
      <c r="A7" s="94" t="s">
        <v>107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6">
        <v>0</v>
      </c>
      <c r="H7" s="97">
        <v>0</v>
      </c>
    </row>
    <row r="8" spans="1:8" ht="16" hidden="1" thickBot="1">
      <c r="A8" s="94" t="s">
        <v>108</v>
      </c>
      <c r="B8" s="95">
        <v>0</v>
      </c>
      <c r="C8" s="98">
        <v>2803</v>
      </c>
      <c r="D8" s="98">
        <v>2803</v>
      </c>
      <c r="E8" s="98">
        <v>2803</v>
      </c>
      <c r="F8" s="98">
        <v>2803</v>
      </c>
      <c r="G8" s="99">
        <v>2803</v>
      </c>
      <c r="H8" s="100">
        <v>14016</v>
      </c>
    </row>
    <row r="9" spans="1:8" ht="16" hidden="1" thickBot="1">
      <c r="A9" s="94" t="s">
        <v>109</v>
      </c>
      <c r="B9" s="95">
        <v>0</v>
      </c>
      <c r="C9" s="98">
        <v>2504</v>
      </c>
      <c r="D9" s="98">
        <v>2561</v>
      </c>
      <c r="E9" s="98">
        <v>2626</v>
      </c>
      <c r="F9" s="98">
        <v>2701</v>
      </c>
      <c r="G9" s="99">
        <v>2787</v>
      </c>
      <c r="H9" s="100">
        <v>13179</v>
      </c>
    </row>
    <row r="10" spans="1:8" ht="16" hidden="1" thickBot="1">
      <c r="A10" s="94" t="s">
        <v>110</v>
      </c>
      <c r="B10" s="95">
        <v>0</v>
      </c>
      <c r="C10" s="98">
        <v>7066</v>
      </c>
      <c r="D10" s="98">
        <v>8125</v>
      </c>
      <c r="E10" s="98">
        <v>9344</v>
      </c>
      <c r="F10" s="98">
        <v>10746</v>
      </c>
      <c r="G10" s="99">
        <v>12358</v>
      </c>
      <c r="H10" s="100">
        <v>47639</v>
      </c>
    </row>
    <row r="11" spans="1:8" ht="16" hidden="1" thickBot="1">
      <c r="A11" s="94" t="s">
        <v>111</v>
      </c>
      <c r="B11" s="95">
        <v>0</v>
      </c>
      <c r="C11" s="95">
        <v>0</v>
      </c>
      <c r="D11" s="95">
        <v>0</v>
      </c>
      <c r="E11" s="95">
        <v>0</v>
      </c>
      <c r="F11" s="95">
        <v>0</v>
      </c>
      <c r="G11" s="96">
        <v>0</v>
      </c>
      <c r="H11" s="97">
        <v>0</v>
      </c>
    </row>
    <row r="12" spans="1:8" ht="16" hidden="1" thickBot="1">
      <c r="A12" s="94" t="s">
        <v>101</v>
      </c>
      <c r="B12" s="95">
        <v>0</v>
      </c>
      <c r="C12" s="95">
        <v>0</v>
      </c>
      <c r="D12" s="95">
        <v>0</v>
      </c>
      <c r="E12" s="95">
        <v>0</v>
      </c>
      <c r="F12" s="95">
        <v>0</v>
      </c>
      <c r="G12" s="96">
        <v>0</v>
      </c>
      <c r="H12" s="97">
        <v>0</v>
      </c>
    </row>
    <row r="13" spans="1:8" ht="16" hidden="1" thickBot="1">
      <c r="A13" s="94" t="s">
        <v>112</v>
      </c>
      <c r="B13" s="95">
        <v>0</v>
      </c>
      <c r="C13" s="98">
        <v>104218</v>
      </c>
      <c r="D13" s="98">
        <v>119629</v>
      </c>
      <c r="E13" s="98">
        <v>165955</v>
      </c>
      <c r="F13" s="98">
        <v>157732</v>
      </c>
      <c r="G13" s="99">
        <v>181170</v>
      </c>
      <c r="H13" s="100">
        <v>728705</v>
      </c>
    </row>
    <row r="14" spans="1:8" ht="16" hidden="1" thickBot="1">
      <c r="A14" s="101" t="s">
        <v>102</v>
      </c>
      <c r="B14" s="102">
        <v>0</v>
      </c>
      <c r="C14" s="103">
        <v>458677</v>
      </c>
      <c r="D14" s="103">
        <v>526517</v>
      </c>
      <c r="E14" s="103">
        <v>728485</v>
      </c>
      <c r="F14" s="103">
        <v>694253</v>
      </c>
      <c r="G14" s="104">
        <v>797430</v>
      </c>
      <c r="H14" s="105">
        <v>3205361</v>
      </c>
    </row>
    <row r="15" spans="1:8" hidden="1">
      <c r="A15" s="85"/>
      <c r="B15" s="85"/>
      <c r="C15" s="85"/>
      <c r="D15" s="85"/>
      <c r="E15" s="85"/>
      <c r="F15" s="85"/>
      <c r="G15" s="85"/>
      <c r="H15" s="85"/>
    </row>
    <row r="16" spans="1:8" ht="16" hidden="1" thickBot="1">
      <c r="A16" s="86" t="s">
        <v>100</v>
      </c>
      <c r="B16" s="86" t="s">
        <v>101</v>
      </c>
      <c r="C16" s="86" t="s">
        <v>1</v>
      </c>
      <c r="D16" s="86" t="s">
        <v>2</v>
      </c>
      <c r="E16" s="86" t="s">
        <v>3</v>
      </c>
      <c r="F16" s="86" t="s">
        <v>4</v>
      </c>
      <c r="G16" s="87" t="s">
        <v>5</v>
      </c>
      <c r="H16" s="88" t="s">
        <v>102</v>
      </c>
    </row>
    <row r="17" spans="1:8" ht="16.5" hidden="1" thickTop="1" thickBot="1">
      <c r="A17" s="89" t="s">
        <v>103</v>
      </c>
      <c r="B17" s="90">
        <v>0</v>
      </c>
      <c r="C17" s="91">
        <v>215167</v>
      </c>
      <c r="D17" s="91">
        <v>247442</v>
      </c>
      <c r="E17" s="91">
        <v>284558</v>
      </c>
      <c r="F17" s="91">
        <v>327242</v>
      </c>
      <c r="G17" s="92">
        <v>376328</v>
      </c>
      <c r="H17" s="93">
        <v>1450737</v>
      </c>
    </row>
    <row r="18" spans="1:8" ht="16" hidden="1" thickBot="1">
      <c r="A18" s="94" t="s">
        <v>104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6">
        <v>0</v>
      </c>
      <c r="H18" s="97">
        <v>0</v>
      </c>
    </row>
    <row r="19" spans="1:8" ht="16" hidden="1" thickBot="1">
      <c r="A19" s="94" t="s">
        <v>105</v>
      </c>
      <c r="B19" s="95">
        <v>0</v>
      </c>
      <c r="C19" s="98">
        <v>126919</v>
      </c>
      <c r="D19" s="98">
        <v>145957</v>
      </c>
      <c r="E19" s="98">
        <v>263198</v>
      </c>
      <c r="F19" s="98">
        <v>193028</v>
      </c>
      <c r="G19" s="99">
        <v>221983</v>
      </c>
      <c r="H19" s="100">
        <v>951085</v>
      </c>
    </row>
    <row r="20" spans="1:8" ht="16" hidden="1" thickBot="1">
      <c r="A20" s="94" t="s">
        <v>106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6">
        <v>0</v>
      </c>
      <c r="H20" s="97">
        <v>0</v>
      </c>
    </row>
    <row r="21" spans="1:8" ht="16" hidden="1" thickBot="1">
      <c r="A21" s="94" t="s">
        <v>107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6">
        <v>0</v>
      </c>
      <c r="H21" s="97">
        <v>0</v>
      </c>
    </row>
    <row r="22" spans="1:8" ht="16" hidden="1" thickBot="1">
      <c r="A22" s="94" t="s">
        <v>108</v>
      </c>
      <c r="B22" s="95">
        <v>0</v>
      </c>
      <c r="C22" s="98">
        <v>2803</v>
      </c>
      <c r="D22" s="98">
        <v>2803</v>
      </c>
      <c r="E22" s="98">
        <v>2803</v>
      </c>
      <c r="F22" s="98">
        <v>2803</v>
      </c>
      <c r="G22" s="99">
        <v>2803</v>
      </c>
      <c r="H22" s="100">
        <v>14016</v>
      </c>
    </row>
    <row r="23" spans="1:8" ht="16" hidden="1" thickBot="1">
      <c r="A23" s="94" t="s">
        <v>109</v>
      </c>
      <c r="B23" s="95">
        <v>0</v>
      </c>
      <c r="C23" s="98">
        <v>2504</v>
      </c>
      <c r="D23" s="98">
        <v>2561</v>
      </c>
      <c r="E23" s="98">
        <v>2626</v>
      </c>
      <c r="F23" s="98">
        <v>2701</v>
      </c>
      <c r="G23" s="99">
        <v>2787</v>
      </c>
      <c r="H23" s="100">
        <v>13179</v>
      </c>
    </row>
    <row r="24" spans="1:8" ht="16" hidden="1" thickBot="1">
      <c r="A24" s="94" t="s">
        <v>110</v>
      </c>
      <c r="B24" s="95">
        <v>0</v>
      </c>
      <c r="C24" s="98">
        <v>7066</v>
      </c>
      <c r="D24" s="98">
        <v>8125</v>
      </c>
      <c r="E24" s="98">
        <v>9344</v>
      </c>
      <c r="F24" s="98">
        <v>10746</v>
      </c>
      <c r="G24" s="99">
        <v>12358</v>
      </c>
      <c r="H24" s="100">
        <v>47639</v>
      </c>
    </row>
    <row r="25" spans="1:8" ht="16" hidden="1" thickBot="1">
      <c r="A25" s="94" t="s">
        <v>111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6">
        <v>0</v>
      </c>
      <c r="H25" s="97">
        <v>0</v>
      </c>
    </row>
    <row r="26" spans="1:8" ht="16" hidden="1" thickBot="1">
      <c r="A26" s="94" t="s">
        <v>101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6">
        <v>0</v>
      </c>
      <c r="H26" s="97">
        <v>0</v>
      </c>
    </row>
    <row r="27" spans="1:8" ht="16" hidden="1" thickBot="1">
      <c r="A27" s="94" t="s">
        <v>112</v>
      </c>
      <c r="B27" s="95">
        <v>0</v>
      </c>
      <c r="C27" s="98">
        <v>104218</v>
      </c>
      <c r="D27" s="98">
        <v>119629</v>
      </c>
      <c r="E27" s="98">
        <v>165955</v>
      </c>
      <c r="F27" s="98">
        <v>157732</v>
      </c>
      <c r="G27" s="99">
        <v>181170</v>
      </c>
      <c r="H27" s="100">
        <v>728705</v>
      </c>
    </row>
    <row r="28" spans="1:8" ht="16" hidden="1" thickBot="1">
      <c r="A28" s="101" t="s">
        <v>102</v>
      </c>
      <c r="B28" s="102">
        <v>0</v>
      </c>
      <c r="C28" s="103">
        <v>458677</v>
      </c>
      <c r="D28" s="103">
        <v>526517</v>
      </c>
      <c r="E28" s="103">
        <v>728485</v>
      </c>
      <c r="F28" s="103">
        <v>694253</v>
      </c>
      <c r="G28" s="104">
        <v>797430</v>
      </c>
      <c r="H28" s="105">
        <v>3205361</v>
      </c>
    </row>
    <row r="29" spans="1:8" hidden="1">
      <c r="A29" s="85"/>
      <c r="B29" s="85"/>
      <c r="C29" s="85"/>
      <c r="D29" s="85"/>
      <c r="E29" s="85"/>
      <c r="F29" s="85"/>
      <c r="G29" s="85"/>
      <c r="H29" s="85"/>
    </row>
    <row r="30" spans="1:8" ht="16" hidden="1" thickBot="1">
      <c r="A30" s="86" t="s">
        <v>100</v>
      </c>
      <c r="B30" s="86" t="s">
        <v>101</v>
      </c>
      <c r="C30" s="86" t="s">
        <v>1</v>
      </c>
      <c r="D30" s="86" t="s">
        <v>2</v>
      </c>
      <c r="E30" s="86" t="s">
        <v>3</v>
      </c>
      <c r="F30" s="86" t="s">
        <v>4</v>
      </c>
      <c r="G30" s="87" t="s">
        <v>5</v>
      </c>
      <c r="H30" s="88" t="s">
        <v>102</v>
      </c>
    </row>
    <row r="31" spans="1:8" ht="16.5" hidden="1" thickTop="1" thickBot="1">
      <c r="A31" s="89" t="s">
        <v>103</v>
      </c>
      <c r="B31" s="90">
        <v>0</v>
      </c>
      <c r="C31" s="91">
        <v>215167</v>
      </c>
      <c r="D31" s="91">
        <v>247442</v>
      </c>
      <c r="E31" s="91">
        <v>284558</v>
      </c>
      <c r="F31" s="91">
        <v>327242</v>
      </c>
      <c r="G31" s="92">
        <v>376328</v>
      </c>
      <c r="H31" s="93">
        <v>1450737</v>
      </c>
    </row>
    <row r="32" spans="1:8" ht="16" hidden="1" thickBot="1">
      <c r="A32" s="94" t="s">
        <v>104</v>
      </c>
      <c r="B32" s="95">
        <v>0</v>
      </c>
      <c r="C32" s="95">
        <v>0</v>
      </c>
      <c r="D32" s="95">
        <v>0</v>
      </c>
      <c r="E32" s="95">
        <v>0</v>
      </c>
      <c r="F32" s="95">
        <v>0</v>
      </c>
      <c r="G32" s="96">
        <v>0</v>
      </c>
      <c r="H32" s="97">
        <v>0</v>
      </c>
    </row>
    <row r="33" spans="1:8" ht="16" hidden="1" thickBot="1">
      <c r="A33" s="94" t="s">
        <v>105</v>
      </c>
      <c r="B33" s="95">
        <v>0</v>
      </c>
      <c r="C33" s="98">
        <v>126919</v>
      </c>
      <c r="D33" s="98">
        <v>145957</v>
      </c>
      <c r="E33" s="98">
        <v>263198</v>
      </c>
      <c r="F33" s="98">
        <v>193028</v>
      </c>
      <c r="G33" s="99">
        <v>221983</v>
      </c>
      <c r="H33" s="100">
        <v>951085</v>
      </c>
    </row>
    <row r="34" spans="1:8" ht="16" hidden="1" thickBot="1">
      <c r="A34" s="94" t="s">
        <v>106</v>
      </c>
      <c r="B34" s="95">
        <v>0</v>
      </c>
      <c r="C34" s="95">
        <v>0</v>
      </c>
      <c r="D34" s="95">
        <v>0</v>
      </c>
      <c r="E34" s="95">
        <v>0</v>
      </c>
      <c r="F34" s="95">
        <v>0</v>
      </c>
      <c r="G34" s="96">
        <v>0</v>
      </c>
      <c r="H34" s="97">
        <v>0</v>
      </c>
    </row>
    <row r="35" spans="1:8" ht="16" hidden="1" thickBot="1">
      <c r="A35" s="94" t="s">
        <v>107</v>
      </c>
      <c r="B35" s="95">
        <v>0</v>
      </c>
      <c r="C35" s="95">
        <v>0</v>
      </c>
      <c r="D35" s="95">
        <v>0</v>
      </c>
      <c r="E35" s="95">
        <v>0</v>
      </c>
      <c r="F35" s="95">
        <v>0</v>
      </c>
      <c r="G35" s="96">
        <v>0</v>
      </c>
      <c r="H35" s="97">
        <v>0</v>
      </c>
    </row>
    <row r="36" spans="1:8" ht="16" hidden="1" thickBot="1">
      <c r="A36" s="94" t="s">
        <v>108</v>
      </c>
      <c r="B36" s="95">
        <v>0</v>
      </c>
      <c r="C36" s="98">
        <v>2803</v>
      </c>
      <c r="D36" s="98">
        <v>2803</v>
      </c>
      <c r="E36" s="98">
        <v>2803</v>
      </c>
      <c r="F36" s="98">
        <v>2803</v>
      </c>
      <c r="G36" s="99">
        <v>2803</v>
      </c>
      <c r="H36" s="100">
        <v>14016</v>
      </c>
    </row>
    <row r="37" spans="1:8" ht="16" hidden="1" thickBot="1">
      <c r="A37" s="94" t="s">
        <v>109</v>
      </c>
      <c r="B37" s="95">
        <v>0</v>
      </c>
      <c r="C37" s="98">
        <v>2504</v>
      </c>
      <c r="D37" s="98">
        <v>2561</v>
      </c>
      <c r="E37" s="98">
        <v>2626</v>
      </c>
      <c r="F37" s="98">
        <v>2701</v>
      </c>
      <c r="G37" s="99">
        <v>2787</v>
      </c>
      <c r="H37" s="100">
        <v>13179</v>
      </c>
    </row>
    <row r="38" spans="1:8" ht="16" hidden="1" thickBot="1">
      <c r="A38" s="94" t="s">
        <v>110</v>
      </c>
      <c r="B38" s="95">
        <v>0</v>
      </c>
      <c r="C38" s="98">
        <v>7066</v>
      </c>
      <c r="D38" s="98">
        <v>8125</v>
      </c>
      <c r="E38" s="98">
        <v>9344</v>
      </c>
      <c r="F38" s="98">
        <v>10746</v>
      </c>
      <c r="G38" s="99">
        <v>12358</v>
      </c>
      <c r="H38" s="100">
        <v>47639</v>
      </c>
    </row>
    <row r="39" spans="1:8" ht="16" hidden="1" thickBot="1">
      <c r="A39" s="94" t="s">
        <v>111</v>
      </c>
      <c r="B39" s="95">
        <v>0</v>
      </c>
      <c r="C39" s="95">
        <v>0</v>
      </c>
      <c r="D39" s="95">
        <v>0</v>
      </c>
      <c r="E39" s="95">
        <v>0</v>
      </c>
      <c r="F39" s="95">
        <v>0</v>
      </c>
      <c r="G39" s="96">
        <v>0</v>
      </c>
      <c r="H39" s="97">
        <v>0</v>
      </c>
    </row>
    <row r="40" spans="1:8" ht="16" hidden="1" thickBot="1">
      <c r="A40" s="94" t="s">
        <v>101</v>
      </c>
      <c r="B40" s="95">
        <v>0</v>
      </c>
      <c r="C40" s="95">
        <v>0</v>
      </c>
      <c r="D40" s="95">
        <v>0</v>
      </c>
      <c r="E40" s="95">
        <v>0</v>
      </c>
      <c r="F40" s="95">
        <v>0</v>
      </c>
      <c r="G40" s="96">
        <v>0</v>
      </c>
      <c r="H40" s="97">
        <v>0</v>
      </c>
    </row>
    <row r="41" spans="1:8" ht="16" hidden="1" thickBot="1">
      <c r="A41" s="94" t="s">
        <v>112</v>
      </c>
      <c r="B41" s="95">
        <v>0</v>
      </c>
      <c r="C41" s="98">
        <v>104218</v>
      </c>
      <c r="D41" s="98">
        <v>119629</v>
      </c>
      <c r="E41" s="98">
        <v>165955</v>
      </c>
      <c r="F41" s="98">
        <v>157732</v>
      </c>
      <c r="G41" s="99">
        <v>181170</v>
      </c>
      <c r="H41" s="100">
        <v>728705</v>
      </c>
    </row>
    <row r="42" spans="1:8" ht="16" hidden="1" thickBot="1">
      <c r="A42" s="101" t="s">
        <v>102</v>
      </c>
      <c r="B42" s="102">
        <v>0</v>
      </c>
      <c r="C42" s="103">
        <v>458677</v>
      </c>
      <c r="D42" s="103">
        <v>526517</v>
      </c>
      <c r="E42" s="103">
        <v>728485</v>
      </c>
      <c r="F42" s="103">
        <v>694253</v>
      </c>
      <c r="G42" s="104">
        <v>797430</v>
      </c>
      <c r="H42" s="105">
        <v>3205361</v>
      </c>
    </row>
    <row r="43" spans="1:8" hidden="1">
      <c r="A43" s="85"/>
      <c r="B43" s="85"/>
      <c r="C43" s="85"/>
      <c r="D43" s="85"/>
      <c r="E43" s="85"/>
      <c r="F43" s="85"/>
      <c r="G43" s="85"/>
      <c r="H43" s="85"/>
    </row>
    <row r="44" spans="1:8" hidden="1">
      <c r="A44" s="85"/>
      <c r="B44" s="85"/>
      <c r="C44" s="85"/>
      <c r="D44" s="85"/>
      <c r="E44" s="85"/>
      <c r="F44" s="85"/>
      <c r="G44" s="85"/>
      <c r="H44" s="85"/>
    </row>
    <row r="45" spans="1:8" hidden="1">
      <c r="A45" s="85"/>
      <c r="B45" s="85"/>
      <c r="C45" s="85"/>
      <c r="D45" s="85"/>
      <c r="E45" s="85"/>
      <c r="F45" s="85"/>
      <c r="G45" s="85"/>
      <c r="H45" s="85"/>
    </row>
    <row r="48" spans="1:8" ht="16" thickBot="1">
      <c r="A48" s="85" t="s">
        <v>113</v>
      </c>
      <c r="B48" s="85"/>
      <c r="C48" s="85"/>
      <c r="D48" s="85"/>
      <c r="E48" s="85"/>
      <c r="F48" s="85"/>
      <c r="G48" s="85"/>
      <c r="H48" s="85"/>
    </row>
    <row r="49" spans="1:29" ht="30.5" thickBot="1">
      <c r="A49" s="116"/>
      <c r="B49" s="117" t="s">
        <v>28</v>
      </c>
      <c r="C49" s="117" t="s">
        <v>29</v>
      </c>
      <c r="E49" s="118" t="s">
        <v>54</v>
      </c>
      <c r="F49" s="128">
        <f>G66</f>
        <v>12205378</v>
      </c>
    </row>
    <row r="50" spans="1:29" ht="20.5" thickBot="1">
      <c r="A50" s="118" t="s">
        <v>32</v>
      </c>
      <c r="B50" s="119" t="s">
        <v>28</v>
      </c>
      <c r="C50" s="119" t="s">
        <v>33</v>
      </c>
      <c r="E50" s="118" t="s">
        <v>57</v>
      </c>
      <c r="F50" s="128">
        <f>G75</f>
        <v>5504742.0154459998</v>
      </c>
    </row>
    <row r="51" spans="1:29" ht="30.5" thickBot="1">
      <c r="A51" s="118" t="s">
        <v>37</v>
      </c>
      <c r="B51" s="119">
        <v>300</v>
      </c>
      <c r="C51" s="119">
        <v>300</v>
      </c>
      <c r="E51" s="118" t="s">
        <v>60</v>
      </c>
      <c r="F51" s="129">
        <f>1- (F50/F49)</f>
        <v>0.54899045195929208</v>
      </c>
    </row>
    <row r="52" spans="1:29" ht="16" thickBot="1">
      <c r="A52" s="155" t="s">
        <v>39</v>
      </c>
      <c r="B52" s="125">
        <v>160</v>
      </c>
      <c r="C52" s="157" t="s">
        <v>41</v>
      </c>
    </row>
    <row r="53" spans="1:29" ht="16" thickBot="1">
      <c r="A53" s="156"/>
      <c r="B53" s="126" t="s">
        <v>264</v>
      </c>
      <c r="C53" s="158"/>
      <c r="E53" s="130" t="s">
        <v>276</v>
      </c>
      <c r="F53" s="128">
        <f>F49-F50</f>
        <v>6700635.9845540002</v>
      </c>
    </row>
    <row r="54" spans="1:29" ht="16" thickBot="1">
      <c r="A54" s="118" t="s">
        <v>45</v>
      </c>
      <c r="B54" s="121">
        <v>1</v>
      </c>
      <c r="C54" s="127">
        <v>43879</v>
      </c>
    </row>
    <row r="55" spans="1:29" ht="20.5" thickBot="1">
      <c r="A55" s="118" t="s">
        <v>49</v>
      </c>
      <c r="B55" s="119">
        <v>6</v>
      </c>
      <c r="C55" s="119" t="s">
        <v>50</v>
      </c>
    </row>
    <row r="57" spans="1:29" ht="18">
      <c r="A57" s="151" t="s">
        <v>265</v>
      </c>
      <c r="B57" s="151"/>
      <c r="C57" s="151"/>
      <c r="D57" s="151"/>
      <c r="E57" s="151"/>
      <c r="F57" s="151"/>
      <c r="G57" s="151"/>
    </row>
    <row r="59" spans="1:29" ht="16" thickBot="1">
      <c r="A59" s="131" t="s">
        <v>100</v>
      </c>
      <c r="B59" s="131" t="s">
        <v>1</v>
      </c>
      <c r="C59" s="131" t="s">
        <v>2</v>
      </c>
      <c r="D59" s="131" t="s">
        <v>3</v>
      </c>
      <c r="E59" s="131" t="s">
        <v>4</v>
      </c>
      <c r="F59" s="131" t="s">
        <v>5</v>
      </c>
      <c r="G59" s="131" t="s">
        <v>102</v>
      </c>
      <c r="L59" s="139" t="s">
        <v>269</v>
      </c>
      <c r="M59" s="139" t="s">
        <v>100</v>
      </c>
      <c r="N59" s="139" t="s">
        <v>270</v>
      </c>
      <c r="Q59" s="143" t="s">
        <v>274</v>
      </c>
      <c r="R59" s="143" t="s">
        <v>275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</row>
    <row r="60" spans="1:29" ht="16" thickBot="1">
      <c r="A60" s="94" t="s">
        <v>68</v>
      </c>
      <c r="B60" s="132">
        <f>9649750/5</f>
        <v>1929950</v>
      </c>
      <c r="C60" s="132">
        <f t="shared" ref="C60:F60" si="0">9649750/5</f>
        <v>1929950</v>
      </c>
      <c r="D60" s="132">
        <f t="shared" si="0"/>
        <v>1929950</v>
      </c>
      <c r="E60" s="132">
        <f t="shared" si="0"/>
        <v>1929950</v>
      </c>
      <c r="F60" s="132">
        <f t="shared" si="0"/>
        <v>1929950</v>
      </c>
      <c r="G60" s="132">
        <f>SUM(B60:F60)</f>
        <v>9649750</v>
      </c>
      <c r="L60" s="140" t="s">
        <v>271</v>
      </c>
      <c r="M60" s="140" t="s">
        <v>68</v>
      </c>
      <c r="N60" s="141">
        <f>G60</f>
        <v>9649750</v>
      </c>
      <c r="Q60" s="143" t="s">
        <v>272</v>
      </c>
      <c r="R60" s="144" t="s">
        <v>13</v>
      </c>
      <c r="S60" s="144" t="s">
        <v>11</v>
      </c>
      <c r="T60" s="144" t="s">
        <v>8</v>
      </c>
      <c r="U60" s="144" t="s">
        <v>70</v>
      </c>
      <c r="V60" s="144" t="s">
        <v>266</v>
      </c>
      <c r="W60" s="144" t="s">
        <v>68</v>
      </c>
      <c r="X60" s="144" t="s">
        <v>89</v>
      </c>
      <c r="Y60" s="144" t="s">
        <v>90</v>
      </c>
      <c r="Z60" s="144" t="s">
        <v>108</v>
      </c>
      <c r="AA60" s="144" t="s">
        <v>109</v>
      </c>
      <c r="AB60" s="144" t="s">
        <v>110</v>
      </c>
      <c r="AC60" s="144" t="s">
        <v>273</v>
      </c>
    </row>
    <row r="61" spans="1:29" ht="20.5" thickBot="1">
      <c r="A61" s="94" t="s">
        <v>70</v>
      </c>
      <c r="B61" s="132">
        <v>496159</v>
      </c>
      <c r="C61" s="132">
        <v>496159</v>
      </c>
      <c r="D61" s="132">
        <v>496159</v>
      </c>
      <c r="E61" s="132">
        <v>496159</v>
      </c>
      <c r="F61" s="132">
        <v>496159</v>
      </c>
      <c r="G61" s="132">
        <f t="shared" ref="G61:G66" si="1">SUM(B61:F61)</f>
        <v>2480795</v>
      </c>
      <c r="L61" s="140" t="s">
        <v>271</v>
      </c>
      <c r="M61" s="140" t="s">
        <v>70</v>
      </c>
      <c r="N61" s="141">
        <f>G61</f>
        <v>2480795</v>
      </c>
      <c r="Q61" s="145" t="s">
        <v>271</v>
      </c>
      <c r="R61" s="146"/>
      <c r="S61" s="146"/>
      <c r="T61" s="146"/>
      <c r="U61" s="146">
        <v>2480795</v>
      </c>
      <c r="V61" s="146"/>
      <c r="W61" s="146">
        <v>9649750</v>
      </c>
      <c r="X61" s="146"/>
      <c r="Y61" s="146"/>
      <c r="Z61" s="146">
        <v>14015</v>
      </c>
      <c r="AA61" s="146">
        <v>13179</v>
      </c>
      <c r="AB61" s="146">
        <v>47639</v>
      </c>
      <c r="AC61" s="146">
        <v>12205378</v>
      </c>
    </row>
    <row r="62" spans="1:29" ht="20.5" thickBot="1">
      <c r="A62" s="94" t="s">
        <v>266</v>
      </c>
      <c r="B62" s="133"/>
      <c r="C62" s="133"/>
      <c r="D62" s="133"/>
      <c r="E62" s="133"/>
      <c r="F62" s="133"/>
      <c r="G62" s="132">
        <f t="shared" si="1"/>
        <v>0</v>
      </c>
      <c r="L62" s="140" t="s">
        <v>271</v>
      </c>
      <c r="M62" s="140" t="s">
        <v>266</v>
      </c>
      <c r="N62" s="142"/>
      <c r="Q62" s="145" t="s">
        <v>85</v>
      </c>
      <c r="R62" s="146">
        <v>265846.90016799996</v>
      </c>
      <c r="S62" s="146">
        <v>1496695.9868960003</v>
      </c>
      <c r="T62" s="146">
        <v>1944995.94</v>
      </c>
      <c r="U62" s="146"/>
      <c r="V62" s="146"/>
      <c r="W62" s="146"/>
      <c r="X62" s="146">
        <v>1645142.3992499998</v>
      </c>
      <c r="Y62" s="146">
        <v>152060.78913200001</v>
      </c>
      <c r="Z62" s="146"/>
      <c r="AA62" s="146"/>
      <c r="AB62" s="146"/>
      <c r="AC62" s="146">
        <v>5504742.0154459998</v>
      </c>
    </row>
    <row r="63" spans="1:29" ht="16" thickBot="1">
      <c r="A63" s="94" t="s">
        <v>108</v>
      </c>
      <c r="B63" s="132">
        <v>2803</v>
      </c>
      <c r="C63" s="132">
        <v>2803</v>
      </c>
      <c r="D63" s="132">
        <v>2803</v>
      </c>
      <c r="E63" s="132">
        <v>2803</v>
      </c>
      <c r="F63" s="132">
        <v>2803</v>
      </c>
      <c r="G63" s="132">
        <f t="shared" si="1"/>
        <v>14015</v>
      </c>
      <c r="L63" s="140" t="s">
        <v>85</v>
      </c>
      <c r="M63" s="140" t="s">
        <v>8</v>
      </c>
      <c r="N63" s="141">
        <f>G70</f>
        <v>1944995.94</v>
      </c>
      <c r="Q63" s="145" t="s">
        <v>273</v>
      </c>
      <c r="R63" s="146">
        <v>265846.90016799996</v>
      </c>
      <c r="S63" s="146">
        <v>1496695.9868960003</v>
      </c>
      <c r="T63" s="146">
        <v>1944995.94</v>
      </c>
      <c r="U63" s="146">
        <v>2480795</v>
      </c>
      <c r="V63" s="146"/>
      <c r="W63" s="146">
        <v>9649750</v>
      </c>
      <c r="X63" s="146">
        <v>1645142.3992499998</v>
      </c>
      <c r="Y63" s="146">
        <v>152060.78913200001</v>
      </c>
      <c r="Z63" s="146">
        <v>14015</v>
      </c>
      <c r="AA63" s="146">
        <v>13179</v>
      </c>
      <c r="AB63" s="146">
        <v>47639</v>
      </c>
      <c r="AC63" s="146">
        <v>17710120.015446</v>
      </c>
    </row>
    <row r="64" spans="1:29" ht="16" thickBot="1">
      <c r="A64" s="94" t="s">
        <v>109</v>
      </c>
      <c r="B64" s="132">
        <v>2504</v>
      </c>
      <c r="C64" s="132">
        <v>2561</v>
      </c>
      <c r="D64" s="132">
        <v>2626</v>
      </c>
      <c r="E64" s="132">
        <v>2701</v>
      </c>
      <c r="F64" s="132">
        <v>2787</v>
      </c>
      <c r="G64" s="132">
        <f t="shared" si="1"/>
        <v>13179</v>
      </c>
      <c r="L64" s="140" t="s">
        <v>85</v>
      </c>
      <c r="M64" s="140" t="s">
        <v>11</v>
      </c>
      <c r="N64" s="141">
        <f>G71</f>
        <v>1496695.9868960003</v>
      </c>
    </row>
    <row r="65" spans="1:14" ht="16" thickBot="1">
      <c r="A65" s="94" t="s">
        <v>110</v>
      </c>
      <c r="B65" s="132">
        <v>7066</v>
      </c>
      <c r="C65" s="132">
        <v>8125</v>
      </c>
      <c r="D65" s="132">
        <v>9344</v>
      </c>
      <c r="E65" s="132">
        <v>10746</v>
      </c>
      <c r="F65" s="132">
        <v>12358</v>
      </c>
      <c r="G65" s="132">
        <f t="shared" si="1"/>
        <v>47639</v>
      </c>
      <c r="L65" s="140" t="s">
        <v>85</v>
      </c>
      <c r="M65" s="140" t="s">
        <v>13</v>
      </c>
      <c r="N65" s="141">
        <f>G72</f>
        <v>265846.90016799996</v>
      </c>
    </row>
    <row r="66" spans="1:14" ht="16" thickBot="1">
      <c r="A66" s="101" t="s">
        <v>102</v>
      </c>
      <c r="B66" s="134">
        <f>SUM(B60:B65)</f>
        <v>2438482</v>
      </c>
      <c r="C66" s="134">
        <f t="shared" ref="C66:F66" si="2">SUM(C60:C65)</f>
        <v>2439598</v>
      </c>
      <c r="D66" s="134">
        <f t="shared" si="2"/>
        <v>2440882</v>
      </c>
      <c r="E66" s="134">
        <f t="shared" si="2"/>
        <v>2442359</v>
      </c>
      <c r="F66" s="134">
        <f t="shared" si="2"/>
        <v>2444057</v>
      </c>
      <c r="G66" s="134">
        <f t="shared" si="1"/>
        <v>12205378</v>
      </c>
      <c r="L66" s="140" t="s">
        <v>85</v>
      </c>
      <c r="M66" s="140" t="s">
        <v>89</v>
      </c>
      <c r="N66" s="141">
        <f>G73</f>
        <v>1645142.3992499998</v>
      </c>
    </row>
    <row r="67" spans="1:14" ht="18.5" thickBot="1">
      <c r="A67" s="151" t="s">
        <v>267</v>
      </c>
      <c r="B67" s="151"/>
      <c r="C67" s="151"/>
      <c r="D67" s="151"/>
      <c r="E67" s="151"/>
      <c r="F67" s="151"/>
      <c r="G67" s="151"/>
      <c r="L67" s="140" t="s">
        <v>85</v>
      </c>
      <c r="M67" s="140" t="s">
        <v>90</v>
      </c>
      <c r="N67" s="141">
        <f>G74</f>
        <v>152060.78913200001</v>
      </c>
    </row>
    <row r="68" spans="1:14" ht="16" thickBot="1">
      <c r="L68" s="140" t="s">
        <v>271</v>
      </c>
      <c r="M68" s="94" t="s">
        <v>108</v>
      </c>
      <c r="N68" s="141">
        <f>G63</f>
        <v>14015</v>
      </c>
    </row>
    <row r="69" spans="1:14" ht="16" thickBot="1">
      <c r="A69" s="86" t="s">
        <v>100</v>
      </c>
      <c r="B69" s="86" t="s">
        <v>1</v>
      </c>
      <c r="C69" s="86" t="s">
        <v>2</v>
      </c>
      <c r="D69" s="86" t="s">
        <v>3</v>
      </c>
      <c r="E69" s="86" t="s">
        <v>4</v>
      </c>
      <c r="F69" s="87" t="s">
        <v>5</v>
      </c>
      <c r="G69" s="88" t="s">
        <v>102</v>
      </c>
      <c r="L69" s="140" t="s">
        <v>271</v>
      </c>
      <c r="M69" s="94" t="s">
        <v>109</v>
      </c>
      <c r="N69" s="141">
        <f>G64</f>
        <v>13179</v>
      </c>
    </row>
    <row r="70" spans="1:14" ht="16.5" thickTop="1" thickBot="1">
      <c r="A70" s="89" t="s">
        <v>8</v>
      </c>
      <c r="B70" s="135">
        <f>EDW_Synapse_Clean!AS2</f>
        <v>75555</v>
      </c>
      <c r="C70" s="135">
        <f>EDW_Synapse_Clean!AT2</f>
        <v>248017.5</v>
      </c>
      <c r="D70" s="135">
        <f>EDW_Synapse_Clean!AU2</f>
        <v>445446</v>
      </c>
      <c r="E70" s="135">
        <f>EDW_Synapse_Clean!AV2</f>
        <v>534535.19999999995</v>
      </c>
      <c r="F70" s="135">
        <f>EDW_Synapse_Clean!AW2</f>
        <v>641442.23999999987</v>
      </c>
      <c r="G70" s="135">
        <f>EDW_Synapse_Clean!AX2</f>
        <v>1944995.94</v>
      </c>
      <c r="L70" s="140" t="s">
        <v>271</v>
      </c>
      <c r="M70" s="94" t="s">
        <v>110</v>
      </c>
      <c r="N70" s="141">
        <f>G65</f>
        <v>47639</v>
      </c>
    </row>
    <row r="71" spans="1:14" ht="21" thickTop="1" thickBot="1">
      <c r="A71" s="94" t="s">
        <v>11</v>
      </c>
      <c r="B71" s="135">
        <f>EDW_Synapse_Clean!AS3</f>
        <v>58140.411999999997</v>
      </c>
      <c r="C71" s="135">
        <f>EDW_Synapse_Clean!AT3</f>
        <v>190852.22200000001</v>
      </c>
      <c r="D71" s="135">
        <f>EDW_Synapse_Clean!AU3</f>
        <v>342775.64640000009</v>
      </c>
      <c r="E71" s="135">
        <f>EDW_Synapse_Clean!AV3</f>
        <v>411330.77568000008</v>
      </c>
      <c r="F71" s="135">
        <f>EDW_Synapse_Clean!AW3</f>
        <v>493596.93081600009</v>
      </c>
      <c r="G71" s="135">
        <f>EDW_Synapse_Clean!AX3</f>
        <v>1496695.9868960003</v>
      </c>
    </row>
    <row r="72" spans="1:14" ht="16.5" thickTop="1" thickBot="1">
      <c r="A72" s="94" t="s">
        <v>13</v>
      </c>
      <c r="B72" s="135">
        <f>EDW_Synapse_Clean!AS4</f>
        <v>10327.045999999998</v>
      </c>
      <c r="C72" s="135">
        <f>EDW_Synapse_Clean!AT4</f>
        <v>33899.650999999998</v>
      </c>
      <c r="D72" s="135">
        <f>EDW_Synapse_Clean!AU4</f>
        <v>60884.671199999997</v>
      </c>
      <c r="E72" s="135">
        <f>EDW_Synapse_Clean!AV4</f>
        <v>73061.605439999999</v>
      </c>
      <c r="F72" s="135">
        <f>EDW_Synapse_Clean!AW4</f>
        <v>87673.926527999996</v>
      </c>
      <c r="G72" s="135">
        <f>EDW_Synapse_Clean!AX4</f>
        <v>265846.90016799996</v>
      </c>
    </row>
    <row r="73" spans="1:14" ht="16.5" thickTop="1" thickBot="1">
      <c r="A73" s="94" t="s">
        <v>89</v>
      </c>
      <c r="B73" s="135">
        <f>EDW_Synapse_Clean!AS5</f>
        <v>63906.9375</v>
      </c>
      <c r="C73" s="135">
        <f>EDW_Synapse_Clean!AT5</f>
        <v>209781.46875</v>
      </c>
      <c r="D73" s="135">
        <f>EDW_Synapse_Clean!AU5</f>
        <v>376773.07500000001</v>
      </c>
      <c r="E73" s="135">
        <f>EDW_Synapse_Clean!AV5</f>
        <v>452127.69</v>
      </c>
      <c r="F73" s="135">
        <f>EDW_Synapse_Clean!AW5</f>
        <v>542553.228</v>
      </c>
      <c r="G73" s="135">
        <f>EDW_Synapse_Clean!AX5</f>
        <v>1645142.3992499998</v>
      </c>
    </row>
    <row r="74" spans="1:14" ht="16.5" thickTop="1" thickBot="1">
      <c r="A74" s="94" t="s">
        <v>90</v>
      </c>
      <c r="B74" s="135">
        <f>EDW_Synapse_Clean!AS6</f>
        <v>5906.9290000000001</v>
      </c>
      <c r="C74" s="135">
        <f>EDW_Synapse_Clean!AT6</f>
        <v>19390.136500000001</v>
      </c>
      <c r="D74" s="135">
        <f>EDW_Synapse_Clean!AU6</f>
        <v>34825.198799999998</v>
      </c>
      <c r="E74" s="135">
        <f>EDW_Synapse_Clean!AV6</f>
        <v>41790.238559999998</v>
      </c>
      <c r="F74" s="135">
        <f>EDW_Synapse_Clean!AW6</f>
        <v>50148.286271999998</v>
      </c>
      <c r="G74" s="135">
        <f>EDW_Synapse_Clean!AX6</f>
        <v>152060.78913200001</v>
      </c>
    </row>
    <row r="75" spans="1:14" ht="16" thickBot="1">
      <c r="A75" s="101" t="s">
        <v>102</v>
      </c>
      <c r="B75" s="134">
        <f>SUM(B70:B74)</f>
        <v>213836.32450000002</v>
      </c>
      <c r="C75" s="134">
        <f t="shared" ref="C75:G75" si="3">SUM(C70:C74)</f>
        <v>701940.97825000004</v>
      </c>
      <c r="D75" s="134">
        <f t="shared" si="3"/>
        <v>1260704.5914</v>
      </c>
      <c r="E75" s="134">
        <f t="shared" si="3"/>
        <v>1512845.5096799999</v>
      </c>
      <c r="F75" s="134">
        <f t="shared" si="3"/>
        <v>1815414.6116160001</v>
      </c>
      <c r="G75" s="134">
        <f t="shared" si="3"/>
        <v>5504742.0154459998</v>
      </c>
    </row>
    <row r="77" spans="1:14" ht="18">
      <c r="A77" s="151" t="s">
        <v>268</v>
      </c>
      <c r="B77" s="151"/>
      <c r="C77" s="151"/>
      <c r="D77" s="151"/>
      <c r="E77" s="151"/>
      <c r="F77" s="151"/>
      <c r="G77" s="151"/>
    </row>
    <row r="79" spans="1:14" ht="16" thickBot="1">
      <c r="A79" s="86" t="s">
        <v>100</v>
      </c>
      <c r="B79" s="86" t="s">
        <v>1</v>
      </c>
      <c r="C79" s="86" t="s">
        <v>2</v>
      </c>
      <c r="D79" s="86" t="s">
        <v>3</v>
      </c>
      <c r="E79" s="86" t="s">
        <v>4</v>
      </c>
      <c r="F79" s="87" t="s">
        <v>5</v>
      </c>
      <c r="G79" s="88" t="s">
        <v>102</v>
      </c>
    </row>
    <row r="80" spans="1:14" ht="16.5" thickTop="1" thickBot="1">
      <c r="A80" s="89" t="s">
        <v>8</v>
      </c>
      <c r="B80" s="135">
        <f>'EDW_Snowflake_Estimates&amp;Ramp'!AS2</f>
        <v>75555</v>
      </c>
      <c r="C80" s="135">
        <f>'EDW_Snowflake_Estimates&amp;Ramp'!AT2</f>
        <v>248017.5</v>
      </c>
      <c r="D80" s="135">
        <f>'EDW_Snowflake_Estimates&amp;Ramp'!AU2</f>
        <v>445446</v>
      </c>
      <c r="E80" s="135">
        <f>'EDW_Snowflake_Estimates&amp;Ramp'!AV2</f>
        <v>534535.19999999995</v>
      </c>
      <c r="F80" s="135">
        <f>'EDW_Snowflake_Estimates&amp;Ramp'!AW2</f>
        <v>641442.23999999987</v>
      </c>
      <c r="G80" s="135">
        <f>'EDW_Snowflake_Estimates&amp;Ramp'!AX2</f>
        <v>1944995.94</v>
      </c>
    </row>
    <row r="81" spans="1:7" ht="20.5" thickBot="1">
      <c r="A81" s="94" t="s">
        <v>11</v>
      </c>
      <c r="B81" s="132">
        <f>'EDW_Snowflake_Estimates&amp;Ramp'!AS3</f>
        <v>58140.411999999997</v>
      </c>
      <c r="C81" s="132">
        <f>'EDW_Snowflake_Estimates&amp;Ramp'!AT3</f>
        <v>190852.22200000001</v>
      </c>
      <c r="D81" s="132">
        <f>'EDW_Snowflake_Estimates&amp;Ramp'!AU3</f>
        <v>342775.64640000009</v>
      </c>
      <c r="E81" s="132">
        <f>'EDW_Snowflake_Estimates&amp;Ramp'!AV3</f>
        <v>411330.77568000008</v>
      </c>
      <c r="F81" s="136">
        <f>'EDW_Snowflake_Estimates&amp;Ramp'!AW3</f>
        <v>493596.93081600009</v>
      </c>
      <c r="G81" s="137">
        <f>'EDW_Snowflake_Estimates&amp;Ramp'!AX3</f>
        <v>1496695.9868960003</v>
      </c>
    </row>
    <row r="82" spans="1:7" ht="16" thickBot="1">
      <c r="A82" s="94" t="s">
        <v>13</v>
      </c>
      <c r="B82" s="132">
        <f>'EDW_Snowflake_Estimates&amp;Ramp'!AS4</f>
        <v>10327.045999999998</v>
      </c>
      <c r="C82" s="132">
        <f>'EDW_Snowflake_Estimates&amp;Ramp'!AT4</f>
        <v>33899.650999999998</v>
      </c>
      <c r="D82" s="132">
        <f>'EDW_Snowflake_Estimates&amp;Ramp'!AU4</f>
        <v>60884.671199999997</v>
      </c>
      <c r="E82" s="132">
        <f>'EDW_Snowflake_Estimates&amp;Ramp'!AV4</f>
        <v>73061.605439999999</v>
      </c>
      <c r="F82" s="136">
        <f>'EDW_Snowflake_Estimates&amp;Ramp'!AW4</f>
        <v>87673.926527999996</v>
      </c>
      <c r="G82" s="137">
        <f>'EDW_Snowflake_Estimates&amp;Ramp'!AX4</f>
        <v>265846.90016799996</v>
      </c>
    </row>
    <row r="83" spans="1:7" ht="20.5" thickBot="1">
      <c r="A83" s="94" t="s">
        <v>15</v>
      </c>
      <c r="B83" s="132">
        <f>'EDW_Snowflake_Estimates&amp;Ramp'!AS5</f>
        <v>100154.88</v>
      </c>
      <c r="C83" s="132">
        <f>'EDW_Snowflake_Estimates&amp;Ramp'!AT5</f>
        <v>328769.28000000003</v>
      </c>
      <c r="D83" s="132">
        <f>'EDW_Snowflake_Estimates&amp;Ramp'!AU5</f>
        <v>590478.33600000001</v>
      </c>
      <c r="E83" s="132">
        <f>'EDW_Snowflake_Estimates&amp;Ramp'!AV5</f>
        <v>708574.00320000004</v>
      </c>
      <c r="F83" s="136">
        <f>'EDW_Snowflake_Estimates&amp;Ramp'!AW5</f>
        <v>850288.80384000007</v>
      </c>
      <c r="G83" s="137">
        <f>'EDW_Snowflake_Estimates&amp;Ramp'!AX5</f>
        <v>2578265.3030400001</v>
      </c>
    </row>
    <row r="84" spans="1:7" ht="16" thickBot="1">
      <c r="A84" s="94" t="s">
        <v>18</v>
      </c>
      <c r="B84" s="132">
        <f>'EDW_Snowflake_Estimates&amp;Ramp'!AS6</f>
        <v>10580</v>
      </c>
      <c r="C84" s="132">
        <f>'EDW_Snowflake_Estimates&amp;Ramp'!AT6</f>
        <v>34730</v>
      </c>
      <c r="D84" s="132">
        <f>'EDW_Snowflake_Estimates&amp;Ramp'!AU6</f>
        <v>62376</v>
      </c>
      <c r="E84" s="132">
        <f>'EDW_Snowflake_Estimates&amp;Ramp'!AV6</f>
        <v>74851.199999999997</v>
      </c>
      <c r="F84" s="136">
        <f>'EDW_Snowflake_Estimates&amp;Ramp'!AW6</f>
        <v>89821.439999999988</v>
      </c>
      <c r="G84" s="137">
        <f>'EDW_Snowflake_Estimates&amp;Ramp'!AX6</f>
        <v>272358.64</v>
      </c>
    </row>
    <row r="85" spans="1:7" ht="16" thickBot="1">
      <c r="A85" s="101" t="s">
        <v>102</v>
      </c>
      <c r="B85" s="134">
        <f t="shared" ref="B85:G85" si="4">SUM(B80:B84)</f>
        <v>254757.33800000002</v>
      </c>
      <c r="C85" s="134">
        <f t="shared" si="4"/>
        <v>836268.65300000005</v>
      </c>
      <c r="D85" s="134">
        <f t="shared" si="4"/>
        <v>1501960.6536000001</v>
      </c>
      <c r="E85" s="134">
        <f t="shared" si="4"/>
        <v>1802352.7843199999</v>
      </c>
      <c r="F85" s="134">
        <f t="shared" si="4"/>
        <v>2162823.341184</v>
      </c>
      <c r="G85" s="138">
        <f t="shared" si="4"/>
        <v>6558162.7701039994</v>
      </c>
    </row>
  </sheetData>
  <mergeCells count="5">
    <mergeCell ref="A52:A53"/>
    <mergeCell ref="C52:C53"/>
    <mergeCell ref="A57:G57"/>
    <mergeCell ref="A67:G67"/>
    <mergeCell ref="A77:G77"/>
  </mergeCell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77"/>
  <sheetViews>
    <sheetView topLeftCell="A18" workbookViewId="0">
      <selection activeCell="B40" sqref="B40"/>
    </sheetView>
  </sheetViews>
  <sheetFormatPr defaultColWidth="11.1640625" defaultRowHeight="15" customHeight="1"/>
  <cols>
    <col min="1" max="1" width="34.33203125" style="66" customWidth="1"/>
    <col min="2" max="2" width="17.6640625" style="66" customWidth="1"/>
    <col min="3" max="3" width="21.83203125" style="66" customWidth="1"/>
    <col min="4" max="4" width="28.1640625" style="66" customWidth="1"/>
    <col min="5" max="8" width="11.1640625" style="66" customWidth="1"/>
    <col min="9" max="10" width="11.1640625" style="66"/>
    <col min="11" max="11" width="26.33203125" style="66" customWidth="1"/>
    <col min="12" max="16384" width="11.1640625" style="66"/>
  </cols>
  <sheetData>
    <row r="1" spans="1:2" ht="15.5">
      <c r="A1" s="15" t="s">
        <v>114</v>
      </c>
      <c r="B1" s="85"/>
    </row>
    <row r="3" spans="1:2" ht="15.5">
      <c r="A3" s="15" t="s">
        <v>115</v>
      </c>
      <c r="B3" s="85"/>
    </row>
    <row r="4" spans="1:2" ht="15.5">
      <c r="A4" s="15" t="s">
        <v>116</v>
      </c>
      <c r="B4" s="15">
        <v>25</v>
      </c>
    </row>
    <row r="5" spans="1:2" ht="15.5">
      <c r="A5" s="15" t="s">
        <v>117</v>
      </c>
      <c r="B5" s="15">
        <v>2</v>
      </c>
    </row>
    <row r="6" spans="1:2" ht="15.5">
      <c r="A6" s="15" t="s">
        <v>118</v>
      </c>
      <c r="B6" s="15">
        <v>3</v>
      </c>
    </row>
    <row r="7" spans="1:2" ht="15.5">
      <c r="A7" s="15" t="s">
        <v>119</v>
      </c>
      <c r="B7" s="15">
        <v>0</v>
      </c>
    </row>
    <row r="9" spans="1:2" ht="15.5">
      <c r="A9" s="15" t="s">
        <v>120</v>
      </c>
      <c r="B9" s="85"/>
    </row>
    <row r="10" spans="1:2" ht="15.5">
      <c r="A10" s="15" t="s">
        <v>116</v>
      </c>
      <c r="B10" s="15">
        <v>3</v>
      </c>
    </row>
    <row r="11" spans="1:2" ht="15.5">
      <c r="A11" s="15" t="s">
        <v>117</v>
      </c>
      <c r="B11" s="15">
        <v>1</v>
      </c>
    </row>
    <row r="12" spans="1:2" ht="15.5">
      <c r="A12" s="15" t="s">
        <v>118</v>
      </c>
      <c r="B12" s="15">
        <v>1</v>
      </c>
    </row>
    <row r="13" spans="1:2" ht="15.5">
      <c r="A13" s="15" t="s">
        <v>119</v>
      </c>
      <c r="B13" s="15">
        <v>0</v>
      </c>
    </row>
    <row r="15" spans="1:2" ht="15.5">
      <c r="A15" s="15" t="s">
        <v>121</v>
      </c>
      <c r="B15" s="85"/>
    </row>
    <row r="16" spans="1:2" ht="15.5">
      <c r="A16" s="15" t="s">
        <v>116</v>
      </c>
      <c r="B16" s="15">
        <v>3</v>
      </c>
    </row>
    <row r="17" spans="1:11" ht="15.5">
      <c r="A17" s="15" t="s">
        <v>117</v>
      </c>
      <c r="B17" s="15">
        <v>1</v>
      </c>
      <c r="C17" s="85"/>
      <c r="D17" s="85"/>
      <c r="E17" s="85"/>
      <c r="F17" s="85"/>
      <c r="G17" s="85"/>
      <c r="H17" s="85"/>
      <c r="I17" s="85"/>
      <c r="J17" s="85"/>
      <c r="K17" s="85"/>
    </row>
    <row r="18" spans="1:11" ht="15.5">
      <c r="A18" s="15" t="s">
        <v>118</v>
      </c>
      <c r="B18" s="15">
        <v>1</v>
      </c>
      <c r="C18" s="85"/>
      <c r="D18" s="85"/>
      <c r="E18" s="85"/>
      <c r="F18" s="85"/>
      <c r="G18" s="85"/>
      <c r="H18" s="85"/>
      <c r="I18" s="85"/>
      <c r="J18" s="85"/>
      <c r="K18" s="85"/>
    </row>
    <row r="19" spans="1:11" ht="15.5">
      <c r="A19" s="15" t="s">
        <v>119</v>
      </c>
      <c r="B19" s="15">
        <v>0</v>
      </c>
      <c r="C19" s="85"/>
      <c r="D19" s="85"/>
      <c r="E19" s="15" t="s">
        <v>122</v>
      </c>
      <c r="F19" s="85"/>
      <c r="G19" s="85"/>
      <c r="H19" s="85"/>
      <c r="I19" s="85"/>
      <c r="J19" s="85"/>
      <c r="K19" s="85"/>
    </row>
    <row r="20" spans="1:11" ht="15.5">
      <c r="A20" s="15" t="s">
        <v>123</v>
      </c>
      <c r="B20" s="15"/>
      <c r="C20" s="85"/>
      <c r="D20" s="85"/>
      <c r="E20" s="15">
        <v>2020</v>
      </c>
      <c r="F20" s="15">
        <v>2021</v>
      </c>
      <c r="G20" s="15">
        <v>2022</v>
      </c>
      <c r="H20" s="85"/>
      <c r="I20" s="85"/>
      <c r="J20" s="85"/>
      <c r="K20" s="85"/>
    </row>
    <row r="21" spans="1:11" ht="15.5">
      <c r="A21" s="15" t="s">
        <v>124</v>
      </c>
      <c r="B21" s="85">
        <f>SUM(B4:B20)</f>
        <v>40</v>
      </c>
      <c r="C21" s="85"/>
      <c r="D21" s="85"/>
      <c r="E21" s="85">
        <v>40</v>
      </c>
      <c r="F21" s="85">
        <v>40</v>
      </c>
      <c r="G21" s="85">
        <v>40</v>
      </c>
      <c r="H21" s="85"/>
      <c r="I21" s="85"/>
      <c r="J21" s="85"/>
      <c r="K21" s="85"/>
    </row>
    <row r="22" spans="1:11" ht="15.5">
      <c r="A22" s="15" t="s">
        <v>125</v>
      </c>
      <c r="B22" s="17">
        <v>41000</v>
      </c>
      <c r="C22" s="85"/>
      <c r="D22" s="85"/>
      <c r="E22" s="18">
        <f>E21*(B23+B25)</f>
        <v>240000</v>
      </c>
      <c r="F22" s="18">
        <f t="shared" ref="F22:G22" si="0">((F21-E21)*$B$22)+(F21*($B$23+$B$25))</f>
        <v>240000</v>
      </c>
      <c r="G22" s="18">
        <f t="shared" si="0"/>
        <v>240000</v>
      </c>
      <c r="H22" s="85"/>
      <c r="I22" s="18">
        <f>SUM(E22:H22)</f>
        <v>720000</v>
      </c>
      <c r="J22" s="85"/>
      <c r="K22" s="85"/>
    </row>
    <row r="23" spans="1:11" ht="15.5">
      <c r="A23" s="15" t="s">
        <v>126</v>
      </c>
      <c r="B23" s="17">
        <v>6000</v>
      </c>
      <c r="C23" s="56"/>
      <c r="D23" s="85"/>
      <c r="E23" s="15">
        <v>24</v>
      </c>
      <c r="F23" s="85">
        <v>24</v>
      </c>
      <c r="G23" s="85">
        <v>24</v>
      </c>
      <c r="H23" s="85"/>
      <c r="I23" s="85"/>
      <c r="J23" s="85"/>
      <c r="K23" s="85"/>
    </row>
    <row r="24" spans="1:11" ht="15.5">
      <c r="A24" s="15" t="s">
        <v>127</v>
      </c>
      <c r="B24" s="17"/>
      <c r="C24" s="85" t="s">
        <v>128</v>
      </c>
      <c r="D24" s="15" t="s">
        <v>129</v>
      </c>
      <c r="E24" s="18">
        <v>300000</v>
      </c>
      <c r="F24" s="18">
        <v>300000</v>
      </c>
      <c r="G24" s="18">
        <v>300000</v>
      </c>
      <c r="H24" s="85"/>
      <c r="I24" s="85"/>
      <c r="J24" s="85"/>
      <c r="K24" s="85"/>
    </row>
    <row r="25" spans="1:11" ht="15.5">
      <c r="A25" s="15" t="s">
        <v>130</v>
      </c>
      <c r="B25" s="19"/>
      <c r="C25" s="56"/>
      <c r="D25" s="85"/>
      <c r="E25" s="85"/>
      <c r="F25" s="85"/>
      <c r="G25" s="85"/>
      <c r="H25" s="85"/>
      <c r="I25" s="85"/>
      <c r="J25" s="85"/>
      <c r="K25" s="85"/>
    </row>
    <row r="26" spans="1:11" ht="15.5">
      <c r="A26" s="15" t="s">
        <v>131</v>
      </c>
      <c r="B26" s="18">
        <f>SUM(B22:B25)</f>
        <v>47000</v>
      </c>
      <c r="C26" s="85"/>
      <c r="D26" s="57"/>
      <c r="E26" s="58" t="s">
        <v>132</v>
      </c>
      <c r="F26" s="58" t="s">
        <v>133</v>
      </c>
      <c r="G26" s="58" t="s">
        <v>134</v>
      </c>
      <c r="H26" s="57"/>
      <c r="I26" s="58" t="s">
        <v>135</v>
      </c>
      <c r="J26" s="85"/>
      <c r="K26" s="85"/>
    </row>
    <row r="27" spans="1:11" ht="15.5">
      <c r="A27" s="15"/>
      <c r="B27" s="17"/>
      <c r="C27" s="85"/>
      <c r="D27" s="58" t="s">
        <v>136</v>
      </c>
      <c r="E27" s="59">
        <v>0</v>
      </c>
      <c r="F27" s="59">
        <f>(F21-124)*$B$24</f>
        <v>0</v>
      </c>
      <c r="G27" s="59">
        <f>(G21-124)*$B$24</f>
        <v>0</v>
      </c>
      <c r="H27" s="59"/>
      <c r="I27" s="60">
        <f t="shared" ref="I27:I32" si="1">SUM(E27:H27)</f>
        <v>0</v>
      </c>
      <c r="J27" s="85"/>
      <c r="K27" s="85"/>
    </row>
    <row r="28" spans="1:11" ht="15.5">
      <c r="A28" s="15" t="s">
        <v>137</v>
      </c>
      <c r="B28" s="17">
        <v>25000</v>
      </c>
      <c r="C28" s="85"/>
      <c r="D28" s="58" t="s">
        <v>138</v>
      </c>
      <c r="E28" s="59">
        <v>24000</v>
      </c>
      <c r="F28" s="59">
        <f t="shared" ref="F28:G28" si="2">F21*$B$25</f>
        <v>0</v>
      </c>
      <c r="G28" s="59">
        <f t="shared" si="2"/>
        <v>0</v>
      </c>
      <c r="H28" s="59"/>
      <c r="I28" s="60">
        <v>0</v>
      </c>
      <c r="J28" s="85"/>
      <c r="K28" s="85"/>
    </row>
    <row r="29" spans="1:11" ht="15.5">
      <c r="A29" s="15"/>
      <c r="B29" s="17"/>
      <c r="C29" s="85"/>
      <c r="D29" s="58" t="s">
        <v>139</v>
      </c>
      <c r="E29" s="59">
        <f t="shared" ref="E29:G29" si="3">E21*$B$23</f>
        <v>240000</v>
      </c>
      <c r="F29" s="59">
        <f t="shared" si="3"/>
        <v>240000</v>
      </c>
      <c r="G29" s="59">
        <f t="shared" si="3"/>
        <v>240000</v>
      </c>
      <c r="H29" s="59"/>
      <c r="I29" s="60">
        <f t="shared" si="1"/>
        <v>720000</v>
      </c>
      <c r="J29" s="85"/>
      <c r="K29" s="85"/>
    </row>
    <row r="30" spans="1:11" ht="15.5">
      <c r="A30" s="85"/>
      <c r="B30" s="85"/>
      <c r="C30" s="85"/>
      <c r="D30" s="58" t="s">
        <v>140</v>
      </c>
      <c r="E30" s="59">
        <v>0</v>
      </c>
      <c r="F30" s="59">
        <f t="shared" ref="F30:G30" si="4">0.3*F29</f>
        <v>72000</v>
      </c>
      <c r="G30" s="59">
        <f t="shared" si="4"/>
        <v>72000</v>
      </c>
      <c r="H30" s="59"/>
      <c r="I30" s="60">
        <f t="shared" si="1"/>
        <v>144000</v>
      </c>
      <c r="J30" s="18">
        <f>SUM(I27:I30)</f>
        <v>864000</v>
      </c>
      <c r="K30" s="15" t="s">
        <v>141</v>
      </c>
    </row>
    <row r="31" spans="1:11" ht="15.5">
      <c r="A31" s="85"/>
      <c r="B31" s="85"/>
      <c r="C31" s="85"/>
      <c r="D31" s="58" t="s">
        <v>142</v>
      </c>
      <c r="E31" s="60">
        <v>0</v>
      </c>
      <c r="F31" s="60">
        <v>0</v>
      </c>
      <c r="G31" s="60">
        <f t="shared" ref="G31" si="5">(G21-F21)*$B$22</f>
        <v>0</v>
      </c>
      <c r="H31" s="57"/>
      <c r="I31" s="60">
        <f t="shared" si="1"/>
        <v>0</v>
      </c>
      <c r="J31" s="85"/>
      <c r="K31" s="85"/>
    </row>
    <row r="32" spans="1:11" ht="15.5">
      <c r="A32" s="85"/>
      <c r="B32" s="85"/>
      <c r="C32" s="85"/>
      <c r="D32" s="58" t="s">
        <v>143</v>
      </c>
      <c r="E32" s="59">
        <f t="shared" ref="E32:G32" si="6">E24</f>
        <v>300000</v>
      </c>
      <c r="F32" s="59">
        <f t="shared" si="6"/>
        <v>300000</v>
      </c>
      <c r="G32" s="59">
        <f t="shared" si="6"/>
        <v>300000</v>
      </c>
      <c r="H32" s="59"/>
      <c r="I32" s="60">
        <f t="shared" si="1"/>
        <v>900000</v>
      </c>
      <c r="J32" s="85"/>
      <c r="K32" s="85"/>
    </row>
    <row r="33" spans="4:12" ht="15.5">
      <c r="D33" s="61" t="s">
        <v>102</v>
      </c>
      <c r="E33" s="62">
        <f t="shared" ref="E33:G33" si="7">SUM(E27:E32)</f>
        <v>564000</v>
      </c>
      <c r="F33" s="62">
        <f t="shared" si="7"/>
        <v>612000</v>
      </c>
      <c r="G33" s="62">
        <f t="shared" si="7"/>
        <v>612000</v>
      </c>
      <c r="H33" s="63"/>
      <c r="I33" s="62">
        <f>SUM(I27:I32)</f>
        <v>1764000</v>
      </c>
      <c r="J33" s="85"/>
      <c r="K33" s="15" t="s">
        <v>144</v>
      </c>
      <c r="L33" s="15" t="s">
        <v>145</v>
      </c>
    </row>
    <row r="34" spans="4:12" ht="31">
      <c r="D34" s="64" t="s">
        <v>146</v>
      </c>
      <c r="E34" s="85"/>
      <c r="F34" s="85"/>
      <c r="G34" s="85"/>
      <c r="H34" s="85"/>
      <c r="I34" s="65">
        <v>1.5</v>
      </c>
      <c r="J34" s="85"/>
      <c r="K34" s="23" t="s">
        <v>147</v>
      </c>
      <c r="L34" s="15" t="s">
        <v>148</v>
      </c>
    </row>
    <row r="64" spans="1:2" ht="15" customHeight="1">
      <c r="A64" s="70" t="s">
        <v>149</v>
      </c>
      <c r="B64" s="58" t="s">
        <v>135</v>
      </c>
    </row>
    <row r="65" spans="1:4" s="67" customFormat="1" ht="15" customHeight="1">
      <c r="A65" s="69" t="s">
        <v>150</v>
      </c>
      <c r="B65" s="62">
        <v>1764000</v>
      </c>
      <c r="C65" s="85"/>
      <c r="D65" s="85"/>
    </row>
    <row r="66" spans="1:4" ht="15" customHeight="1">
      <c r="A66" s="69" t="s">
        <v>151</v>
      </c>
      <c r="B66" s="71">
        <v>500000</v>
      </c>
      <c r="C66" s="85"/>
      <c r="D66" s="85"/>
    </row>
    <row r="67" spans="1:4" ht="15" customHeight="1">
      <c r="A67" s="69" t="s">
        <v>152</v>
      </c>
      <c r="B67" s="85"/>
      <c r="C67" s="85"/>
      <c r="D67" s="85"/>
    </row>
    <row r="68" spans="1:4" ht="15" customHeight="1">
      <c r="A68" s="69" t="s">
        <v>153</v>
      </c>
      <c r="B68" s="85"/>
      <c r="C68" s="85"/>
      <c r="D68" s="85"/>
    </row>
    <row r="69" spans="1:4" ht="15" customHeight="1">
      <c r="A69" s="69" t="s">
        <v>154</v>
      </c>
      <c r="B69" s="65">
        <v>60000</v>
      </c>
      <c r="C69" s="85"/>
      <c r="D69" s="85"/>
    </row>
    <row r="70" spans="1:4" ht="15" customHeight="1">
      <c r="A70" s="69" t="s">
        <v>155</v>
      </c>
      <c r="B70" s="85">
        <f>0.8*6100000</f>
        <v>4880000</v>
      </c>
      <c r="C70" s="85"/>
      <c r="D70" s="85"/>
    </row>
    <row r="73" spans="1:4" ht="15" customHeight="1" thickBot="1">
      <c r="A73" s="85"/>
      <c r="B73" s="85"/>
      <c r="C73" s="85"/>
      <c r="D73" s="85"/>
    </row>
    <row r="74" spans="1:4" ht="15" customHeight="1" thickBot="1">
      <c r="A74" s="73">
        <v>0.95</v>
      </c>
      <c r="B74" s="73">
        <v>0.95</v>
      </c>
      <c r="C74" s="73">
        <v>0.6</v>
      </c>
      <c r="D74" s="73">
        <f>SUM(A74:C74)</f>
        <v>2.5</v>
      </c>
    </row>
    <row r="75" spans="1:4" ht="15" customHeight="1" thickBot="1">
      <c r="A75" s="73">
        <v>0.6</v>
      </c>
      <c r="B75" s="73">
        <v>0.6</v>
      </c>
      <c r="C75" s="73">
        <v>0</v>
      </c>
      <c r="D75" s="73">
        <f>SUM(A75:C75)</f>
        <v>1.2</v>
      </c>
    </row>
    <row r="76" spans="1:4" ht="15" customHeight="1" thickBot="1">
      <c r="A76" s="73">
        <v>0.9</v>
      </c>
      <c r="B76" s="73">
        <v>1.3</v>
      </c>
      <c r="C76" s="73">
        <v>1.3</v>
      </c>
      <c r="D76" s="73">
        <f>SUM(A76:C76)</f>
        <v>3.5</v>
      </c>
    </row>
    <row r="77" spans="1:4" ht="15" customHeight="1">
      <c r="A77" s="72">
        <f>SUM(A74:A76)</f>
        <v>2.4499999999999997</v>
      </c>
      <c r="B77" s="72">
        <f t="shared" ref="B77:C77" si="8">SUM(B74:B76)</f>
        <v>2.8499999999999996</v>
      </c>
      <c r="C77" s="72">
        <f t="shared" si="8"/>
        <v>1.9</v>
      </c>
      <c r="D77" s="85">
        <f>SUM(D74:D76)</f>
        <v>7.2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998"/>
  <sheetViews>
    <sheetView topLeftCell="A77" workbookViewId="0">
      <selection activeCell="B86" sqref="B86"/>
    </sheetView>
  </sheetViews>
  <sheetFormatPr defaultColWidth="11.1640625" defaultRowHeight="15" customHeight="1"/>
  <cols>
    <col min="1" max="1" width="9.6640625" customWidth="1"/>
    <col min="2" max="2" width="24" customWidth="1"/>
    <col min="4" max="4" width="19.33203125" customWidth="1"/>
    <col min="5" max="5" width="23" customWidth="1"/>
    <col min="6" max="6" width="30.58203125" customWidth="1"/>
  </cols>
  <sheetData>
    <row r="1" spans="1:56" ht="15" customHeight="1">
      <c r="A1" s="7"/>
      <c r="B1" s="7"/>
      <c r="C1" s="7"/>
      <c r="D1" s="1"/>
      <c r="E1" s="1">
        <v>0.3</v>
      </c>
      <c r="F1" s="1">
        <v>0.55000000000000004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spans="1:56" ht="15" customHeight="1">
      <c r="A2" s="2" t="s">
        <v>156</v>
      </c>
      <c r="B2" s="2" t="s">
        <v>157</v>
      </c>
      <c r="C2" s="2" t="s">
        <v>158</v>
      </c>
      <c r="D2" s="2" t="s">
        <v>159</v>
      </c>
      <c r="E2" s="2" t="s">
        <v>160</v>
      </c>
      <c r="F2" s="2" t="s">
        <v>161</v>
      </c>
      <c r="G2" s="7"/>
      <c r="H2" s="3" t="s">
        <v>162</v>
      </c>
      <c r="I2" s="7"/>
      <c r="J2" s="3" t="s">
        <v>163</v>
      </c>
      <c r="K2" s="4">
        <v>0.03</v>
      </c>
      <c r="L2" s="5">
        <v>43952</v>
      </c>
      <c r="M2" s="5">
        <v>43983</v>
      </c>
      <c r="N2" s="6">
        <f t="shared" ref="N2:AU2" si="0">EDATE(M2,1)</f>
        <v>44013</v>
      </c>
      <c r="O2" s="6">
        <f t="shared" si="0"/>
        <v>44044</v>
      </c>
      <c r="P2" s="6">
        <f t="shared" si="0"/>
        <v>44075</v>
      </c>
      <c r="Q2" s="6">
        <f t="shared" si="0"/>
        <v>44105</v>
      </c>
      <c r="R2" s="6">
        <f t="shared" si="0"/>
        <v>44136</v>
      </c>
      <c r="S2" s="6">
        <f t="shared" si="0"/>
        <v>44166</v>
      </c>
      <c r="T2" s="6">
        <f t="shared" si="0"/>
        <v>44197</v>
      </c>
      <c r="U2" s="6">
        <f t="shared" si="0"/>
        <v>44228</v>
      </c>
      <c r="V2" s="6">
        <f t="shared" si="0"/>
        <v>44256</v>
      </c>
      <c r="W2" s="6">
        <f t="shared" si="0"/>
        <v>44287</v>
      </c>
      <c r="X2" s="6">
        <f t="shared" si="0"/>
        <v>44317</v>
      </c>
      <c r="Y2" s="6">
        <f t="shared" si="0"/>
        <v>44348</v>
      </c>
      <c r="Z2" s="6">
        <f t="shared" si="0"/>
        <v>44378</v>
      </c>
      <c r="AA2" s="6">
        <f t="shared" si="0"/>
        <v>44409</v>
      </c>
      <c r="AB2" s="6">
        <f t="shared" si="0"/>
        <v>44440</v>
      </c>
      <c r="AC2" s="6">
        <f t="shared" si="0"/>
        <v>44470</v>
      </c>
      <c r="AD2" s="6">
        <f t="shared" si="0"/>
        <v>44501</v>
      </c>
      <c r="AE2" s="6">
        <f t="shared" si="0"/>
        <v>44531</v>
      </c>
      <c r="AF2" s="6">
        <f t="shared" si="0"/>
        <v>44562</v>
      </c>
      <c r="AG2" s="6">
        <f t="shared" si="0"/>
        <v>44593</v>
      </c>
      <c r="AH2" s="6">
        <f t="shared" si="0"/>
        <v>44621</v>
      </c>
      <c r="AI2" s="6">
        <f t="shared" si="0"/>
        <v>44652</v>
      </c>
      <c r="AJ2" s="6">
        <f t="shared" si="0"/>
        <v>44682</v>
      </c>
      <c r="AK2" s="6">
        <f t="shared" si="0"/>
        <v>44713</v>
      </c>
      <c r="AL2" s="6">
        <f t="shared" si="0"/>
        <v>44743</v>
      </c>
      <c r="AM2" s="6">
        <f t="shared" si="0"/>
        <v>44774</v>
      </c>
      <c r="AN2" s="6">
        <f t="shared" si="0"/>
        <v>44805</v>
      </c>
      <c r="AO2" s="6">
        <f t="shared" si="0"/>
        <v>44835</v>
      </c>
      <c r="AP2" s="6">
        <f t="shared" si="0"/>
        <v>44866</v>
      </c>
      <c r="AQ2" s="6">
        <f t="shared" si="0"/>
        <v>44896</v>
      </c>
      <c r="AR2" s="6">
        <f t="shared" si="0"/>
        <v>44927</v>
      </c>
      <c r="AS2" s="6">
        <f t="shared" si="0"/>
        <v>44958</v>
      </c>
      <c r="AT2" s="6">
        <f t="shared" si="0"/>
        <v>44986</v>
      </c>
      <c r="AU2" s="6">
        <f t="shared" si="0"/>
        <v>45017</v>
      </c>
      <c r="AV2" s="7">
        <f>COUNTA(L2:AU2)</f>
        <v>36</v>
      </c>
      <c r="AW2" s="6"/>
      <c r="AX2" s="6"/>
      <c r="AY2" s="6"/>
      <c r="AZ2" s="6"/>
      <c r="BA2" s="6"/>
      <c r="BB2" s="6"/>
      <c r="BC2" s="6"/>
      <c r="BD2" s="6"/>
    </row>
    <row r="3" spans="1:56" ht="15" customHeight="1">
      <c r="A3" s="8">
        <v>43739</v>
      </c>
      <c r="B3" s="9">
        <v>18633.466100000001</v>
      </c>
      <c r="C3" s="9">
        <v>36063.008600000001</v>
      </c>
      <c r="D3" s="10">
        <f t="shared" ref="D3:D8" si="1">SUM(B3:C3)</f>
        <v>54696.474700000006</v>
      </c>
      <c r="E3" s="11">
        <f t="shared" ref="E3:E8" si="2">B3*$E$1</f>
        <v>5590.0398300000006</v>
      </c>
      <c r="F3" s="11">
        <f t="shared" ref="F3:F8" si="3">C3*$F$1</f>
        <v>19834.654730000002</v>
      </c>
      <c r="G3" s="12">
        <f t="shared" ref="G3:G8" si="4">SUM(E3:F3)</f>
        <v>25424.694560000004</v>
      </c>
      <c r="H3" s="13">
        <f t="shared" ref="H3:H8" si="5">C3/(B3+C3)</f>
        <v>0.65932966974195129</v>
      </c>
      <c r="I3" s="7"/>
      <c r="J3" s="7"/>
      <c r="K3" s="7"/>
      <c r="L3" s="14">
        <v>18500</v>
      </c>
      <c r="M3" s="12">
        <f t="shared" ref="M3:AU3" si="6">L3+(L3*$K$2)</f>
        <v>19055</v>
      </c>
      <c r="N3" s="12">
        <f t="shared" si="6"/>
        <v>19626.650000000001</v>
      </c>
      <c r="O3" s="12">
        <f t="shared" si="6"/>
        <v>20215.449500000002</v>
      </c>
      <c r="P3" s="12">
        <f t="shared" si="6"/>
        <v>20821.912985000003</v>
      </c>
      <c r="Q3" s="12">
        <f t="shared" si="6"/>
        <v>21446.570374550003</v>
      </c>
      <c r="R3" s="12">
        <f t="shared" si="6"/>
        <v>22089.967485786503</v>
      </c>
      <c r="S3" s="12">
        <f t="shared" si="6"/>
        <v>22752.666510360097</v>
      </c>
      <c r="T3" s="12">
        <f t="shared" si="6"/>
        <v>23435.246505670901</v>
      </c>
      <c r="U3" s="12">
        <f t="shared" si="6"/>
        <v>24138.303900841027</v>
      </c>
      <c r="V3" s="12">
        <f t="shared" si="6"/>
        <v>24862.453017866257</v>
      </c>
      <c r="W3" s="12">
        <f t="shared" si="6"/>
        <v>25608.326608402243</v>
      </c>
      <c r="X3" s="12">
        <f t="shared" si="6"/>
        <v>26376.576406654312</v>
      </c>
      <c r="Y3" s="12">
        <f t="shared" si="6"/>
        <v>27167.873698853942</v>
      </c>
      <c r="Z3" s="12">
        <f t="shared" si="6"/>
        <v>27982.909909819562</v>
      </c>
      <c r="AA3" s="12">
        <f t="shared" si="6"/>
        <v>28822.397207114147</v>
      </c>
      <c r="AB3" s="12">
        <f t="shared" si="6"/>
        <v>29687.069123327572</v>
      </c>
      <c r="AC3" s="12">
        <f t="shared" si="6"/>
        <v>30577.681197027399</v>
      </c>
      <c r="AD3" s="12">
        <f t="shared" si="6"/>
        <v>31495.011632938222</v>
      </c>
      <c r="AE3" s="12">
        <f t="shared" si="6"/>
        <v>32439.861981926369</v>
      </c>
      <c r="AF3" s="12">
        <f t="shared" si="6"/>
        <v>33413.057841384158</v>
      </c>
      <c r="AG3" s="12">
        <f t="shared" si="6"/>
        <v>34415.44957662568</v>
      </c>
      <c r="AH3" s="12">
        <f t="shared" si="6"/>
        <v>35447.913063924454</v>
      </c>
      <c r="AI3" s="12">
        <f t="shared" si="6"/>
        <v>36511.350455842185</v>
      </c>
      <c r="AJ3" s="12">
        <f t="shared" si="6"/>
        <v>37606.690969517447</v>
      </c>
      <c r="AK3" s="12">
        <f t="shared" si="6"/>
        <v>38734.891698602973</v>
      </c>
      <c r="AL3" s="12">
        <f t="shared" si="6"/>
        <v>39896.938449561065</v>
      </c>
      <c r="AM3" s="12">
        <f t="shared" si="6"/>
        <v>41093.846603047896</v>
      </c>
      <c r="AN3" s="12">
        <f t="shared" si="6"/>
        <v>42326.662001139332</v>
      </c>
      <c r="AO3" s="12">
        <f t="shared" si="6"/>
        <v>43596.461861173513</v>
      </c>
      <c r="AP3" s="12">
        <f t="shared" si="6"/>
        <v>44904.355717008715</v>
      </c>
      <c r="AQ3" s="12">
        <f t="shared" si="6"/>
        <v>46251.486388518977</v>
      </c>
      <c r="AR3" s="12">
        <f t="shared" si="6"/>
        <v>47639.030980174546</v>
      </c>
      <c r="AS3" s="12">
        <f t="shared" si="6"/>
        <v>49068.20190957978</v>
      </c>
      <c r="AT3" s="12">
        <f t="shared" si="6"/>
        <v>50540.247966867173</v>
      </c>
      <c r="AU3" s="12">
        <f t="shared" si="6"/>
        <v>52056.455405873188</v>
      </c>
      <c r="AV3" s="12">
        <f t="shared" ref="AV3:AV4" si="7">SUM(L3:AU3)</f>
        <v>1170604.9689349795</v>
      </c>
      <c r="AW3" s="3" t="s">
        <v>164</v>
      </c>
      <c r="AX3" s="7"/>
      <c r="AY3" s="7"/>
      <c r="AZ3" s="7"/>
      <c r="BA3" s="7"/>
      <c r="BB3" s="7"/>
      <c r="BC3" s="7"/>
      <c r="BD3" s="7"/>
    </row>
    <row r="4" spans="1:56" ht="15" customHeight="1">
      <c r="A4" s="8">
        <v>43770</v>
      </c>
      <c r="B4" s="9">
        <v>18501.849900000001</v>
      </c>
      <c r="C4" s="9">
        <v>23158.313399999999</v>
      </c>
      <c r="D4" s="10">
        <f t="shared" si="1"/>
        <v>41660.1633</v>
      </c>
      <c r="E4" s="11">
        <f t="shared" si="2"/>
        <v>5550.5549700000001</v>
      </c>
      <c r="F4" s="11">
        <f t="shared" si="3"/>
        <v>12737.07237</v>
      </c>
      <c r="G4" s="12">
        <f t="shared" si="4"/>
        <v>18287.627339999999</v>
      </c>
      <c r="H4" s="13">
        <f t="shared" si="5"/>
        <v>0.55588628477603685</v>
      </c>
      <c r="I4" s="7"/>
      <c r="J4" s="7"/>
      <c r="K4" s="7"/>
      <c r="L4" s="14">
        <v>18500</v>
      </c>
      <c r="M4" s="14">
        <v>18500</v>
      </c>
      <c r="N4" s="14">
        <v>18500</v>
      </c>
      <c r="O4" s="14">
        <v>18500</v>
      </c>
      <c r="P4" s="14">
        <v>18500</v>
      </c>
      <c r="Q4" s="14">
        <v>18500</v>
      </c>
      <c r="R4" s="14">
        <v>18500</v>
      </c>
      <c r="S4" s="14">
        <v>18500</v>
      </c>
      <c r="T4" s="14">
        <v>18500</v>
      </c>
      <c r="U4" s="14">
        <v>18500</v>
      </c>
      <c r="V4" s="14">
        <v>18500</v>
      </c>
      <c r="W4" s="14">
        <v>18500</v>
      </c>
      <c r="X4" s="14">
        <v>18500</v>
      </c>
      <c r="Y4" s="14">
        <v>18500</v>
      </c>
      <c r="Z4" s="14">
        <v>18500</v>
      </c>
      <c r="AA4" s="14">
        <v>18500</v>
      </c>
      <c r="AB4" s="14">
        <v>18500</v>
      </c>
      <c r="AC4" s="14">
        <v>18500</v>
      </c>
      <c r="AD4" s="14">
        <v>18500</v>
      </c>
      <c r="AE4" s="14">
        <v>18500</v>
      </c>
      <c r="AF4" s="14">
        <v>18500</v>
      </c>
      <c r="AG4" s="14">
        <v>18500</v>
      </c>
      <c r="AH4" s="14">
        <v>18500</v>
      </c>
      <c r="AI4" s="14">
        <v>18500</v>
      </c>
      <c r="AJ4" s="14">
        <v>18500</v>
      </c>
      <c r="AK4" s="14">
        <v>18500</v>
      </c>
      <c r="AL4" s="14">
        <v>18500</v>
      </c>
      <c r="AM4" s="14">
        <v>18500</v>
      </c>
      <c r="AN4" s="14">
        <v>18500</v>
      </c>
      <c r="AO4" s="14">
        <v>18500</v>
      </c>
      <c r="AP4" s="14">
        <v>18500</v>
      </c>
      <c r="AQ4" s="14">
        <v>18500</v>
      </c>
      <c r="AR4" s="14">
        <v>18500</v>
      </c>
      <c r="AS4" s="14">
        <v>18500</v>
      </c>
      <c r="AT4" s="14">
        <v>18500</v>
      </c>
      <c r="AU4" s="14">
        <v>18500</v>
      </c>
      <c r="AV4" s="12">
        <f t="shared" si="7"/>
        <v>666000</v>
      </c>
      <c r="AW4" s="3" t="s">
        <v>165</v>
      </c>
      <c r="AX4" s="7"/>
      <c r="AY4" s="7"/>
      <c r="AZ4" s="7"/>
      <c r="BA4" s="7"/>
      <c r="BB4" s="7"/>
      <c r="BC4" s="7"/>
      <c r="BD4" s="7"/>
    </row>
    <row r="5" spans="1:56" ht="15" customHeight="1">
      <c r="A5" s="8">
        <v>43800</v>
      </c>
      <c r="B5" s="9">
        <v>19096.4401</v>
      </c>
      <c r="C5" s="9">
        <v>18542.813699999999</v>
      </c>
      <c r="D5" s="10">
        <f t="shared" si="1"/>
        <v>37639.253799999999</v>
      </c>
      <c r="E5" s="11">
        <f t="shared" si="2"/>
        <v>5728.9320299999999</v>
      </c>
      <c r="F5" s="11">
        <f t="shared" si="3"/>
        <v>10198.547535</v>
      </c>
      <c r="G5" s="12">
        <f t="shared" si="4"/>
        <v>15927.479565</v>
      </c>
      <c r="H5" s="13">
        <f t="shared" si="5"/>
        <v>0.49264562465900957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ht="15" customHeight="1">
      <c r="A6" s="16">
        <v>43831</v>
      </c>
      <c r="B6" s="9">
        <v>23305.032500000001</v>
      </c>
      <c r="C6" s="9">
        <v>22371.0383</v>
      </c>
      <c r="D6" s="10">
        <f t="shared" si="1"/>
        <v>45676.070800000001</v>
      </c>
      <c r="E6" s="11">
        <f t="shared" si="2"/>
        <v>6991.5097500000002</v>
      </c>
      <c r="F6" s="11">
        <f t="shared" si="3"/>
        <v>12304.071065000002</v>
      </c>
      <c r="G6" s="12">
        <f t="shared" si="4"/>
        <v>19295.580815000001</v>
      </c>
      <c r="H6" s="13">
        <f t="shared" si="5"/>
        <v>0.4897758915812872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ht="15" customHeight="1">
      <c r="A7" s="16">
        <v>43862</v>
      </c>
      <c r="B7" s="9">
        <v>19530.130499999999</v>
      </c>
      <c r="C7" s="9">
        <v>14114.2233</v>
      </c>
      <c r="D7" s="10">
        <f t="shared" si="1"/>
        <v>33644.353799999997</v>
      </c>
      <c r="E7" s="11">
        <f t="shared" si="2"/>
        <v>5859.0391499999996</v>
      </c>
      <c r="F7" s="11">
        <f t="shared" si="3"/>
        <v>7762.8228150000004</v>
      </c>
      <c r="G7" s="12">
        <f t="shared" si="4"/>
        <v>13621.861965</v>
      </c>
      <c r="H7" s="13">
        <f t="shared" si="5"/>
        <v>0.41951239081310576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5" customHeight="1">
      <c r="A8" s="16">
        <v>43891</v>
      </c>
      <c r="B8" s="9">
        <v>25290.464400000001</v>
      </c>
      <c r="C8" s="9">
        <v>20165.996200000001</v>
      </c>
      <c r="D8" s="10">
        <f t="shared" si="1"/>
        <v>45456.460600000006</v>
      </c>
      <c r="E8" s="11">
        <f t="shared" si="2"/>
        <v>7587.1393200000002</v>
      </c>
      <c r="F8" s="11">
        <f t="shared" si="3"/>
        <v>11091.297910000001</v>
      </c>
      <c r="G8" s="12">
        <f t="shared" si="4"/>
        <v>18678.437230000003</v>
      </c>
      <c r="H8" s="13">
        <f t="shared" si="5"/>
        <v>0.44363322471261651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ht="15" customHeight="1">
      <c r="A9" s="7"/>
      <c r="B9" s="7"/>
      <c r="C9" s="7"/>
      <c r="D9" s="7"/>
      <c r="E9" s="7"/>
      <c r="F9" s="7"/>
      <c r="G9" s="12">
        <f t="shared" ref="G9:H9" si="8">AVERAGE(G3:G8)</f>
        <v>18539.280245833335</v>
      </c>
      <c r="H9" s="13">
        <f t="shared" si="8"/>
        <v>0.51013051438066792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ht="1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ht="1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ht="1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1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ht="1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ht="1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ht="1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ht="1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ht="1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ht="1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ht="1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ht="1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ht="1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56" ht="1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56" ht="1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56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5" customHeight="1">
      <c r="A38" s="85" t="s">
        <v>166</v>
      </c>
      <c r="B38" s="85" t="s">
        <v>167</v>
      </c>
      <c r="C38" s="85" t="s">
        <v>168</v>
      </c>
      <c r="D38" s="85" t="s">
        <v>169</v>
      </c>
      <c r="E38" s="85" t="s">
        <v>170</v>
      </c>
      <c r="F38" s="85" t="s">
        <v>171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:56" ht="15" customHeight="1">
      <c r="A39" s="20">
        <v>2548500000000000</v>
      </c>
      <c r="B39" s="85" t="s">
        <v>172</v>
      </c>
      <c r="C39" s="21">
        <v>43525.85833333333</v>
      </c>
      <c r="D39" s="85" t="s">
        <v>173</v>
      </c>
      <c r="E39" s="85" t="s">
        <v>174</v>
      </c>
      <c r="F39" s="85" t="s">
        <v>175</v>
      </c>
      <c r="G39" s="3" t="s">
        <v>176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1:56" ht="15" customHeight="1">
      <c r="A40" s="20">
        <v>3093410000000000</v>
      </c>
      <c r="B40" s="85" t="s">
        <v>177</v>
      </c>
      <c r="C40" s="21">
        <v>43885.708333333336</v>
      </c>
      <c r="D40" s="85" t="s">
        <v>178</v>
      </c>
      <c r="E40" s="85" t="s">
        <v>179</v>
      </c>
      <c r="F40" s="85" t="s">
        <v>180</v>
      </c>
      <c r="G40" s="3" t="s">
        <v>181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5" customHeight="1">
      <c r="A41" s="20">
        <v>7043580000000000</v>
      </c>
      <c r="B41" s="85" t="s">
        <v>182</v>
      </c>
      <c r="C41" s="21">
        <v>43545.595833333333</v>
      </c>
      <c r="D41" s="85" t="s">
        <v>178</v>
      </c>
      <c r="E41" s="85" t="s">
        <v>183</v>
      </c>
      <c r="F41" s="85" t="s">
        <v>180</v>
      </c>
      <c r="G41" s="3" t="s">
        <v>181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1:56" ht="15" customHeight="1">
      <c r="A42" s="20">
        <v>3093770000000000</v>
      </c>
      <c r="B42" s="85" t="s">
        <v>184</v>
      </c>
      <c r="C42" s="21">
        <v>43601.743750000001</v>
      </c>
      <c r="D42" s="85" t="s">
        <v>173</v>
      </c>
      <c r="E42" s="85" t="s">
        <v>185</v>
      </c>
      <c r="F42" s="85" t="s">
        <v>175</v>
      </c>
      <c r="G42" s="3" t="s">
        <v>176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spans="1:56" ht="15" customHeight="1">
      <c r="A43" s="20">
        <v>4777200000000000</v>
      </c>
      <c r="B43" s="85" t="s">
        <v>186</v>
      </c>
      <c r="C43" s="21">
        <v>43486.967361111114</v>
      </c>
      <c r="D43" s="85" t="s">
        <v>187</v>
      </c>
      <c r="E43" s="85" t="s">
        <v>188</v>
      </c>
      <c r="F43" s="85" t="s">
        <v>189</v>
      </c>
      <c r="G43" s="3" t="s">
        <v>176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spans="1:56" ht="15" customHeight="1">
      <c r="A44" s="20">
        <v>28805800000000</v>
      </c>
      <c r="B44" s="85" t="s">
        <v>190</v>
      </c>
      <c r="C44" s="21">
        <v>43572.631944444445</v>
      </c>
      <c r="D44" s="85" t="s">
        <v>179</v>
      </c>
      <c r="E44" s="85" t="s">
        <v>179</v>
      </c>
      <c r="F44" s="85" t="s">
        <v>191</v>
      </c>
      <c r="G44" s="3" t="s">
        <v>192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spans="1:56" ht="15" customHeight="1">
      <c r="A45" s="20">
        <v>3768440000000000</v>
      </c>
      <c r="B45" s="85" t="s">
        <v>193</v>
      </c>
      <c r="C45" s="21">
        <v>43733.799305555556</v>
      </c>
      <c r="D45" s="85" t="s">
        <v>179</v>
      </c>
      <c r="E45" s="85" t="s">
        <v>179</v>
      </c>
      <c r="F45" s="85" t="s">
        <v>194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1:56" ht="15" customHeight="1">
      <c r="A46" s="20">
        <v>778469000000000</v>
      </c>
      <c r="B46" s="85" t="s">
        <v>195</v>
      </c>
      <c r="C46" s="21">
        <v>43759.620833333334</v>
      </c>
      <c r="D46" s="85" t="s">
        <v>179</v>
      </c>
      <c r="E46" s="85" t="s">
        <v>179</v>
      </c>
      <c r="F46" s="85" t="s">
        <v>196</v>
      </c>
      <c r="G46" s="3" t="s">
        <v>197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spans="1:56" ht="15" customHeight="1">
      <c r="A47" s="20">
        <v>4974680000000000</v>
      </c>
      <c r="B47" s="85" t="s">
        <v>198</v>
      </c>
      <c r="C47" s="21">
        <v>43886.795138888891</v>
      </c>
      <c r="D47" s="85" t="s">
        <v>179</v>
      </c>
      <c r="E47" s="85" t="s">
        <v>179</v>
      </c>
      <c r="F47" s="85" t="s">
        <v>196</v>
      </c>
      <c r="G47" s="3" t="s">
        <v>199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5" customHeight="1">
      <c r="A48" s="20">
        <v>7549020000000000</v>
      </c>
      <c r="B48" s="85" t="s">
        <v>200</v>
      </c>
      <c r="C48" s="21">
        <v>43717.635416666664</v>
      </c>
      <c r="D48" s="85" t="s">
        <v>179</v>
      </c>
      <c r="E48" s="85" t="s">
        <v>179</v>
      </c>
      <c r="F48" s="85" t="s">
        <v>196</v>
      </c>
      <c r="G48" s="3" t="s">
        <v>201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spans="1:56" ht="15" customHeight="1">
      <c r="A49" s="20">
        <v>3368240000000000</v>
      </c>
      <c r="B49" s="85" t="s">
        <v>202</v>
      </c>
      <c r="C49" s="21">
        <v>43747.73541666667</v>
      </c>
      <c r="D49" s="85" t="s">
        <v>179</v>
      </c>
      <c r="E49" s="85" t="s">
        <v>179</v>
      </c>
      <c r="F49" s="85" t="s">
        <v>196</v>
      </c>
      <c r="G49" s="3" t="s">
        <v>203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1:56" ht="15" customHeight="1">
      <c r="A50" s="20">
        <v>8496970000000000</v>
      </c>
      <c r="B50" s="85" t="s">
        <v>204</v>
      </c>
      <c r="C50" s="21">
        <v>43776.63958333333</v>
      </c>
      <c r="D50" s="85" t="s">
        <v>179</v>
      </c>
      <c r="E50" s="85" t="s">
        <v>179</v>
      </c>
      <c r="F50" s="85" t="s">
        <v>196</v>
      </c>
      <c r="G50" s="3" t="s">
        <v>201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1:56" ht="15" customHeight="1">
      <c r="A51" s="20">
        <v>57278700000000</v>
      </c>
      <c r="B51" s="85" t="s">
        <v>205</v>
      </c>
      <c r="C51" s="21">
        <v>43847.71875</v>
      </c>
      <c r="D51" s="85" t="s">
        <v>179</v>
      </c>
      <c r="E51" s="85" t="s">
        <v>179</v>
      </c>
      <c r="F51" s="85" t="s">
        <v>196</v>
      </c>
      <c r="G51" s="3" t="s">
        <v>197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1:56" ht="15" customHeight="1">
      <c r="A52" s="20">
        <v>3743350000000000</v>
      </c>
      <c r="B52" s="85" t="s">
        <v>206</v>
      </c>
      <c r="C52" s="21">
        <v>43893.624305555553</v>
      </c>
      <c r="D52" s="85" t="s">
        <v>179</v>
      </c>
      <c r="E52" s="85" t="s">
        <v>179</v>
      </c>
      <c r="F52" s="85" t="s">
        <v>196</v>
      </c>
      <c r="G52" s="3" t="s">
        <v>199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1:56" ht="15" customHeight="1">
      <c r="A53" s="20">
        <v>7286080000000000</v>
      </c>
      <c r="B53" s="85" t="s">
        <v>207</v>
      </c>
      <c r="C53" s="21">
        <v>43578.718055555553</v>
      </c>
      <c r="D53" s="85" t="s">
        <v>178</v>
      </c>
      <c r="E53" s="85" t="s">
        <v>179</v>
      </c>
      <c r="F53" s="85" t="s">
        <v>180</v>
      </c>
      <c r="G53" s="3" t="s">
        <v>208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spans="1:56" ht="15" customHeight="1">
      <c r="A54" s="20">
        <v>8543490000000000</v>
      </c>
      <c r="B54" s="85" t="s">
        <v>209</v>
      </c>
      <c r="C54" s="21">
        <v>43648.827777777777</v>
      </c>
      <c r="D54" s="85" t="s">
        <v>178</v>
      </c>
      <c r="E54" s="85" t="s">
        <v>210</v>
      </c>
      <c r="F54" s="85" t="s">
        <v>180</v>
      </c>
      <c r="G54" s="3" t="s">
        <v>201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1:56" ht="15" customHeight="1">
      <c r="A55" s="20">
        <v>6614060000000000</v>
      </c>
      <c r="B55" s="85" t="s">
        <v>211</v>
      </c>
      <c r="C55" s="21">
        <v>43671.688194444447</v>
      </c>
      <c r="D55" s="85" t="s">
        <v>178</v>
      </c>
      <c r="E55" s="85" t="s">
        <v>179</v>
      </c>
      <c r="F55" s="85" t="s">
        <v>180</v>
      </c>
      <c r="G55" s="3" t="s">
        <v>201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spans="1:56" ht="15" customHeight="1">
      <c r="A56" s="20">
        <v>1028670000000000</v>
      </c>
      <c r="B56" s="85" t="s">
        <v>212</v>
      </c>
      <c r="C56" s="21">
        <v>43577.669444444444</v>
      </c>
      <c r="D56" s="85" t="s">
        <v>178</v>
      </c>
      <c r="E56" s="85" t="s">
        <v>213</v>
      </c>
      <c r="F56" s="85" t="s">
        <v>180</v>
      </c>
      <c r="G56" s="3" t="s">
        <v>214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spans="1:56" ht="15" customHeight="1">
      <c r="A57" s="20">
        <v>6027180000000000</v>
      </c>
      <c r="B57" s="85" t="s">
        <v>215</v>
      </c>
      <c r="C57" s="21">
        <v>43579.67291666667</v>
      </c>
      <c r="D57" s="85" t="s">
        <v>178</v>
      </c>
      <c r="E57" s="85" t="s">
        <v>216</v>
      </c>
      <c r="F57" s="85" t="s">
        <v>180</v>
      </c>
      <c r="G57" s="3" t="s">
        <v>214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5" customHeight="1">
      <c r="A58" s="20">
        <v>1872510000000000</v>
      </c>
      <c r="B58" s="85" t="s">
        <v>217</v>
      </c>
      <c r="C58" s="21">
        <v>43622.79583333333</v>
      </c>
      <c r="D58" s="85" t="s">
        <v>218</v>
      </c>
      <c r="E58" s="85" t="s">
        <v>179</v>
      </c>
      <c r="F58" s="85" t="s">
        <v>219</v>
      </c>
      <c r="G58" s="3" t="s">
        <v>220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5" customHeight="1">
      <c r="A59" s="20">
        <v>7413030000000000</v>
      </c>
      <c r="B59" s="85" t="s">
        <v>221</v>
      </c>
      <c r="C59" s="21">
        <v>43676.624305555553</v>
      </c>
      <c r="D59" s="85" t="s">
        <v>179</v>
      </c>
      <c r="E59" s="85" t="s">
        <v>179</v>
      </c>
      <c r="F59" s="85" t="s">
        <v>222</v>
      </c>
      <c r="G59" s="3" t="s">
        <v>192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5" customHeight="1">
      <c r="A60" s="20">
        <v>8421770000000000</v>
      </c>
      <c r="B60" s="85" t="s">
        <v>223</v>
      </c>
      <c r="C60" s="21">
        <v>43748.811805555553</v>
      </c>
      <c r="D60" s="85" t="s">
        <v>179</v>
      </c>
      <c r="E60" s="85" t="s">
        <v>179</v>
      </c>
      <c r="F60" s="85" t="s">
        <v>224</v>
      </c>
      <c r="G60" s="3" t="s">
        <v>176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spans="1:56" ht="15" customHeight="1">
      <c r="A61" s="20">
        <v>940972000000000</v>
      </c>
      <c r="B61" s="85" t="s">
        <v>225</v>
      </c>
      <c r="C61" s="21">
        <v>43578.64166666667</v>
      </c>
      <c r="D61" s="85" t="s">
        <v>226</v>
      </c>
      <c r="E61" s="85" t="s">
        <v>227</v>
      </c>
      <c r="F61" s="85" t="s">
        <v>228</v>
      </c>
      <c r="G61" s="3" t="s">
        <v>192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r="62" spans="1:56" ht="15" customHeight="1">
      <c r="A62" s="20">
        <v>8930370000000000</v>
      </c>
      <c r="B62" s="85" t="s">
        <v>229</v>
      </c>
      <c r="C62" s="21">
        <v>43656.792361111111</v>
      </c>
      <c r="D62" s="85" t="s">
        <v>218</v>
      </c>
      <c r="E62" s="85" t="s">
        <v>230</v>
      </c>
      <c r="F62" s="85" t="s">
        <v>219</v>
      </c>
      <c r="G62" s="3" t="s">
        <v>231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 ht="15" customHeight="1">
      <c r="A63" s="20">
        <v>5058830000000000</v>
      </c>
      <c r="B63" s="85" t="s">
        <v>232</v>
      </c>
      <c r="C63" s="21">
        <v>43734.807638888888</v>
      </c>
      <c r="D63" s="85" t="s">
        <v>179</v>
      </c>
      <c r="E63" s="85" t="s">
        <v>179</v>
      </c>
      <c r="F63" s="85" t="s">
        <v>233</v>
      </c>
      <c r="G63" s="3" t="s">
        <v>234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r="64" spans="1:56" ht="15" customHeight="1">
      <c r="A64" s="7"/>
      <c r="B64" s="7">
        <f>COUNTA(B39:B63)</f>
        <v>25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r="65" spans="1:56" ht="15" customHeight="1">
      <c r="A65" s="3" t="s">
        <v>235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r="66" spans="1:56" ht="15" customHeight="1">
      <c r="A66" s="3" t="s">
        <v>176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r="67" spans="1:56" ht="15" customHeight="1">
      <c r="A67" s="3" t="s">
        <v>192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r="68" spans="1:56" ht="15" customHeight="1">
      <c r="A68" s="3" t="s">
        <v>208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spans="1:56" ht="15" customHeight="1">
      <c r="A69" s="3" t="s">
        <v>201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r="70" spans="1:56" ht="15" customHeight="1">
      <c r="A70" s="3" t="s">
        <v>197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r="71" spans="1:56" ht="15" customHeight="1">
      <c r="A71" s="3" t="s">
        <v>199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r="72" spans="1:56" ht="15" customHeight="1">
      <c r="A72" s="3" t="s">
        <v>181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r="73" spans="1:56" ht="15" customHeight="1">
      <c r="A73" s="3" t="s">
        <v>214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</row>
    <row r="74" spans="1:56" ht="15" customHeight="1">
      <c r="A74" s="3" t="s">
        <v>231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  <row r="75" spans="1:56" ht="15" customHeight="1">
      <c r="A75" s="3" t="s">
        <v>203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</row>
    <row r="76" spans="1:56" ht="15" customHeight="1">
      <c r="A76" s="3" t="s">
        <v>234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</row>
    <row r="77" spans="1:56" ht="1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</row>
    <row r="78" spans="1:56" ht="1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</row>
    <row r="79" spans="1:56" ht="15" customHeight="1">
      <c r="A79" s="85" t="s">
        <v>156</v>
      </c>
      <c r="B79" s="85" t="s">
        <v>236</v>
      </c>
      <c r="C79" s="85" t="s">
        <v>237</v>
      </c>
      <c r="D79" s="85" t="s">
        <v>238</v>
      </c>
      <c r="E79" s="85" t="s">
        <v>239</v>
      </c>
      <c r="F79" s="85" t="s">
        <v>240</v>
      </c>
      <c r="G79" s="85" t="s">
        <v>241</v>
      </c>
      <c r="H79" s="85" t="s">
        <v>242</v>
      </c>
      <c r="I79" s="85" t="s">
        <v>243</v>
      </c>
      <c r="J79" s="85" t="s">
        <v>244</v>
      </c>
      <c r="K79" s="85" t="s">
        <v>245</v>
      </c>
      <c r="L79" s="85" t="s">
        <v>246</v>
      </c>
      <c r="M79" s="85" t="s">
        <v>247</v>
      </c>
      <c r="N79" s="85" t="s">
        <v>248</v>
      </c>
      <c r="O79" s="85" t="s">
        <v>249</v>
      </c>
      <c r="P79" s="85" t="s">
        <v>250</v>
      </c>
      <c r="Q79" s="85" t="s">
        <v>251</v>
      </c>
      <c r="R79" s="85" t="s">
        <v>252</v>
      </c>
      <c r="S79" s="85" t="s">
        <v>253</v>
      </c>
      <c r="T79" s="152" t="s">
        <v>254</v>
      </c>
      <c r="U79" s="152"/>
      <c r="V79" s="152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</row>
    <row r="80" spans="1:56" ht="15" customHeight="1">
      <c r="A80" s="35">
        <v>43739</v>
      </c>
      <c r="B80" s="36">
        <v>22296.335500000001</v>
      </c>
      <c r="C80" s="36">
        <v>10751.623600000001</v>
      </c>
      <c r="D80" s="36">
        <v>9571.3817299999992</v>
      </c>
      <c r="E80" s="36">
        <v>2762.82962</v>
      </c>
      <c r="F80" s="36">
        <v>2547.0050700000002</v>
      </c>
      <c r="G80" s="36">
        <v>2400.7691599999998</v>
      </c>
      <c r="H80" s="36">
        <v>1238.7076099999999</v>
      </c>
      <c r="I80" s="36">
        <v>1224.82456</v>
      </c>
      <c r="J80" s="36">
        <v>622.77469499999995</v>
      </c>
      <c r="K80" s="36">
        <v>493.44084500000002</v>
      </c>
      <c r="L80" s="36">
        <v>351.42110100000002</v>
      </c>
      <c r="M80" s="36">
        <v>270.76301000000001</v>
      </c>
      <c r="N80" s="36">
        <v>122.92801900000001</v>
      </c>
      <c r="O80" s="36">
        <v>38.038388300000001</v>
      </c>
      <c r="P80" s="36">
        <v>3.6318760399999999</v>
      </c>
      <c r="Q80" s="36">
        <v>0</v>
      </c>
      <c r="R80" s="36">
        <v>0</v>
      </c>
      <c r="S80" s="36">
        <v>0</v>
      </c>
      <c r="T80" s="36">
        <v>0</v>
      </c>
      <c r="U80" s="85"/>
      <c r="V80" s="85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</row>
    <row r="81" spans="1:56" ht="15" customHeight="1">
      <c r="A81" s="35">
        <v>43770</v>
      </c>
      <c r="B81" s="36">
        <v>10450.164199999999</v>
      </c>
      <c r="C81" s="36">
        <v>5854.4607699999997</v>
      </c>
      <c r="D81" s="36">
        <v>9719.3826700000009</v>
      </c>
      <c r="E81" s="36">
        <v>4062.4770899999999</v>
      </c>
      <c r="F81" s="36">
        <v>466.40060799999998</v>
      </c>
      <c r="G81" s="36">
        <v>2568.3561</v>
      </c>
      <c r="H81" s="36">
        <v>2457.36985</v>
      </c>
      <c r="I81" s="36">
        <v>1620</v>
      </c>
      <c r="J81" s="36">
        <v>1634.43193</v>
      </c>
      <c r="K81" s="36">
        <v>219.21468999999999</v>
      </c>
      <c r="L81" s="36">
        <v>1331.35285</v>
      </c>
      <c r="M81" s="36">
        <v>1209.30036</v>
      </c>
      <c r="N81" s="36">
        <v>43.030143700000004</v>
      </c>
      <c r="O81" s="36">
        <v>18.262212699999999</v>
      </c>
      <c r="P81" s="36">
        <v>5.9598172900000002</v>
      </c>
      <c r="Q81" s="36">
        <v>0</v>
      </c>
      <c r="R81" s="36">
        <v>0</v>
      </c>
      <c r="S81" s="36">
        <v>0</v>
      </c>
      <c r="T81" s="36">
        <v>0</v>
      </c>
      <c r="U81" s="85"/>
      <c r="V81" s="85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</row>
    <row r="82" spans="1:56" ht="15" customHeight="1">
      <c r="A82" s="35">
        <v>43800</v>
      </c>
      <c r="B82" s="36">
        <v>10202.197700000001</v>
      </c>
      <c r="C82" s="36">
        <v>6186.8591699999997</v>
      </c>
      <c r="D82" s="36">
        <v>10034.4637</v>
      </c>
      <c r="E82" s="36">
        <v>1646.9059</v>
      </c>
      <c r="F82" s="36">
        <v>305.88861600000001</v>
      </c>
      <c r="G82" s="36">
        <v>513.56907000000001</v>
      </c>
      <c r="H82" s="36">
        <v>2576.4573399999999</v>
      </c>
      <c r="I82" s="36">
        <v>1674</v>
      </c>
      <c r="J82" s="36">
        <v>1674</v>
      </c>
      <c r="K82" s="36">
        <v>425.87363499999998</v>
      </c>
      <c r="L82" s="36">
        <v>1839.6257900000001</v>
      </c>
      <c r="M82" s="36">
        <v>271.27244400000001</v>
      </c>
      <c r="N82" s="36">
        <v>28.989945200000001</v>
      </c>
      <c r="O82" s="36">
        <v>22.812769800000002</v>
      </c>
      <c r="P82" s="36">
        <v>236.33767700000001</v>
      </c>
      <c r="Q82" s="36">
        <v>0</v>
      </c>
      <c r="R82" s="36">
        <v>0</v>
      </c>
      <c r="S82" s="36">
        <v>0</v>
      </c>
      <c r="T82" s="36">
        <v>0</v>
      </c>
      <c r="U82" s="85"/>
      <c r="V82" s="85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</row>
    <row r="83" spans="1:56" ht="15" customHeight="1">
      <c r="A83" s="39">
        <v>43831</v>
      </c>
      <c r="B83" s="36">
        <v>13495.564399999999</v>
      </c>
      <c r="C83" s="36">
        <v>7965.3576599999997</v>
      </c>
      <c r="D83" s="36">
        <v>10024.7112</v>
      </c>
      <c r="E83" s="36">
        <v>4463.6445400000002</v>
      </c>
      <c r="F83" s="36">
        <v>490.170457</v>
      </c>
      <c r="G83" s="36">
        <v>265.75261599999999</v>
      </c>
      <c r="H83" s="36">
        <v>208.66594799999999</v>
      </c>
      <c r="I83" s="36">
        <v>1674</v>
      </c>
      <c r="J83" s="36">
        <v>712.29211199999997</v>
      </c>
      <c r="K83" s="36">
        <v>329.98751099999998</v>
      </c>
      <c r="L83" s="36">
        <v>2594.3771299999999</v>
      </c>
      <c r="M83" s="36">
        <v>2041.71333</v>
      </c>
      <c r="N83" s="36">
        <v>13.360023</v>
      </c>
      <c r="O83" s="36">
        <v>18.260360200000001</v>
      </c>
      <c r="P83" s="36">
        <v>1378.2134900000001</v>
      </c>
      <c r="Q83" s="36">
        <v>0</v>
      </c>
      <c r="R83" s="36">
        <v>0</v>
      </c>
      <c r="S83" s="36">
        <v>0</v>
      </c>
      <c r="T83" s="36">
        <v>0</v>
      </c>
      <c r="U83" s="85"/>
      <c r="V83" s="85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spans="1:56" ht="15" customHeight="1">
      <c r="A84" s="39">
        <v>43862</v>
      </c>
      <c r="B84" s="36">
        <v>5530.1661199999999</v>
      </c>
      <c r="C84" s="36">
        <v>7832.59022</v>
      </c>
      <c r="D84" s="36">
        <v>9392.0867500000004</v>
      </c>
      <c r="E84" s="36">
        <v>483.838481</v>
      </c>
      <c r="F84" s="36">
        <v>151.193209</v>
      </c>
      <c r="G84" s="36">
        <v>112.47148</v>
      </c>
      <c r="H84" s="36">
        <v>933.90453200000002</v>
      </c>
      <c r="I84" s="36">
        <v>1566</v>
      </c>
      <c r="J84" s="36">
        <v>931.76929800000005</v>
      </c>
      <c r="K84" s="36">
        <v>320.222058</v>
      </c>
      <c r="L84" s="36">
        <v>2962.6255999999998</v>
      </c>
      <c r="M84" s="36">
        <v>2029.0575699999999</v>
      </c>
      <c r="N84" s="36">
        <v>6.5410291699999998</v>
      </c>
      <c r="O84" s="36">
        <v>18.217042500000002</v>
      </c>
      <c r="P84" s="36">
        <v>1251.63669</v>
      </c>
      <c r="Q84" s="36">
        <v>122.033693</v>
      </c>
      <c r="R84" s="36">
        <v>0</v>
      </c>
      <c r="S84" s="36">
        <v>0</v>
      </c>
      <c r="T84" s="36">
        <v>0</v>
      </c>
      <c r="U84" s="85"/>
      <c r="V84" s="85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1:56" ht="15" customHeight="1">
      <c r="A85" s="39">
        <v>43891</v>
      </c>
      <c r="B85" s="36">
        <v>6930.44668</v>
      </c>
      <c r="C85" s="36">
        <v>9931.6406800000004</v>
      </c>
      <c r="D85" s="36">
        <v>10039.26</v>
      </c>
      <c r="E85" s="36">
        <v>367.74848300000002</v>
      </c>
      <c r="F85" s="36">
        <v>251.46984</v>
      </c>
      <c r="G85" s="36">
        <v>629.18332399999997</v>
      </c>
      <c r="H85" s="36">
        <v>555.95709899999997</v>
      </c>
      <c r="I85" s="36">
        <v>234.85228000000001</v>
      </c>
      <c r="J85" s="36">
        <v>2358.54034</v>
      </c>
      <c r="K85" s="36">
        <v>848.66189899999995</v>
      </c>
      <c r="L85" s="36">
        <v>6459.8017799999998</v>
      </c>
      <c r="M85" s="36">
        <v>3589.4155900000001</v>
      </c>
      <c r="N85" s="36">
        <v>0</v>
      </c>
      <c r="O85" s="36">
        <v>22.9089019</v>
      </c>
      <c r="P85" s="36">
        <v>1656.1412700000001</v>
      </c>
      <c r="Q85" s="36">
        <v>552.18490799999995</v>
      </c>
      <c r="R85" s="36">
        <v>742.37399400000004</v>
      </c>
      <c r="S85" s="36">
        <v>285.87349799999998</v>
      </c>
      <c r="T85" s="36">
        <v>0</v>
      </c>
      <c r="U85" s="85"/>
      <c r="V85" s="85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1:56" ht="15" customHeight="1">
      <c r="A86" s="39">
        <v>43922</v>
      </c>
      <c r="B86" s="36">
        <v>1691.4942100000001</v>
      </c>
      <c r="C86" s="36">
        <v>1534.13573</v>
      </c>
      <c r="D86" s="36">
        <v>2268</v>
      </c>
      <c r="E86" s="36">
        <v>75.929767499999997</v>
      </c>
      <c r="F86" s="36">
        <v>77.458961900000006</v>
      </c>
      <c r="G86" s="36">
        <v>8.0179683300000004</v>
      </c>
      <c r="H86" s="36">
        <v>0</v>
      </c>
      <c r="I86" s="36">
        <v>0</v>
      </c>
      <c r="J86" s="36">
        <v>591.58109400000001</v>
      </c>
      <c r="K86" s="36">
        <v>34.8955354</v>
      </c>
      <c r="L86" s="36">
        <v>759.83049900000003</v>
      </c>
      <c r="M86" s="36">
        <v>571.41706599999998</v>
      </c>
      <c r="N86" s="36">
        <v>0</v>
      </c>
      <c r="O86" s="36">
        <v>4.5808356300000002</v>
      </c>
      <c r="P86" s="36">
        <v>55.727125800000003</v>
      </c>
      <c r="Q86" s="36">
        <v>67.552244900000005</v>
      </c>
      <c r="R86" s="36">
        <v>0</v>
      </c>
      <c r="S86" s="36">
        <v>144.796299</v>
      </c>
      <c r="T86" s="36">
        <v>3.09149458</v>
      </c>
      <c r="U86" s="85"/>
      <c r="V86" s="85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ht="15" customHeight="1">
      <c r="A87" s="7"/>
      <c r="B87" s="40">
        <f t="shared" ref="B87:T87" si="9">SUM(B80:B86)</f>
        <v>70596.368810000014</v>
      </c>
      <c r="C87" s="40">
        <f t="shared" si="9"/>
        <v>50056.667829999999</v>
      </c>
      <c r="D87" s="40">
        <f t="shared" si="9"/>
        <v>61049.286050000002</v>
      </c>
      <c r="E87" s="40">
        <f t="shared" si="9"/>
        <v>13863.3738815</v>
      </c>
      <c r="F87" s="40">
        <f t="shared" si="9"/>
        <v>4289.5867619000001</v>
      </c>
      <c r="G87" s="40">
        <f t="shared" si="9"/>
        <v>6498.1197183300001</v>
      </c>
      <c r="H87" s="40">
        <f t="shared" si="9"/>
        <v>7971.062379</v>
      </c>
      <c r="I87" s="40">
        <f t="shared" si="9"/>
        <v>7993.6768400000001</v>
      </c>
      <c r="J87" s="40">
        <f t="shared" si="9"/>
        <v>8525.3894689999997</v>
      </c>
      <c r="K87" s="40">
        <f t="shared" si="9"/>
        <v>2672.2961734</v>
      </c>
      <c r="L87" s="40">
        <f t="shared" si="9"/>
        <v>16299.034749999999</v>
      </c>
      <c r="M87" s="40">
        <f t="shared" si="9"/>
        <v>9982.9393700000001</v>
      </c>
      <c r="N87" s="40">
        <f t="shared" si="9"/>
        <v>214.84916007000001</v>
      </c>
      <c r="O87" s="40">
        <f t="shared" si="9"/>
        <v>143.08051103</v>
      </c>
      <c r="P87" s="40">
        <f t="shared" si="9"/>
        <v>4587.6479461300005</v>
      </c>
      <c r="Q87" s="40">
        <f t="shared" si="9"/>
        <v>741.77084589999993</v>
      </c>
      <c r="R87" s="40">
        <f t="shared" si="9"/>
        <v>742.37399400000004</v>
      </c>
      <c r="S87" s="40">
        <f t="shared" si="9"/>
        <v>430.66979700000002</v>
      </c>
      <c r="T87" s="40">
        <f t="shared" si="9"/>
        <v>3.09149458</v>
      </c>
      <c r="U87" s="40">
        <f>SUM(B87:T87)</f>
        <v>266661.28578184004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ht="15" customHeight="1">
      <c r="A88" s="7"/>
      <c r="B88" s="13">
        <f t="shared" ref="B88:T88" si="10">B87/$U$87</f>
        <v>0.26474172508024302</v>
      </c>
      <c r="C88" s="13">
        <f t="shared" si="10"/>
        <v>0.18771629216155575</v>
      </c>
      <c r="D88" s="13">
        <f t="shared" si="10"/>
        <v>0.22893944230039234</v>
      </c>
      <c r="E88" s="13">
        <f t="shared" si="10"/>
        <v>5.1988701100173396E-2</v>
      </c>
      <c r="F88" s="13">
        <f t="shared" si="10"/>
        <v>1.6086274951098007E-2</v>
      </c>
      <c r="G88" s="13">
        <f t="shared" si="10"/>
        <v>2.4368440657884693E-2</v>
      </c>
      <c r="H88" s="13">
        <f t="shared" si="10"/>
        <v>2.9892087093292039E-2</v>
      </c>
      <c r="I88" s="13">
        <f t="shared" si="10"/>
        <v>2.9976893033283273E-2</v>
      </c>
      <c r="J88" s="13">
        <f t="shared" si="10"/>
        <v>3.1970855626844763E-2</v>
      </c>
      <c r="K88" s="13">
        <f t="shared" si="10"/>
        <v>1.0021312863488738E-2</v>
      </c>
      <c r="L88" s="13">
        <f t="shared" si="10"/>
        <v>6.1122613664041606E-2</v>
      </c>
      <c r="M88" s="13">
        <f t="shared" si="10"/>
        <v>3.7436778048716104E-2</v>
      </c>
      <c r="N88" s="13">
        <f t="shared" si="10"/>
        <v>8.0570060794566041E-4</v>
      </c>
      <c r="O88" s="13">
        <f t="shared" si="10"/>
        <v>5.365627432962147E-4</v>
      </c>
      <c r="P88" s="13">
        <f t="shared" si="10"/>
        <v>1.7204026946315822E-2</v>
      </c>
      <c r="Q88" s="13">
        <f t="shared" si="10"/>
        <v>2.7816968020879297E-3</v>
      </c>
      <c r="R88" s="13">
        <f t="shared" si="10"/>
        <v>2.7839586531032794E-3</v>
      </c>
      <c r="S88" s="13">
        <f t="shared" si="10"/>
        <v>1.6150443276281884E-3</v>
      </c>
      <c r="T88" s="13">
        <f t="shared" si="10"/>
        <v>1.1593338609074293E-5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ht="15" customHeight="1">
      <c r="A89" s="7"/>
      <c r="B89" s="13">
        <f>SUM(B88:D88)</f>
        <v>0.68139745954219111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ht="15" customHeight="1">
      <c r="A90" s="7"/>
      <c r="B90" s="3" t="s">
        <v>181</v>
      </c>
      <c r="C90" s="3" t="s">
        <v>192</v>
      </c>
      <c r="D90" s="3" t="s">
        <v>192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ht="1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ht="1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ht="1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ht="1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ht="1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ht="1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ht="1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ht="15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ht="15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ht="15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ht="15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ht="15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ht="15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ht="15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ht="15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ht="15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ht="15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ht="15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ht="15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ht="15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ht="15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ht="15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ht="15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ht="15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ht="15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ht="15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ht="15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ht="15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ht="15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ht="15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ht="15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ht="15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ht="15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ht="15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ht="15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ht="15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ht="15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ht="15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ht="15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ht="15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ht="15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ht="15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ht="15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ht="15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ht="15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ht="15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ht="15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ht="15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ht="15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ht="15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ht="15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ht="15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ht="15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ht="15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ht="15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ht="15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spans="1:56" ht="15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spans="1:56" ht="15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spans="1:56" ht="15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ht="15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  <row r="151" spans="1:56" ht="15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spans="1:56" ht="15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spans="1:56" ht="15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spans="1:56" ht="15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ht="15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</row>
    <row r="156" spans="1:56" ht="15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</row>
    <row r="157" spans="1:56" ht="15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ht="15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spans="1:56" ht="15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ht="15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ht="15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</row>
    <row r="162" spans="1:56" ht="15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ht="15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spans="1:56" ht="15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ht="15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ht="15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spans="1:56" ht="15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</row>
    <row r="168" spans="1:56" ht="15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spans="1:56" ht="15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spans="1:56" ht="15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</row>
    <row r="171" spans="1:56" ht="15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</row>
    <row r="172" spans="1:56" ht="15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</row>
    <row r="173" spans="1:56" ht="15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</row>
    <row r="174" spans="1:56" ht="15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</row>
    <row r="175" spans="1:56" ht="15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</row>
    <row r="176" spans="1:56" ht="15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spans="1:56" ht="15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</row>
    <row r="178" spans="1:56" ht="15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</row>
    <row r="179" spans="1:56" ht="15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</row>
    <row r="180" spans="1:56" ht="15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</row>
    <row r="181" spans="1:56" ht="15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</row>
    <row r="182" spans="1:56" ht="15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</row>
    <row r="183" spans="1:56" ht="15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</row>
    <row r="184" spans="1:56" ht="15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spans="1:56" ht="15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</row>
    <row r="186" spans="1:56" ht="15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</row>
    <row r="187" spans="1:56" ht="15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</row>
    <row r="188" spans="1:56" ht="15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</row>
    <row r="189" spans="1:56" ht="15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</row>
    <row r="190" spans="1:56" ht="15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</row>
    <row r="191" spans="1:56" ht="15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</row>
    <row r="192" spans="1:56" ht="15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</row>
    <row r="193" spans="1:56" ht="15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</row>
    <row r="194" spans="1:56" ht="15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spans="1:56" ht="15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</row>
    <row r="196" spans="1:56" ht="15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</row>
    <row r="197" spans="1:56" ht="15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</row>
    <row r="198" spans="1:56" ht="15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spans="1:56" ht="15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</row>
    <row r="200" spans="1:56" ht="15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spans="1:56" ht="15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spans="1:56" ht="15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spans="1:56" ht="15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</row>
    <row r="204" spans="1:56" ht="15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spans="1:56" ht="15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spans="1:56" ht="15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ht="15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ht="15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ht="15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56" ht="15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</row>
    <row r="211" spans="1:56" ht="15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</row>
    <row r="212" spans="1:56" ht="15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</row>
    <row r="213" spans="1:56" ht="15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</row>
    <row r="214" spans="1:56" ht="15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</row>
    <row r="215" spans="1:56" ht="15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</row>
    <row r="216" spans="1:56" ht="15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</row>
    <row r="217" spans="1:56" ht="15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</row>
    <row r="218" spans="1:56" ht="15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</row>
    <row r="219" spans="1:56" ht="15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</row>
    <row r="220" spans="1:56" ht="15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</row>
    <row r="221" spans="1:56" ht="15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</row>
    <row r="222" spans="1:56" ht="15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</row>
    <row r="223" spans="1:56" ht="15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</row>
    <row r="224" spans="1:56" ht="15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</row>
    <row r="225" spans="1:56" ht="15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</row>
    <row r="226" spans="1:56" ht="15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</row>
    <row r="227" spans="1:56" ht="15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</row>
    <row r="228" spans="1:56" ht="15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</row>
    <row r="229" spans="1:56" ht="15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</row>
    <row r="230" spans="1:56" ht="15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</row>
    <row r="231" spans="1:56" ht="15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</row>
    <row r="232" spans="1:56" ht="15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</row>
    <row r="233" spans="1:56" ht="15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</row>
    <row r="234" spans="1:56" ht="15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</row>
    <row r="235" spans="1:56" ht="15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</row>
    <row r="236" spans="1:56" ht="15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</row>
    <row r="237" spans="1:56" ht="15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</row>
    <row r="238" spans="1:56" ht="15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</row>
    <row r="239" spans="1:56" ht="15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</row>
    <row r="240" spans="1:56" ht="15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</row>
    <row r="241" spans="1:56" ht="15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ht="15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</row>
    <row r="243" spans="1:56" ht="15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</row>
    <row r="244" spans="1:56" ht="15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</row>
    <row r="245" spans="1:56" ht="15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</row>
    <row r="246" spans="1:56" ht="15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</row>
    <row r="247" spans="1:56" ht="15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</row>
    <row r="248" spans="1:56" ht="15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</row>
    <row r="249" spans="1:56" ht="15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</row>
    <row r="250" spans="1:56" ht="15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</row>
    <row r="251" spans="1:56" ht="15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</row>
    <row r="252" spans="1:56" ht="15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</row>
    <row r="253" spans="1:56" ht="15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</row>
    <row r="254" spans="1:56" ht="15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</row>
    <row r="255" spans="1:56" ht="15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</row>
    <row r="256" spans="1:56" ht="15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</row>
    <row r="257" spans="1:56" ht="15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</row>
    <row r="258" spans="1:56" ht="15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</row>
    <row r="259" spans="1:56" ht="15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</row>
    <row r="260" spans="1:56" ht="15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</row>
    <row r="261" spans="1:56" ht="15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</row>
    <row r="262" spans="1:56" ht="15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spans="1:56" ht="15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  <row r="264" spans="1:56" ht="15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</row>
    <row r="265" spans="1:56" ht="15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</row>
    <row r="266" spans="1:56" ht="15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</row>
    <row r="267" spans="1:56" ht="15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</row>
    <row r="268" spans="1:56" ht="15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</row>
    <row r="269" spans="1:56" ht="15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</row>
    <row r="270" spans="1:56" ht="15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</row>
    <row r="271" spans="1:56" ht="15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</row>
    <row r="272" spans="1:56" ht="15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</row>
    <row r="273" spans="1:56" ht="15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</row>
    <row r="274" spans="1:56" ht="15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</row>
    <row r="275" spans="1:56" ht="15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</row>
    <row r="276" spans="1:56" ht="15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</row>
    <row r="277" spans="1:56" ht="15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</row>
    <row r="278" spans="1:56" ht="15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</row>
    <row r="279" spans="1:56" ht="15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</row>
    <row r="280" spans="1:56" ht="15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</row>
    <row r="281" spans="1:56" ht="15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</row>
    <row r="282" spans="1:56" ht="15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</row>
    <row r="283" spans="1:56" ht="15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</row>
    <row r="284" spans="1:56" ht="15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</row>
    <row r="285" spans="1:56" ht="15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</row>
    <row r="286" spans="1:56" ht="15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</row>
    <row r="287" spans="1:56" ht="15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</row>
    <row r="288" spans="1:56" ht="15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</row>
    <row r="289" spans="1:56" ht="15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</row>
    <row r="290" spans="1:56" ht="15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</row>
    <row r="291" spans="1:56" ht="15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</row>
    <row r="292" spans="1:56" ht="15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</row>
    <row r="293" spans="1:56" ht="15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</row>
    <row r="294" spans="1:56" ht="15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</row>
    <row r="295" spans="1:56" ht="15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</row>
    <row r="296" spans="1:56" ht="15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</row>
    <row r="297" spans="1:56" ht="15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</row>
    <row r="298" spans="1:56" ht="15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</row>
    <row r="299" spans="1:56" ht="15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</row>
    <row r="300" spans="1:56" ht="15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</row>
    <row r="301" spans="1:56" ht="15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</row>
    <row r="302" spans="1:56" ht="15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</row>
    <row r="303" spans="1:56" ht="15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</row>
    <row r="304" spans="1:56" ht="15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</row>
    <row r="305" spans="1:56" ht="15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</row>
    <row r="306" spans="1:56" ht="15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</row>
    <row r="307" spans="1:56" ht="15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</row>
    <row r="308" spans="1:56" ht="15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</row>
    <row r="309" spans="1:56" ht="15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</row>
    <row r="310" spans="1:56" ht="15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</row>
    <row r="311" spans="1:56" ht="15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</row>
    <row r="312" spans="1:56" ht="15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</row>
    <row r="313" spans="1:56" ht="15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</row>
    <row r="314" spans="1:56" ht="15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</row>
    <row r="315" spans="1:56" ht="15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5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</row>
    <row r="317" spans="1:56" ht="15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</row>
    <row r="318" spans="1:56" ht="15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</row>
    <row r="319" spans="1:56" ht="15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</row>
    <row r="320" spans="1:56" ht="15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</row>
    <row r="321" spans="1:56" ht="15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</row>
    <row r="322" spans="1:56" ht="15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</row>
    <row r="323" spans="1:56" ht="15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</row>
    <row r="324" spans="1:56" ht="15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</row>
    <row r="325" spans="1:56" ht="15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</row>
    <row r="326" spans="1:56" ht="15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</row>
    <row r="327" spans="1:56" ht="15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</row>
    <row r="328" spans="1:56" ht="15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</row>
    <row r="329" spans="1:56" ht="15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</row>
    <row r="330" spans="1:56" ht="15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</row>
    <row r="331" spans="1:56" ht="15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</row>
    <row r="332" spans="1:56" ht="15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</row>
    <row r="333" spans="1:56" ht="15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</row>
    <row r="334" spans="1:56" ht="15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</row>
    <row r="335" spans="1:56" ht="15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</row>
    <row r="336" spans="1:56" ht="15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</row>
    <row r="337" spans="1:56" ht="15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</row>
    <row r="338" spans="1:56" ht="15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</row>
    <row r="339" spans="1:56" ht="15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</row>
    <row r="340" spans="1:56" ht="15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</row>
    <row r="341" spans="1:56" ht="15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</row>
    <row r="342" spans="1:56" ht="15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</row>
    <row r="343" spans="1:56" ht="15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</row>
    <row r="344" spans="1:56" ht="15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</row>
    <row r="345" spans="1:56" ht="15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</row>
    <row r="346" spans="1:56" ht="15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</row>
    <row r="347" spans="1:56" ht="15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</row>
    <row r="348" spans="1:56" ht="15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</row>
    <row r="349" spans="1:56" ht="15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</row>
    <row r="350" spans="1:56" ht="15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</row>
    <row r="351" spans="1:56" ht="15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</row>
    <row r="352" spans="1:56" ht="15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</row>
    <row r="353" spans="1:56" ht="15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</row>
    <row r="354" spans="1:56" ht="15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</row>
    <row r="355" spans="1:56" ht="15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</row>
    <row r="356" spans="1:56" ht="15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</row>
    <row r="357" spans="1:56" ht="15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</row>
    <row r="358" spans="1:56" ht="15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</row>
    <row r="359" spans="1:56" ht="15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</row>
    <row r="360" spans="1:56" ht="15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</row>
    <row r="361" spans="1:56" ht="15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</row>
    <row r="362" spans="1:56" ht="15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</row>
    <row r="363" spans="1:56" ht="15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</row>
    <row r="364" spans="1:56" ht="15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</row>
    <row r="365" spans="1:56" ht="15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</row>
    <row r="366" spans="1:56" ht="15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</row>
    <row r="367" spans="1:56" ht="15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</row>
    <row r="368" spans="1:56" ht="15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</row>
    <row r="369" spans="1:56" ht="15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</row>
    <row r="370" spans="1:56" ht="15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</row>
    <row r="371" spans="1:56" ht="15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</row>
    <row r="372" spans="1:56" ht="15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</row>
    <row r="373" spans="1:56" ht="15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</row>
    <row r="374" spans="1:56" ht="15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</row>
    <row r="375" spans="1:56" ht="15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56" ht="15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56" ht="15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56" ht="15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56" ht="15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spans="1:56" ht="15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</row>
    <row r="381" spans="1:56" ht="15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</row>
    <row r="382" spans="1:56" ht="15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</row>
    <row r="383" spans="1:56" ht="15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</row>
    <row r="384" spans="1:56" ht="15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</row>
    <row r="385" spans="1:56" ht="15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</row>
    <row r="386" spans="1:56" ht="15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</row>
    <row r="387" spans="1:56" ht="15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56" ht="15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56" ht="15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56" ht="15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56" ht="15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56" ht="15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56" ht="15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spans="1:56" ht="15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spans="1:56" ht="15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spans="1:56" ht="15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spans="1:56" ht="15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spans="1:56" ht="15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56" ht="15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56" ht="15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ht="15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spans="1:56" ht="15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</row>
    <row r="403" spans="1:56" ht="15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</row>
    <row r="404" spans="1:56" ht="15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</row>
    <row r="405" spans="1:56" ht="15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spans="1:56" ht="15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</row>
    <row r="407" spans="1:56" ht="15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</row>
    <row r="408" spans="1:56" ht="15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spans="1:56" ht="15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</row>
    <row r="410" spans="1:56" ht="15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</row>
    <row r="411" spans="1:56" ht="15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</row>
    <row r="412" spans="1:56" ht="15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</row>
    <row r="413" spans="1:56" ht="15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</row>
    <row r="414" spans="1:56" ht="15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</row>
    <row r="415" spans="1:56" ht="15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</row>
    <row r="416" spans="1:56" ht="15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</row>
    <row r="417" spans="1:56" ht="15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</row>
    <row r="418" spans="1:56" ht="15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</row>
    <row r="419" spans="1:56" ht="15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</row>
    <row r="420" spans="1:56" ht="15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</row>
    <row r="421" spans="1:56" ht="15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</row>
    <row r="422" spans="1:56" ht="15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</row>
    <row r="423" spans="1:56" ht="15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</row>
    <row r="424" spans="1:56" ht="15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</row>
    <row r="425" spans="1:56" ht="15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</row>
    <row r="426" spans="1:56" ht="15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</row>
    <row r="427" spans="1:56" ht="15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</row>
    <row r="428" spans="1:56" ht="15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</row>
    <row r="429" spans="1:56" ht="15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</row>
    <row r="430" spans="1:56" ht="15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</row>
    <row r="431" spans="1:56" ht="15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</row>
    <row r="432" spans="1:56" ht="15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</row>
    <row r="433" spans="1:56" ht="15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</row>
    <row r="434" spans="1:56" ht="15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</row>
    <row r="435" spans="1:56" ht="15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</row>
    <row r="436" spans="1:56" ht="15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</row>
    <row r="437" spans="1:56" ht="15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</row>
    <row r="438" spans="1:56" ht="15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</row>
    <row r="439" spans="1:56" ht="15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</row>
    <row r="440" spans="1:56" ht="15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</row>
    <row r="441" spans="1:56" ht="15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</row>
    <row r="442" spans="1:56" ht="15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</row>
    <row r="443" spans="1:56" ht="15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</row>
    <row r="444" spans="1:56" ht="15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</row>
    <row r="445" spans="1:56" ht="15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</row>
    <row r="446" spans="1:56" ht="15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</row>
    <row r="447" spans="1:56" ht="15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</row>
    <row r="448" spans="1:56" ht="15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</row>
    <row r="449" spans="1:56" ht="15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</row>
    <row r="450" spans="1:56" ht="15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</row>
    <row r="451" spans="1:56" ht="15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</row>
    <row r="452" spans="1:56" ht="15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</row>
    <row r="453" spans="1:56" ht="15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</row>
    <row r="454" spans="1:56" ht="15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</row>
    <row r="455" spans="1:56" ht="15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</row>
    <row r="456" spans="1:56" ht="15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</row>
    <row r="457" spans="1:56" ht="15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</row>
    <row r="458" spans="1:56" ht="15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</row>
    <row r="459" spans="1:56" ht="15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</row>
    <row r="460" spans="1:56" ht="15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</row>
    <row r="461" spans="1:56" ht="15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</row>
    <row r="462" spans="1:56" ht="15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</row>
    <row r="463" spans="1:56" ht="15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</row>
    <row r="464" spans="1:56" ht="15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</row>
    <row r="465" spans="1:56" ht="15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</row>
    <row r="466" spans="1:56" ht="15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</row>
    <row r="467" spans="1:56" ht="15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</row>
    <row r="468" spans="1:56" ht="15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</row>
    <row r="469" spans="1:56" ht="15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</row>
    <row r="470" spans="1:56" ht="15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</row>
    <row r="471" spans="1:56" ht="15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</row>
    <row r="472" spans="1:56" ht="15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</row>
    <row r="473" spans="1:56" ht="15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</row>
    <row r="474" spans="1:56" ht="15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</row>
    <row r="475" spans="1:56" ht="15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</row>
    <row r="476" spans="1:56" ht="15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</row>
    <row r="477" spans="1:56" ht="15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</row>
    <row r="478" spans="1:56" ht="15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</row>
    <row r="479" spans="1:56" ht="15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</row>
    <row r="480" spans="1:56" ht="15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</row>
    <row r="481" spans="1:56" ht="15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</row>
    <row r="482" spans="1:56" ht="15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</row>
    <row r="483" spans="1:56" ht="15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</row>
    <row r="484" spans="1:56" ht="15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</row>
    <row r="485" spans="1:56" ht="15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</row>
    <row r="486" spans="1:56" ht="15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</row>
    <row r="487" spans="1:56" ht="15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</row>
    <row r="488" spans="1:56" ht="15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</row>
    <row r="489" spans="1:56" ht="15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</row>
    <row r="490" spans="1:56" ht="15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</row>
    <row r="491" spans="1:56" ht="15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</row>
    <row r="492" spans="1:56" ht="15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</row>
    <row r="493" spans="1:56" ht="15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</row>
    <row r="494" spans="1:56" ht="15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</row>
    <row r="495" spans="1:56" ht="15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</row>
    <row r="496" spans="1:56" ht="15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</row>
    <row r="497" spans="1:56" ht="15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</row>
    <row r="498" spans="1:56" ht="15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</row>
    <row r="499" spans="1:56" ht="15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</row>
    <row r="500" spans="1:56" ht="15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</row>
    <row r="501" spans="1:56" ht="15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</row>
    <row r="502" spans="1:56" ht="15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</row>
    <row r="503" spans="1:56" ht="15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</row>
    <row r="504" spans="1:56" ht="15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</row>
    <row r="505" spans="1:56" ht="15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</row>
    <row r="506" spans="1:56" ht="15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</row>
    <row r="507" spans="1:56" ht="15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</row>
    <row r="508" spans="1:56" ht="15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</row>
    <row r="509" spans="1:56" ht="15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</row>
    <row r="510" spans="1:56" ht="15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</row>
    <row r="511" spans="1:56" ht="15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</row>
    <row r="512" spans="1:56" ht="15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</row>
    <row r="513" spans="1:56" ht="15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</row>
    <row r="514" spans="1:56" ht="15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</row>
    <row r="515" spans="1:56" ht="15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</row>
    <row r="516" spans="1:56" ht="15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</row>
    <row r="517" spans="1:56" ht="15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</row>
    <row r="518" spans="1:56" ht="15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</row>
    <row r="519" spans="1:56" ht="15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</row>
    <row r="520" spans="1:56" ht="15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</row>
    <row r="521" spans="1:56" ht="15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</row>
    <row r="522" spans="1:56" ht="15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</row>
    <row r="523" spans="1:56" ht="15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</row>
    <row r="524" spans="1:56" ht="15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</row>
    <row r="525" spans="1:56" ht="15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</row>
    <row r="526" spans="1:56" ht="15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</row>
    <row r="527" spans="1:56" ht="15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</row>
    <row r="528" spans="1:56" ht="15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</row>
    <row r="529" spans="1:56" ht="15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</row>
    <row r="530" spans="1:56" ht="15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</row>
    <row r="531" spans="1:56" ht="15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</row>
    <row r="532" spans="1:56" ht="15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</row>
    <row r="533" spans="1:56" ht="15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</row>
    <row r="534" spans="1:56" ht="15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</row>
    <row r="535" spans="1:56" ht="15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</row>
    <row r="536" spans="1:56" ht="15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</row>
    <row r="537" spans="1:56" ht="15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</row>
    <row r="538" spans="1:56" ht="15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</row>
    <row r="539" spans="1:56" ht="15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</row>
    <row r="540" spans="1:56" ht="15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</row>
    <row r="541" spans="1:56" ht="15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</row>
    <row r="542" spans="1:56" ht="15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</row>
    <row r="543" spans="1:56" ht="15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</row>
    <row r="544" spans="1:56" ht="15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</row>
    <row r="545" spans="1:56" ht="15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</row>
    <row r="546" spans="1:56" ht="15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</row>
    <row r="547" spans="1:56" ht="15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</row>
    <row r="548" spans="1:56" ht="15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</row>
    <row r="549" spans="1:56" ht="15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</row>
    <row r="550" spans="1:56" ht="15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</row>
    <row r="551" spans="1:56" ht="15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</row>
    <row r="552" spans="1:56" ht="15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</row>
    <row r="553" spans="1:56" ht="15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</row>
    <row r="554" spans="1:56" ht="15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</row>
    <row r="555" spans="1:56" ht="15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</row>
    <row r="556" spans="1:56" ht="15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</row>
    <row r="557" spans="1:56" ht="15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</row>
    <row r="558" spans="1:56" ht="15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</row>
    <row r="559" spans="1:56" ht="15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</row>
    <row r="560" spans="1:56" ht="15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</row>
    <row r="561" spans="1:56" ht="15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</row>
    <row r="562" spans="1:56" ht="15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</row>
    <row r="563" spans="1:56" ht="15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</row>
    <row r="564" spans="1:56" ht="15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</row>
    <row r="565" spans="1:56" ht="15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</row>
    <row r="566" spans="1:56" ht="15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</row>
    <row r="567" spans="1:56" ht="15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</row>
    <row r="568" spans="1:56" ht="15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</row>
    <row r="569" spans="1:56" ht="15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</row>
    <row r="570" spans="1:56" ht="15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</row>
    <row r="571" spans="1:56" ht="15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</row>
    <row r="572" spans="1:56" ht="15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</row>
    <row r="573" spans="1:56" ht="15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</row>
    <row r="574" spans="1:56" ht="15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</row>
    <row r="575" spans="1:56" ht="15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</row>
    <row r="576" spans="1:56" ht="15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</row>
    <row r="577" spans="1:56" ht="15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</row>
    <row r="578" spans="1:56" ht="15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</row>
    <row r="579" spans="1:56" ht="15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</row>
    <row r="580" spans="1:56" ht="15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</row>
    <row r="581" spans="1:56" ht="15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</row>
    <row r="582" spans="1:56" ht="15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</row>
    <row r="583" spans="1:56" ht="15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</row>
    <row r="584" spans="1:56" ht="15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</row>
    <row r="585" spans="1:56" ht="15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</row>
    <row r="586" spans="1:56" ht="15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</row>
    <row r="587" spans="1:56" ht="15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</row>
    <row r="588" spans="1:56" ht="15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</row>
    <row r="589" spans="1:56" ht="15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</row>
    <row r="590" spans="1:56" ht="15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</row>
    <row r="591" spans="1:56" ht="15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</row>
    <row r="592" spans="1:56" ht="15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</row>
    <row r="593" spans="1:56" ht="15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</row>
    <row r="594" spans="1:56" ht="15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</row>
    <row r="595" spans="1:56" ht="15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</row>
    <row r="596" spans="1:56" ht="15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</row>
    <row r="597" spans="1:56" ht="15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</row>
    <row r="598" spans="1:56" ht="15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</row>
    <row r="599" spans="1:56" ht="15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</row>
    <row r="600" spans="1:56" ht="15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</row>
    <row r="601" spans="1:56" ht="15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</row>
    <row r="602" spans="1:56" ht="15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</row>
    <row r="603" spans="1:56" ht="15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</row>
    <row r="604" spans="1:56" ht="15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</row>
    <row r="605" spans="1:56" ht="15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</row>
    <row r="606" spans="1:56" ht="15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</row>
    <row r="607" spans="1:56" ht="15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</row>
    <row r="608" spans="1:56" ht="15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</row>
    <row r="609" spans="1:56" ht="15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</row>
    <row r="610" spans="1:56" ht="15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</row>
    <row r="611" spans="1:56" ht="15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</row>
    <row r="612" spans="1:56" ht="15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</row>
    <row r="613" spans="1:56" ht="15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</row>
    <row r="614" spans="1:56" ht="15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</row>
    <row r="615" spans="1:56" ht="15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</row>
    <row r="616" spans="1:56" ht="15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</row>
    <row r="617" spans="1:56" ht="15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</row>
    <row r="618" spans="1:56" ht="15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</row>
    <row r="619" spans="1:56" ht="15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</row>
    <row r="620" spans="1:56" ht="15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</row>
    <row r="621" spans="1:56" ht="15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</row>
    <row r="622" spans="1:56" ht="15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</row>
    <row r="623" spans="1:56" ht="15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</row>
    <row r="624" spans="1:56" ht="15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</row>
    <row r="625" spans="1:56" ht="15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</row>
    <row r="626" spans="1:56" ht="15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</row>
    <row r="627" spans="1:56" ht="15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</row>
    <row r="628" spans="1:56" ht="15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</row>
    <row r="629" spans="1:56" ht="15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</row>
    <row r="630" spans="1:56" ht="15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</row>
    <row r="631" spans="1:56" ht="15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</row>
    <row r="632" spans="1:56" ht="15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</row>
    <row r="633" spans="1:56" ht="15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</row>
    <row r="634" spans="1:56" ht="15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</row>
    <row r="635" spans="1:56" ht="15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</row>
    <row r="636" spans="1:56" ht="15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</row>
    <row r="637" spans="1:56" ht="15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</row>
    <row r="638" spans="1:56" ht="15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</row>
    <row r="639" spans="1:56" ht="15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</row>
    <row r="640" spans="1:56" ht="15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</row>
    <row r="641" spans="1:56" ht="15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</row>
    <row r="642" spans="1:56" ht="15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</row>
    <row r="643" spans="1:56" ht="15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</row>
    <row r="644" spans="1:56" ht="15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</row>
    <row r="645" spans="1:56" ht="15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</row>
    <row r="646" spans="1:56" ht="15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</row>
    <row r="647" spans="1:56" ht="15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</row>
    <row r="648" spans="1:56" ht="15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</row>
    <row r="649" spans="1:56" ht="15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</row>
    <row r="650" spans="1:56" ht="15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</row>
    <row r="651" spans="1:56" ht="15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</row>
    <row r="652" spans="1:56" ht="15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</row>
    <row r="653" spans="1:56" ht="15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</row>
    <row r="654" spans="1:56" ht="15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</row>
    <row r="655" spans="1:56" ht="15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</row>
    <row r="656" spans="1:56" ht="15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</row>
    <row r="657" spans="1:56" ht="15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</row>
    <row r="658" spans="1:56" ht="15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</row>
    <row r="659" spans="1:56" ht="15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</row>
    <row r="660" spans="1:56" ht="15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</row>
    <row r="661" spans="1:56" ht="15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</row>
    <row r="662" spans="1:56" ht="15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</row>
    <row r="663" spans="1:56" ht="15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</row>
    <row r="664" spans="1:56" ht="15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</row>
    <row r="665" spans="1:56" ht="15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</row>
    <row r="666" spans="1:56" ht="15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</row>
    <row r="667" spans="1:56" ht="15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</row>
    <row r="668" spans="1:56" ht="15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</row>
    <row r="669" spans="1:56" ht="15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</row>
    <row r="670" spans="1:56" ht="15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</row>
    <row r="671" spans="1:56" ht="15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</row>
    <row r="672" spans="1:56" ht="15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</row>
    <row r="673" spans="1:56" ht="15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</row>
    <row r="674" spans="1:56" ht="15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</row>
    <row r="675" spans="1:56" ht="15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</row>
    <row r="676" spans="1:56" ht="15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</row>
    <row r="677" spans="1:56" ht="15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</row>
    <row r="678" spans="1:56" ht="15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</row>
    <row r="679" spans="1:56" ht="15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</row>
    <row r="680" spans="1:56" ht="15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</row>
    <row r="681" spans="1:56" ht="15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</row>
    <row r="682" spans="1:56" ht="15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</row>
    <row r="683" spans="1:56" ht="15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</row>
    <row r="684" spans="1:56" ht="15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</row>
    <row r="685" spans="1:56" ht="15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</row>
    <row r="686" spans="1:56" ht="15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</row>
    <row r="687" spans="1:56" ht="15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</row>
    <row r="688" spans="1:56" ht="15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</row>
    <row r="689" spans="1:56" ht="15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</row>
    <row r="690" spans="1:56" ht="15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</row>
    <row r="691" spans="1:56" ht="15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</row>
    <row r="692" spans="1:56" ht="15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</row>
    <row r="693" spans="1:56" ht="15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</row>
    <row r="694" spans="1:56" ht="15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</row>
    <row r="695" spans="1:56" ht="15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</row>
    <row r="696" spans="1:56" ht="15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</row>
    <row r="697" spans="1:56" ht="15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</row>
    <row r="698" spans="1:56" ht="15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</row>
    <row r="699" spans="1:56" ht="15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</row>
    <row r="700" spans="1:56" ht="15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</row>
    <row r="701" spans="1:56" ht="15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</row>
    <row r="702" spans="1:56" ht="15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</row>
    <row r="703" spans="1:56" ht="15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</row>
    <row r="704" spans="1:56" ht="15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</row>
    <row r="705" spans="1:56" ht="15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</row>
    <row r="706" spans="1:56" ht="15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</row>
    <row r="707" spans="1:56" ht="15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</row>
    <row r="708" spans="1:56" ht="15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</row>
    <row r="709" spans="1:56" ht="15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</row>
    <row r="710" spans="1:56" ht="15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</row>
    <row r="711" spans="1:56" ht="15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</row>
    <row r="712" spans="1:56" ht="15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</row>
    <row r="713" spans="1:56" ht="15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</row>
    <row r="714" spans="1:56" ht="15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</row>
    <row r="715" spans="1:56" ht="15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</row>
    <row r="716" spans="1:56" ht="15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</row>
    <row r="717" spans="1:56" ht="15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</row>
    <row r="718" spans="1:56" ht="15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</row>
    <row r="719" spans="1:56" ht="15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</row>
    <row r="720" spans="1:56" ht="15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</row>
    <row r="721" spans="1:56" ht="15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</row>
    <row r="722" spans="1:56" ht="15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</row>
    <row r="723" spans="1:56" ht="15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</row>
    <row r="724" spans="1:56" ht="15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</row>
    <row r="725" spans="1:56" ht="15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</row>
    <row r="726" spans="1:56" ht="15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</row>
    <row r="727" spans="1:56" ht="15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</row>
    <row r="728" spans="1:56" ht="15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</row>
    <row r="729" spans="1:56" ht="15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</row>
    <row r="730" spans="1:56" ht="15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</row>
    <row r="731" spans="1:56" ht="15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</row>
    <row r="732" spans="1:56" ht="15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</row>
    <row r="733" spans="1:56" ht="15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</row>
    <row r="734" spans="1:56" ht="15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</row>
    <row r="735" spans="1:56" ht="15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</row>
    <row r="736" spans="1:56" ht="15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</row>
    <row r="737" spans="1:56" ht="15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</row>
    <row r="738" spans="1:56" ht="15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</row>
    <row r="739" spans="1:56" ht="15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</row>
    <row r="740" spans="1:56" ht="15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</row>
    <row r="741" spans="1:56" ht="15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</row>
    <row r="742" spans="1:56" ht="15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</row>
    <row r="743" spans="1:56" ht="15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</row>
    <row r="744" spans="1:56" ht="15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</row>
    <row r="745" spans="1:56" ht="15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</row>
    <row r="746" spans="1:56" ht="15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</row>
    <row r="747" spans="1:56" ht="15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</row>
    <row r="748" spans="1:56" ht="15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</row>
    <row r="749" spans="1:56" ht="15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</row>
    <row r="750" spans="1:56" ht="15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</row>
    <row r="751" spans="1:56" ht="15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</row>
    <row r="752" spans="1:56" ht="15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</row>
    <row r="753" spans="1:56" ht="15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</row>
    <row r="754" spans="1:56" ht="15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</row>
    <row r="755" spans="1:56" ht="15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</row>
    <row r="756" spans="1:56" ht="15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</row>
    <row r="757" spans="1:56" ht="15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</row>
    <row r="758" spans="1:56" ht="15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</row>
    <row r="759" spans="1:56" ht="15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</row>
    <row r="760" spans="1:56" ht="15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</row>
    <row r="761" spans="1:56" ht="15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</row>
    <row r="762" spans="1:56" ht="15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</row>
    <row r="763" spans="1:56" ht="15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</row>
    <row r="764" spans="1:56" ht="15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</row>
    <row r="765" spans="1:56" ht="15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</row>
    <row r="766" spans="1:56" ht="15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</row>
    <row r="767" spans="1:56" ht="15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</row>
    <row r="768" spans="1:56" ht="15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</row>
    <row r="769" spans="1:56" ht="15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</row>
    <row r="770" spans="1:56" ht="15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</row>
    <row r="771" spans="1:56" ht="15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</row>
    <row r="772" spans="1:56" ht="15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</row>
    <row r="773" spans="1:56" ht="15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</row>
    <row r="774" spans="1:56" ht="15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</row>
    <row r="775" spans="1:56" ht="15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</row>
    <row r="776" spans="1:56" ht="15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</row>
    <row r="777" spans="1:56" ht="15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</row>
    <row r="778" spans="1:56" ht="15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</row>
    <row r="779" spans="1:56" ht="15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</row>
    <row r="780" spans="1:56" ht="15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</row>
    <row r="781" spans="1:56" ht="15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</row>
    <row r="782" spans="1:56" ht="15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</row>
    <row r="783" spans="1:56" ht="15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</row>
    <row r="784" spans="1:56" ht="15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</row>
    <row r="785" spans="1:56" ht="15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</row>
    <row r="786" spans="1:56" ht="15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</row>
    <row r="787" spans="1:56" ht="15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</row>
    <row r="788" spans="1:56" ht="15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</row>
    <row r="789" spans="1:56" ht="15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</row>
    <row r="790" spans="1:56" ht="15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</row>
    <row r="791" spans="1:56" ht="15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</row>
    <row r="792" spans="1:56" ht="15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</row>
    <row r="793" spans="1:56" ht="15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</row>
    <row r="794" spans="1:56" ht="15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</row>
    <row r="795" spans="1:56" ht="15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</row>
    <row r="796" spans="1:56" ht="15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</row>
    <row r="797" spans="1:56" ht="15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</row>
    <row r="798" spans="1:56" ht="15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</row>
    <row r="799" spans="1:56" ht="15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</row>
    <row r="800" spans="1:56" ht="15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</row>
    <row r="801" spans="1:56" ht="15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</row>
    <row r="802" spans="1:56" ht="15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</row>
    <row r="803" spans="1:56" ht="15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</row>
    <row r="804" spans="1:56" ht="15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</row>
    <row r="805" spans="1:56" ht="15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</row>
    <row r="806" spans="1:56" ht="15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</row>
    <row r="807" spans="1:56" ht="15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</row>
    <row r="808" spans="1:56" ht="15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</row>
    <row r="809" spans="1:56" ht="15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</row>
    <row r="810" spans="1:56" ht="15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</row>
    <row r="811" spans="1:56" ht="15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</row>
    <row r="812" spans="1:56" ht="15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</row>
    <row r="813" spans="1:56" ht="15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</row>
    <row r="814" spans="1:56" ht="15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</row>
    <row r="815" spans="1:56" ht="15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</row>
    <row r="816" spans="1:56" ht="15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</row>
    <row r="817" spans="1:56" ht="15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</row>
    <row r="818" spans="1:56" ht="15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</row>
    <row r="819" spans="1:56" ht="15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</row>
    <row r="820" spans="1:56" ht="15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</row>
    <row r="821" spans="1:56" ht="15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</row>
    <row r="822" spans="1:56" ht="15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</row>
    <row r="823" spans="1:56" ht="15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</row>
    <row r="824" spans="1:56" ht="15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</row>
    <row r="825" spans="1:56" ht="15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</row>
    <row r="826" spans="1:56" ht="15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</row>
    <row r="827" spans="1:56" ht="15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</row>
    <row r="828" spans="1:56" ht="15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</row>
    <row r="829" spans="1:56" ht="15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</row>
    <row r="830" spans="1:56" ht="15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</row>
    <row r="831" spans="1:56" ht="15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</row>
    <row r="832" spans="1:56" ht="15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</row>
    <row r="833" spans="1:56" ht="15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</row>
    <row r="834" spans="1:56" ht="15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</row>
    <row r="835" spans="1:56" ht="15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</row>
    <row r="836" spans="1:56" ht="15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</row>
    <row r="837" spans="1:56" ht="15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</row>
    <row r="838" spans="1:56" ht="15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</row>
    <row r="839" spans="1:56" ht="15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</row>
    <row r="840" spans="1:56" ht="15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</row>
    <row r="841" spans="1:56" ht="15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</row>
    <row r="842" spans="1:56" ht="15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</row>
    <row r="843" spans="1:56" ht="15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</row>
    <row r="844" spans="1:56" ht="15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</row>
    <row r="845" spans="1:56" ht="15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</row>
    <row r="846" spans="1:56" ht="15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</row>
    <row r="847" spans="1:56" ht="15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</row>
    <row r="848" spans="1:56" ht="15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</row>
    <row r="849" spans="1:56" ht="15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</row>
    <row r="850" spans="1:56" ht="15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</row>
    <row r="851" spans="1:56" ht="15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</row>
    <row r="852" spans="1:56" ht="15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</row>
    <row r="853" spans="1:56" ht="15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</row>
    <row r="854" spans="1:56" ht="15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</row>
    <row r="855" spans="1:56" ht="15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</row>
    <row r="856" spans="1:56" ht="15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</row>
    <row r="857" spans="1:56" ht="15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</row>
    <row r="858" spans="1:56" ht="15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</row>
    <row r="859" spans="1:56" ht="15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</row>
    <row r="860" spans="1:56" ht="15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</row>
    <row r="861" spans="1:56" ht="15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</row>
    <row r="862" spans="1:56" ht="15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</row>
    <row r="863" spans="1:56" ht="15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</row>
    <row r="864" spans="1:56" ht="15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</row>
    <row r="865" spans="1:56" ht="15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</row>
    <row r="866" spans="1:56" ht="15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</row>
    <row r="867" spans="1:56" ht="15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</row>
    <row r="868" spans="1:56" ht="15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</row>
    <row r="869" spans="1:56" ht="15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</row>
    <row r="870" spans="1:56" ht="15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</row>
    <row r="871" spans="1:56" ht="15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</row>
    <row r="872" spans="1:56" ht="15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</row>
    <row r="873" spans="1:56" ht="15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</row>
    <row r="874" spans="1:56" ht="15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</row>
    <row r="875" spans="1:56" ht="15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</row>
    <row r="876" spans="1:56" ht="15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</row>
    <row r="877" spans="1:56" ht="15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</row>
    <row r="878" spans="1:56" ht="15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</row>
    <row r="879" spans="1:56" ht="15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</row>
    <row r="880" spans="1:56" ht="15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</row>
    <row r="881" spans="1:56" ht="15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</row>
    <row r="882" spans="1:56" ht="15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</row>
    <row r="883" spans="1:56" ht="15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</row>
    <row r="884" spans="1:56" ht="15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</row>
    <row r="885" spans="1:56" ht="15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</row>
    <row r="886" spans="1:56" ht="15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</row>
    <row r="887" spans="1:56" ht="15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</row>
    <row r="888" spans="1:56" ht="15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</row>
    <row r="889" spans="1:56" ht="15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</row>
    <row r="890" spans="1:56" ht="15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</row>
    <row r="891" spans="1:56" ht="15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</row>
    <row r="892" spans="1:56" ht="15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</row>
    <row r="893" spans="1:56" ht="15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</row>
    <row r="894" spans="1:56" ht="15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</row>
    <row r="895" spans="1:56" ht="15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</row>
    <row r="896" spans="1:56" ht="15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</row>
    <row r="897" spans="1:56" ht="15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</row>
    <row r="898" spans="1:56" ht="15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</row>
    <row r="899" spans="1:56" ht="15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</row>
    <row r="900" spans="1:56" ht="15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</row>
    <row r="901" spans="1:56" ht="15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</row>
    <row r="902" spans="1:56" ht="15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</row>
    <row r="903" spans="1:56" ht="15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</row>
    <row r="904" spans="1:56" ht="15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</row>
    <row r="905" spans="1:56" ht="15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</row>
    <row r="906" spans="1:56" ht="15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</row>
    <row r="907" spans="1:56" ht="15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</row>
    <row r="908" spans="1:56" ht="15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</row>
    <row r="909" spans="1:56" ht="15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</row>
    <row r="910" spans="1:56" ht="15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</row>
    <row r="911" spans="1:56" ht="15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</row>
    <row r="912" spans="1:56" ht="15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</row>
    <row r="913" spans="1:56" ht="15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</row>
    <row r="914" spans="1:56" ht="15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</row>
    <row r="915" spans="1:56" ht="15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</row>
    <row r="916" spans="1:56" ht="15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</row>
    <row r="917" spans="1:56" ht="15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</row>
    <row r="918" spans="1:56" ht="15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</row>
    <row r="919" spans="1:56" ht="15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</row>
    <row r="920" spans="1:56" ht="15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</row>
    <row r="921" spans="1:56" ht="15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</row>
    <row r="922" spans="1:56" ht="15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</row>
    <row r="923" spans="1:56" ht="15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</row>
    <row r="924" spans="1:56" ht="15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</row>
    <row r="925" spans="1:56" ht="15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</row>
    <row r="926" spans="1:56" ht="15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</row>
    <row r="927" spans="1:56" ht="15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</row>
    <row r="928" spans="1:56" ht="15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</row>
    <row r="929" spans="1:56" ht="15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</row>
    <row r="930" spans="1:56" ht="15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</row>
    <row r="931" spans="1:56" ht="15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</row>
    <row r="932" spans="1:56" ht="15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</row>
    <row r="933" spans="1:56" ht="15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</row>
    <row r="934" spans="1:56" ht="15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</row>
    <row r="935" spans="1:56" ht="15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</row>
    <row r="936" spans="1:56" ht="15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</row>
    <row r="937" spans="1:56" ht="15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</row>
    <row r="938" spans="1:56" ht="15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</row>
    <row r="939" spans="1:56" ht="15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</row>
    <row r="940" spans="1:56" ht="15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</row>
    <row r="941" spans="1:56" ht="15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</row>
    <row r="942" spans="1:56" ht="15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</row>
    <row r="943" spans="1:56" ht="15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</row>
    <row r="944" spans="1:56" ht="15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</row>
    <row r="945" spans="1:56" ht="15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</row>
    <row r="946" spans="1:56" ht="15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</row>
    <row r="947" spans="1:56" ht="15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</row>
    <row r="948" spans="1:56" ht="15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</row>
    <row r="949" spans="1:56" ht="15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</row>
    <row r="950" spans="1:56" ht="15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</row>
    <row r="951" spans="1:56" ht="15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</row>
    <row r="952" spans="1:56" ht="15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</row>
    <row r="953" spans="1:56" ht="15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</row>
    <row r="954" spans="1:56" ht="15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</row>
    <row r="955" spans="1:56" ht="15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</row>
    <row r="956" spans="1:56" ht="15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</row>
    <row r="957" spans="1:56" ht="15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</row>
    <row r="958" spans="1:56" ht="15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</row>
    <row r="959" spans="1:56" ht="15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</row>
    <row r="960" spans="1:56" ht="15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</row>
    <row r="961" spans="1:56" ht="15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</row>
    <row r="962" spans="1:56" ht="15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</row>
    <row r="963" spans="1:56" ht="15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</row>
    <row r="964" spans="1:56" ht="15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</row>
    <row r="965" spans="1:56" ht="15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</row>
    <row r="966" spans="1:56" ht="15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</row>
    <row r="967" spans="1:56" ht="15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</row>
    <row r="968" spans="1:56" ht="15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</row>
    <row r="969" spans="1:56" ht="15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</row>
    <row r="970" spans="1:56" ht="15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</row>
    <row r="971" spans="1:56" ht="15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</row>
    <row r="972" spans="1:56" ht="15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</row>
    <row r="973" spans="1:56" ht="15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</row>
    <row r="974" spans="1:56" ht="15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</row>
    <row r="975" spans="1:56" ht="15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</row>
    <row r="976" spans="1:56" ht="15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</row>
    <row r="977" spans="1:56" ht="15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</row>
    <row r="978" spans="1:56" ht="15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</row>
    <row r="979" spans="1:56" ht="15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</row>
    <row r="980" spans="1:56" ht="15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</row>
    <row r="981" spans="1:56" ht="15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</row>
    <row r="982" spans="1:56" ht="15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</row>
    <row r="983" spans="1:56" ht="15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</row>
    <row r="984" spans="1:56" ht="15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</row>
    <row r="985" spans="1:56" ht="15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</row>
    <row r="986" spans="1:56" ht="15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</row>
    <row r="987" spans="1:56" ht="15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</row>
    <row r="988" spans="1:56" ht="15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</row>
    <row r="989" spans="1:56" ht="15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</row>
    <row r="990" spans="1:56" ht="15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</row>
    <row r="991" spans="1:56" ht="15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</row>
    <row r="992" spans="1:56" ht="15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</row>
    <row r="993" spans="1:56" ht="15.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</row>
    <row r="994" spans="1:56" ht="15.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</row>
    <row r="995" spans="1:56" ht="15.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</row>
    <row r="996" spans="1:56" ht="15.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</row>
    <row r="997" spans="1:56" ht="15.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</row>
    <row r="998" spans="1:56" ht="15.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</row>
  </sheetData>
  <mergeCells count="1">
    <mergeCell ref="T79:V7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X97"/>
  <sheetViews>
    <sheetView workbookViewId="0">
      <selection activeCell="G5" sqref="G5"/>
    </sheetView>
  </sheetViews>
  <sheetFormatPr defaultColWidth="11.1640625" defaultRowHeight="15" customHeight="1"/>
  <cols>
    <col min="1" max="1" width="28.6640625" customWidth="1"/>
    <col min="3" max="3" width="10.08203125" bestFit="1" customWidth="1"/>
    <col min="4" max="4" width="6.83203125" bestFit="1" customWidth="1"/>
    <col min="5" max="5" width="5.6640625" customWidth="1"/>
    <col min="6" max="6" width="6.08203125" bestFit="1" customWidth="1"/>
    <col min="7" max="25" width="5.6640625" customWidth="1"/>
    <col min="26" max="26" width="5.6640625" bestFit="1" customWidth="1"/>
    <col min="27" max="39" width="5.6640625" customWidth="1"/>
  </cols>
  <sheetData>
    <row r="1" spans="1:76" ht="106.5" customHeight="1">
      <c r="A1" s="85"/>
      <c r="B1" s="15" t="s">
        <v>0</v>
      </c>
      <c r="C1" s="22"/>
      <c r="D1" s="22">
        <v>43952</v>
      </c>
      <c r="E1" s="22">
        <f t="shared" ref="E1:AM1" si="0">EDATE(D1,1)</f>
        <v>43983</v>
      </c>
      <c r="F1" s="22">
        <f t="shared" si="0"/>
        <v>44013</v>
      </c>
      <c r="G1" s="22">
        <f t="shared" si="0"/>
        <v>44044</v>
      </c>
      <c r="H1" s="22">
        <f t="shared" si="0"/>
        <v>44075</v>
      </c>
      <c r="I1" s="22">
        <f t="shared" si="0"/>
        <v>44105</v>
      </c>
      <c r="J1" s="22">
        <f t="shared" si="0"/>
        <v>44136</v>
      </c>
      <c r="K1" s="22">
        <f t="shared" si="0"/>
        <v>44166</v>
      </c>
      <c r="L1" s="22">
        <f t="shared" si="0"/>
        <v>44197</v>
      </c>
      <c r="M1" s="22">
        <f t="shared" si="0"/>
        <v>44228</v>
      </c>
      <c r="N1" s="22">
        <f t="shared" si="0"/>
        <v>44256</v>
      </c>
      <c r="O1" s="22">
        <f t="shared" si="0"/>
        <v>44287</v>
      </c>
      <c r="P1" s="22">
        <f t="shared" si="0"/>
        <v>44317</v>
      </c>
      <c r="Q1" s="22">
        <f t="shared" si="0"/>
        <v>44348</v>
      </c>
      <c r="R1" s="22">
        <f t="shared" si="0"/>
        <v>44378</v>
      </c>
      <c r="S1" s="22">
        <f t="shared" si="0"/>
        <v>44409</v>
      </c>
      <c r="T1" s="22">
        <f t="shared" si="0"/>
        <v>44440</v>
      </c>
      <c r="U1" s="22">
        <f t="shared" si="0"/>
        <v>44470</v>
      </c>
      <c r="V1" s="22">
        <f t="shared" si="0"/>
        <v>44501</v>
      </c>
      <c r="W1" s="22">
        <f t="shared" si="0"/>
        <v>44531</v>
      </c>
      <c r="X1" s="22">
        <f t="shared" si="0"/>
        <v>44562</v>
      </c>
      <c r="Y1" s="22">
        <f t="shared" si="0"/>
        <v>44593</v>
      </c>
      <c r="Z1" s="22">
        <f t="shared" si="0"/>
        <v>44621</v>
      </c>
      <c r="AA1" s="22">
        <f t="shared" si="0"/>
        <v>44652</v>
      </c>
      <c r="AB1" s="22">
        <f t="shared" si="0"/>
        <v>44682</v>
      </c>
      <c r="AC1" s="22">
        <f t="shared" si="0"/>
        <v>44713</v>
      </c>
      <c r="AD1" s="22">
        <f t="shared" si="0"/>
        <v>44743</v>
      </c>
      <c r="AE1" s="22">
        <f t="shared" si="0"/>
        <v>44774</v>
      </c>
      <c r="AF1" s="22">
        <f t="shared" si="0"/>
        <v>44805</v>
      </c>
      <c r="AG1" s="22">
        <f t="shared" si="0"/>
        <v>44835</v>
      </c>
      <c r="AH1" s="22">
        <f t="shared" si="0"/>
        <v>44866</v>
      </c>
      <c r="AI1" s="22">
        <f t="shared" si="0"/>
        <v>44896</v>
      </c>
      <c r="AJ1" s="22">
        <f t="shared" si="0"/>
        <v>44927</v>
      </c>
      <c r="AK1" s="22">
        <f t="shared" si="0"/>
        <v>44958</v>
      </c>
      <c r="AL1" s="22">
        <f t="shared" si="0"/>
        <v>44986</v>
      </c>
      <c r="AM1" s="22">
        <f t="shared" si="0"/>
        <v>45017</v>
      </c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ht="15.5">
      <c r="A2" s="24" t="s">
        <v>6</v>
      </c>
      <c r="B2" s="25">
        <v>0.55000000000000004</v>
      </c>
      <c r="C2" s="24" t="s">
        <v>7</v>
      </c>
      <c r="D2" s="26">
        <f t="shared" ref="D2:F2" si="1">E2-(D5*E2)</f>
        <v>10058.362499999999</v>
      </c>
      <c r="E2" s="26">
        <f t="shared" si="1"/>
        <v>20116.724999999999</v>
      </c>
      <c r="F2" s="26">
        <f t="shared" si="1"/>
        <v>40233.449999999997</v>
      </c>
      <c r="G2" s="26">
        <f t="shared" ref="G2:AM2" si="2">42351</f>
        <v>42351</v>
      </c>
      <c r="H2" s="26">
        <f t="shared" si="2"/>
        <v>42351</v>
      </c>
      <c r="I2" s="26">
        <f t="shared" si="2"/>
        <v>42351</v>
      </c>
      <c r="J2" s="26">
        <f t="shared" si="2"/>
        <v>42351</v>
      </c>
      <c r="K2" s="26">
        <f t="shared" si="2"/>
        <v>42351</v>
      </c>
      <c r="L2" s="26">
        <f t="shared" si="2"/>
        <v>42351</v>
      </c>
      <c r="M2" s="26">
        <f t="shared" si="2"/>
        <v>42351</v>
      </c>
      <c r="N2" s="26">
        <f t="shared" si="2"/>
        <v>42351</v>
      </c>
      <c r="O2" s="26">
        <f t="shared" si="2"/>
        <v>42351</v>
      </c>
      <c r="P2" s="26">
        <f t="shared" si="2"/>
        <v>42351</v>
      </c>
      <c r="Q2" s="26">
        <f t="shared" si="2"/>
        <v>42351</v>
      </c>
      <c r="R2" s="26">
        <f t="shared" si="2"/>
        <v>42351</v>
      </c>
      <c r="S2" s="26">
        <f t="shared" si="2"/>
        <v>42351</v>
      </c>
      <c r="T2" s="26">
        <f t="shared" si="2"/>
        <v>42351</v>
      </c>
      <c r="U2" s="26">
        <f t="shared" si="2"/>
        <v>42351</v>
      </c>
      <c r="V2" s="26">
        <f t="shared" si="2"/>
        <v>42351</v>
      </c>
      <c r="W2" s="26">
        <f t="shared" si="2"/>
        <v>42351</v>
      </c>
      <c r="X2" s="26">
        <f t="shared" si="2"/>
        <v>42351</v>
      </c>
      <c r="Y2" s="26">
        <f t="shared" si="2"/>
        <v>42351</v>
      </c>
      <c r="Z2" s="26">
        <f t="shared" si="2"/>
        <v>42351</v>
      </c>
      <c r="AA2" s="26">
        <f t="shared" si="2"/>
        <v>42351</v>
      </c>
      <c r="AB2" s="26">
        <f t="shared" si="2"/>
        <v>42351</v>
      </c>
      <c r="AC2" s="26">
        <f t="shared" si="2"/>
        <v>42351</v>
      </c>
      <c r="AD2" s="26">
        <f t="shared" si="2"/>
        <v>42351</v>
      </c>
      <c r="AE2" s="26">
        <f t="shared" si="2"/>
        <v>42351</v>
      </c>
      <c r="AF2" s="26">
        <f t="shared" si="2"/>
        <v>42351</v>
      </c>
      <c r="AG2" s="26">
        <f t="shared" si="2"/>
        <v>42351</v>
      </c>
      <c r="AH2" s="26">
        <f t="shared" si="2"/>
        <v>42351</v>
      </c>
      <c r="AI2" s="26">
        <f t="shared" si="2"/>
        <v>42351</v>
      </c>
      <c r="AJ2" s="26">
        <f t="shared" si="2"/>
        <v>42351</v>
      </c>
      <c r="AK2" s="26">
        <f t="shared" si="2"/>
        <v>42351</v>
      </c>
      <c r="AL2" s="26">
        <f t="shared" si="2"/>
        <v>42351</v>
      </c>
      <c r="AM2" s="26">
        <f t="shared" si="2"/>
        <v>42351</v>
      </c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</row>
    <row r="3" spans="1:76" ht="15.5">
      <c r="A3" s="24" t="s">
        <v>9</v>
      </c>
      <c r="B3" s="25">
        <v>0.3</v>
      </c>
      <c r="C3" s="24" t="s">
        <v>10</v>
      </c>
      <c r="D3" s="26">
        <f t="shared" ref="D3:F3" si="3">E3-(D5*E3)</f>
        <v>40233.6875</v>
      </c>
      <c r="E3" s="26">
        <f t="shared" si="3"/>
        <v>80467.375</v>
      </c>
      <c r="F3" s="26">
        <f t="shared" si="3"/>
        <v>160934.75</v>
      </c>
      <c r="G3" s="26">
        <f t="shared" ref="G3:AM3" si="4">169405</f>
        <v>169405</v>
      </c>
      <c r="H3" s="26">
        <f t="shared" si="4"/>
        <v>169405</v>
      </c>
      <c r="I3" s="26">
        <f t="shared" si="4"/>
        <v>169405</v>
      </c>
      <c r="J3" s="26">
        <f t="shared" si="4"/>
        <v>169405</v>
      </c>
      <c r="K3" s="26">
        <f t="shared" si="4"/>
        <v>169405</v>
      </c>
      <c r="L3" s="26">
        <f t="shared" si="4"/>
        <v>169405</v>
      </c>
      <c r="M3" s="26">
        <f t="shared" si="4"/>
        <v>169405</v>
      </c>
      <c r="N3" s="26">
        <f t="shared" si="4"/>
        <v>169405</v>
      </c>
      <c r="O3" s="26">
        <f t="shared" si="4"/>
        <v>169405</v>
      </c>
      <c r="P3" s="26">
        <f t="shared" si="4"/>
        <v>169405</v>
      </c>
      <c r="Q3" s="26">
        <f t="shared" si="4"/>
        <v>169405</v>
      </c>
      <c r="R3" s="26">
        <f t="shared" si="4"/>
        <v>169405</v>
      </c>
      <c r="S3" s="26">
        <f t="shared" si="4"/>
        <v>169405</v>
      </c>
      <c r="T3" s="26">
        <f t="shared" si="4"/>
        <v>169405</v>
      </c>
      <c r="U3" s="26">
        <f t="shared" si="4"/>
        <v>169405</v>
      </c>
      <c r="V3" s="26">
        <f t="shared" si="4"/>
        <v>169405</v>
      </c>
      <c r="W3" s="26">
        <f t="shared" si="4"/>
        <v>169405</v>
      </c>
      <c r="X3" s="26">
        <f t="shared" si="4"/>
        <v>169405</v>
      </c>
      <c r="Y3" s="26">
        <f t="shared" si="4"/>
        <v>169405</v>
      </c>
      <c r="Z3" s="26">
        <f t="shared" si="4"/>
        <v>169405</v>
      </c>
      <c r="AA3" s="26">
        <f t="shared" si="4"/>
        <v>169405</v>
      </c>
      <c r="AB3" s="26">
        <f t="shared" si="4"/>
        <v>169405</v>
      </c>
      <c r="AC3" s="26">
        <f t="shared" si="4"/>
        <v>169405</v>
      </c>
      <c r="AD3" s="26">
        <f t="shared" si="4"/>
        <v>169405</v>
      </c>
      <c r="AE3" s="26">
        <f t="shared" si="4"/>
        <v>169405</v>
      </c>
      <c r="AF3" s="26">
        <f t="shared" si="4"/>
        <v>169405</v>
      </c>
      <c r="AG3" s="26">
        <f t="shared" si="4"/>
        <v>169405</v>
      </c>
      <c r="AH3" s="26">
        <f t="shared" si="4"/>
        <v>169405</v>
      </c>
      <c r="AI3" s="26">
        <f t="shared" si="4"/>
        <v>169405</v>
      </c>
      <c r="AJ3" s="26">
        <f t="shared" si="4"/>
        <v>169405</v>
      </c>
      <c r="AK3" s="26">
        <f t="shared" si="4"/>
        <v>169405</v>
      </c>
      <c r="AL3" s="26">
        <f t="shared" si="4"/>
        <v>169405</v>
      </c>
      <c r="AM3" s="26">
        <f t="shared" si="4"/>
        <v>169405</v>
      </c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</row>
    <row r="4" spans="1:76" ht="15.5">
      <c r="A4" s="28" t="s">
        <v>0</v>
      </c>
      <c r="B4" s="29"/>
      <c r="C4" s="30"/>
      <c r="D4" s="30">
        <f>(D2*$B$2)+(D3*$B$3)</f>
        <v>17602.205624999999</v>
      </c>
      <c r="E4" s="30">
        <f t="shared" ref="E4:AM4" si="5">(E2*$B$2)+(E3*$B$3)</f>
        <v>35204.411249999997</v>
      </c>
      <c r="F4" s="30">
        <f t="shared" si="5"/>
        <v>70408.822499999995</v>
      </c>
      <c r="G4" s="30">
        <f t="shared" si="5"/>
        <v>74114.55</v>
      </c>
      <c r="H4" s="30">
        <f t="shared" si="5"/>
        <v>74114.55</v>
      </c>
      <c r="I4" s="30">
        <f t="shared" si="5"/>
        <v>74114.55</v>
      </c>
      <c r="J4" s="30">
        <f t="shared" si="5"/>
        <v>74114.55</v>
      </c>
      <c r="K4" s="30">
        <f t="shared" si="5"/>
        <v>74114.55</v>
      </c>
      <c r="L4" s="30">
        <f t="shared" si="5"/>
        <v>74114.55</v>
      </c>
      <c r="M4" s="30">
        <f t="shared" si="5"/>
        <v>74114.55</v>
      </c>
      <c r="N4" s="30">
        <f t="shared" si="5"/>
        <v>74114.55</v>
      </c>
      <c r="O4" s="30">
        <f t="shared" si="5"/>
        <v>74114.55</v>
      </c>
      <c r="P4" s="30">
        <f t="shared" si="5"/>
        <v>74114.55</v>
      </c>
      <c r="Q4" s="30">
        <f t="shared" si="5"/>
        <v>74114.55</v>
      </c>
      <c r="R4" s="30">
        <f t="shared" si="5"/>
        <v>74114.55</v>
      </c>
      <c r="S4" s="30">
        <f t="shared" si="5"/>
        <v>74114.55</v>
      </c>
      <c r="T4" s="30">
        <f t="shared" si="5"/>
        <v>74114.55</v>
      </c>
      <c r="U4" s="30">
        <f t="shared" si="5"/>
        <v>74114.55</v>
      </c>
      <c r="V4" s="30">
        <f t="shared" si="5"/>
        <v>74114.55</v>
      </c>
      <c r="W4" s="30">
        <f t="shared" si="5"/>
        <v>74114.55</v>
      </c>
      <c r="X4" s="30">
        <f t="shared" si="5"/>
        <v>74114.55</v>
      </c>
      <c r="Y4" s="30">
        <f t="shared" si="5"/>
        <v>74114.55</v>
      </c>
      <c r="Z4" s="30">
        <f t="shared" si="5"/>
        <v>74114.55</v>
      </c>
      <c r="AA4" s="30">
        <f t="shared" si="5"/>
        <v>74114.55</v>
      </c>
      <c r="AB4" s="30">
        <f t="shared" si="5"/>
        <v>74114.55</v>
      </c>
      <c r="AC4" s="30">
        <f t="shared" si="5"/>
        <v>74114.55</v>
      </c>
      <c r="AD4" s="30">
        <f t="shared" si="5"/>
        <v>74114.55</v>
      </c>
      <c r="AE4" s="30">
        <f t="shared" si="5"/>
        <v>74114.55</v>
      </c>
      <c r="AF4" s="30">
        <f t="shared" si="5"/>
        <v>74114.55</v>
      </c>
      <c r="AG4" s="30">
        <f t="shared" si="5"/>
        <v>74114.55</v>
      </c>
      <c r="AH4" s="30">
        <f t="shared" si="5"/>
        <v>74114.55</v>
      </c>
      <c r="AI4" s="30">
        <f t="shared" si="5"/>
        <v>74114.55</v>
      </c>
      <c r="AJ4" s="30">
        <f t="shared" si="5"/>
        <v>74114.55</v>
      </c>
      <c r="AK4" s="30">
        <f t="shared" si="5"/>
        <v>74114.55</v>
      </c>
      <c r="AL4" s="30">
        <f t="shared" si="5"/>
        <v>74114.55</v>
      </c>
      <c r="AM4" s="30">
        <f t="shared" si="5"/>
        <v>74114.55</v>
      </c>
      <c r="AN4" s="31">
        <f>SUM(D4:AM4)</f>
        <v>2568995.5893749995</v>
      </c>
      <c r="AO4" s="32" t="s">
        <v>12</v>
      </c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</row>
    <row r="5" spans="1:76" ht="15.5">
      <c r="A5" s="24" t="s">
        <v>14</v>
      </c>
      <c r="B5" s="27"/>
      <c r="C5" s="33"/>
      <c r="D5" s="33">
        <v>0.5</v>
      </c>
      <c r="E5" s="33">
        <v>0.5</v>
      </c>
      <c r="F5" s="33">
        <v>0.05</v>
      </c>
      <c r="G5" s="33">
        <v>0</v>
      </c>
      <c r="H5" s="33">
        <v>0</v>
      </c>
      <c r="I5" s="33">
        <v>0.05</v>
      </c>
      <c r="J5" s="33">
        <v>0.05</v>
      </c>
      <c r="K5" s="33">
        <v>0.05</v>
      </c>
      <c r="L5" s="33">
        <v>0.05</v>
      </c>
      <c r="M5" s="33">
        <v>0.05</v>
      </c>
      <c r="N5" s="33">
        <v>0.05</v>
      </c>
      <c r="O5" s="33">
        <v>0.05</v>
      </c>
      <c r="P5" s="33">
        <v>0.05</v>
      </c>
      <c r="Q5" s="33">
        <v>0.05</v>
      </c>
      <c r="R5" s="33">
        <v>0.05</v>
      </c>
      <c r="S5" s="33">
        <v>0.05</v>
      </c>
      <c r="T5" s="33">
        <v>0.05</v>
      </c>
      <c r="U5" s="33">
        <v>0.05</v>
      </c>
      <c r="V5" s="33">
        <v>0.05</v>
      </c>
      <c r="W5" s="33">
        <v>0.05</v>
      </c>
      <c r="X5" s="33">
        <v>0.05</v>
      </c>
      <c r="Y5" s="33">
        <v>0.05</v>
      </c>
      <c r="Z5" s="33">
        <v>0.05</v>
      </c>
      <c r="AA5" s="33">
        <v>0.05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4"/>
      <c r="AO5" s="34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</row>
    <row r="6" spans="1:76" ht="15.5">
      <c r="A6" s="24" t="s">
        <v>16</v>
      </c>
      <c r="B6" s="27"/>
      <c r="C6" s="27"/>
      <c r="D6" s="26">
        <f t="shared" ref="D6:AM6" si="6">SUM(D2:D3)</f>
        <v>50292.05</v>
      </c>
      <c r="E6" s="26">
        <f t="shared" si="6"/>
        <v>100584.1</v>
      </c>
      <c r="F6" s="26">
        <f t="shared" si="6"/>
        <v>201168.2</v>
      </c>
      <c r="G6" s="26">
        <f t="shared" si="6"/>
        <v>211756</v>
      </c>
      <c r="H6" s="26">
        <f t="shared" si="6"/>
        <v>211756</v>
      </c>
      <c r="I6" s="26">
        <f t="shared" si="6"/>
        <v>211756</v>
      </c>
      <c r="J6" s="26">
        <f t="shared" si="6"/>
        <v>211756</v>
      </c>
      <c r="K6" s="26">
        <f t="shared" si="6"/>
        <v>211756</v>
      </c>
      <c r="L6" s="26">
        <f t="shared" si="6"/>
        <v>211756</v>
      </c>
      <c r="M6" s="26">
        <f t="shared" si="6"/>
        <v>211756</v>
      </c>
      <c r="N6" s="26">
        <f t="shared" si="6"/>
        <v>211756</v>
      </c>
      <c r="O6" s="26">
        <f t="shared" si="6"/>
        <v>211756</v>
      </c>
      <c r="P6" s="26">
        <f t="shared" si="6"/>
        <v>211756</v>
      </c>
      <c r="Q6" s="26">
        <f t="shared" si="6"/>
        <v>211756</v>
      </c>
      <c r="R6" s="26">
        <f t="shared" si="6"/>
        <v>211756</v>
      </c>
      <c r="S6" s="26">
        <f t="shared" si="6"/>
        <v>211756</v>
      </c>
      <c r="T6" s="26">
        <f t="shared" si="6"/>
        <v>211756</v>
      </c>
      <c r="U6" s="26">
        <f t="shared" si="6"/>
        <v>211756</v>
      </c>
      <c r="V6" s="26">
        <f t="shared" si="6"/>
        <v>211756</v>
      </c>
      <c r="W6" s="26">
        <f t="shared" si="6"/>
        <v>211756</v>
      </c>
      <c r="X6" s="26">
        <f t="shared" si="6"/>
        <v>211756</v>
      </c>
      <c r="Y6" s="26">
        <f t="shared" si="6"/>
        <v>211756</v>
      </c>
      <c r="Z6" s="26">
        <f t="shared" si="6"/>
        <v>211756</v>
      </c>
      <c r="AA6" s="26">
        <f t="shared" si="6"/>
        <v>211756</v>
      </c>
      <c r="AB6" s="26">
        <f t="shared" si="6"/>
        <v>211756</v>
      </c>
      <c r="AC6" s="26">
        <f t="shared" si="6"/>
        <v>211756</v>
      </c>
      <c r="AD6" s="26">
        <f t="shared" si="6"/>
        <v>211756</v>
      </c>
      <c r="AE6" s="26">
        <f t="shared" si="6"/>
        <v>211756</v>
      </c>
      <c r="AF6" s="26">
        <f t="shared" si="6"/>
        <v>211756</v>
      </c>
      <c r="AG6" s="26">
        <f t="shared" si="6"/>
        <v>211756</v>
      </c>
      <c r="AH6" s="26">
        <f t="shared" si="6"/>
        <v>211756</v>
      </c>
      <c r="AI6" s="26">
        <f t="shared" si="6"/>
        <v>211756</v>
      </c>
      <c r="AJ6" s="26">
        <f t="shared" si="6"/>
        <v>211756</v>
      </c>
      <c r="AK6" s="26">
        <f t="shared" si="6"/>
        <v>211756</v>
      </c>
      <c r="AL6" s="26">
        <f t="shared" si="6"/>
        <v>211756</v>
      </c>
      <c r="AM6" s="26">
        <f t="shared" si="6"/>
        <v>211756</v>
      </c>
      <c r="AN6" s="37">
        <f>SUM(D6:AM6)</f>
        <v>7339992.3499999996</v>
      </c>
      <c r="AO6" s="38" t="s">
        <v>17</v>
      </c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</row>
    <row r="7" spans="1:76" ht="15.5">
      <c r="A7" s="24" t="s">
        <v>255</v>
      </c>
      <c r="B7" s="24">
        <v>1.5</v>
      </c>
      <c r="C7" s="27"/>
      <c r="D7" s="26">
        <f>D6/$B7</f>
        <v>33528.033333333333</v>
      </c>
      <c r="E7" s="26">
        <f t="shared" ref="E7:AM7" si="7">E6/$B7</f>
        <v>67056.066666666666</v>
      </c>
      <c r="F7" s="26">
        <f t="shared" si="7"/>
        <v>134112.13333333333</v>
      </c>
      <c r="G7" s="26">
        <f t="shared" si="7"/>
        <v>141170.66666666666</v>
      </c>
      <c r="H7" s="26">
        <f t="shared" si="7"/>
        <v>141170.66666666666</v>
      </c>
      <c r="I7" s="26">
        <f t="shared" si="7"/>
        <v>141170.66666666666</v>
      </c>
      <c r="J7" s="26">
        <f t="shared" si="7"/>
        <v>141170.66666666666</v>
      </c>
      <c r="K7" s="26">
        <f t="shared" si="7"/>
        <v>141170.66666666666</v>
      </c>
      <c r="L7" s="26">
        <f t="shared" si="7"/>
        <v>141170.66666666666</v>
      </c>
      <c r="M7" s="26">
        <f t="shared" si="7"/>
        <v>141170.66666666666</v>
      </c>
      <c r="N7" s="26">
        <f t="shared" si="7"/>
        <v>141170.66666666666</v>
      </c>
      <c r="O7" s="26">
        <f t="shared" si="7"/>
        <v>141170.66666666666</v>
      </c>
      <c r="P7" s="26">
        <f t="shared" si="7"/>
        <v>141170.66666666666</v>
      </c>
      <c r="Q7" s="26">
        <f t="shared" si="7"/>
        <v>141170.66666666666</v>
      </c>
      <c r="R7" s="26">
        <f t="shared" si="7"/>
        <v>141170.66666666666</v>
      </c>
      <c r="S7" s="26">
        <f t="shared" si="7"/>
        <v>141170.66666666666</v>
      </c>
      <c r="T7" s="26">
        <f t="shared" si="7"/>
        <v>141170.66666666666</v>
      </c>
      <c r="U7" s="26">
        <f t="shared" si="7"/>
        <v>141170.66666666666</v>
      </c>
      <c r="V7" s="26">
        <f t="shared" si="7"/>
        <v>141170.66666666666</v>
      </c>
      <c r="W7" s="26">
        <f t="shared" si="7"/>
        <v>141170.66666666666</v>
      </c>
      <c r="X7" s="26">
        <f t="shared" si="7"/>
        <v>141170.66666666666</v>
      </c>
      <c r="Y7" s="26">
        <f t="shared" si="7"/>
        <v>141170.66666666666</v>
      </c>
      <c r="Z7" s="26">
        <f t="shared" si="7"/>
        <v>141170.66666666666</v>
      </c>
      <c r="AA7" s="26">
        <f t="shared" si="7"/>
        <v>141170.66666666666</v>
      </c>
      <c r="AB7" s="26">
        <f t="shared" si="7"/>
        <v>141170.66666666666</v>
      </c>
      <c r="AC7" s="26">
        <f t="shared" si="7"/>
        <v>141170.66666666666</v>
      </c>
      <c r="AD7" s="26">
        <f t="shared" si="7"/>
        <v>141170.66666666666</v>
      </c>
      <c r="AE7" s="26">
        <f t="shared" si="7"/>
        <v>141170.66666666666</v>
      </c>
      <c r="AF7" s="26">
        <f t="shared" si="7"/>
        <v>141170.66666666666</v>
      </c>
      <c r="AG7" s="26">
        <f t="shared" si="7"/>
        <v>141170.66666666666</v>
      </c>
      <c r="AH7" s="26">
        <f t="shared" si="7"/>
        <v>141170.66666666666</v>
      </c>
      <c r="AI7" s="26">
        <f t="shared" si="7"/>
        <v>141170.66666666666</v>
      </c>
      <c r="AJ7" s="26">
        <f t="shared" si="7"/>
        <v>141170.66666666666</v>
      </c>
      <c r="AK7" s="26">
        <f t="shared" si="7"/>
        <v>141170.66666666666</v>
      </c>
      <c r="AL7" s="26">
        <f t="shared" si="7"/>
        <v>141170.66666666666</v>
      </c>
      <c r="AM7" s="26">
        <f t="shared" si="7"/>
        <v>141170.66666666666</v>
      </c>
      <c r="AN7" s="34"/>
      <c r="AO7" s="34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</row>
    <row r="8" spans="1:76" ht="15.5">
      <c r="A8" s="24" t="s">
        <v>21</v>
      </c>
      <c r="B8" s="33">
        <v>0.4</v>
      </c>
      <c r="C8" s="27"/>
      <c r="D8" s="26">
        <f t="shared" ref="D8:AM8" si="8">D7*$B8</f>
        <v>13411.213333333333</v>
      </c>
      <c r="E8" s="26">
        <f t="shared" si="8"/>
        <v>26822.426666666666</v>
      </c>
      <c r="F8" s="26">
        <f t="shared" si="8"/>
        <v>53644.853333333333</v>
      </c>
      <c r="G8" s="26">
        <f t="shared" si="8"/>
        <v>56468.266666666663</v>
      </c>
      <c r="H8" s="26">
        <f t="shared" si="8"/>
        <v>56468.266666666663</v>
      </c>
      <c r="I8" s="26">
        <f t="shared" si="8"/>
        <v>56468.266666666663</v>
      </c>
      <c r="J8" s="26">
        <f t="shared" si="8"/>
        <v>56468.266666666663</v>
      </c>
      <c r="K8" s="26">
        <f t="shared" si="8"/>
        <v>56468.266666666663</v>
      </c>
      <c r="L8" s="26">
        <f t="shared" si="8"/>
        <v>56468.266666666663</v>
      </c>
      <c r="M8" s="26">
        <f t="shared" si="8"/>
        <v>56468.266666666663</v>
      </c>
      <c r="N8" s="26">
        <f t="shared" si="8"/>
        <v>56468.266666666663</v>
      </c>
      <c r="O8" s="26">
        <f t="shared" si="8"/>
        <v>56468.266666666663</v>
      </c>
      <c r="P8" s="26">
        <f t="shared" si="8"/>
        <v>56468.266666666663</v>
      </c>
      <c r="Q8" s="26">
        <f t="shared" si="8"/>
        <v>56468.266666666663</v>
      </c>
      <c r="R8" s="26">
        <f t="shared" si="8"/>
        <v>56468.266666666663</v>
      </c>
      <c r="S8" s="26">
        <f t="shared" si="8"/>
        <v>56468.266666666663</v>
      </c>
      <c r="T8" s="26">
        <f t="shared" si="8"/>
        <v>56468.266666666663</v>
      </c>
      <c r="U8" s="26">
        <f t="shared" si="8"/>
        <v>56468.266666666663</v>
      </c>
      <c r="V8" s="26">
        <f t="shared" si="8"/>
        <v>56468.266666666663</v>
      </c>
      <c r="W8" s="26">
        <f t="shared" si="8"/>
        <v>56468.266666666663</v>
      </c>
      <c r="X8" s="26">
        <f t="shared" si="8"/>
        <v>56468.266666666663</v>
      </c>
      <c r="Y8" s="26">
        <f t="shared" si="8"/>
        <v>56468.266666666663</v>
      </c>
      <c r="Z8" s="26">
        <f t="shared" si="8"/>
        <v>56468.266666666663</v>
      </c>
      <c r="AA8" s="26">
        <f t="shared" si="8"/>
        <v>56468.266666666663</v>
      </c>
      <c r="AB8" s="26">
        <f t="shared" si="8"/>
        <v>56468.266666666663</v>
      </c>
      <c r="AC8" s="26">
        <f t="shared" si="8"/>
        <v>56468.266666666663</v>
      </c>
      <c r="AD8" s="26">
        <f t="shared" si="8"/>
        <v>56468.266666666663</v>
      </c>
      <c r="AE8" s="26">
        <f t="shared" si="8"/>
        <v>56468.266666666663</v>
      </c>
      <c r="AF8" s="26">
        <f t="shared" si="8"/>
        <v>56468.266666666663</v>
      </c>
      <c r="AG8" s="26">
        <f t="shared" si="8"/>
        <v>56468.266666666663</v>
      </c>
      <c r="AH8" s="26">
        <f t="shared" si="8"/>
        <v>56468.266666666663</v>
      </c>
      <c r="AI8" s="26">
        <f t="shared" si="8"/>
        <v>56468.266666666663</v>
      </c>
      <c r="AJ8" s="26">
        <f t="shared" si="8"/>
        <v>56468.266666666663</v>
      </c>
      <c r="AK8" s="26">
        <f t="shared" si="8"/>
        <v>56468.266666666663</v>
      </c>
      <c r="AL8" s="26">
        <f t="shared" si="8"/>
        <v>56468.266666666663</v>
      </c>
      <c r="AM8" s="26">
        <f t="shared" si="8"/>
        <v>56468.266666666663</v>
      </c>
      <c r="AN8" s="34"/>
      <c r="AO8" s="34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</row>
    <row r="9" spans="1:76" ht="15.5">
      <c r="A9" s="24" t="s">
        <v>22</v>
      </c>
      <c r="B9" s="27"/>
      <c r="C9" s="27"/>
      <c r="D9" s="26">
        <f>D7-D8</f>
        <v>20116.82</v>
      </c>
      <c r="E9" s="26">
        <f t="shared" ref="E9:AM9" si="9">E7-E8</f>
        <v>40233.64</v>
      </c>
      <c r="F9" s="26">
        <f t="shared" si="9"/>
        <v>80467.28</v>
      </c>
      <c r="G9" s="26">
        <f t="shared" si="9"/>
        <v>84702.399999999994</v>
      </c>
      <c r="H9" s="26">
        <f t="shared" si="9"/>
        <v>84702.399999999994</v>
      </c>
      <c r="I9" s="26">
        <f t="shared" si="9"/>
        <v>84702.399999999994</v>
      </c>
      <c r="J9" s="26">
        <f t="shared" si="9"/>
        <v>84702.399999999994</v>
      </c>
      <c r="K9" s="26">
        <f t="shared" si="9"/>
        <v>84702.399999999994</v>
      </c>
      <c r="L9" s="26">
        <f t="shared" si="9"/>
        <v>84702.399999999994</v>
      </c>
      <c r="M9" s="26">
        <f t="shared" si="9"/>
        <v>84702.399999999994</v>
      </c>
      <c r="N9" s="26">
        <f t="shared" si="9"/>
        <v>84702.399999999994</v>
      </c>
      <c r="O9" s="26">
        <f t="shared" si="9"/>
        <v>84702.399999999994</v>
      </c>
      <c r="P9" s="26">
        <f t="shared" si="9"/>
        <v>84702.399999999994</v>
      </c>
      <c r="Q9" s="26">
        <f t="shared" si="9"/>
        <v>84702.399999999994</v>
      </c>
      <c r="R9" s="26">
        <f t="shared" si="9"/>
        <v>84702.399999999994</v>
      </c>
      <c r="S9" s="26">
        <f t="shared" si="9"/>
        <v>84702.399999999994</v>
      </c>
      <c r="T9" s="26">
        <f t="shared" si="9"/>
        <v>84702.399999999994</v>
      </c>
      <c r="U9" s="26">
        <f t="shared" si="9"/>
        <v>84702.399999999994</v>
      </c>
      <c r="V9" s="26">
        <f t="shared" si="9"/>
        <v>84702.399999999994</v>
      </c>
      <c r="W9" s="26">
        <f t="shared" si="9"/>
        <v>84702.399999999994</v>
      </c>
      <c r="X9" s="26">
        <f t="shared" si="9"/>
        <v>84702.399999999994</v>
      </c>
      <c r="Y9" s="26">
        <f t="shared" si="9"/>
        <v>84702.399999999994</v>
      </c>
      <c r="Z9" s="26">
        <f t="shared" si="9"/>
        <v>84702.399999999994</v>
      </c>
      <c r="AA9" s="26">
        <f t="shared" si="9"/>
        <v>84702.399999999994</v>
      </c>
      <c r="AB9" s="26">
        <f t="shared" si="9"/>
        <v>84702.399999999994</v>
      </c>
      <c r="AC9" s="26">
        <f t="shared" si="9"/>
        <v>84702.399999999994</v>
      </c>
      <c r="AD9" s="26">
        <f t="shared" si="9"/>
        <v>84702.399999999994</v>
      </c>
      <c r="AE9" s="26">
        <f t="shared" si="9"/>
        <v>84702.399999999994</v>
      </c>
      <c r="AF9" s="26">
        <f t="shared" si="9"/>
        <v>84702.399999999994</v>
      </c>
      <c r="AG9" s="26">
        <f t="shared" si="9"/>
        <v>84702.399999999994</v>
      </c>
      <c r="AH9" s="26">
        <f t="shared" si="9"/>
        <v>84702.399999999994</v>
      </c>
      <c r="AI9" s="26">
        <f t="shared" si="9"/>
        <v>84702.399999999994</v>
      </c>
      <c r="AJ9" s="26">
        <f t="shared" si="9"/>
        <v>84702.399999999994</v>
      </c>
      <c r="AK9" s="26">
        <f t="shared" si="9"/>
        <v>84702.399999999994</v>
      </c>
      <c r="AL9" s="26">
        <f t="shared" si="9"/>
        <v>84702.399999999994</v>
      </c>
      <c r="AM9" s="26">
        <f t="shared" si="9"/>
        <v>84702.399999999994</v>
      </c>
      <c r="AN9" s="34"/>
      <c r="AO9" s="34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</row>
    <row r="10" spans="1:76" ht="15.5">
      <c r="A10" s="24" t="s">
        <v>23</v>
      </c>
      <c r="B10" s="41">
        <v>0.56000000000000005</v>
      </c>
      <c r="C10" s="27"/>
      <c r="D10" s="42">
        <f t="shared" ref="D10:AM10" si="10">D7*$B10</f>
        <v>18775.698666666667</v>
      </c>
      <c r="E10" s="42">
        <f t="shared" si="10"/>
        <v>37551.397333333334</v>
      </c>
      <c r="F10" s="42">
        <f t="shared" si="10"/>
        <v>75102.794666666668</v>
      </c>
      <c r="G10" s="42">
        <f t="shared" si="10"/>
        <v>79055.573333333334</v>
      </c>
      <c r="H10" s="42">
        <f t="shared" si="10"/>
        <v>79055.573333333334</v>
      </c>
      <c r="I10" s="42">
        <f t="shared" si="10"/>
        <v>79055.573333333334</v>
      </c>
      <c r="J10" s="42">
        <f t="shared" si="10"/>
        <v>79055.573333333334</v>
      </c>
      <c r="K10" s="42">
        <f t="shared" si="10"/>
        <v>79055.573333333334</v>
      </c>
      <c r="L10" s="42">
        <f t="shared" si="10"/>
        <v>79055.573333333334</v>
      </c>
      <c r="M10" s="42">
        <f t="shared" si="10"/>
        <v>79055.573333333334</v>
      </c>
      <c r="N10" s="42">
        <f t="shared" si="10"/>
        <v>79055.573333333334</v>
      </c>
      <c r="O10" s="42">
        <f t="shared" si="10"/>
        <v>79055.573333333334</v>
      </c>
      <c r="P10" s="42">
        <f t="shared" si="10"/>
        <v>79055.573333333334</v>
      </c>
      <c r="Q10" s="42">
        <f t="shared" si="10"/>
        <v>79055.573333333334</v>
      </c>
      <c r="R10" s="42">
        <f t="shared" si="10"/>
        <v>79055.573333333334</v>
      </c>
      <c r="S10" s="42">
        <f t="shared" si="10"/>
        <v>79055.573333333334</v>
      </c>
      <c r="T10" s="42">
        <f t="shared" si="10"/>
        <v>79055.573333333334</v>
      </c>
      <c r="U10" s="42">
        <f t="shared" si="10"/>
        <v>79055.573333333334</v>
      </c>
      <c r="V10" s="42">
        <f t="shared" si="10"/>
        <v>79055.573333333334</v>
      </c>
      <c r="W10" s="42">
        <f t="shared" si="10"/>
        <v>79055.573333333334</v>
      </c>
      <c r="X10" s="42">
        <f t="shared" si="10"/>
        <v>79055.573333333334</v>
      </c>
      <c r="Y10" s="42">
        <f t="shared" si="10"/>
        <v>79055.573333333334</v>
      </c>
      <c r="Z10" s="42">
        <f t="shared" si="10"/>
        <v>79055.573333333334</v>
      </c>
      <c r="AA10" s="42">
        <f t="shared" si="10"/>
        <v>79055.573333333334</v>
      </c>
      <c r="AB10" s="42">
        <f t="shared" si="10"/>
        <v>79055.573333333334</v>
      </c>
      <c r="AC10" s="42">
        <f t="shared" si="10"/>
        <v>79055.573333333334</v>
      </c>
      <c r="AD10" s="42">
        <f t="shared" si="10"/>
        <v>79055.573333333334</v>
      </c>
      <c r="AE10" s="42">
        <f t="shared" si="10"/>
        <v>79055.573333333334</v>
      </c>
      <c r="AF10" s="42">
        <f t="shared" si="10"/>
        <v>79055.573333333334</v>
      </c>
      <c r="AG10" s="42">
        <f t="shared" si="10"/>
        <v>79055.573333333334</v>
      </c>
      <c r="AH10" s="42">
        <f t="shared" si="10"/>
        <v>79055.573333333334</v>
      </c>
      <c r="AI10" s="42">
        <f t="shared" si="10"/>
        <v>79055.573333333334</v>
      </c>
      <c r="AJ10" s="42">
        <f t="shared" si="10"/>
        <v>79055.573333333334</v>
      </c>
      <c r="AK10" s="42">
        <f t="shared" si="10"/>
        <v>79055.573333333334</v>
      </c>
      <c r="AL10" s="42">
        <f t="shared" si="10"/>
        <v>79055.573333333334</v>
      </c>
      <c r="AM10" s="42">
        <f t="shared" si="10"/>
        <v>79055.573333333334</v>
      </c>
      <c r="AN10" s="31">
        <f>SUM(D10:AM10)</f>
        <v>2740263.810666665</v>
      </c>
      <c r="AO10" s="38" t="s">
        <v>24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</row>
    <row r="11" spans="1:76" ht="15.5">
      <c r="A11" s="24" t="s">
        <v>27</v>
      </c>
      <c r="B11" s="41">
        <v>0.1769</v>
      </c>
      <c r="C11" s="27"/>
      <c r="D11" s="43">
        <f>$B11*D8</f>
        <v>2372.4436386666666</v>
      </c>
      <c r="E11" s="43">
        <f t="shared" ref="E11:AM11" si="11">$B11*E8</f>
        <v>4744.8872773333333</v>
      </c>
      <c r="F11" s="43">
        <f t="shared" si="11"/>
        <v>9489.7745546666665</v>
      </c>
      <c r="G11" s="43">
        <f t="shared" si="11"/>
        <v>9989.2363733333332</v>
      </c>
      <c r="H11" s="43">
        <f t="shared" si="11"/>
        <v>9989.2363733333332</v>
      </c>
      <c r="I11" s="43">
        <f t="shared" si="11"/>
        <v>9989.2363733333332</v>
      </c>
      <c r="J11" s="43">
        <f t="shared" si="11"/>
        <v>9989.2363733333332</v>
      </c>
      <c r="K11" s="43">
        <f t="shared" si="11"/>
        <v>9989.2363733333332</v>
      </c>
      <c r="L11" s="43">
        <f t="shared" si="11"/>
        <v>9989.2363733333332</v>
      </c>
      <c r="M11" s="43">
        <f t="shared" si="11"/>
        <v>9989.2363733333332</v>
      </c>
      <c r="N11" s="43">
        <f t="shared" si="11"/>
        <v>9989.2363733333332</v>
      </c>
      <c r="O11" s="43">
        <f t="shared" si="11"/>
        <v>9989.2363733333332</v>
      </c>
      <c r="P11" s="43">
        <f t="shared" si="11"/>
        <v>9989.2363733333332</v>
      </c>
      <c r="Q11" s="43">
        <f t="shared" si="11"/>
        <v>9989.2363733333332</v>
      </c>
      <c r="R11" s="43">
        <f t="shared" si="11"/>
        <v>9989.2363733333332</v>
      </c>
      <c r="S11" s="43">
        <f t="shared" si="11"/>
        <v>9989.2363733333332</v>
      </c>
      <c r="T11" s="43">
        <f t="shared" si="11"/>
        <v>9989.2363733333332</v>
      </c>
      <c r="U11" s="43">
        <f t="shared" si="11"/>
        <v>9989.2363733333332</v>
      </c>
      <c r="V11" s="43">
        <f t="shared" si="11"/>
        <v>9989.2363733333332</v>
      </c>
      <c r="W11" s="43">
        <f t="shared" si="11"/>
        <v>9989.2363733333332</v>
      </c>
      <c r="X11" s="43">
        <f t="shared" si="11"/>
        <v>9989.2363733333332</v>
      </c>
      <c r="Y11" s="43">
        <f t="shared" si="11"/>
        <v>9989.2363733333332</v>
      </c>
      <c r="Z11" s="43">
        <f t="shared" si="11"/>
        <v>9989.2363733333332</v>
      </c>
      <c r="AA11" s="43">
        <f t="shared" si="11"/>
        <v>9989.2363733333332</v>
      </c>
      <c r="AB11" s="43">
        <f t="shared" si="11"/>
        <v>9989.2363733333332</v>
      </c>
      <c r="AC11" s="43">
        <f t="shared" si="11"/>
        <v>9989.2363733333332</v>
      </c>
      <c r="AD11" s="43">
        <f t="shared" si="11"/>
        <v>9989.2363733333332</v>
      </c>
      <c r="AE11" s="43">
        <f t="shared" si="11"/>
        <v>9989.2363733333332</v>
      </c>
      <c r="AF11" s="43">
        <f t="shared" si="11"/>
        <v>9989.2363733333332</v>
      </c>
      <c r="AG11" s="43">
        <f t="shared" si="11"/>
        <v>9989.2363733333332</v>
      </c>
      <c r="AH11" s="43">
        <f t="shared" si="11"/>
        <v>9989.2363733333332</v>
      </c>
      <c r="AI11" s="43">
        <f t="shared" si="11"/>
        <v>9989.2363733333332</v>
      </c>
      <c r="AJ11" s="43">
        <f t="shared" si="11"/>
        <v>9989.2363733333332</v>
      </c>
      <c r="AK11" s="43">
        <f t="shared" si="11"/>
        <v>9989.2363733333332</v>
      </c>
      <c r="AL11" s="43">
        <f t="shared" si="11"/>
        <v>9989.2363733333332</v>
      </c>
      <c r="AM11" s="43">
        <f t="shared" si="11"/>
        <v>9989.2363733333332</v>
      </c>
      <c r="AN11" s="34"/>
      <c r="AO11" s="34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</row>
    <row r="12" spans="1:76" ht="15.5">
      <c r="A12" s="24" t="s">
        <v>31</v>
      </c>
      <c r="B12" s="44">
        <f>B10-(B10*0.18)</f>
        <v>0.45920000000000005</v>
      </c>
      <c r="C12" s="27"/>
      <c r="D12" s="45">
        <f t="shared" ref="D12:AM12" si="12">$B12*D9</f>
        <v>9237.6437440000009</v>
      </c>
      <c r="E12" s="45">
        <f t="shared" si="12"/>
        <v>18475.287488000002</v>
      </c>
      <c r="F12" s="45">
        <f t="shared" si="12"/>
        <v>36950.574976000004</v>
      </c>
      <c r="G12" s="45">
        <f t="shared" si="12"/>
        <v>38895.342080000002</v>
      </c>
      <c r="H12" s="45">
        <f t="shared" si="12"/>
        <v>38895.342080000002</v>
      </c>
      <c r="I12" s="45">
        <f t="shared" si="12"/>
        <v>38895.342080000002</v>
      </c>
      <c r="J12" s="45">
        <f t="shared" si="12"/>
        <v>38895.342080000002</v>
      </c>
      <c r="K12" s="45">
        <f t="shared" si="12"/>
        <v>38895.342080000002</v>
      </c>
      <c r="L12" s="45">
        <f t="shared" si="12"/>
        <v>38895.342080000002</v>
      </c>
      <c r="M12" s="45">
        <f t="shared" si="12"/>
        <v>38895.342080000002</v>
      </c>
      <c r="N12" s="45">
        <f t="shared" si="12"/>
        <v>38895.342080000002</v>
      </c>
      <c r="O12" s="45">
        <f t="shared" si="12"/>
        <v>38895.342080000002</v>
      </c>
      <c r="P12" s="45">
        <f t="shared" si="12"/>
        <v>38895.342080000002</v>
      </c>
      <c r="Q12" s="45">
        <f t="shared" si="12"/>
        <v>38895.342080000002</v>
      </c>
      <c r="R12" s="45">
        <f t="shared" si="12"/>
        <v>38895.342080000002</v>
      </c>
      <c r="S12" s="45">
        <f t="shared" si="12"/>
        <v>38895.342080000002</v>
      </c>
      <c r="T12" s="45">
        <f t="shared" si="12"/>
        <v>38895.342080000002</v>
      </c>
      <c r="U12" s="45">
        <f t="shared" si="12"/>
        <v>38895.342080000002</v>
      </c>
      <c r="V12" s="45">
        <f t="shared" si="12"/>
        <v>38895.342080000002</v>
      </c>
      <c r="W12" s="45">
        <f t="shared" si="12"/>
        <v>38895.342080000002</v>
      </c>
      <c r="X12" s="45">
        <f t="shared" si="12"/>
        <v>38895.342080000002</v>
      </c>
      <c r="Y12" s="45">
        <f t="shared" si="12"/>
        <v>38895.342080000002</v>
      </c>
      <c r="Z12" s="45">
        <f t="shared" si="12"/>
        <v>38895.342080000002</v>
      </c>
      <c r="AA12" s="45">
        <f t="shared" si="12"/>
        <v>38895.342080000002</v>
      </c>
      <c r="AB12" s="45">
        <f t="shared" si="12"/>
        <v>38895.342080000002</v>
      </c>
      <c r="AC12" s="45">
        <f t="shared" si="12"/>
        <v>38895.342080000002</v>
      </c>
      <c r="AD12" s="45">
        <f t="shared" si="12"/>
        <v>38895.342080000002</v>
      </c>
      <c r="AE12" s="45">
        <f t="shared" si="12"/>
        <v>38895.342080000002</v>
      </c>
      <c r="AF12" s="45">
        <f t="shared" si="12"/>
        <v>38895.342080000002</v>
      </c>
      <c r="AG12" s="45">
        <f t="shared" si="12"/>
        <v>38895.342080000002</v>
      </c>
      <c r="AH12" s="45">
        <f t="shared" si="12"/>
        <v>38895.342080000002</v>
      </c>
      <c r="AI12" s="45">
        <f t="shared" si="12"/>
        <v>38895.342080000002</v>
      </c>
      <c r="AJ12" s="45">
        <f t="shared" si="12"/>
        <v>38895.342080000002</v>
      </c>
      <c r="AK12" s="45">
        <f t="shared" si="12"/>
        <v>38895.342080000002</v>
      </c>
      <c r="AL12" s="45">
        <f t="shared" si="12"/>
        <v>38895.342080000002</v>
      </c>
      <c r="AM12" s="45">
        <f t="shared" si="12"/>
        <v>38895.342080000002</v>
      </c>
      <c r="AN12" s="34"/>
      <c r="AO12" s="34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</row>
    <row r="13" spans="1:76" ht="15.5">
      <c r="A13" s="24" t="s">
        <v>35</v>
      </c>
      <c r="B13" s="27"/>
      <c r="C13" s="27"/>
      <c r="D13" s="42">
        <f t="shared" ref="D13:AM13" si="13">SUM(D11:D12)</f>
        <v>11610.087382666668</v>
      </c>
      <c r="E13" s="42">
        <f t="shared" si="13"/>
        <v>23220.174765333337</v>
      </c>
      <c r="F13" s="42">
        <f t="shared" si="13"/>
        <v>46440.349530666674</v>
      </c>
      <c r="G13" s="42">
        <f t="shared" si="13"/>
        <v>48884.578453333335</v>
      </c>
      <c r="H13" s="42">
        <f t="shared" si="13"/>
        <v>48884.578453333335</v>
      </c>
      <c r="I13" s="42">
        <f t="shared" si="13"/>
        <v>48884.578453333335</v>
      </c>
      <c r="J13" s="42">
        <f t="shared" si="13"/>
        <v>48884.578453333335</v>
      </c>
      <c r="K13" s="42">
        <f t="shared" si="13"/>
        <v>48884.578453333335</v>
      </c>
      <c r="L13" s="42">
        <f t="shared" si="13"/>
        <v>48884.578453333335</v>
      </c>
      <c r="M13" s="42">
        <f t="shared" si="13"/>
        <v>48884.578453333335</v>
      </c>
      <c r="N13" s="42">
        <f t="shared" si="13"/>
        <v>48884.578453333335</v>
      </c>
      <c r="O13" s="42">
        <f t="shared" si="13"/>
        <v>48884.578453333335</v>
      </c>
      <c r="P13" s="42">
        <f t="shared" si="13"/>
        <v>48884.578453333335</v>
      </c>
      <c r="Q13" s="42">
        <f t="shared" si="13"/>
        <v>48884.578453333335</v>
      </c>
      <c r="R13" s="42">
        <f t="shared" si="13"/>
        <v>48884.578453333335</v>
      </c>
      <c r="S13" s="42">
        <f t="shared" si="13"/>
        <v>48884.578453333335</v>
      </c>
      <c r="T13" s="42">
        <f t="shared" si="13"/>
        <v>48884.578453333335</v>
      </c>
      <c r="U13" s="42">
        <f t="shared" si="13"/>
        <v>48884.578453333335</v>
      </c>
      <c r="V13" s="42">
        <f t="shared" si="13"/>
        <v>48884.578453333335</v>
      </c>
      <c r="W13" s="42">
        <f t="shared" si="13"/>
        <v>48884.578453333335</v>
      </c>
      <c r="X13" s="42">
        <f t="shared" si="13"/>
        <v>48884.578453333335</v>
      </c>
      <c r="Y13" s="42">
        <f t="shared" si="13"/>
        <v>48884.578453333335</v>
      </c>
      <c r="Z13" s="42">
        <f t="shared" si="13"/>
        <v>48884.578453333335</v>
      </c>
      <c r="AA13" s="42">
        <f t="shared" si="13"/>
        <v>48884.578453333335</v>
      </c>
      <c r="AB13" s="42">
        <f t="shared" si="13"/>
        <v>48884.578453333335</v>
      </c>
      <c r="AC13" s="42">
        <f t="shared" si="13"/>
        <v>48884.578453333335</v>
      </c>
      <c r="AD13" s="42">
        <f t="shared" si="13"/>
        <v>48884.578453333335</v>
      </c>
      <c r="AE13" s="42">
        <f t="shared" si="13"/>
        <v>48884.578453333335</v>
      </c>
      <c r="AF13" s="42">
        <f t="shared" si="13"/>
        <v>48884.578453333335</v>
      </c>
      <c r="AG13" s="42">
        <f t="shared" si="13"/>
        <v>48884.578453333335</v>
      </c>
      <c r="AH13" s="42">
        <f t="shared" si="13"/>
        <v>48884.578453333335</v>
      </c>
      <c r="AI13" s="42">
        <f t="shared" si="13"/>
        <v>48884.578453333335</v>
      </c>
      <c r="AJ13" s="42">
        <f t="shared" si="13"/>
        <v>48884.578453333335</v>
      </c>
      <c r="AK13" s="42">
        <f t="shared" si="13"/>
        <v>48884.578453333335</v>
      </c>
      <c r="AL13" s="42">
        <f t="shared" si="13"/>
        <v>48884.578453333335</v>
      </c>
      <c r="AM13" s="42">
        <f t="shared" si="13"/>
        <v>48884.578453333335</v>
      </c>
      <c r="AN13" s="31">
        <f>SUM(D13:AM13)</f>
        <v>1694461.7006386672</v>
      </c>
      <c r="AO13" s="38" t="s">
        <v>36</v>
      </c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</row>
    <row r="14" spans="1:76" ht="15.5">
      <c r="A14" s="24" t="s">
        <v>38</v>
      </c>
      <c r="B14" s="27"/>
      <c r="C14" s="27"/>
      <c r="D14" s="46">
        <f t="shared" ref="D14:AM14" si="14">(D10-D13)/D10</f>
        <v>0.38164285714285706</v>
      </c>
      <c r="E14" s="46">
        <f t="shared" si="14"/>
        <v>0.38164285714285706</v>
      </c>
      <c r="F14" s="46">
        <f t="shared" si="14"/>
        <v>0.38164285714285706</v>
      </c>
      <c r="G14" s="46">
        <f t="shared" si="14"/>
        <v>0.38164285714285712</v>
      </c>
      <c r="H14" s="46">
        <f t="shared" si="14"/>
        <v>0.38164285714285712</v>
      </c>
      <c r="I14" s="46">
        <f t="shared" si="14"/>
        <v>0.38164285714285712</v>
      </c>
      <c r="J14" s="46">
        <f t="shared" si="14"/>
        <v>0.38164285714285712</v>
      </c>
      <c r="K14" s="46">
        <f t="shared" si="14"/>
        <v>0.38164285714285712</v>
      </c>
      <c r="L14" s="46">
        <f t="shared" si="14"/>
        <v>0.38164285714285712</v>
      </c>
      <c r="M14" s="46">
        <f t="shared" si="14"/>
        <v>0.38164285714285712</v>
      </c>
      <c r="N14" s="46">
        <f t="shared" si="14"/>
        <v>0.38164285714285712</v>
      </c>
      <c r="O14" s="46">
        <f t="shared" si="14"/>
        <v>0.38164285714285712</v>
      </c>
      <c r="P14" s="46">
        <f t="shared" si="14"/>
        <v>0.38164285714285712</v>
      </c>
      <c r="Q14" s="46">
        <f t="shared" si="14"/>
        <v>0.38164285714285712</v>
      </c>
      <c r="R14" s="46">
        <f t="shared" si="14"/>
        <v>0.38164285714285712</v>
      </c>
      <c r="S14" s="46">
        <f t="shared" si="14"/>
        <v>0.38164285714285712</v>
      </c>
      <c r="T14" s="46">
        <f t="shared" si="14"/>
        <v>0.38164285714285712</v>
      </c>
      <c r="U14" s="46">
        <f t="shared" si="14"/>
        <v>0.38164285714285712</v>
      </c>
      <c r="V14" s="46">
        <f t="shared" si="14"/>
        <v>0.38164285714285712</v>
      </c>
      <c r="W14" s="46">
        <f t="shared" si="14"/>
        <v>0.38164285714285712</v>
      </c>
      <c r="X14" s="46">
        <f t="shared" si="14"/>
        <v>0.38164285714285712</v>
      </c>
      <c r="Y14" s="46">
        <f t="shared" si="14"/>
        <v>0.38164285714285712</v>
      </c>
      <c r="Z14" s="46">
        <f t="shared" si="14"/>
        <v>0.38164285714285712</v>
      </c>
      <c r="AA14" s="46">
        <f t="shared" si="14"/>
        <v>0.38164285714285712</v>
      </c>
      <c r="AB14" s="46">
        <f t="shared" si="14"/>
        <v>0.38164285714285712</v>
      </c>
      <c r="AC14" s="46">
        <f t="shared" si="14"/>
        <v>0.38164285714285712</v>
      </c>
      <c r="AD14" s="46">
        <f t="shared" si="14"/>
        <v>0.38164285714285712</v>
      </c>
      <c r="AE14" s="46">
        <f t="shared" si="14"/>
        <v>0.38164285714285712</v>
      </c>
      <c r="AF14" s="46">
        <f t="shared" si="14"/>
        <v>0.38164285714285712</v>
      </c>
      <c r="AG14" s="46">
        <f t="shared" si="14"/>
        <v>0.38164285714285712</v>
      </c>
      <c r="AH14" s="46">
        <f t="shared" si="14"/>
        <v>0.38164285714285712</v>
      </c>
      <c r="AI14" s="46">
        <f t="shared" si="14"/>
        <v>0.38164285714285712</v>
      </c>
      <c r="AJ14" s="46">
        <f t="shared" si="14"/>
        <v>0.38164285714285712</v>
      </c>
      <c r="AK14" s="46">
        <f t="shared" si="14"/>
        <v>0.38164285714285712</v>
      </c>
      <c r="AL14" s="46">
        <f t="shared" si="14"/>
        <v>0.38164285714285712</v>
      </c>
      <c r="AM14" s="46">
        <f t="shared" si="14"/>
        <v>0.38164285714285712</v>
      </c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</row>
    <row r="16" spans="1:76" ht="15.5">
      <c r="A16" s="24" t="s">
        <v>62</v>
      </c>
      <c r="B16" s="47">
        <v>121.64</v>
      </c>
      <c r="C16" s="15"/>
      <c r="D16" s="85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</row>
    <row r="17" spans="1:76" ht="15.5">
      <c r="A17" s="24" t="s">
        <v>256</v>
      </c>
      <c r="B17" s="49">
        <v>26106.31</v>
      </c>
      <c r="C17" s="15"/>
      <c r="D17" s="85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24" t="s">
        <v>65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24" t="s">
        <v>66</v>
      </c>
      <c r="AF17" s="48"/>
      <c r="AG17" s="48"/>
      <c r="AH17" s="48"/>
      <c r="AI17" s="48"/>
      <c r="AJ17" s="48"/>
      <c r="AK17" s="48"/>
      <c r="AL17" s="48"/>
      <c r="AM17" s="48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</row>
    <row r="18" spans="1:76" ht="15.5">
      <c r="A18" s="24" t="s">
        <v>257</v>
      </c>
      <c r="B18" s="49">
        <v>32864.639999999999</v>
      </c>
      <c r="C18" s="15"/>
      <c r="D18" s="85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6">
        <f>(S20-G20)/G20</f>
        <v>0.25340149415222696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6">
        <f>(AE20-S20)/S20</f>
        <v>0.25340149415222651</v>
      </c>
      <c r="AF18" s="48"/>
      <c r="AG18" s="48"/>
      <c r="AH18" s="48"/>
      <c r="AI18" s="48"/>
      <c r="AJ18" s="48"/>
      <c r="AK18" s="48"/>
      <c r="AL18" s="48"/>
      <c r="AM18" s="48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</row>
    <row r="19" spans="1:76" ht="15.5">
      <c r="A19" s="27"/>
      <c r="B19" s="27"/>
      <c r="C19" s="24" t="s">
        <v>258</v>
      </c>
      <c r="D19" s="27"/>
      <c r="E19" s="33">
        <v>10</v>
      </c>
      <c r="F19" s="33">
        <v>1</v>
      </c>
      <c r="G19" s="33">
        <v>1</v>
      </c>
      <c r="H19" s="33">
        <v>1.9E-2</v>
      </c>
      <c r="I19" s="33">
        <v>1.9E-2</v>
      </c>
      <c r="J19" s="33">
        <v>1.9E-2</v>
      </c>
      <c r="K19" s="33">
        <v>1.9E-2</v>
      </c>
      <c r="L19" s="33">
        <v>1.9E-2</v>
      </c>
      <c r="M19" s="33">
        <v>1.9E-2</v>
      </c>
      <c r="N19" s="33">
        <v>1.9E-2</v>
      </c>
      <c r="O19" s="33">
        <v>1.9E-2</v>
      </c>
      <c r="P19" s="33">
        <v>1.9E-2</v>
      </c>
      <c r="Q19" s="33">
        <v>1.9E-2</v>
      </c>
      <c r="R19" s="33">
        <v>1.9E-2</v>
      </c>
      <c r="S19" s="33">
        <v>1.9E-2</v>
      </c>
      <c r="T19" s="33">
        <v>1.9E-2</v>
      </c>
      <c r="U19" s="33">
        <v>1.9E-2</v>
      </c>
      <c r="V19" s="33">
        <v>1.9E-2</v>
      </c>
      <c r="W19" s="33">
        <v>1.9E-2</v>
      </c>
      <c r="X19" s="33">
        <v>1.9E-2</v>
      </c>
      <c r="Y19" s="33">
        <v>1.9E-2</v>
      </c>
      <c r="Z19" s="33">
        <v>1.9E-2</v>
      </c>
      <c r="AA19" s="33">
        <v>1.9E-2</v>
      </c>
      <c r="AB19" s="33">
        <v>1.9E-2</v>
      </c>
      <c r="AC19" s="33">
        <v>1.9E-2</v>
      </c>
      <c r="AD19" s="33">
        <v>1.9E-2</v>
      </c>
      <c r="AE19" s="33">
        <v>1.9E-2</v>
      </c>
      <c r="AF19" s="33">
        <v>1.9E-2</v>
      </c>
      <c r="AG19" s="33">
        <v>1.9E-2</v>
      </c>
      <c r="AH19" s="33">
        <v>1.9E-2</v>
      </c>
      <c r="AI19" s="33">
        <v>1.9E-2</v>
      </c>
      <c r="AJ19" s="33">
        <v>1.9E-2</v>
      </c>
      <c r="AK19" s="33">
        <v>1.9E-2</v>
      </c>
      <c r="AL19" s="33">
        <v>1.9E-2</v>
      </c>
      <c r="AM19" s="33">
        <v>1.9E-2</v>
      </c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</row>
    <row r="20" spans="1:76" ht="15.5">
      <c r="A20" s="24" t="s">
        <v>71</v>
      </c>
      <c r="B20" s="27"/>
      <c r="C20" s="27"/>
      <c r="D20" s="50">
        <v>30</v>
      </c>
      <c r="E20" s="26">
        <f t="shared" ref="E20:AM20" si="15">D20+(D20*E19)</f>
        <v>330</v>
      </c>
      <c r="F20" s="26">
        <f t="shared" si="15"/>
        <v>660</v>
      </c>
      <c r="G20" s="26">
        <f t="shared" si="15"/>
        <v>1320</v>
      </c>
      <c r="H20" s="26">
        <f t="shared" si="15"/>
        <v>1345.08</v>
      </c>
      <c r="I20" s="26">
        <f t="shared" si="15"/>
        <v>1370.63652</v>
      </c>
      <c r="J20" s="26">
        <f t="shared" si="15"/>
        <v>1396.6786138800001</v>
      </c>
      <c r="K20" s="26">
        <f t="shared" si="15"/>
        <v>1423.2155075437202</v>
      </c>
      <c r="L20" s="26">
        <f t="shared" si="15"/>
        <v>1450.2566021870509</v>
      </c>
      <c r="M20" s="26">
        <f t="shared" si="15"/>
        <v>1477.811477628605</v>
      </c>
      <c r="N20" s="26">
        <f t="shared" si="15"/>
        <v>1505.8898957035485</v>
      </c>
      <c r="O20" s="26">
        <f t="shared" si="15"/>
        <v>1534.5018037219158</v>
      </c>
      <c r="P20" s="26">
        <f t="shared" si="15"/>
        <v>1563.6573379926322</v>
      </c>
      <c r="Q20" s="26">
        <f t="shared" si="15"/>
        <v>1593.3668274144923</v>
      </c>
      <c r="R20" s="26">
        <f t="shared" si="15"/>
        <v>1623.6407971353676</v>
      </c>
      <c r="S20" s="26">
        <f t="shared" si="15"/>
        <v>1654.4899722809396</v>
      </c>
      <c r="T20" s="26">
        <f t="shared" si="15"/>
        <v>1685.9252817542774</v>
      </c>
      <c r="U20" s="26">
        <f t="shared" si="15"/>
        <v>1717.9578621076087</v>
      </c>
      <c r="V20" s="26">
        <f t="shared" si="15"/>
        <v>1750.5990614876532</v>
      </c>
      <c r="W20" s="26">
        <f t="shared" si="15"/>
        <v>1783.8604436559185</v>
      </c>
      <c r="X20" s="26">
        <f t="shared" si="15"/>
        <v>1817.7537920853811</v>
      </c>
      <c r="Y20" s="26">
        <f t="shared" si="15"/>
        <v>1852.2911141350032</v>
      </c>
      <c r="Z20" s="26">
        <f t="shared" si="15"/>
        <v>1887.4846453035682</v>
      </c>
      <c r="AA20" s="26">
        <f t="shared" si="15"/>
        <v>1923.346853564336</v>
      </c>
      <c r="AB20" s="26">
        <f t="shared" si="15"/>
        <v>1959.8904437820584</v>
      </c>
      <c r="AC20" s="26">
        <f t="shared" si="15"/>
        <v>1997.1283622139174</v>
      </c>
      <c r="AD20" s="26">
        <f t="shared" si="15"/>
        <v>2035.0738010959819</v>
      </c>
      <c r="AE20" s="26">
        <f t="shared" si="15"/>
        <v>2073.7402033168055</v>
      </c>
      <c r="AF20" s="26">
        <f t="shared" si="15"/>
        <v>2113.1412671798248</v>
      </c>
      <c r="AG20" s="26">
        <f t="shared" si="15"/>
        <v>2153.2909512562414</v>
      </c>
      <c r="AH20" s="26">
        <f t="shared" si="15"/>
        <v>2194.20347933011</v>
      </c>
      <c r="AI20" s="26">
        <f t="shared" si="15"/>
        <v>2235.8933454373819</v>
      </c>
      <c r="AJ20" s="26">
        <f t="shared" si="15"/>
        <v>2278.3753190006923</v>
      </c>
      <c r="AK20" s="26">
        <f t="shared" si="15"/>
        <v>2321.6644500617053</v>
      </c>
      <c r="AL20" s="26">
        <f t="shared" si="15"/>
        <v>2365.7760746128779</v>
      </c>
      <c r="AM20" s="26">
        <f t="shared" si="15"/>
        <v>2410.7258200305228</v>
      </c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</row>
    <row r="21" spans="1:76" ht="15.5">
      <c r="A21" s="24" t="s">
        <v>73</v>
      </c>
      <c r="B21" s="27"/>
      <c r="C21" s="33">
        <v>0.6</v>
      </c>
      <c r="D21" s="26">
        <f t="shared" ref="D21:AM21" si="16">D20*$C$21</f>
        <v>18</v>
      </c>
      <c r="E21" s="26">
        <f t="shared" si="16"/>
        <v>198</v>
      </c>
      <c r="F21" s="26">
        <f t="shared" si="16"/>
        <v>396</v>
      </c>
      <c r="G21" s="26">
        <f t="shared" si="16"/>
        <v>792</v>
      </c>
      <c r="H21" s="26">
        <f t="shared" si="16"/>
        <v>807.04799999999989</v>
      </c>
      <c r="I21" s="26">
        <f t="shared" si="16"/>
        <v>822.38191199999994</v>
      </c>
      <c r="J21" s="26">
        <f t="shared" si="16"/>
        <v>838.00716832800003</v>
      </c>
      <c r="K21" s="26">
        <f t="shared" si="16"/>
        <v>853.92930452623204</v>
      </c>
      <c r="L21" s="26">
        <f t="shared" si="16"/>
        <v>870.15396131223054</v>
      </c>
      <c r="M21" s="26">
        <f t="shared" si="16"/>
        <v>886.68688657716291</v>
      </c>
      <c r="N21" s="26">
        <f t="shared" si="16"/>
        <v>903.53393742212904</v>
      </c>
      <c r="O21" s="26">
        <f t="shared" si="16"/>
        <v>920.70108223314946</v>
      </c>
      <c r="P21" s="26">
        <f t="shared" si="16"/>
        <v>938.19440279557921</v>
      </c>
      <c r="Q21" s="26">
        <f t="shared" si="16"/>
        <v>956.02009644869531</v>
      </c>
      <c r="R21" s="26">
        <f t="shared" si="16"/>
        <v>974.18447828122055</v>
      </c>
      <c r="S21" s="26">
        <f t="shared" si="16"/>
        <v>992.69398336856375</v>
      </c>
      <c r="T21" s="26">
        <f t="shared" si="16"/>
        <v>1011.5551690525664</v>
      </c>
      <c r="U21" s="26">
        <f t="shared" si="16"/>
        <v>1030.7747172645652</v>
      </c>
      <c r="V21" s="26">
        <f t="shared" si="16"/>
        <v>1050.3594368925919</v>
      </c>
      <c r="W21" s="26">
        <f t="shared" si="16"/>
        <v>1070.316266193551</v>
      </c>
      <c r="X21" s="26">
        <f t="shared" si="16"/>
        <v>1090.6522752512285</v>
      </c>
      <c r="Y21" s="26">
        <f t="shared" si="16"/>
        <v>1111.3746684810019</v>
      </c>
      <c r="Z21" s="26">
        <f t="shared" si="16"/>
        <v>1132.4907871821408</v>
      </c>
      <c r="AA21" s="26">
        <f t="shared" si="16"/>
        <v>1154.0081121386015</v>
      </c>
      <c r="AB21" s="26">
        <f t="shared" si="16"/>
        <v>1175.934266269235</v>
      </c>
      <c r="AC21" s="26">
        <f t="shared" si="16"/>
        <v>1198.2770173283504</v>
      </c>
      <c r="AD21" s="26">
        <f t="shared" si="16"/>
        <v>1221.0442806575891</v>
      </c>
      <c r="AE21" s="26">
        <f t="shared" si="16"/>
        <v>1244.2441219900832</v>
      </c>
      <c r="AF21" s="26">
        <f t="shared" si="16"/>
        <v>1267.8847603078948</v>
      </c>
      <c r="AG21" s="26">
        <f t="shared" si="16"/>
        <v>1291.9745707537447</v>
      </c>
      <c r="AH21" s="26">
        <f t="shared" si="16"/>
        <v>1316.522087598066</v>
      </c>
      <c r="AI21" s="26">
        <f t="shared" si="16"/>
        <v>1341.5360072624292</v>
      </c>
      <c r="AJ21" s="26">
        <f t="shared" si="16"/>
        <v>1367.0251914004155</v>
      </c>
      <c r="AK21" s="26">
        <f t="shared" si="16"/>
        <v>1392.9986700370232</v>
      </c>
      <c r="AL21" s="26">
        <f t="shared" si="16"/>
        <v>1419.4656447677266</v>
      </c>
      <c r="AM21" s="26">
        <f t="shared" si="16"/>
        <v>1446.4354920183137</v>
      </c>
      <c r="AN21" s="27"/>
      <c r="AO21" s="38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</row>
    <row r="22" spans="1:76" ht="15.5">
      <c r="A22" s="24" t="s">
        <v>74</v>
      </c>
      <c r="B22" s="27"/>
      <c r="C22" s="33">
        <v>0.4</v>
      </c>
      <c r="D22" s="26">
        <f t="shared" ref="D22:AM22" si="17">D20*$C$22</f>
        <v>12</v>
      </c>
      <c r="E22" s="26">
        <f t="shared" si="17"/>
        <v>132</v>
      </c>
      <c r="F22" s="26">
        <f t="shared" si="17"/>
        <v>264</v>
      </c>
      <c r="G22" s="26">
        <f t="shared" si="17"/>
        <v>528</v>
      </c>
      <c r="H22" s="26">
        <f t="shared" si="17"/>
        <v>538.03200000000004</v>
      </c>
      <c r="I22" s="26">
        <f t="shared" si="17"/>
        <v>548.25460800000008</v>
      </c>
      <c r="J22" s="26">
        <f t="shared" si="17"/>
        <v>558.67144555200002</v>
      </c>
      <c r="K22" s="26">
        <f t="shared" si="17"/>
        <v>569.28620301748811</v>
      </c>
      <c r="L22" s="26">
        <f t="shared" si="17"/>
        <v>580.10264087482039</v>
      </c>
      <c r="M22" s="26">
        <f t="shared" si="17"/>
        <v>591.12459105144205</v>
      </c>
      <c r="N22" s="26">
        <f t="shared" si="17"/>
        <v>602.35595828141948</v>
      </c>
      <c r="O22" s="26">
        <f t="shared" si="17"/>
        <v>613.80072148876638</v>
      </c>
      <c r="P22" s="26">
        <f t="shared" si="17"/>
        <v>625.46293519705296</v>
      </c>
      <c r="Q22" s="26">
        <f t="shared" si="17"/>
        <v>637.34673096579695</v>
      </c>
      <c r="R22" s="26">
        <f t="shared" si="17"/>
        <v>649.45631885414707</v>
      </c>
      <c r="S22" s="26">
        <f t="shared" si="17"/>
        <v>661.79598891237583</v>
      </c>
      <c r="T22" s="26">
        <f t="shared" si="17"/>
        <v>674.37011270171104</v>
      </c>
      <c r="U22" s="26">
        <f t="shared" si="17"/>
        <v>687.18314484304346</v>
      </c>
      <c r="V22" s="26">
        <f t="shared" si="17"/>
        <v>700.23962459506129</v>
      </c>
      <c r="W22" s="26">
        <f t="shared" si="17"/>
        <v>713.54417746236743</v>
      </c>
      <c r="X22" s="26">
        <f t="shared" si="17"/>
        <v>727.10151683415245</v>
      </c>
      <c r="Y22" s="26">
        <f t="shared" si="17"/>
        <v>740.91644565400134</v>
      </c>
      <c r="Z22" s="26">
        <f t="shared" si="17"/>
        <v>754.99385812142737</v>
      </c>
      <c r="AA22" s="26">
        <f t="shared" si="17"/>
        <v>769.3387414257345</v>
      </c>
      <c r="AB22" s="26">
        <f t="shared" si="17"/>
        <v>783.95617751282339</v>
      </c>
      <c r="AC22" s="26">
        <f t="shared" si="17"/>
        <v>798.85134488556696</v>
      </c>
      <c r="AD22" s="26">
        <f t="shared" si="17"/>
        <v>814.02952043839286</v>
      </c>
      <c r="AE22" s="26">
        <f t="shared" si="17"/>
        <v>829.49608132672222</v>
      </c>
      <c r="AF22" s="26">
        <f t="shared" si="17"/>
        <v>845.25650687193001</v>
      </c>
      <c r="AG22" s="26">
        <f t="shared" si="17"/>
        <v>861.3163805024966</v>
      </c>
      <c r="AH22" s="26">
        <f t="shared" si="17"/>
        <v>877.68139173204406</v>
      </c>
      <c r="AI22" s="26">
        <f t="shared" si="17"/>
        <v>894.35733817495282</v>
      </c>
      <c r="AJ22" s="26">
        <f t="shared" si="17"/>
        <v>911.35012760027701</v>
      </c>
      <c r="AK22" s="26">
        <f t="shared" si="17"/>
        <v>928.66578002468214</v>
      </c>
      <c r="AL22" s="26">
        <f t="shared" si="17"/>
        <v>946.31042984515125</v>
      </c>
      <c r="AM22" s="26">
        <f t="shared" si="17"/>
        <v>964.2903280122091</v>
      </c>
      <c r="AN22" s="27"/>
      <c r="AO22" s="38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</row>
    <row r="23" spans="1:76" ht="15.5">
      <c r="A23" s="24" t="s">
        <v>259</v>
      </c>
      <c r="B23" s="51">
        <v>13103.98</v>
      </c>
      <c r="C23" s="27"/>
      <c r="D23" s="51">
        <f t="shared" ref="D23:T23" si="18">$B$23</f>
        <v>13103.98</v>
      </c>
      <c r="E23" s="51">
        <f t="shared" si="18"/>
        <v>13103.98</v>
      </c>
      <c r="F23" s="51">
        <f t="shared" si="18"/>
        <v>13103.98</v>
      </c>
      <c r="G23" s="51">
        <f t="shared" si="18"/>
        <v>13103.98</v>
      </c>
      <c r="H23" s="51">
        <f t="shared" si="18"/>
        <v>13103.98</v>
      </c>
      <c r="I23" s="51">
        <f t="shared" si="18"/>
        <v>13103.98</v>
      </c>
      <c r="J23" s="51">
        <f t="shared" si="18"/>
        <v>13103.98</v>
      </c>
      <c r="K23" s="51">
        <f t="shared" si="18"/>
        <v>13103.98</v>
      </c>
      <c r="L23" s="51">
        <f t="shared" si="18"/>
        <v>13103.98</v>
      </c>
      <c r="M23" s="51">
        <f t="shared" si="18"/>
        <v>13103.98</v>
      </c>
      <c r="N23" s="51">
        <f t="shared" si="18"/>
        <v>13103.98</v>
      </c>
      <c r="O23" s="51">
        <f t="shared" si="18"/>
        <v>13103.98</v>
      </c>
      <c r="P23" s="51">
        <f t="shared" si="18"/>
        <v>13103.98</v>
      </c>
      <c r="Q23" s="51">
        <f t="shared" si="18"/>
        <v>13103.98</v>
      </c>
      <c r="R23" s="51">
        <f t="shared" si="18"/>
        <v>13103.98</v>
      </c>
      <c r="S23" s="51">
        <f t="shared" si="18"/>
        <v>13103.98</v>
      </c>
      <c r="T23" s="51">
        <f t="shared" si="18"/>
        <v>13103.98</v>
      </c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52">
        <f t="shared" ref="AN23:AN25" si="19">SUM(D23:AM23)</f>
        <v>222767.66000000003</v>
      </c>
      <c r="AO23" s="38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</row>
    <row r="24" spans="1:76" ht="15.5">
      <c r="A24" s="24" t="s">
        <v>260</v>
      </c>
      <c r="B24" s="51">
        <v>19862.310000000001</v>
      </c>
      <c r="C24" s="2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>
        <f t="shared" ref="U24:AM24" si="20">$B$24</f>
        <v>19862.310000000001</v>
      </c>
      <c r="V24" s="51">
        <f t="shared" si="20"/>
        <v>19862.310000000001</v>
      </c>
      <c r="W24" s="51">
        <f t="shared" si="20"/>
        <v>19862.310000000001</v>
      </c>
      <c r="X24" s="51">
        <f t="shared" si="20"/>
        <v>19862.310000000001</v>
      </c>
      <c r="Y24" s="51">
        <f t="shared" si="20"/>
        <v>19862.310000000001</v>
      </c>
      <c r="Z24" s="51">
        <f t="shared" si="20"/>
        <v>19862.310000000001</v>
      </c>
      <c r="AA24" s="51">
        <f t="shared" si="20"/>
        <v>19862.310000000001</v>
      </c>
      <c r="AB24" s="51">
        <f t="shared" si="20"/>
        <v>19862.310000000001</v>
      </c>
      <c r="AC24" s="51">
        <f t="shared" si="20"/>
        <v>19862.310000000001</v>
      </c>
      <c r="AD24" s="51">
        <f t="shared" si="20"/>
        <v>19862.310000000001</v>
      </c>
      <c r="AE24" s="51">
        <f t="shared" si="20"/>
        <v>19862.310000000001</v>
      </c>
      <c r="AF24" s="51">
        <f t="shared" si="20"/>
        <v>19862.310000000001</v>
      </c>
      <c r="AG24" s="51">
        <f t="shared" si="20"/>
        <v>19862.310000000001</v>
      </c>
      <c r="AH24" s="51">
        <f t="shared" si="20"/>
        <v>19862.310000000001</v>
      </c>
      <c r="AI24" s="51">
        <f t="shared" si="20"/>
        <v>19862.310000000001</v>
      </c>
      <c r="AJ24" s="51">
        <f t="shared" si="20"/>
        <v>19862.310000000001</v>
      </c>
      <c r="AK24" s="51">
        <f t="shared" si="20"/>
        <v>19862.310000000001</v>
      </c>
      <c r="AL24" s="51">
        <f t="shared" si="20"/>
        <v>19862.310000000001</v>
      </c>
      <c r="AM24" s="51">
        <f t="shared" si="20"/>
        <v>19862.310000000001</v>
      </c>
      <c r="AN24" s="53">
        <f t="shared" si="19"/>
        <v>377383.89</v>
      </c>
      <c r="AO24" s="38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</row>
    <row r="25" spans="1:76" ht="15.5">
      <c r="A25" s="24" t="s">
        <v>261</v>
      </c>
      <c r="B25" s="51">
        <v>1710.9</v>
      </c>
      <c r="C25" s="27"/>
      <c r="D25" s="51">
        <v>1710.9</v>
      </c>
      <c r="E25" s="51">
        <v>1710.9</v>
      </c>
      <c r="F25" s="51">
        <v>1710.9</v>
      </c>
      <c r="G25" s="51">
        <v>1710.9</v>
      </c>
      <c r="H25" s="51">
        <v>1710.9</v>
      </c>
      <c r="I25" s="51">
        <v>1710.9</v>
      </c>
      <c r="J25" s="51">
        <v>1710.9</v>
      </c>
      <c r="K25" s="51">
        <v>1710.9</v>
      </c>
      <c r="L25" s="51">
        <v>1710.9</v>
      </c>
      <c r="M25" s="51">
        <v>1710.9</v>
      </c>
      <c r="N25" s="51">
        <v>1710.9</v>
      </c>
      <c r="O25" s="51">
        <v>1710.9</v>
      </c>
      <c r="P25" s="51">
        <v>1710.9</v>
      </c>
      <c r="Q25" s="51">
        <v>1710.9</v>
      </c>
      <c r="R25" s="51">
        <v>1710.9</v>
      </c>
      <c r="S25" s="51">
        <v>1710.9</v>
      </c>
      <c r="T25" s="51">
        <v>1710.9</v>
      </c>
      <c r="U25" s="51">
        <v>1710.9</v>
      </c>
      <c r="V25" s="51">
        <v>1710.9</v>
      </c>
      <c r="W25" s="51">
        <v>1710.9</v>
      </c>
      <c r="X25" s="51">
        <v>1710.9</v>
      </c>
      <c r="Y25" s="51">
        <v>1710.9</v>
      </c>
      <c r="Z25" s="51">
        <v>1710.9</v>
      </c>
      <c r="AA25" s="51">
        <v>1710.9</v>
      </c>
      <c r="AB25" s="51">
        <v>1710.9</v>
      </c>
      <c r="AC25" s="51">
        <v>1710.9</v>
      </c>
      <c r="AD25" s="51">
        <v>1710.9</v>
      </c>
      <c r="AE25" s="51">
        <v>1710.9</v>
      </c>
      <c r="AF25" s="51">
        <v>1710.9</v>
      </c>
      <c r="AG25" s="51">
        <v>1710.9</v>
      </c>
      <c r="AH25" s="51">
        <v>1710.9</v>
      </c>
      <c r="AI25" s="51">
        <v>1710.9</v>
      </c>
      <c r="AJ25" s="51">
        <v>1710.9</v>
      </c>
      <c r="AK25" s="51">
        <v>1710.9</v>
      </c>
      <c r="AL25" s="51">
        <v>1710.9</v>
      </c>
      <c r="AM25" s="51">
        <v>1710.9</v>
      </c>
      <c r="AN25" s="54">
        <f t="shared" si="19"/>
        <v>61592.400000000038</v>
      </c>
      <c r="AO25" s="55">
        <f>SUM(AN23:AN25)</f>
        <v>661743.95000000007</v>
      </c>
      <c r="AP25" s="38" t="s">
        <v>78</v>
      </c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</row>
    <row r="34" spans="2:2" ht="15.5">
      <c r="B34" s="15" t="s">
        <v>262</v>
      </c>
    </row>
    <row r="35" spans="2:2" ht="15.5">
      <c r="B35" s="15" t="s">
        <v>263</v>
      </c>
    </row>
    <row r="96" spans="2:4" ht="15" customHeight="1">
      <c r="B96" s="85">
        <f>2500000</f>
        <v>2500000</v>
      </c>
      <c r="C96" s="85">
        <v>0.3</v>
      </c>
      <c r="D96" s="85">
        <f>B96*C96</f>
        <v>750000</v>
      </c>
    </row>
    <row r="97" spans="2:4" ht="15" customHeight="1">
      <c r="B97" s="85">
        <v>1200000</v>
      </c>
      <c r="C97" s="85">
        <v>0.55000000000000004</v>
      </c>
      <c r="D97" s="85">
        <f>B97*C97</f>
        <v>660000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2CC96237DD0B4A999D278436660CD7" ma:contentTypeVersion="17" ma:contentTypeDescription="Create a new document." ma:contentTypeScope="" ma:versionID="8d1bc935b448a11fc54f9a594a302808">
  <xsd:schema xmlns:xsd="http://www.w3.org/2001/XMLSchema" xmlns:xs="http://www.w3.org/2001/XMLSchema" xmlns:p="http://schemas.microsoft.com/office/2006/metadata/properties" xmlns:ns3="6f3262c1-e559-4098-be30-78ab65a295a9" xmlns:ns4="bc841aab-7ca3-4005-89aa-65449a6911de" targetNamespace="http://schemas.microsoft.com/office/2006/metadata/properties" ma:root="true" ma:fieldsID="042f47c65d5fed4b641ddba5de4543b5" ns3:_="" ns4:_="">
    <xsd:import namespace="6f3262c1-e559-4098-be30-78ab65a295a9"/>
    <xsd:import namespace="bc841aab-7ca3-4005-89aa-65449a6911de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262c1-e559-4098-be30-78ab65a295a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41aab-7ca3-4005-89aa-65449a691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6f3262c1-e559-4098-be30-78ab65a295a9" xsi:nil="true"/>
    <MigrationWizIdPermissionLevels xmlns="6f3262c1-e559-4098-be30-78ab65a295a9" xsi:nil="true"/>
    <MigrationWizIdSecurityGroups xmlns="6f3262c1-e559-4098-be30-78ab65a295a9" xsi:nil="true"/>
    <MigrationWizId xmlns="6f3262c1-e559-4098-be30-78ab65a295a9" xsi:nil="true"/>
    <MigrationWizIdDocumentLibraryPermissions xmlns="6f3262c1-e559-4098-be30-78ab65a295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F371EB-C114-4A3E-A046-8270DB7A4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262c1-e559-4098-be30-78ab65a295a9"/>
    <ds:schemaRef ds:uri="bc841aab-7ca3-4005-89aa-65449a691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526732-9490-47C7-84C3-524609C4E54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6f3262c1-e559-4098-be30-78ab65a295a9"/>
    <ds:schemaRef ds:uri="http://purl.org/dc/terms/"/>
    <ds:schemaRef ds:uri="http://schemas.openxmlformats.org/package/2006/metadata/core-properties"/>
    <ds:schemaRef ds:uri="bc841aab-7ca3-4005-89aa-65449a6911d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4B15C54-445F-415B-BE20-0B64F9FA0E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EDW_Snowflake_Estimates&amp;Ramp</vt:lpstr>
      <vt:lpstr>EDW_Synapse_Clean</vt:lpstr>
      <vt:lpstr>EDW_Synapse_Estimates&amp;Ramp up</vt:lpstr>
      <vt:lpstr>BVA_Comparison</vt:lpstr>
      <vt:lpstr>On-prem Exadata (Reduced)</vt:lpstr>
      <vt:lpstr>Rogers Existing DBU Consumption</vt:lpstr>
      <vt:lpstr>Ramp Up Plan - Hadoop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Kumud Awasthi</dc:creator>
  <cp:keywords/>
  <dc:description/>
  <cp:lastModifiedBy>Awasthi, Kumud</cp:lastModifiedBy>
  <cp:revision/>
  <dcterms:created xsi:type="dcterms:W3CDTF">2020-04-24T12:36:53Z</dcterms:created>
  <dcterms:modified xsi:type="dcterms:W3CDTF">2021-05-18T16:53:54Z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0x010100892CC96237DD0B4A999D278436660CD7</vt:lpwstr>
  </property>
</Properties>
</file>